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namedSheetViews/namedSheetView1.xml" ContentType="application/vnd.ms-excel.namedsheetviews+xml"/>
  <Override PartName="/xl/tables/table2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autoCompressPictures="0"/>
  <mc:AlternateContent xmlns:mc="http://schemas.openxmlformats.org/markup-compatibility/2006">
    <mc:Choice Requires="x15">
      <x15ac:absPath xmlns:x15ac="http://schemas.microsoft.com/office/spreadsheetml/2010/11/ac" url="/Users/abbywoolf/Desktop/Data_Projects/Costing App/"/>
    </mc:Choice>
  </mc:AlternateContent>
  <xr:revisionPtr revIDLastSave="0" documentId="8_{67AA5381-C005-AC4F-958D-2A4CBA9EDBE6}" xr6:coauthVersionLast="47" xr6:coauthVersionMax="47" xr10:uidLastSave="{00000000-0000-0000-0000-000000000000}"/>
  <bookViews>
    <workbookView xWindow="0" yWindow="500" windowWidth="36140" windowHeight="19820" tabRatio="992" xr2:uid="{00000000-000D-0000-FFFF-FFFF00000000}"/>
  </bookViews>
  <sheets>
    <sheet name="SKU List" sheetId="1" r:id="rId1"/>
    <sheet name="Sheet2" sheetId="13" r:id="rId2"/>
    <sheet name="SKU Wall Paper" sheetId="9" r:id="rId3"/>
    <sheet name="Materials" sheetId="3" r:id="rId4"/>
    <sheet name="Cali Frames" sheetId="4" r:id="rId5"/>
    <sheet name="Cali FPS" sheetId="5" r:id="rId6"/>
    <sheet name="FPS LO PROFILE" sheetId="10" r:id="rId7"/>
    <sheet name="TX" sheetId="6" r:id="rId8"/>
    <sheet name="CALI_SONDER " sheetId="7" r:id="rId9"/>
    <sheet name="CALI CB2" sheetId="8" r:id="rId10"/>
    <sheet name="PL CB2" sheetId="12" r:id="rId11"/>
    <sheet name="Sheet1" sheetId="11" r:id="rId12"/>
  </sheets>
  <externalReferences>
    <externalReference r:id="rId13"/>
  </externalReferences>
  <definedNames>
    <definedName name="_xlnm._FilterDatabase" localSheetId="4" hidden="1">'Cali Frames'!$A$1:$O$1</definedName>
    <definedName name="_xlnm._FilterDatabase" localSheetId="0" hidden="1">'SKU List'!$C$2594:$G$2600</definedName>
    <definedName name="_xlnm._FilterDatabase" localSheetId="2" hidden="1">'SKU Wall Paper'!$A$1:$ML$1</definedName>
    <definedName name="Birch">Materials!$E$21</definedName>
    <definedName name="BORDER" localSheetId="6">[1]MATERIALS!$B$2</definedName>
    <definedName name="Border">Materials!$D$3</definedName>
    <definedName name="BorderGW">Materials!$C$3</definedName>
    <definedName name="BorderL">Materials!$C$4</definedName>
    <definedName name="Brace12">Materials!$D$58</definedName>
    <definedName name="Brace16">Materials!$D$58</definedName>
    <definedName name="Brace20">Materials!#REF!</definedName>
    <definedName name="CanonC">Materials!$C$54</definedName>
    <definedName name="canonML">Materials!$C$53</definedName>
    <definedName name="Canvas">Materials!$E$12</definedName>
    <definedName name="CanvasC">Materials!$E$12</definedName>
    <definedName name="CanvasR">Materials!$E$14</definedName>
    <definedName name="EPSONC">Materials!$C$45</definedName>
    <definedName name="EPSONM">Materials!$C$44</definedName>
    <definedName name="EPSONML">Materials!$C$44</definedName>
    <definedName name="FinishC">Materials!$D$71</definedName>
    <definedName name="GPLABOR">Materials!$D$114</definedName>
    <definedName name="IncaC">Materials!$D$29</definedName>
    <definedName name="IncaCR">Materials!$D$32</definedName>
    <definedName name="IncaG">Materials!$D$28</definedName>
    <definedName name="IncaGR">Materials!$D$31</definedName>
    <definedName name="INKC">[1]MATERIALS!$C$7</definedName>
    <definedName name="INKL">[1]MATERIALS!$C$6</definedName>
    <definedName name="LABORC">[1]MATERIALS!$C$17</definedName>
    <definedName name="MDF">Materials!$E$25</definedName>
    <definedName name="MDFSHEET">Materials!$B$25</definedName>
    <definedName name="Non_Stock_Items" localSheetId="4">'Cali Frames'!$A$1:$D$37</definedName>
    <definedName name="Paper">Materials!$E$17</definedName>
    <definedName name="paper24">Materials!$D$51</definedName>
    <definedName name="paper44">Materials!$F$51</definedName>
    <definedName name="paper60">Materials!$H$51</definedName>
    <definedName name="PAPERC" localSheetId="6">[1]MATERIALS!$D$10</definedName>
    <definedName name="PaperC">Materials!$E$17</definedName>
    <definedName name="PETG48">Materials!$B$23</definedName>
    <definedName name="PETG60">Materials!$B$22</definedName>
    <definedName name="PETGL">Materials!$E$22</definedName>
    <definedName name="PETGS">Materials!$E$23</definedName>
    <definedName name="POLY">Materials!$E$24</definedName>
    <definedName name="POster">Materials!$E$19</definedName>
    <definedName name="_xlnm.Print_Area" localSheetId="5">'Cali FPS'!$A$3:$C$169</definedName>
    <definedName name="_xlnm.Print_Area" localSheetId="4">'Cali Frames'!$A$1:$D$555</definedName>
    <definedName name="_xlnm.Print_Area" localSheetId="0">'SKU List'!$C$2595:$G$2601</definedName>
    <definedName name="_xlnm.Print_Titles" localSheetId="5">'Cali FPS'!$1:$1</definedName>
    <definedName name="_xlnm.Print_Titles" localSheetId="4">'Cali Frames'!$1:$1</definedName>
    <definedName name="_xlnm.Print_Titles" localSheetId="0">'SKU List'!$1:$1</definedName>
    <definedName name="Stretch2">Materials!$E$64</definedName>
    <definedName name="StretchC">Materials!$E$62</definedName>
    <definedName name="Swiss1">Materials!$C$36</definedName>
    <definedName name="Swiss1ML">Materials!$C$36</definedName>
    <definedName name="Swiss2">Materials!$D$36</definedName>
    <definedName name="swiss3">Materials!$E$36</definedName>
    <definedName name="SWISSC1">Materials!$C$37</definedName>
    <definedName name="SWISSC2">Materials!$D$37</definedName>
    <definedName name="SWISSCR">Materials!$C$41</definedName>
    <definedName name="swissL">Materials!$E$36</definedName>
    <definedName name="SwissLow">Materials!$E$36</definedName>
    <definedName name="SWISSML">Materials!$C$36</definedName>
    <definedName name="SWISSMLR">Materials!$C$40</definedName>
    <definedName name="SWISSRC">Materials!$C$41</definedName>
    <definedName name="SWISSRML">Materials!$C$40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F1648" i="1" l="1"/>
  <c r="AR1648" i="1"/>
  <c r="AQ1648" i="1"/>
  <c r="AN1648" i="1"/>
  <c r="AM1648" i="1"/>
  <c r="AL1648" i="1" s="1"/>
  <c r="AI1648" i="1"/>
  <c r="AH1648" i="1"/>
  <c r="AE1648" i="1"/>
  <c r="W1648" i="1"/>
  <c r="V1648" i="1"/>
  <c r="AA1648" i="1" s="1"/>
  <c r="AB1648" i="1" l="1"/>
  <c r="AD1648" i="1"/>
  <c r="AF562" i="1" l="1"/>
  <c r="AU562" i="1"/>
  <c r="AN562" i="1"/>
  <c r="AM562" i="1"/>
  <c r="AL562" i="1" s="1"/>
  <c r="AH562" i="1"/>
  <c r="AE562" i="1"/>
  <c r="W562" i="1"/>
  <c r="V562" i="1"/>
  <c r="AE12" i="1"/>
  <c r="AF1449" i="1"/>
  <c r="AQ1449" i="1"/>
  <c r="AU1449" i="1" s="1"/>
  <c r="AR1449" i="1"/>
  <c r="AM1449" i="1"/>
  <c r="AL1449" i="1" s="1"/>
  <c r="AN1449" i="1"/>
  <c r="AH1449" i="1"/>
  <c r="V1449" i="1"/>
  <c r="W1449" i="1"/>
  <c r="AE1449" i="1"/>
  <c r="AF839" i="1"/>
  <c r="AU839" i="1"/>
  <c r="AN839" i="1"/>
  <c r="AM839" i="1"/>
  <c r="AL839" i="1" s="1"/>
  <c r="AH839" i="1"/>
  <c r="AE839" i="1"/>
  <c r="W839" i="1"/>
  <c r="V839" i="1"/>
  <c r="AF2319" i="1"/>
  <c r="AA562" i="1" l="1"/>
  <c r="AB562" i="1"/>
  <c r="AA1449" i="1"/>
  <c r="AB1449" i="1" s="1"/>
  <c r="AA839" i="1"/>
  <c r="AB839" i="1" s="1"/>
  <c r="AU2319" i="1"/>
  <c r="AN2319" i="1"/>
  <c r="AM2319" i="1"/>
  <c r="AL2319" i="1" s="1"/>
  <c r="AH2319" i="1"/>
  <c r="AE2319" i="1"/>
  <c r="W2319" i="1"/>
  <c r="V2319" i="1"/>
  <c r="AF561" i="1"/>
  <c r="AU561" i="1"/>
  <c r="AN561" i="1"/>
  <c r="AM561" i="1"/>
  <c r="AL561" i="1" s="1"/>
  <c r="AH561" i="1"/>
  <c r="AE561" i="1"/>
  <c r="W561" i="1"/>
  <c r="V561" i="1"/>
  <c r="AF560" i="1"/>
  <c r="AU560" i="1"/>
  <c r="AN560" i="1"/>
  <c r="AM560" i="1"/>
  <c r="AL560" i="1" s="1"/>
  <c r="AH560" i="1"/>
  <c r="AE560" i="1"/>
  <c r="W560" i="1"/>
  <c r="V560" i="1"/>
  <c r="AF565" i="1"/>
  <c r="AR565" i="1"/>
  <c r="AQ565" i="1"/>
  <c r="AU565" i="1" s="1"/>
  <c r="AN565" i="1"/>
  <c r="AM565" i="1"/>
  <c r="AL565" i="1" s="1"/>
  <c r="AH565" i="1"/>
  <c r="AE565" i="1"/>
  <c r="W565" i="1"/>
  <c r="V565" i="1"/>
  <c r="AD1449" i="1" l="1"/>
  <c r="AA2319" i="1"/>
  <c r="AB2319" i="1" s="1"/>
  <c r="AA560" i="1"/>
  <c r="AA561" i="1"/>
  <c r="AA565" i="1"/>
  <c r="AB565" i="1" s="1"/>
  <c r="AB560" i="1" l="1"/>
  <c r="AB561" i="1"/>
  <c r="AF1969" i="1" l="1"/>
  <c r="AR1969" i="1"/>
  <c r="AQ1969" i="1"/>
  <c r="AU1969" i="1" s="1"/>
  <c r="AN1969" i="1"/>
  <c r="AM1969" i="1"/>
  <c r="AL1969" i="1" s="1"/>
  <c r="AH1969" i="1"/>
  <c r="AE1969" i="1"/>
  <c r="W1969" i="1"/>
  <c r="V1969" i="1"/>
  <c r="AQ2437" i="1"/>
  <c r="AU2437" i="1" s="1"/>
  <c r="AR2437" i="1"/>
  <c r="AS2437" i="1" a="1"/>
  <c r="AS2437" i="1" s="1"/>
  <c r="AT2437" i="1" s="1"/>
  <c r="AN2436" i="1"/>
  <c r="AM2436" i="1"/>
  <c r="AL2436" i="1" s="1"/>
  <c r="AH2436" i="1"/>
  <c r="AF2436" i="1"/>
  <c r="AE2436" i="1"/>
  <c r="W2436" i="1"/>
  <c r="V2436" i="1"/>
  <c r="AM2558" i="1"/>
  <c r="AL2558" i="1" s="1"/>
  <c r="AH2558" i="1"/>
  <c r="AM2557" i="1"/>
  <c r="AL2557" i="1" s="1"/>
  <c r="AH2557" i="1"/>
  <c r="AF2558" i="1"/>
  <c r="AF2557" i="1"/>
  <c r="AE2558" i="1"/>
  <c r="AE2557" i="1"/>
  <c r="W2558" i="1"/>
  <c r="V2558" i="1"/>
  <c r="W2557" i="1"/>
  <c r="V2557" i="1"/>
  <c r="AQ2558" i="1"/>
  <c r="AU2558" i="1" s="1"/>
  <c r="AR2558" i="1"/>
  <c r="AQ2576" i="1"/>
  <c r="AU2576" i="1" s="1"/>
  <c r="AR2576" i="1"/>
  <c r="AS2576" i="1" a="1"/>
  <c r="AS2576" i="1" s="1"/>
  <c r="AT2576" i="1" s="1"/>
  <c r="AN2410" i="1"/>
  <c r="AM2410" i="1"/>
  <c r="AL2410" i="1" s="1"/>
  <c r="AH2410" i="1"/>
  <c r="AN2409" i="1"/>
  <c r="AM2409" i="1"/>
  <c r="AL2409" i="1" s="1"/>
  <c r="AH2409" i="1"/>
  <c r="AF2410" i="1"/>
  <c r="AF2409" i="1"/>
  <c r="AE2410" i="1"/>
  <c r="AE2409" i="1"/>
  <c r="W2410" i="1"/>
  <c r="V2410" i="1"/>
  <c r="W2409" i="1"/>
  <c r="V2409" i="1"/>
  <c r="AQ2410" i="1"/>
  <c r="AU2410" i="1" s="1"/>
  <c r="AR2410" i="1"/>
  <c r="AN2174" i="1"/>
  <c r="AM2174" i="1"/>
  <c r="AL2174" i="1" s="1"/>
  <c r="AH2174" i="1"/>
  <c r="AN2173" i="1"/>
  <c r="AM2173" i="1"/>
  <c r="AL2173" i="1" s="1"/>
  <c r="AH2173" i="1"/>
  <c r="AF2174" i="1"/>
  <c r="AF2173" i="1"/>
  <c r="AE2174" i="1"/>
  <c r="AE2173" i="1"/>
  <c r="W2174" i="1"/>
  <c r="V2174" i="1"/>
  <c r="W2173" i="1"/>
  <c r="V2173" i="1"/>
  <c r="AQ2174" i="1"/>
  <c r="AU2174" i="1" s="1"/>
  <c r="AR2174" i="1"/>
  <c r="AN1605" i="1"/>
  <c r="AM1605" i="1"/>
  <c r="AL1605" i="1" s="1"/>
  <c r="AH1605" i="1"/>
  <c r="AN1604" i="1"/>
  <c r="AM1604" i="1"/>
  <c r="AL1604" i="1" s="1"/>
  <c r="AH1604" i="1"/>
  <c r="AN1603" i="1"/>
  <c r="AM1603" i="1"/>
  <c r="AL1603" i="1" s="1"/>
  <c r="AH1603" i="1"/>
  <c r="AN1602" i="1"/>
  <c r="AM1602" i="1"/>
  <c r="AL1602" i="1" s="1"/>
  <c r="AH1602" i="1"/>
  <c r="AF1605" i="1"/>
  <c r="AF1604" i="1"/>
  <c r="AF1603" i="1"/>
  <c r="AF1602" i="1"/>
  <c r="AE1605" i="1"/>
  <c r="AE1604" i="1"/>
  <c r="AE1603" i="1"/>
  <c r="AE1602" i="1"/>
  <c r="W1605" i="1"/>
  <c r="V1605" i="1"/>
  <c r="W1604" i="1"/>
  <c r="V1604" i="1"/>
  <c r="W1603" i="1"/>
  <c r="V1603" i="1"/>
  <c r="W1602" i="1"/>
  <c r="V1602" i="1"/>
  <c r="AQ1605" i="1"/>
  <c r="AU1605" i="1" s="1"/>
  <c r="AR1605" i="1"/>
  <c r="AQ1603" i="1"/>
  <c r="AU1603" i="1" s="1"/>
  <c r="AR1603" i="1"/>
  <c r="AN1272" i="1"/>
  <c r="AM1272" i="1"/>
  <c r="AL1272" i="1" s="1"/>
  <c r="AH1272" i="1"/>
  <c r="AN1271" i="1"/>
  <c r="AM1271" i="1"/>
  <c r="AL1271" i="1" s="1"/>
  <c r="AH1271" i="1"/>
  <c r="AN1270" i="1"/>
  <c r="AM1270" i="1"/>
  <c r="AL1270" i="1" s="1"/>
  <c r="AH1270" i="1"/>
  <c r="AN1269" i="1"/>
  <c r="AM1269" i="1"/>
  <c r="AL1269" i="1" s="1"/>
  <c r="AH1269" i="1"/>
  <c r="AF1272" i="1"/>
  <c r="AF1271" i="1"/>
  <c r="AF1270" i="1"/>
  <c r="AF1269" i="1"/>
  <c r="AE1272" i="1"/>
  <c r="AE1271" i="1"/>
  <c r="AE1270" i="1"/>
  <c r="AE1269" i="1"/>
  <c r="W1272" i="1"/>
  <c r="V1272" i="1"/>
  <c r="W1271" i="1"/>
  <c r="V1271" i="1"/>
  <c r="W1270" i="1"/>
  <c r="V1270" i="1"/>
  <c r="W1269" i="1"/>
  <c r="V1269" i="1"/>
  <c r="AQ1272" i="1"/>
  <c r="AU1272" i="1" s="1"/>
  <c r="AR1272" i="1"/>
  <c r="AQ1270" i="1"/>
  <c r="AU1270" i="1" s="1"/>
  <c r="AR1270" i="1"/>
  <c r="AN1258" i="1"/>
  <c r="AM1258" i="1"/>
  <c r="AL1258" i="1" s="1"/>
  <c r="AH1258" i="1"/>
  <c r="AN1257" i="1"/>
  <c r="AM1257" i="1"/>
  <c r="AL1257" i="1" s="1"/>
  <c r="AH1257" i="1"/>
  <c r="AN1256" i="1"/>
  <c r="AM1256" i="1"/>
  <c r="AL1256" i="1" s="1"/>
  <c r="AH1256" i="1"/>
  <c r="AN1255" i="1"/>
  <c r="AM1255" i="1"/>
  <c r="AL1255" i="1" s="1"/>
  <c r="AH1255" i="1"/>
  <c r="AN1254" i="1"/>
  <c r="AM1254" i="1"/>
  <c r="AL1254" i="1" s="1"/>
  <c r="AH1254" i="1"/>
  <c r="AN1253" i="1"/>
  <c r="AM1253" i="1"/>
  <c r="AL1253" i="1" s="1"/>
  <c r="AH1253" i="1"/>
  <c r="AN1252" i="1"/>
  <c r="AM1252" i="1"/>
  <c r="AL1252" i="1" s="1"/>
  <c r="AH1252" i="1"/>
  <c r="AN1251" i="1"/>
  <c r="AM1251" i="1"/>
  <c r="AL1251" i="1" s="1"/>
  <c r="AH1251" i="1"/>
  <c r="AN1250" i="1"/>
  <c r="AM1250" i="1"/>
  <c r="AL1250" i="1" s="1"/>
  <c r="AH1250" i="1"/>
  <c r="AN1249" i="1"/>
  <c r="AM1249" i="1"/>
  <c r="AL1249" i="1" s="1"/>
  <c r="AH1249" i="1"/>
  <c r="AN1248" i="1"/>
  <c r="AM1248" i="1"/>
  <c r="AL1248" i="1" s="1"/>
  <c r="AH1248" i="1"/>
  <c r="AN1247" i="1"/>
  <c r="AM1247" i="1"/>
  <c r="AL1247" i="1" s="1"/>
  <c r="AH1247" i="1"/>
  <c r="AF1258" i="1"/>
  <c r="AF1256" i="1"/>
  <c r="AF1254" i="1"/>
  <c r="AF1252" i="1"/>
  <c r="AF1250" i="1"/>
  <c r="AF1257" i="1"/>
  <c r="AF1255" i="1"/>
  <c r="AF1253" i="1"/>
  <c r="AF1251" i="1"/>
  <c r="AF1249" i="1"/>
  <c r="AF1248" i="1"/>
  <c r="AF1247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W1258" i="1"/>
  <c r="V1258" i="1"/>
  <c r="W1257" i="1"/>
  <c r="V1257" i="1"/>
  <c r="W1256" i="1"/>
  <c r="V1256" i="1"/>
  <c r="W1255" i="1"/>
  <c r="V1255" i="1"/>
  <c r="W1254" i="1"/>
  <c r="V1254" i="1"/>
  <c r="W1253" i="1"/>
  <c r="V1253" i="1"/>
  <c r="W1252" i="1"/>
  <c r="V1252" i="1"/>
  <c r="W1251" i="1"/>
  <c r="V1251" i="1"/>
  <c r="W1250" i="1"/>
  <c r="V1250" i="1"/>
  <c r="W1249" i="1"/>
  <c r="V1249" i="1"/>
  <c r="W1248" i="1"/>
  <c r="V1248" i="1"/>
  <c r="W1247" i="1"/>
  <c r="V1247" i="1"/>
  <c r="AQ1258" i="1"/>
  <c r="AU1258" i="1" s="1"/>
  <c r="AR1258" i="1"/>
  <c r="AQ1256" i="1"/>
  <c r="AU1256" i="1" s="1"/>
  <c r="AR1256" i="1"/>
  <c r="AQ1254" i="1"/>
  <c r="AU1254" i="1" s="1"/>
  <c r="AR1254" i="1"/>
  <c r="AQ1252" i="1"/>
  <c r="AU1252" i="1" s="1"/>
  <c r="AR1252" i="1"/>
  <c r="AQ1250" i="1"/>
  <c r="AU1250" i="1" s="1"/>
  <c r="AR1250" i="1"/>
  <c r="AQ1248" i="1"/>
  <c r="AU1248" i="1" s="1"/>
  <c r="AR1248" i="1"/>
  <c r="AN1156" i="1"/>
  <c r="AM1156" i="1"/>
  <c r="AL1156" i="1" s="1"/>
  <c r="AH1156" i="1"/>
  <c r="AN1155" i="1"/>
  <c r="AM1155" i="1"/>
  <c r="AL1155" i="1" s="1"/>
  <c r="AH1155" i="1"/>
  <c r="AN1154" i="1"/>
  <c r="AM1154" i="1"/>
  <c r="AL1154" i="1" s="1"/>
  <c r="AH1154" i="1"/>
  <c r="AN1153" i="1"/>
  <c r="AM1153" i="1"/>
  <c r="AL1153" i="1" s="1"/>
  <c r="AH1153" i="1"/>
  <c r="AF1156" i="1"/>
  <c r="AF1154" i="1"/>
  <c r="AF1155" i="1"/>
  <c r="AF1153" i="1"/>
  <c r="AE1156" i="1"/>
  <c r="AE1155" i="1"/>
  <c r="AE1154" i="1"/>
  <c r="AE1153" i="1"/>
  <c r="W1156" i="1"/>
  <c r="V1156" i="1"/>
  <c r="W1155" i="1"/>
  <c r="V1155" i="1"/>
  <c r="W1154" i="1"/>
  <c r="V1154" i="1"/>
  <c r="W1153" i="1"/>
  <c r="V1153" i="1"/>
  <c r="AQ1156" i="1"/>
  <c r="AU1156" i="1" s="1"/>
  <c r="AR1156" i="1"/>
  <c r="AQ1154" i="1"/>
  <c r="AU1154" i="1" s="1"/>
  <c r="AR1154" i="1"/>
  <c r="AN910" i="1"/>
  <c r="AM910" i="1"/>
  <c r="AL910" i="1" s="1"/>
  <c r="AH910" i="1"/>
  <c r="AN909" i="1"/>
  <c r="AM909" i="1"/>
  <c r="AL909" i="1" s="1"/>
  <c r="AH909" i="1"/>
  <c r="AF910" i="1"/>
  <c r="AF909" i="1"/>
  <c r="AE910" i="1"/>
  <c r="AE909" i="1"/>
  <c r="W910" i="1"/>
  <c r="V910" i="1"/>
  <c r="W909" i="1"/>
  <c r="V909" i="1"/>
  <c r="AQ910" i="1"/>
  <c r="AU910" i="1" s="1"/>
  <c r="AR910" i="1"/>
  <c r="AN689" i="1"/>
  <c r="AM689" i="1"/>
  <c r="AL689" i="1" s="1"/>
  <c r="AH689" i="1"/>
  <c r="AN688" i="1"/>
  <c r="AM688" i="1"/>
  <c r="AL688" i="1" s="1"/>
  <c r="AH688" i="1"/>
  <c r="AF689" i="1"/>
  <c r="AF688" i="1"/>
  <c r="AE689" i="1"/>
  <c r="AE688" i="1"/>
  <c r="W689" i="1"/>
  <c r="V689" i="1"/>
  <c r="W688" i="1"/>
  <c r="V688" i="1"/>
  <c r="AQ689" i="1"/>
  <c r="AU689" i="1" s="1"/>
  <c r="AR689" i="1"/>
  <c r="AN683" i="1"/>
  <c r="AM683" i="1"/>
  <c r="AL683" i="1" s="1"/>
  <c r="AH683" i="1"/>
  <c r="AN682" i="1"/>
  <c r="AM682" i="1"/>
  <c r="AL682" i="1" s="1"/>
  <c r="AH682" i="1"/>
  <c r="AF683" i="1"/>
  <c r="AF682" i="1"/>
  <c r="AE683" i="1"/>
  <c r="AE682" i="1"/>
  <c r="W683" i="1"/>
  <c r="V683" i="1"/>
  <c r="W682" i="1"/>
  <c r="V682" i="1"/>
  <c r="AQ683" i="1"/>
  <c r="AU683" i="1" s="1"/>
  <c r="AR683" i="1"/>
  <c r="AN533" i="1"/>
  <c r="AM533" i="1"/>
  <c r="AL533" i="1" s="1"/>
  <c r="AH533" i="1"/>
  <c r="AN532" i="1"/>
  <c r="AM532" i="1"/>
  <c r="AL532" i="1" s="1"/>
  <c r="AH532" i="1"/>
  <c r="AF533" i="1"/>
  <c r="AF532" i="1"/>
  <c r="AE533" i="1"/>
  <c r="AE532" i="1"/>
  <c r="W533" i="1"/>
  <c r="V533" i="1"/>
  <c r="W532" i="1"/>
  <c r="V532" i="1"/>
  <c r="AQ533" i="1"/>
  <c r="AU533" i="1" s="1"/>
  <c r="AR533" i="1"/>
  <c r="AM484" i="1"/>
  <c r="AL484" i="1" s="1"/>
  <c r="AH484" i="1"/>
  <c r="AF484" i="1"/>
  <c r="W484" i="1"/>
  <c r="V484" i="1"/>
  <c r="AM483" i="1"/>
  <c r="AL483" i="1" s="1"/>
  <c r="AH483" i="1"/>
  <c r="AF483" i="1"/>
  <c r="AE484" i="1"/>
  <c r="AE483" i="1"/>
  <c r="W483" i="1"/>
  <c r="V483" i="1"/>
  <c r="AQ484" i="1"/>
  <c r="AU484" i="1" s="1"/>
  <c r="AR484" i="1"/>
  <c r="AN272" i="1"/>
  <c r="AM272" i="1"/>
  <c r="AL272" i="1" s="1"/>
  <c r="AH272" i="1"/>
  <c r="AF272" i="1"/>
  <c r="AE272" i="1"/>
  <c r="AN271" i="1"/>
  <c r="AM271" i="1"/>
  <c r="AL271" i="1" s="1"/>
  <c r="AH271" i="1"/>
  <c r="AA1969" i="1" l="1"/>
  <c r="AA2436" i="1"/>
  <c r="AB2436" i="1" s="1"/>
  <c r="AA2558" i="1"/>
  <c r="AB2558" i="1" s="1"/>
  <c r="AA2557" i="1"/>
  <c r="AB2557" i="1" s="1"/>
  <c r="AA1269" i="1"/>
  <c r="AA1271" i="1"/>
  <c r="AA2410" i="1"/>
  <c r="AA1604" i="1"/>
  <c r="AA1603" i="1"/>
  <c r="AB1603" i="1" s="1"/>
  <c r="AA1605" i="1"/>
  <c r="AA2173" i="1"/>
  <c r="AA2409" i="1"/>
  <c r="AA2174" i="1"/>
  <c r="AA1602" i="1"/>
  <c r="AA1270" i="1"/>
  <c r="AA1272" i="1"/>
  <c r="AA1248" i="1"/>
  <c r="AA1250" i="1"/>
  <c r="AA1252" i="1"/>
  <c r="AB1252" i="1" s="1"/>
  <c r="AA1254" i="1"/>
  <c r="AA1256" i="1"/>
  <c r="AA1258" i="1"/>
  <c r="AA1247" i="1"/>
  <c r="AA1249" i="1"/>
  <c r="AA1251" i="1"/>
  <c r="AA1253" i="1"/>
  <c r="AB1253" i="1" s="1"/>
  <c r="AA1255" i="1"/>
  <c r="AA1257" i="1"/>
  <c r="AA483" i="1"/>
  <c r="AA1154" i="1"/>
  <c r="AA1156" i="1"/>
  <c r="AB1156" i="1" s="1"/>
  <c r="AA1153" i="1"/>
  <c r="AA1155" i="1"/>
  <c r="AB1155" i="1" s="1"/>
  <c r="AA910" i="1"/>
  <c r="AA688" i="1"/>
  <c r="AB688" i="1" s="1"/>
  <c r="AA909" i="1"/>
  <c r="AA532" i="1"/>
  <c r="AA533" i="1"/>
  <c r="AA689" i="1"/>
  <c r="AB689" i="1" s="1"/>
  <c r="AA683" i="1"/>
  <c r="AA484" i="1"/>
  <c r="AA682" i="1"/>
  <c r="AB1969" i="1" l="1"/>
  <c r="AB2173" i="1"/>
  <c r="AB2410" i="1"/>
  <c r="AB1604" i="1"/>
  <c r="AB2174" i="1"/>
  <c r="AB1271" i="1"/>
  <c r="AB1605" i="1"/>
  <c r="AB2409" i="1"/>
  <c r="AB1258" i="1"/>
  <c r="AB1269" i="1"/>
  <c r="AB1602" i="1"/>
  <c r="AB1255" i="1"/>
  <c r="AB1250" i="1"/>
  <c r="AB1272" i="1"/>
  <c r="AB1270" i="1"/>
  <c r="AB1249" i="1"/>
  <c r="AB1256" i="1"/>
  <c r="AB1251" i="1"/>
  <c r="AB483" i="1"/>
  <c r="AB1248" i="1"/>
  <c r="AB484" i="1"/>
  <c r="AB1247" i="1"/>
  <c r="AB1257" i="1"/>
  <c r="AB1153" i="1"/>
  <c r="AB1254" i="1"/>
  <c r="AB1154" i="1"/>
  <c r="AB910" i="1"/>
  <c r="AB532" i="1"/>
  <c r="AB909" i="1"/>
  <c r="AB533" i="1"/>
  <c r="AB683" i="1"/>
  <c r="AB682" i="1"/>
  <c r="AF271" i="1" l="1"/>
  <c r="AE271" i="1"/>
  <c r="W272" i="1"/>
  <c r="V272" i="1"/>
  <c r="W271" i="1"/>
  <c r="V271" i="1"/>
  <c r="AQ272" i="1"/>
  <c r="AU272" i="1" s="1"/>
  <c r="AR272" i="1"/>
  <c r="AN99" i="1"/>
  <c r="AM99" i="1"/>
  <c r="AL99" i="1" s="1"/>
  <c r="AH99" i="1"/>
  <c r="AF99" i="1"/>
  <c r="AE99" i="1"/>
  <c r="W99" i="1"/>
  <c r="V99" i="1"/>
  <c r="AQ99" i="1"/>
  <c r="AU99" i="1" s="1"/>
  <c r="AR99" i="1"/>
  <c r="AN100" i="1"/>
  <c r="AM100" i="1"/>
  <c r="AL100" i="1" s="1"/>
  <c r="AH100" i="1"/>
  <c r="AF100" i="1"/>
  <c r="AE100" i="1"/>
  <c r="W100" i="1"/>
  <c r="V100" i="1"/>
  <c r="AN98" i="1"/>
  <c r="AM98" i="1"/>
  <c r="AL98" i="1" s="1"/>
  <c r="AH98" i="1"/>
  <c r="AF98" i="1"/>
  <c r="AA271" i="1" l="1"/>
  <c r="AA99" i="1"/>
  <c r="AB99" i="1" s="1"/>
  <c r="AB271" i="1"/>
  <c r="AA272" i="1"/>
  <c r="AA100" i="1"/>
  <c r="AB100" i="1" l="1"/>
  <c r="AB272" i="1"/>
  <c r="AE98" i="1"/>
  <c r="W98" i="1"/>
  <c r="V98" i="1"/>
  <c r="AA98" i="1" l="1"/>
  <c r="AQ1157" i="1"/>
  <c r="AU1157" i="1" s="1"/>
  <c r="AR1157" i="1"/>
  <c r="AS1157" i="1" a="1"/>
  <c r="AS1157" i="1" s="1"/>
  <c r="AT1157" i="1" s="1"/>
  <c r="AB98" i="1" l="1"/>
  <c r="AQ1247" i="1"/>
  <c r="AU1247" i="1" s="1"/>
  <c r="AQ1249" i="1"/>
  <c r="AU1249" i="1" s="1"/>
  <c r="AQ1251" i="1"/>
  <c r="AU1251" i="1" s="1"/>
  <c r="AQ1253" i="1"/>
  <c r="AU1253" i="1" s="1"/>
  <c r="AQ1255" i="1"/>
  <c r="AU1255" i="1" s="1"/>
  <c r="AQ1257" i="1"/>
  <c r="AU1257" i="1" s="1"/>
  <c r="AR1247" i="1"/>
  <c r="AR1249" i="1"/>
  <c r="AR1251" i="1"/>
  <c r="AR1253" i="1"/>
  <c r="AR1255" i="1"/>
  <c r="AR1257" i="1"/>
  <c r="AQ2436" i="1"/>
  <c r="AU2436" i="1" s="1"/>
  <c r="AR2436" i="1"/>
  <c r="AR1604" i="1"/>
  <c r="AQ1604" i="1"/>
  <c r="AU1604" i="1" s="1"/>
  <c r="AQ1602" i="1"/>
  <c r="AU1602" i="1" s="1"/>
  <c r="AR1602" i="1"/>
  <c r="AQ682" i="1"/>
  <c r="AU682" i="1" s="1"/>
  <c r="AR682" i="1"/>
  <c r="AQ688" i="1"/>
  <c r="AU688" i="1" s="1"/>
  <c r="AR688" i="1"/>
  <c r="AQ909" i="1"/>
  <c r="AU909" i="1" s="1"/>
  <c r="AR909" i="1"/>
  <c r="AR1153" i="1"/>
  <c r="AQ1153" i="1"/>
  <c r="AU1153" i="1" s="1"/>
  <c r="AQ532" i="1"/>
  <c r="AU532" i="1" s="1"/>
  <c r="AR532" i="1"/>
  <c r="AQ1155" i="1"/>
  <c r="AU1155" i="1" s="1"/>
  <c r="AR1155" i="1"/>
  <c r="AQ2173" i="1"/>
  <c r="AU2173" i="1" s="1"/>
  <c r="AR2173" i="1"/>
  <c r="AQ2409" i="1"/>
  <c r="AU2409" i="1" s="1"/>
  <c r="AR2409" i="1"/>
  <c r="AQ2557" i="1"/>
  <c r="AU2557" i="1" s="1"/>
  <c r="AR2557" i="1"/>
  <c r="AQ483" i="1"/>
  <c r="AU483" i="1" s="1"/>
  <c r="AR483" i="1"/>
  <c r="AQ98" i="1"/>
  <c r="AU98" i="1" s="1"/>
  <c r="AQ100" i="1"/>
  <c r="AU100" i="1" s="1"/>
  <c r="AR98" i="1"/>
  <c r="AR100" i="1"/>
  <c r="AQ1269" i="1"/>
  <c r="AU1269" i="1" s="1"/>
  <c r="AQ1271" i="1"/>
  <c r="AU1271" i="1" s="1"/>
  <c r="AR1269" i="1"/>
  <c r="AR1271" i="1"/>
  <c r="AQ271" i="1"/>
  <c r="AU271" i="1" s="1"/>
  <c r="AR271" i="1"/>
  <c r="AN2087" i="1" l="1"/>
  <c r="AM2087" i="1"/>
  <c r="AL2087" i="1" s="1"/>
  <c r="AH2087" i="1"/>
  <c r="AF2087" i="1"/>
  <c r="AE2087" i="1"/>
  <c r="W2087" i="1"/>
  <c r="V2087" i="1"/>
  <c r="AQ2087" i="1"/>
  <c r="AU2087" i="1" s="1"/>
  <c r="AR2087" i="1"/>
  <c r="AA2087" i="1" l="1"/>
  <c r="AD2087" i="1" s="1"/>
  <c r="AQ1618" i="1"/>
  <c r="AU1618" i="1" s="1"/>
  <c r="AR1618" i="1"/>
  <c r="AS1618" i="1" a="1"/>
  <c r="AS1618" i="1" s="1"/>
  <c r="AT1618" i="1" s="1"/>
  <c r="AM1681" i="1"/>
  <c r="AL1681" i="1" s="1"/>
  <c r="AH1681" i="1"/>
  <c r="AB2087" i="1" l="1"/>
  <c r="AF1681" i="1"/>
  <c r="AE1681" i="1"/>
  <c r="W1680" i="1"/>
  <c r="V1680" i="1"/>
  <c r="W1679" i="1"/>
  <c r="V1679" i="1"/>
  <c r="W1678" i="1"/>
  <c r="V1678" i="1"/>
  <c r="W1675" i="1"/>
  <c r="V1675" i="1"/>
  <c r="W1677" i="1"/>
  <c r="V1677" i="1"/>
  <c r="W1676" i="1"/>
  <c r="V1676" i="1"/>
  <c r="W1681" i="1"/>
  <c r="V1681" i="1"/>
  <c r="AQ1681" i="1"/>
  <c r="AU1681" i="1" s="1"/>
  <c r="AR1681" i="1"/>
  <c r="AQ2577" i="1"/>
  <c r="AU2577" i="1" s="1"/>
  <c r="AR2577" i="1"/>
  <c r="AS2577" i="1" a="1"/>
  <c r="AS2577" i="1" s="1"/>
  <c r="AT2577" i="1" s="1"/>
  <c r="AN866" i="1"/>
  <c r="AM866" i="1"/>
  <c r="AL866" i="1" s="1"/>
  <c r="AH866" i="1"/>
  <c r="AF866" i="1"/>
  <c r="AE866" i="1"/>
  <c r="W866" i="1"/>
  <c r="V866" i="1"/>
  <c r="AQ866" i="1"/>
  <c r="AU866" i="1" s="1"/>
  <c r="AR866" i="1"/>
  <c r="AN1993" i="1"/>
  <c r="AM1993" i="1"/>
  <c r="AL1993" i="1" s="1"/>
  <c r="AH1993" i="1"/>
  <c r="AN1992" i="1"/>
  <c r="AM1992" i="1"/>
  <c r="AL1992" i="1" s="1"/>
  <c r="AH1992" i="1"/>
  <c r="AF1993" i="1"/>
  <c r="AF1992" i="1"/>
  <c r="AE1993" i="1"/>
  <c r="AE1992" i="1"/>
  <c r="W1993" i="1"/>
  <c r="V1993" i="1"/>
  <c r="W1992" i="1"/>
  <c r="V1992" i="1"/>
  <c r="AQ1992" i="1"/>
  <c r="AU1992" i="1" s="1"/>
  <c r="AQ1993" i="1"/>
  <c r="AU1993" i="1" s="1"/>
  <c r="AR1992" i="1"/>
  <c r="AR1993" i="1"/>
  <c r="AN1988" i="1"/>
  <c r="AM1988" i="1"/>
  <c r="AL1988" i="1" s="1"/>
  <c r="AH1988" i="1"/>
  <c r="AN1987" i="1"/>
  <c r="AM1987" i="1"/>
  <c r="AL1987" i="1" s="1"/>
  <c r="AH1987" i="1"/>
  <c r="AF1988" i="1"/>
  <c r="AA1993" i="1" l="1"/>
  <c r="AD1993" i="1" s="1"/>
  <c r="AA1681" i="1"/>
  <c r="AA866" i="1"/>
  <c r="AB866" i="1" s="1"/>
  <c r="AD866" i="1" s="1"/>
  <c r="AA1992" i="1"/>
  <c r="AB1992" i="1" s="1"/>
  <c r="AB1993" i="1" l="1"/>
  <c r="AB1681" i="1"/>
  <c r="AD1992" i="1"/>
  <c r="AF1987" i="1" l="1"/>
  <c r="AE1988" i="1"/>
  <c r="AE1987" i="1"/>
  <c r="W1988" i="1"/>
  <c r="V1988" i="1"/>
  <c r="W1987" i="1"/>
  <c r="V1987" i="1"/>
  <c r="AA1987" i="1" l="1"/>
  <c r="AB1987" i="1" s="1"/>
  <c r="AA1988" i="1"/>
  <c r="AD1988" i="1" s="1"/>
  <c r="AQ1987" i="1"/>
  <c r="AU1987" i="1" s="1"/>
  <c r="AQ1988" i="1"/>
  <c r="AU1988" i="1" s="1"/>
  <c r="AR1987" i="1"/>
  <c r="AR1988" i="1"/>
  <c r="AN1986" i="1"/>
  <c r="AM1986" i="1"/>
  <c r="AL1986" i="1" s="1"/>
  <c r="AH1986" i="1"/>
  <c r="AF1986" i="1"/>
  <c r="AE1986" i="1"/>
  <c r="W1986" i="1"/>
  <c r="V1986" i="1"/>
  <c r="AQ1986" i="1"/>
  <c r="AU1986" i="1" s="1"/>
  <c r="AR1986" i="1"/>
  <c r="AF1355" i="1"/>
  <c r="AN1355" i="1"/>
  <c r="AM1355" i="1"/>
  <c r="AL1355" i="1" s="1"/>
  <c r="AH1355" i="1"/>
  <c r="AN1354" i="1"/>
  <c r="AM1354" i="1"/>
  <c r="AL1354" i="1" s="1"/>
  <c r="AH1354" i="1"/>
  <c r="AF1354" i="1"/>
  <c r="AE1355" i="1"/>
  <c r="AE1354" i="1"/>
  <c r="W1355" i="1"/>
  <c r="V1355" i="1"/>
  <c r="W1354" i="1"/>
  <c r="V1354" i="1"/>
  <c r="AQ1354" i="1"/>
  <c r="AU1354" i="1" s="1"/>
  <c r="AQ1355" i="1"/>
  <c r="AU1355" i="1" s="1"/>
  <c r="AR1354" i="1"/>
  <c r="AR1355" i="1"/>
  <c r="AF420" i="1"/>
  <c r="AF419" i="1"/>
  <c r="AF418" i="1"/>
  <c r="AN420" i="1"/>
  <c r="AM420" i="1"/>
  <c r="AL420" i="1" s="1"/>
  <c r="AH420" i="1"/>
  <c r="AN419" i="1"/>
  <c r="AM419" i="1"/>
  <c r="AL419" i="1" s="1"/>
  <c r="AH419" i="1"/>
  <c r="AN418" i="1"/>
  <c r="AM418" i="1"/>
  <c r="AL418" i="1" s="1"/>
  <c r="AH418" i="1"/>
  <c r="AE420" i="1"/>
  <c r="AE419" i="1"/>
  <c r="AE418" i="1"/>
  <c r="W420" i="1"/>
  <c r="V420" i="1"/>
  <c r="W419" i="1"/>
  <c r="V419" i="1"/>
  <c r="W418" i="1"/>
  <c r="V418" i="1"/>
  <c r="AQ418" i="1"/>
  <c r="AU418" i="1" s="1"/>
  <c r="AQ419" i="1"/>
  <c r="AU419" i="1" s="1"/>
  <c r="AR418" i="1"/>
  <c r="AR419" i="1"/>
  <c r="AQ420" i="1"/>
  <c r="AU420" i="1" s="1"/>
  <c r="AR420" i="1"/>
  <c r="AF601" i="1"/>
  <c r="AF602" i="1"/>
  <c r="AF603" i="1"/>
  <c r="AN603" i="1"/>
  <c r="AM603" i="1"/>
  <c r="AL603" i="1" s="1"/>
  <c r="AH603" i="1"/>
  <c r="AN602" i="1"/>
  <c r="AM602" i="1"/>
  <c r="AL602" i="1" s="1"/>
  <c r="AH602" i="1"/>
  <c r="AN601" i="1"/>
  <c r="AM601" i="1"/>
  <c r="AL601" i="1" s="1"/>
  <c r="AH601" i="1"/>
  <c r="W603" i="1"/>
  <c r="V603" i="1"/>
  <c r="W602" i="1"/>
  <c r="V602" i="1"/>
  <c r="AE603" i="1"/>
  <c r="AE602" i="1"/>
  <c r="AE601" i="1"/>
  <c r="W601" i="1"/>
  <c r="V601" i="1"/>
  <c r="AQ601" i="1"/>
  <c r="AU601" i="1" s="1"/>
  <c r="AQ602" i="1"/>
  <c r="AU602" i="1" s="1"/>
  <c r="AQ603" i="1"/>
  <c r="AU603" i="1" s="1"/>
  <c r="AR601" i="1"/>
  <c r="AR602" i="1"/>
  <c r="AR603" i="1"/>
  <c r="AQ2125" i="1"/>
  <c r="AU2125" i="1" s="1"/>
  <c r="AQ2126" i="1"/>
  <c r="AU2126" i="1" s="1"/>
  <c r="AR2125" i="1"/>
  <c r="AR2126" i="1"/>
  <c r="AS2125" i="1" a="1"/>
  <c r="AS2125" i="1" s="1"/>
  <c r="AT2125" i="1" s="1"/>
  <c r="AS2126" i="1" a="1"/>
  <c r="AS2126" i="1" s="1"/>
  <c r="AT2126" i="1" s="1"/>
  <c r="AQ2035" i="1"/>
  <c r="AU2035" i="1" s="1"/>
  <c r="AQ2036" i="1"/>
  <c r="AU2036" i="1" s="1"/>
  <c r="AR2035" i="1"/>
  <c r="AR2036" i="1"/>
  <c r="AS2035" i="1" a="1"/>
  <c r="AS2035" i="1" s="1"/>
  <c r="AT2035" i="1" s="1"/>
  <c r="AS2036" i="1" a="1"/>
  <c r="AS2036" i="1" s="1"/>
  <c r="AT2036" i="1" s="1"/>
  <c r="AQ1621" i="1"/>
  <c r="AU1621" i="1" s="1"/>
  <c r="AR1621" i="1"/>
  <c r="AS1621" i="1" a="1"/>
  <c r="AS1621" i="1" s="1"/>
  <c r="AT1621" i="1" s="1"/>
  <c r="AQ1622" i="1"/>
  <c r="AU1622" i="1" s="1"/>
  <c r="AR1622" i="1"/>
  <c r="AS1622" i="1" a="1"/>
  <c r="AS1622" i="1" s="1"/>
  <c r="AT1622" i="1" s="1"/>
  <c r="AN1545" i="1"/>
  <c r="AM1545" i="1"/>
  <c r="AL1545" i="1" s="1"/>
  <c r="AH1545" i="1"/>
  <c r="AF1545" i="1"/>
  <c r="AE1545" i="1"/>
  <c r="W1545" i="1"/>
  <c r="V1545" i="1"/>
  <c r="AN1544" i="1"/>
  <c r="AM1544" i="1"/>
  <c r="AL1544" i="1" s="1"/>
  <c r="AH1544" i="1"/>
  <c r="AF1544" i="1"/>
  <c r="AE1544" i="1"/>
  <c r="W1544" i="1"/>
  <c r="V1544" i="1"/>
  <c r="AQ1544" i="1"/>
  <c r="AU1544" i="1" s="1"/>
  <c r="AR1544" i="1"/>
  <c r="AQ1545" i="1"/>
  <c r="AU1545" i="1" s="1"/>
  <c r="AR1545" i="1"/>
  <c r="AN932" i="1"/>
  <c r="AM932" i="1"/>
  <c r="AL932" i="1" s="1"/>
  <c r="AH932" i="1"/>
  <c r="AF931" i="1"/>
  <c r="AF932" i="1"/>
  <c r="AE932" i="1"/>
  <c r="W932" i="1"/>
  <c r="V932" i="1"/>
  <c r="AN931" i="1"/>
  <c r="AM931" i="1"/>
  <c r="AL931" i="1" s="1"/>
  <c r="AH931" i="1"/>
  <c r="AE931" i="1"/>
  <c r="W931" i="1"/>
  <c r="V931" i="1"/>
  <c r="AQ931" i="1"/>
  <c r="AU931" i="1" s="1"/>
  <c r="AQ932" i="1"/>
  <c r="AU932" i="1" s="1"/>
  <c r="AR931" i="1"/>
  <c r="AR932" i="1"/>
  <c r="AF865" i="1"/>
  <c r="AF864" i="1"/>
  <c r="AN865" i="1"/>
  <c r="AM865" i="1"/>
  <c r="AL865" i="1" s="1"/>
  <c r="AH865" i="1"/>
  <c r="AF74" i="1"/>
  <c r="AF73" i="1"/>
  <c r="AF72" i="1"/>
  <c r="AE865" i="1"/>
  <c r="W865" i="1"/>
  <c r="V865" i="1"/>
  <c r="AN864" i="1"/>
  <c r="AM864" i="1"/>
  <c r="AL864" i="1" s="1"/>
  <c r="AH864" i="1"/>
  <c r="AE864" i="1"/>
  <c r="W864" i="1"/>
  <c r="V864" i="1"/>
  <c r="AQ864" i="1"/>
  <c r="AU864" i="1" s="1"/>
  <c r="AR864" i="1"/>
  <c r="AQ865" i="1"/>
  <c r="AU865" i="1" s="1"/>
  <c r="AR865" i="1"/>
  <c r="AN74" i="1"/>
  <c r="AM74" i="1"/>
  <c r="AL74" i="1" s="1"/>
  <c r="AH74" i="1"/>
  <c r="AE74" i="1"/>
  <c r="W74" i="1"/>
  <c r="V74" i="1"/>
  <c r="AQ74" i="1"/>
  <c r="AU74" i="1" s="1"/>
  <c r="AR74" i="1"/>
  <c r="AN73" i="1"/>
  <c r="AM73" i="1"/>
  <c r="AL73" i="1" s="1"/>
  <c r="AH73" i="1"/>
  <c r="AE73" i="1"/>
  <c r="W73" i="1"/>
  <c r="V73" i="1"/>
  <c r="AQ73" i="1"/>
  <c r="AU73" i="1" s="1"/>
  <c r="AR73" i="1"/>
  <c r="AN72" i="1"/>
  <c r="AM72" i="1"/>
  <c r="AL72" i="1" s="1"/>
  <c r="AH72" i="1"/>
  <c r="AD1987" i="1" l="1"/>
  <c r="AB1988" i="1"/>
  <c r="AA1986" i="1"/>
  <c r="AB1986" i="1" s="1"/>
  <c r="AA1354" i="1"/>
  <c r="AA1355" i="1"/>
  <c r="AA603" i="1"/>
  <c r="AA418" i="1"/>
  <c r="AD418" i="1" s="1"/>
  <c r="AA420" i="1"/>
  <c r="AA601" i="1"/>
  <c r="AA419" i="1"/>
  <c r="AA602" i="1"/>
  <c r="AB602" i="1" s="1"/>
  <c r="AA864" i="1"/>
  <c r="AB864" i="1" s="1"/>
  <c r="AD864" i="1" s="1"/>
  <c r="AA1544" i="1"/>
  <c r="AA1545" i="1"/>
  <c r="AA931" i="1"/>
  <c r="AA865" i="1"/>
  <c r="AB865" i="1" s="1"/>
  <c r="AD865" i="1" s="1"/>
  <c r="AA932" i="1"/>
  <c r="AA73" i="1"/>
  <c r="AA74" i="1"/>
  <c r="AD1986" i="1" l="1"/>
  <c r="AB1354" i="1"/>
  <c r="AB1355" i="1"/>
  <c r="AB418" i="1"/>
  <c r="AD419" i="1"/>
  <c r="AB603" i="1"/>
  <c r="AB419" i="1"/>
  <c r="AD420" i="1"/>
  <c r="AB420" i="1"/>
  <c r="AB601" i="1"/>
  <c r="AB73" i="1"/>
  <c r="AB931" i="1"/>
  <c r="AB1544" i="1"/>
  <c r="AB1545" i="1"/>
  <c r="AB932" i="1"/>
  <c r="AB74" i="1"/>
  <c r="AE72" i="1" l="1"/>
  <c r="W72" i="1"/>
  <c r="V72" i="1"/>
  <c r="AQ72" i="1"/>
  <c r="AU72" i="1" s="1"/>
  <c r="AR72" i="1"/>
  <c r="AA72" i="1" l="1"/>
  <c r="AB72" i="1" l="1"/>
  <c r="AN895" i="1"/>
  <c r="AM895" i="1"/>
  <c r="AL895" i="1" s="1"/>
  <c r="AH895" i="1"/>
  <c r="AE895" i="1"/>
  <c r="W895" i="1"/>
  <c r="V895" i="1"/>
  <c r="AQ895" i="1"/>
  <c r="AU895" i="1" s="1"/>
  <c r="AR895" i="1"/>
  <c r="AA895" i="1" l="1"/>
  <c r="AD895" i="1" s="1"/>
  <c r="AN2088" i="1" l="1"/>
  <c r="AM2088" i="1"/>
  <c r="AL2088" i="1" s="1"/>
  <c r="AH2088" i="1"/>
  <c r="AF2088" i="1"/>
  <c r="AE2088" i="1" l="1"/>
  <c r="W2088" i="1"/>
  <c r="V2088" i="1"/>
  <c r="AQ2088" i="1"/>
  <c r="AU2088" i="1" s="1"/>
  <c r="AR2088" i="1"/>
  <c r="AN917" i="1"/>
  <c r="AM917" i="1"/>
  <c r="AL917" i="1" s="1"/>
  <c r="AH917" i="1"/>
  <c r="AA2088" i="1" l="1"/>
  <c r="AD2088" i="1" s="1"/>
  <c r="AF917" i="1"/>
  <c r="AE917" i="1"/>
  <c r="W917" i="1"/>
  <c r="V917" i="1"/>
  <c r="AQ917" i="1"/>
  <c r="AU917" i="1" s="1"/>
  <c r="AR917" i="1"/>
  <c r="AA917" i="1" l="1"/>
  <c r="AD917" i="1" s="1"/>
  <c r="AB2088" i="1"/>
  <c r="AB917" i="1" l="1"/>
  <c r="AN1025" i="1"/>
  <c r="AM1025" i="1"/>
  <c r="AL1025" i="1" s="1"/>
  <c r="AH1025" i="1"/>
  <c r="AE1025" i="1"/>
  <c r="W1025" i="1"/>
  <c r="V1025" i="1"/>
  <c r="V1029" i="1"/>
  <c r="W1029" i="1"/>
  <c r="AQ1025" i="1"/>
  <c r="AU1025" i="1" s="1"/>
  <c r="AR1025" i="1"/>
  <c r="AN1813" i="1"/>
  <c r="AM1813" i="1"/>
  <c r="AL1813" i="1" s="1"/>
  <c r="AH1813" i="1"/>
  <c r="AF1813" i="1"/>
  <c r="AE1813" i="1"/>
  <c r="W1813" i="1"/>
  <c r="V1813" i="1"/>
  <c r="AQ1813" i="1"/>
  <c r="AU1813" i="1" s="1"/>
  <c r="AR1813" i="1"/>
  <c r="AO1653" i="1"/>
  <c r="AN1653" i="1"/>
  <c r="AM1653" i="1"/>
  <c r="AL1653" i="1" s="1"/>
  <c r="AH1653" i="1"/>
  <c r="AF1653" i="1"/>
  <c r="AE1653" i="1"/>
  <c r="W1653" i="1"/>
  <c r="V1653" i="1"/>
  <c r="AO1652" i="1"/>
  <c r="AN1652" i="1"/>
  <c r="AM1652" i="1"/>
  <c r="AL1652" i="1" s="1"/>
  <c r="AH1652" i="1"/>
  <c r="AF1652" i="1"/>
  <c r="AE1652" i="1"/>
  <c r="W1652" i="1"/>
  <c r="V1652" i="1"/>
  <c r="AF183" i="1"/>
  <c r="AA1025" i="1" l="1"/>
  <c r="AD1025" i="1" s="1"/>
  <c r="AA1813" i="1"/>
  <c r="AA1653" i="1"/>
  <c r="AA1652" i="1"/>
  <c r="AR183" i="1"/>
  <c r="AQ183" i="1"/>
  <c r="AU183" i="1" s="1"/>
  <c r="AN183" i="1"/>
  <c r="AM183" i="1"/>
  <c r="AL183" i="1" s="1"/>
  <c r="AH183" i="1"/>
  <c r="AE183" i="1"/>
  <c r="W183" i="1"/>
  <c r="V183" i="1"/>
  <c r="AN777" i="1"/>
  <c r="AM777" i="1"/>
  <c r="AL777" i="1" s="1"/>
  <c r="AH777" i="1"/>
  <c r="AB1025" i="1" l="1"/>
  <c r="AB1813" i="1"/>
  <c r="AA183" i="1"/>
  <c r="AF777" i="1"/>
  <c r="AE777" i="1"/>
  <c r="W777" i="1"/>
  <c r="V777" i="1"/>
  <c r="AQ777" i="1"/>
  <c r="AU777" i="1" s="1"/>
  <c r="AR777" i="1"/>
  <c r="AF527" i="1"/>
  <c r="AB183" i="1" l="1"/>
  <c r="AA777" i="1"/>
  <c r="AB777" i="1" s="1"/>
  <c r="AE1991" i="1"/>
  <c r="AE1989" i="1"/>
  <c r="AD777" i="1" l="1"/>
  <c r="AN1185" i="1"/>
  <c r="AM1185" i="1"/>
  <c r="AL1185" i="1" s="1"/>
  <c r="AH1185" i="1"/>
  <c r="AF1185" i="1" l="1"/>
  <c r="AE1185" i="1"/>
  <c r="AC1185" i="1"/>
  <c r="AS1185" i="1" s="1" a="1"/>
  <c r="AS1185" i="1" s="1"/>
  <c r="AT1185" i="1" s="1"/>
  <c r="W1185" i="1"/>
  <c r="V1185" i="1"/>
  <c r="AQ1185" i="1"/>
  <c r="AU1185" i="1" s="1"/>
  <c r="AR1185" i="1"/>
  <c r="AE1996" i="1"/>
  <c r="AA1996" i="1"/>
  <c r="AD1996" i="1" s="1"/>
  <c r="AQ1996" i="1"/>
  <c r="AU1996" i="1" s="1"/>
  <c r="AR1996" i="1"/>
  <c r="AF530" i="1"/>
  <c r="AA1185" i="1" l="1"/>
  <c r="AB1185" i="1" s="1"/>
  <c r="AB1996" i="1"/>
  <c r="AN530" i="1"/>
  <c r="AM530" i="1"/>
  <c r="AL530" i="1" s="1"/>
  <c r="AH530" i="1"/>
  <c r="AE530" i="1"/>
  <c r="W530" i="1"/>
  <c r="V530" i="1"/>
  <c r="AQ530" i="1"/>
  <c r="AU530" i="1" s="1"/>
  <c r="AR530" i="1"/>
  <c r="AD1185" i="1" l="1"/>
  <c r="AJ1185" i="1" s="1"/>
  <c r="AK1185" i="1" s="1"/>
  <c r="AA530" i="1"/>
  <c r="AB530" i="1" l="1"/>
  <c r="AN2542" i="1"/>
  <c r="AM2542" i="1"/>
  <c r="AL2542" i="1" s="1"/>
  <c r="AH2542" i="1"/>
  <c r="AF2542" i="1"/>
  <c r="AE2542" i="1"/>
  <c r="AA2542" i="1"/>
  <c r="W2542" i="1"/>
  <c r="V2542" i="1"/>
  <c r="AN1857" i="1"/>
  <c r="AM1857" i="1"/>
  <c r="AL1857" i="1" s="1"/>
  <c r="AH1857" i="1"/>
  <c r="AF1857" i="1"/>
  <c r="AE1857" i="1" l="1"/>
  <c r="AA1857" i="1"/>
  <c r="W1857" i="1"/>
  <c r="V1857" i="1"/>
  <c r="AE529" i="1"/>
  <c r="AQ1974" i="1"/>
  <c r="AU1974" i="1" s="1"/>
  <c r="AR1974" i="1"/>
  <c r="AS1974" i="1" a="1"/>
  <c r="AS1974" i="1" s="1"/>
  <c r="AT1974" i="1" s="1"/>
  <c r="AU1617" i="1"/>
  <c r="AD1617" i="1"/>
  <c r="AC1617" i="1"/>
  <c r="AE1849" i="1"/>
  <c r="AA1849" i="1"/>
  <c r="AE1628" i="1"/>
  <c r="AN524" i="1"/>
  <c r="AM524" i="1"/>
  <c r="AL524" i="1" s="1"/>
  <c r="AH524" i="1"/>
  <c r="AF524" i="1"/>
  <c r="AE524" i="1"/>
  <c r="W524" i="1"/>
  <c r="V524" i="1"/>
  <c r="AQ524" i="1"/>
  <c r="AU524" i="1" s="1"/>
  <c r="AR524" i="1"/>
  <c r="AF2127" i="1"/>
  <c r="AN2127" i="1"/>
  <c r="AM2127" i="1"/>
  <c r="AL2127" i="1" s="1"/>
  <c r="AH2127" i="1"/>
  <c r="AE2127" i="1"/>
  <c r="W2127" i="1"/>
  <c r="V2127" i="1"/>
  <c r="AQ2127" i="1"/>
  <c r="AU2127" i="1" s="1"/>
  <c r="AR2127" i="1"/>
  <c r="AN2037" i="1"/>
  <c r="AM2037" i="1"/>
  <c r="AL2037" i="1" s="1"/>
  <c r="AH2037" i="1"/>
  <c r="AF2037" i="1"/>
  <c r="AE2037" i="1"/>
  <c r="W2037" i="1"/>
  <c r="V2037" i="1"/>
  <c r="AQ2037" i="1"/>
  <c r="AU2037" i="1" s="1"/>
  <c r="AR2037" i="1"/>
  <c r="AN1991" i="1"/>
  <c r="AM1991" i="1"/>
  <c r="AL1991" i="1" s="1"/>
  <c r="AH1991" i="1"/>
  <c r="AN1989" i="1"/>
  <c r="AM1989" i="1"/>
  <c r="AL1989" i="1" s="1"/>
  <c r="AH1989" i="1"/>
  <c r="AF1991" i="1"/>
  <c r="AF1989" i="1"/>
  <c r="W1991" i="1"/>
  <c r="V1991" i="1"/>
  <c r="W1989" i="1"/>
  <c r="V1989" i="1"/>
  <c r="AQ1989" i="1"/>
  <c r="AU1989" i="1" s="1"/>
  <c r="AR1989" i="1"/>
  <c r="AN838" i="1"/>
  <c r="AM838" i="1"/>
  <c r="AL838" i="1" s="1"/>
  <c r="AH838" i="1"/>
  <c r="AF838" i="1"/>
  <c r="AE838" i="1"/>
  <c r="W838" i="1"/>
  <c r="V838" i="1"/>
  <c r="AN75" i="1"/>
  <c r="AM75" i="1"/>
  <c r="AL75" i="1" s="1"/>
  <c r="AH75" i="1"/>
  <c r="AN71" i="1"/>
  <c r="AM71" i="1"/>
  <c r="AL71" i="1" s="1"/>
  <c r="AH71" i="1"/>
  <c r="AF75" i="1"/>
  <c r="AF71" i="1"/>
  <c r="AE75" i="1"/>
  <c r="AE71" i="1"/>
  <c r="W75" i="1"/>
  <c r="V75" i="1"/>
  <c r="W71" i="1"/>
  <c r="V71" i="1"/>
  <c r="AQ71" i="1"/>
  <c r="AU71" i="1" s="1"/>
  <c r="AQ75" i="1"/>
  <c r="AU75" i="1" s="1"/>
  <c r="AR71" i="1"/>
  <c r="AR75" i="1"/>
  <c r="AN1542" i="1"/>
  <c r="AM1542" i="1"/>
  <c r="AL1542" i="1" s="1"/>
  <c r="AH1542" i="1"/>
  <c r="AN1541" i="1"/>
  <c r="AM1541" i="1"/>
  <c r="AL1541" i="1" s="1"/>
  <c r="AH1541" i="1"/>
  <c r="AN1540" i="1"/>
  <c r="AM1540" i="1"/>
  <c r="AL1540" i="1" s="1"/>
  <c r="AH1540" i="1"/>
  <c r="AN1539" i="1"/>
  <c r="AM1539" i="1"/>
  <c r="AL1539" i="1" s="1"/>
  <c r="AH1539" i="1"/>
  <c r="AF1542" i="1"/>
  <c r="AF1541" i="1"/>
  <c r="AF1540" i="1"/>
  <c r="AF1539" i="1"/>
  <c r="AE1542" i="1"/>
  <c r="AE1541" i="1"/>
  <c r="AE1540" i="1"/>
  <c r="AE1539" i="1"/>
  <c r="W1542" i="1"/>
  <c r="Z1542" i="1" s="1"/>
  <c r="V1542" i="1"/>
  <c r="Y1542" i="1" s="1"/>
  <c r="W1541" i="1"/>
  <c r="Z1541" i="1" s="1"/>
  <c r="V1541" i="1"/>
  <c r="Y1541" i="1" s="1"/>
  <c r="W1540" i="1"/>
  <c r="Z1540" i="1" s="1"/>
  <c r="V1540" i="1"/>
  <c r="Y1540" i="1" s="1"/>
  <c r="W1539" i="1"/>
  <c r="Z1539" i="1" s="1"/>
  <c r="V1539" i="1"/>
  <c r="AN1353" i="1"/>
  <c r="AM1353" i="1"/>
  <c r="AL1353" i="1" s="1"/>
  <c r="AH1353" i="1"/>
  <c r="AF1353" i="1"/>
  <c r="AE1353" i="1"/>
  <c r="AE1356" i="1"/>
  <c r="W1353" i="1"/>
  <c r="V1353" i="1"/>
  <c r="AJ1617" i="1" l="1"/>
  <c r="AK1617" i="1" s="1"/>
  <c r="AA524" i="1"/>
  <c r="AA71" i="1"/>
  <c r="AB71" i="1" s="1"/>
  <c r="AA1989" i="1"/>
  <c r="AA2127" i="1"/>
  <c r="AB2127" i="1" s="1"/>
  <c r="AA1991" i="1"/>
  <c r="AA2037" i="1"/>
  <c r="AA838" i="1"/>
  <c r="AA75" i="1"/>
  <c r="AB75" i="1" s="1"/>
  <c r="AA1353" i="1"/>
  <c r="AB1353" i="1" s="1"/>
  <c r="AA1539" i="1"/>
  <c r="AA1542" i="1"/>
  <c r="Y1539" i="1"/>
  <c r="AA1540" i="1"/>
  <c r="AB1540" i="1" s="1"/>
  <c r="AA1541" i="1"/>
  <c r="AD1989" i="1" l="1"/>
  <c r="AB1989" i="1"/>
  <c r="AD1991" i="1"/>
  <c r="AB1991" i="1"/>
  <c r="AB524" i="1"/>
  <c r="AB2037" i="1"/>
  <c r="AB1542" i="1"/>
  <c r="AB838" i="1"/>
  <c r="AB1539" i="1"/>
  <c r="AB1541" i="1"/>
  <c r="AN1288" i="1" l="1"/>
  <c r="AM1288" i="1"/>
  <c r="AL1288" i="1" s="1"/>
  <c r="AH1288" i="1"/>
  <c r="AF1288" i="1"/>
  <c r="AE1288" i="1"/>
  <c r="W1288" i="1"/>
  <c r="V1288" i="1"/>
  <c r="AQ1288" i="1"/>
  <c r="AU1288" i="1" s="1"/>
  <c r="AR1288" i="1"/>
  <c r="AF494" i="1"/>
  <c r="AN2086" i="1"/>
  <c r="AM2086" i="1"/>
  <c r="AL2086" i="1" s="1"/>
  <c r="AH2086" i="1"/>
  <c r="AF2086" i="1"/>
  <c r="AE2086" i="1"/>
  <c r="W2086" i="1"/>
  <c r="V2086" i="1"/>
  <c r="AN1675" i="1"/>
  <c r="AM1675" i="1"/>
  <c r="AL1675" i="1" s="1"/>
  <c r="AH1675" i="1"/>
  <c r="AF1675" i="1"/>
  <c r="AE1675" i="1"/>
  <c r="AN1628" i="1"/>
  <c r="AM1628" i="1"/>
  <c r="AL1628" i="1" s="1"/>
  <c r="AH1628" i="1"/>
  <c r="AF1628" i="1"/>
  <c r="W1628" i="1"/>
  <c r="V1628" i="1"/>
  <c r="AN851" i="1"/>
  <c r="AM851" i="1"/>
  <c r="AL851" i="1" s="1"/>
  <c r="AH851" i="1"/>
  <c r="AN850" i="1"/>
  <c r="AM850" i="1"/>
  <c r="AL850" i="1" s="1"/>
  <c r="AH850" i="1"/>
  <c r="AF851" i="1"/>
  <c r="AF850" i="1"/>
  <c r="W851" i="1"/>
  <c r="V851" i="1"/>
  <c r="AE851" i="1"/>
  <c r="AE850" i="1"/>
  <c r="W850" i="1"/>
  <c r="V850" i="1"/>
  <c r="AQ850" i="1"/>
  <c r="AU850" i="1" s="1"/>
  <c r="AR850" i="1"/>
  <c r="AQ851" i="1"/>
  <c r="AU851" i="1" s="1"/>
  <c r="AR851" i="1"/>
  <c r="AA1628" i="1" l="1"/>
  <c r="AA1288" i="1"/>
  <c r="AB1288" i="1" s="1"/>
  <c r="AA1675" i="1"/>
  <c r="AA850" i="1"/>
  <c r="AB850" i="1" s="1"/>
  <c r="AA2086" i="1"/>
  <c r="AA851" i="1"/>
  <c r="AD851" i="1" s="1"/>
  <c r="AB1628" i="1" l="1"/>
  <c r="AB1675" i="1"/>
  <c r="AD1288" i="1"/>
  <c r="AD850" i="1"/>
  <c r="AD2086" i="1"/>
  <c r="AB851" i="1"/>
  <c r="AB2086" i="1"/>
  <c r="AN1060" i="1" l="1"/>
  <c r="AM1060" i="1"/>
  <c r="AL1060" i="1" s="1"/>
  <c r="AH1060" i="1"/>
  <c r="AF1060" i="1"/>
  <c r="AE1060" i="1"/>
  <c r="AC1060" i="1"/>
  <c r="W1060" i="1"/>
  <c r="V1060" i="1"/>
  <c r="AN529" i="1"/>
  <c r="AM529" i="1"/>
  <c r="AL529" i="1" s="1"/>
  <c r="AH529" i="1"/>
  <c r="AF529" i="1"/>
  <c r="W529" i="1"/>
  <c r="V529" i="1"/>
  <c r="AN494" i="1"/>
  <c r="AM494" i="1"/>
  <c r="AL494" i="1" s="1"/>
  <c r="AF493" i="1"/>
  <c r="AN493" i="1"/>
  <c r="AM493" i="1"/>
  <c r="AL493" i="1" s="1"/>
  <c r="AN367" i="1"/>
  <c r="AM367" i="1"/>
  <c r="AL367" i="1" s="1"/>
  <c r="AF367" i="1"/>
  <c r="AN366" i="1"/>
  <c r="AM366" i="1"/>
  <c r="AL366" i="1" s="1"/>
  <c r="AF366" i="1"/>
  <c r="AN332" i="1"/>
  <c r="AM332" i="1"/>
  <c r="AL332" i="1" s="1"/>
  <c r="AF332" i="1"/>
  <c r="AE332" i="1"/>
  <c r="W332" i="1"/>
  <c r="Z332" i="1" s="1"/>
  <c r="V332" i="1"/>
  <c r="AN333" i="1"/>
  <c r="AM333" i="1"/>
  <c r="AL333" i="1" s="1"/>
  <c r="AH333" i="1"/>
  <c r="AF333" i="1"/>
  <c r="AA1060" i="1" l="1"/>
  <c r="AD1060" i="1" s="1"/>
  <c r="AJ1060" i="1" s="1"/>
  <c r="AK1060" i="1" s="1"/>
  <c r="AA332" i="1"/>
  <c r="AA529" i="1"/>
  <c r="Y332" i="1"/>
  <c r="AB1060" i="1" l="1"/>
  <c r="AB529" i="1"/>
  <c r="AE333" i="1" l="1"/>
  <c r="W333" i="1"/>
  <c r="Z333" i="1" s="1"/>
  <c r="V333" i="1"/>
  <c r="Y333" i="1" s="1"/>
  <c r="AE494" i="1"/>
  <c r="AE493" i="1"/>
  <c r="AE367" i="1"/>
  <c r="AE366" i="1"/>
  <c r="W366" i="1"/>
  <c r="V366" i="1"/>
  <c r="W494" i="1"/>
  <c r="V494" i="1"/>
  <c r="W493" i="1"/>
  <c r="V493" i="1"/>
  <c r="W367" i="1"/>
  <c r="V367" i="1"/>
  <c r="AO167" i="1"/>
  <c r="AN167" i="1"/>
  <c r="AM167" i="1"/>
  <c r="AL167" i="1" s="1"/>
  <c r="AH167" i="1"/>
  <c r="AF167" i="1"/>
  <c r="AE167" i="1"/>
  <c r="W167" i="1"/>
  <c r="V167" i="1"/>
  <c r="AA333" i="1" l="1"/>
  <c r="AA167" i="1"/>
  <c r="AD167" i="1" s="1"/>
  <c r="AA367" i="1"/>
  <c r="AA366" i="1"/>
  <c r="AA494" i="1"/>
  <c r="AA493" i="1"/>
  <c r="AB167" i="1" l="1"/>
  <c r="AF741" i="1"/>
  <c r="AF739" i="1"/>
  <c r="AQ2086" i="1" l="1"/>
  <c r="AU2086" i="1" s="1"/>
  <c r="AR2086" i="1"/>
  <c r="AQ2542" i="1"/>
  <c r="AU2542" i="1" s="1"/>
  <c r="AQ1857" i="1"/>
  <c r="AU1857" i="1" s="1"/>
  <c r="AR2542" i="1"/>
  <c r="AR1857" i="1"/>
  <c r="AN1909" i="1"/>
  <c r="AM1909" i="1"/>
  <c r="AL1909" i="1" s="1"/>
  <c r="AH1909" i="1"/>
  <c r="AO1909" i="1"/>
  <c r="AF1909" i="1"/>
  <c r="AE1909" i="1"/>
  <c r="W1909" i="1"/>
  <c r="V1909" i="1"/>
  <c r="AQ1909" i="1"/>
  <c r="AU1909" i="1" s="1"/>
  <c r="AR1909" i="1"/>
  <c r="AN1876" i="1"/>
  <c r="AM1876" i="1"/>
  <c r="AL1876" i="1" s="1"/>
  <c r="AH1876" i="1"/>
  <c r="AF1876" i="1"/>
  <c r="AE1876" i="1"/>
  <c r="W1876" i="1"/>
  <c r="V1876" i="1"/>
  <c r="AN1849" i="1"/>
  <c r="AM1849" i="1"/>
  <c r="AL1849" i="1" s="1"/>
  <c r="AH1849" i="1"/>
  <c r="AF1849" i="1"/>
  <c r="W1849" i="1"/>
  <c r="V1849" i="1"/>
  <c r="AA1909" i="1" l="1"/>
  <c r="AB1909" i="1" s="1"/>
  <c r="AA1876" i="1"/>
  <c r="AD1909" i="1" l="1"/>
  <c r="AB1876" i="1"/>
  <c r="AN1770" i="1" l="1"/>
  <c r="AM1770" i="1"/>
  <c r="AL1770" i="1" s="1"/>
  <c r="AF1770" i="1"/>
  <c r="AE1770" i="1"/>
  <c r="W1770" i="1"/>
  <c r="V1770" i="1"/>
  <c r="AC1770" i="1" s="1"/>
  <c r="AN1240" i="1"/>
  <c r="AM1240" i="1"/>
  <c r="AL1240" i="1" s="1"/>
  <c r="AH1240" i="1"/>
  <c r="AF1240" i="1"/>
  <c r="AE1240" i="1"/>
  <c r="AC1240" i="1"/>
  <c r="AS1240" i="1" s="1" a="1"/>
  <c r="AS1240" i="1" s="1"/>
  <c r="AT1240" i="1" s="1"/>
  <c r="W1240" i="1"/>
  <c r="V1240" i="1"/>
  <c r="AQ1240" i="1"/>
  <c r="AU1240" i="1" s="1"/>
  <c r="AR1240" i="1"/>
  <c r="AN1530" i="1"/>
  <c r="AM1530" i="1"/>
  <c r="AL1530" i="1" s="1"/>
  <c r="AF1530" i="1"/>
  <c r="AA1240" i="1" l="1"/>
  <c r="AB1240" i="1" s="1"/>
  <c r="AA1770" i="1"/>
  <c r="AD1240" i="1" l="1"/>
  <c r="AJ1240" i="1" s="1"/>
  <c r="AK1240" i="1" s="1"/>
  <c r="AE1530" i="1"/>
  <c r="W1530" i="1"/>
  <c r="V1530" i="1"/>
  <c r="AA1530" i="1" l="1"/>
  <c r="AQ1060" i="1" l="1"/>
  <c r="AU1060" i="1" s="1"/>
  <c r="AR1060" i="1"/>
  <c r="AS1060" i="1" a="1"/>
  <c r="AS1060" i="1" s="1"/>
  <c r="AT1060" i="1" s="1"/>
  <c r="AF182" i="1"/>
  <c r="AF181" i="1"/>
  <c r="AN182" i="1"/>
  <c r="AM182" i="1"/>
  <c r="AL182" i="1" s="1"/>
  <c r="AH182" i="1"/>
  <c r="AE182" i="1" l="1"/>
  <c r="W182" i="1"/>
  <c r="V182" i="1"/>
  <c r="AQ182" i="1"/>
  <c r="AU182" i="1" s="1"/>
  <c r="AR182" i="1"/>
  <c r="AQ367" i="1"/>
  <c r="AU367" i="1" s="1"/>
  <c r="AR367" i="1"/>
  <c r="AO349" i="1"/>
  <c r="AN349" i="1"/>
  <c r="AM349" i="1"/>
  <c r="AL349" i="1" s="1"/>
  <c r="AH349" i="1"/>
  <c r="AF349" i="1"/>
  <c r="AE349" i="1"/>
  <c r="W349" i="1"/>
  <c r="V349" i="1"/>
  <c r="AA182" i="1" l="1"/>
  <c r="AA349" i="1"/>
  <c r="AB182" i="1" l="1"/>
  <c r="AB349" i="1"/>
  <c r="AD349" i="1"/>
  <c r="AQ170" i="1"/>
  <c r="AU170" i="1" s="1"/>
  <c r="AR170" i="1"/>
  <c r="AS170" i="1" a="1"/>
  <c r="AS170" i="1" s="1"/>
  <c r="AT170" i="1" s="1"/>
  <c r="AQ1726" i="1"/>
  <c r="AU1726" i="1" s="1"/>
  <c r="AR1726" i="1"/>
  <c r="AS1726" i="1" a="1"/>
  <c r="AS1726" i="1" s="1"/>
  <c r="AT1726" i="1" s="1"/>
  <c r="AN739" i="1"/>
  <c r="AM739" i="1"/>
  <c r="AL739" i="1" s="1"/>
  <c r="AH739" i="1"/>
  <c r="AE739" i="1"/>
  <c r="W739" i="1"/>
  <c r="Z739" i="1" s="1"/>
  <c r="V739" i="1"/>
  <c r="AQ739" i="1"/>
  <c r="AU739" i="1" s="1"/>
  <c r="AR739" i="1"/>
  <c r="AN258" i="1"/>
  <c r="AM258" i="1"/>
  <c r="AL258" i="1" s="1"/>
  <c r="AF258" i="1"/>
  <c r="AE258" i="1"/>
  <c r="W258" i="1"/>
  <c r="V258" i="1"/>
  <c r="AQ258" i="1"/>
  <c r="AU258" i="1" s="1"/>
  <c r="AR258" i="1"/>
  <c r="AN1636" i="1"/>
  <c r="AM1636" i="1"/>
  <c r="AL1636" i="1" s="1"/>
  <c r="AH1636" i="1"/>
  <c r="AF1636" i="1"/>
  <c r="AE1636" i="1"/>
  <c r="W1636" i="1"/>
  <c r="V1636" i="1"/>
  <c r="AC1636" i="1" s="1"/>
  <c r="AS1636" i="1" s="1" a="1"/>
  <c r="AS1636" i="1" s="1"/>
  <c r="AT1636" i="1" s="1"/>
  <c r="AQ1636" i="1"/>
  <c r="AU1636" i="1" s="1"/>
  <c r="AR1636" i="1"/>
  <c r="AN1381" i="1"/>
  <c r="AM1381" i="1"/>
  <c r="AL1381" i="1" s="1"/>
  <c r="AH1381" i="1"/>
  <c r="AF1381" i="1"/>
  <c r="AE1381" i="1"/>
  <c r="AC1381" i="1"/>
  <c r="AS1381" i="1" s="1" a="1"/>
  <c r="AS1381" i="1" s="1"/>
  <c r="AT1381" i="1" s="1"/>
  <c r="W1381" i="1"/>
  <c r="V1381" i="1"/>
  <c r="AQ1381" i="1"/>
  <c r="AU1381" i="1" s="1"/>
  <c r="AR1381" i="1"/>
  <c r="AN1380" i="1"/>
  <c r="AM1380" i="1"/>
  <c r="AL1380" i="1" s="1"/>
  <c r="AH1380" i="1"/>
  <c r="AF1380" i="1"/>
  <c r="AB739" i="1" l="1"/>
  <c r="AD739" i="1" s="1"/>
  <c r="AA258" i="1"/>
  <c r="AD258" i="1" s="1"/>
  <c r="Y739" i="1"/>
  <c r="AA739" i="1" s="1"/>
  <c r="AA1381" i="1"/>
  <c r="AD1381" i="1" s="1"/>
  <c r="AJ1381" i="1" s="1"/>
  <c r="AK1381" i="1" s="1"/>
  <c r="AA1636" i="1"/>
  <c r="AB258" i="1" l="1"/>
  <c r="AB1381" i="1"/>
  <c r="AE1380" i="1" l="1"/>
  <c r="AC1380" i="1"/>
  <c r="W1380" i="1"/>
  <c r="V1380" i="1"/>
  <c r="AQ1380" i="1"/>
  <c r="AU1380" i="1" s="1"/>
  <c r="AR1380" i="1"/>
  <c r="AF1981" i="1"/>
  <c r="AF1980" i="1"/>
  <c r="AQ494" i="1"/>
  <c r="AU494" i="1" s="1"/>
  <c r="AR494" i="1"/>
  <c r="AQ349" i="1"/>
  <c r="AU349" i="1" s="1"/>
  <c r="AR349" i="1"/>
  <c r="AQ1876" i="1"/>
  <c r="AU1876" i="1" s="1"/>
  <c r="AR1876" i="1"/>
  <c r="AQ1675" i="1"/>
  <c r="AU1675" i="1" s="1"/>
  <c r="AR1675" i="1"/>
  <c r="AQ1628" i="1"/>
  <c r="AU1628" i="1" s="1"/>
  <c r="AR1628" i="1"/>
  <c r="AQ1849" i="1"/>
  <c r="AU1849" i="1" s="1"/>
  <c r="AR1849" i="1"/>
  <c r="AQ529" i="1"/>
  <c r="AU529" i="1" s="1"/>
  <c r="AR529" i="1"/>
  <c r="AQ167" i="1"/>
  <c r="AU167" i="1" s="1"/>
  <c r="AR167" i="1"/>
  <c r="AQ2321" i="1"/>
  <c r="AU2321" i="1" s="1"/>
  <c r="AR2321" i="1"/>
  <c r="AS2321" i="1" a="1"/>
  <c r="AS2321" i="1" s="1"/>
  <c r="AT2321" i="1" s="1"/>
  <c r="AA1380" i="1" l="1"/>
  <c r="AD1380" i="1" s="1"/>
  <c r="AJ1380" i="1" s="1"/>
  <c r="AK1380" i="1" s="1"/>
  <c r="AS1380" i="1" a="1"/>
  <c r="AS1380" i="1" s="1"/>
  <c r="AT1380" i="1" s="1"/>
  <c r="AQ493" i="1"/>
  <c r="AU493" i="1" s="1"/>
  <c r="AR493" i="1"/>
  <c r="AN2324" i="1"/>
  <c r="AH2324" i="1"/>
  <c r="AF2324" i="1"/>
  <c r="AE2324" i="1"/>
  <c r="W2324" i="1"/>
  <c r="V2324" i="1"/>
  <c r="U2324" i="1"/>
  <c r="T2324" i="1"/>
  <c r="AQ2324" i="1"/>
  <c r="AU2324" i="1" s="1"/>
  <c r="AR2324" i="1"/>
  <c r="AF2325" i="1"/>
  <c r="AF2323" i="1"/>
  <c r="AB1380" i="1" l="1"/>
  <c r="AM2324" i="1"/>
  <c r="AL2324" i="1" s="1"/>
  <c r="AA2324" i="1"/>
  <c r="AD2324" i="1" l="1"/>
  <c r="AB2324" i="1"/>
  <c r="AQ366" i="1" l="1"/>
  <c r="AU366" i="1" s="1"/>
  <c r="AR366" i="1"/>
  <c r="AQ1530" i="1"/>
  <c r="AU1530" i="1" s="1"/>
  <c r="AR1530" i="1"/>
  <c r="AQ333" i="1"/>
  <c r="AU333" i="1" s="1"/>
  <c r="AQ332" i="1"/>
  <c r="AU332" i="1" s="1"/>
  <c r="AR333" i="1"/>
  <c r="AR332" i="1"/>
  <c r="AQ1770" i="1"/>
  <c r="AU1770" i="1" s="1"/>
  <c r="AR1770" i="1"/>
  <c r="AS1770" i="1" a="1"/>
  <c r="AS1770" i="1" s="1"/>
  <c r="AT1770" i="1" s="1"/>
  <c r="AF1069" i="1" l="1"/>
  <c r="AF2571" i="1"/>
  <c r="AN1184" i="1" l="1"/>
  <c r="AM1184" i="1"/>
  <c r="AL1184" i="1" s="1"/>
  <c r="AH1184" i="1"/>
  <c r="AF1184" i="1" l="1"/>
  <c r="AE1184" i="1"/>
  <c r="AC1184" i="1"/>
  <c r="AS1184" i="1" s="1" a="1"/>
  <c r="AS1184" i="1" s="1"/>
  <c r="AT1184" i="1" s="1"/>
  <c r="W1184" i="1"/>
  <c r="V1184" i="1"/>
  <c r="AQ1184" i="1"/>
  <c r="AU1184" i="1" s="1"/>
  <c r="AR1184" i="1"/>
  <c r="AA1184" i="1" l="1"/>
  <c r="AD1184" i="1" s="1"/>
  <c r="AJ1184" i="1" s="1"/>
  <c r="AK1184" i="1" s="1"/>
  <c r="AF480" i="1"/>
  <c r="AE480" i="1"/>
  <c r="AP480" i="1"/>
  <c r="AQ480" i="1" s="1"/>
  <c r="AM480" i="1"/>
  <c r="AL480" i="1" s="1"/>
  <c r="AI480" i="1"/>
  <c r="AH480" i="1"/>
  <c r="W480" i="1"/>
  <c r="V480" i="1"/>
  <c r="AB1184" i="1" l="1"/>
  <c r="AA480" i="1"/>
  <c r="AD480" i="1" s="1"/>
  <c r="AR480" i="1"/>
  <c r="AN669" i="1"/>
  <c r="AH669" i="1"/>
  <c r="AF669" i="1"/>
  <c r="AE669" i="1"/>
  <c r="W669" i="1"/>
  <c r="V669" i="1"/>
  <c r="U669" i="1"/>
  <c r="AM669" i="1" s="1"/>
  <c r="AL669" i="1" s="1"/>
  <c r="AN819" i="1"/>
  <c r="AM819" i="1"/>
  <c r="AL819" i="1" s="1"/>
  <c r="AI819" i="1"/>
  <c r="AH819" i="1"/>
  <c r="AN818" i="1"/>
  <c r="AM818" i="1"/>
  <c r="AL818" i="1" s="1"/>
  <c r="AI818" i="1"/>
  <c r="AH818" i="1"/>
  <c r="AN817" i="1"/>
  <c r="AM817" i="1"/>
  <c r="AL817" i="1" s="1"/>
  <c r="AI817" i="1"/>
  <c r="AH817" i="1"/>
  <c r="AF819" i="1"/>
  <c r="AF818" i="1"/>
  <c r="AF817" i="1"/>
  <c r="AE819" i="1"/>
  <c r="AE818" i="1"/>
  <c r="AE817" i="1"/>
  <c r="W819" i="1"/>
  <c r="V819" i="1"/>
  <c r="W818" i="1"/>
  <c r="V818" i="1"/>
  <c r="W817" i="1"/>
  <c r="V817" i="1"/>
  <c r="AI816" i="1"/>
  <c r="AN816" i="1"/>
  <c r="AM816" i="1"/>
  <c r="AL816" i="1" s="1"/>
  <c r="AH816" i="1"/>
  <c r="AE816" i="1"/>
  <c r="AF816" i="1"/>
  <c r="W816" i="1"/>
  <c r="V816" i="1"/>
  <c r="AQ816" i="1"/>
  <c r="AQ817" i="1"/>
  <c r="AQ818" i="1"/>
  <c r="AQ819" i="1"/>
  <c r="AR816" i="1"/>
  <c r="AR817" i="1"/>
  <c r="AR818" i="1"/>
  <c r="AR819" i="1"/>
  <c r="AR584" i="1"/>
  <c r="AQ584" i="1"/>
  <c r="AR583" i="1"/>
  <c r="AQ583" i="1"/>
  <c r="AR582" i="1"/>
  <c r="AQ582" i="1"/>
  <c r="AR581" i="1"/>
  <c r="AQ581" i="1"/>
  <c r="AR580" i="1"/>
  <c r="AQ580" i="1"/>
  <c r="AF584" i="1"/>
  <c r="AF583" i="1"/>
  <c r="AF582" i="1"/>
  <c r="AF581" i="1"/>
  <c r="AF580" i="1"/>
  <c r="AE584" i="1"/>
  <c r="AE583" i="1"/>
  <c r="AE582" i="1"/>
  <c r="AE581" i="1"/>
  <c r="AE580" i="1"/>
  <c r="W584" i="1"/>
  <c r="V584" i="1"/>
  <c r="W583" i="1"/>
  <c r="V583" i="1"/>
  <c r="W582" i="1"/>
  <c r="V582" i="1"/>
  <c r="W581" i="1"/>
  <c r="V581" i="1"/>
  <c r="W580" i="1"/>
  <c r="V580" i="1"/>
  <c r="AI584" i="1"/>
  <c r="AI583" i="1"/>
  <c r="AI582" i="1"/>
  <c r="AI581" i="1"/>
  <c r="AI580" i="1"/>
  <c r="AI579" i="1"/>
  <c r="AN584" i="1"/>
  <c r="AM584" i="1"/>
  <c r="AL584" i="1" s="1"/>
  <c r="AH584" i="1"/>
  <c r="AN583" i="1"/>
  <c r="AM583" i="1"/>
  <c r="AL583" i="1" s="1"/>
  <c r="AH583" i="1"/>
  <c r="AN582" i="1"/>
  <c r="AM582" i="1"/>
  <c r="AL582" i="1" s="1"/>
  <c r="AH582" i="1"/>
  <c r="AN581" i="1"/>
  <c r="AM581" i="1"/>
  <c r="AL581" i="1" s="1"/>
  <c r="AH581" i="1"/>
  <c r="AN580" i="1"/>
  <c r="AM580" i="1"/>
  <c r="AL580" i="1" s="1"/>
  <c r="AH580" i="1"/>
  <c r="AN579" i="1"/>
  <c r="AM579" i="1"/>
  <c r="AL579" i="1" s="1"/>
  <c r="AH579" i="1"/>
  <c r="AF579" i="1"/>
  <c r="AE579" i="1"/>
  <c r="W579" i="1"/>
  <c r="V579" i="1"/>
  <c r="AS2278" i="1" a="1"/>
  <c r="AS2278" i="1" s="1"/>
  <c r="AT2278" i="1" s="1"/>
  <c r="AR2278" i="1"/>
  <c r="AQ2278" i="1"/>
  <c r="AU2278" i="1" s="1"/>
  <c r="AS1861" i="1" a="1"/>
  <c r="AS1861" i="1" s="1"/>
  <c r="AT1861" i="1" s="1"/>
  <c r="AR1861" i="1"/>
  <c r="AQ1861" i="1"/>
  <c r="AU1861" i="1" s="1"/>
  <c r="AN1567" i="1"/>
  <c r="AM1567" i="1"/>
  <c r="AL1567" i="1" s="1"/>
  <c r="AH1567" i="1"/>
  <c r="AF1567" i="1"/>
  <c r="AE1567" i="1"/>
  <c r="W1567" i="1"/>
  <c r="V1567" i="1"/>
  <c r="AQ1567" i="1"/>
  <c r="AU1567" i="1" s="1"/>
  <c r="AR1567" i="1"/>
  <c r="AF870" i="1"/>
  <c r="AF869" i="1"/>
  <c r="AN499" i="1"/>
  <c r="AM499" i="1"/>
  <c r="AL499" i="1" s="1"/>
  <c r="AH499" i="1"/>
  <c r="AI498" i="1"/>
  <c r="AI499" i="1"/>
  <c r="AF499" i="1"/>
  <c r="AE499" i="1"/>
  <c r="W499" i="1"/>
  <c r="V499" i="1"/>
  <c r="AQ499" i="1"/>
  <c r="AR499" i="1"/>
  <c r="AR498" i="1"/>
  <c r="AQ498" i="1"/>
  <c r="AN498" i="1"/>
  <c r="AM498" i="1"/>
  <c r="AL498" i="1" s="1"/>
  <c r="AH498" i="1"/>
  <c r="AF498" i="1"/>
  <c r="AE498" i="1"/>
  <c r="W498" i="1"/>
  <c r="V498" i="1"/>
  <c r="AQ338" i="1"/>
  <c r="AU338" i="1" s="1"/>
  <c r="AR338" i="1"/>
  <c r="AS338" i="1" a="1"/>
  <c r="AS338" i="1" s="1"/>
  <c r="AT338" i="1" s="1"/>
  <c r="AQ2295" i="1"/>
  <c r="AU2295" i="1" s="1"/>
  <c r="AR2295" i="1"/>
  <c r="AS2295" i="1" a="1"/>
  <c r="AS2295" i="1" s="1"/>
  <c r="AT2295" i="1" s="1"/>
  <c r="AQ669" i="1"/>
  <c r="AU669" i="1" s="1"/>
  <c r="AR669" i="1"/>
  <c r="AN2208" i="1"/>
  <c r="AM2208" i="1"/>
  <c r="AL2208" i="1" s="1"/>
  <c r="AH2208" i="1"/>
  <c r="AF2208" i="1"/>
  <c r="AB480" i="1" l="1"/>
  <c r="AA669" i="1"/>
  <c r="AA816" i="1"/>
  <c r="AB816" i="1" s="1"/>
  <c r="AA817" i="1"/>
  <c r="AD817" i="1" s="1"/>
  <c r="AA819" i="1"/>
  <c r="AA579" i="1"/>
  <c r="AB579" i="1" s="1"/>
  <c r="AA580" i="1"/>
  <c r="AA582" i="1"/>
  <c r="AB582" i="1" s="1"/>
  <c r="AA584" i="1"/>
  <c r="AA818" i="1"/>
  <c r="AD818" i="1" s="1"/>
  <c r="AA581" i="1"/>
  <c r="AA583" i="1"/>
  <c r="AB583" i="1" s="1"/>
  <c r="AA1567" i="1"/>
  <c r="AB1567" i="1" s="1"/>
  <c r="AA498" i="1"/>
  <c r="AA499" i="1"/>
  <c r="AD819" i="1" l="1"/>
  <c r="AB669" i="1"/>
  <c r="AD816" i="1"/>
  <c r="AB580" i="1"/>
  <c r="AB817" i="1"/>
  <c r="AB818" i="1"/>
  <c r="AB584" i="1"/>
  <c r="AB819" i="1"/>
  <c r="AB581" i="1"/>
  <c r="AB498" i="1"/>
  <c r="AB499" i="1"/>
  <c r="AE2208" i="1" l="1"/>
  <c r="W2208" i="1"/>
  <c r="V2208" i="1"/>
  <c r="AQ2208" i="1"/>
  <c r="AU2208" i="1" s="1"/>
  <c r="AR2208" i="1"/>
  <c r="AF1020" i="1"/>
  <c r="AR1020" i="1"/>
  <c r="AQ1020" i="1"/>
  <c r="AN1020" i="1"/>
  <c r="AM1020" i="1"/>
  <c r="AL1020" i="1" s="1"/>
  <c r="AI1020" i="1"/>
  <c r="AH1020" i="1"/>
  <c r="AE1020" i="1"/>
  <c r="AC1020" i="1"/>
  <c r="W1020" i="1"/>
  <c r="V1020" i="1"/>
  <c r="AE1894" i="1"/>
  <c r="AE1897" i="1"/>
  <c r="AE1895" i="1"/>
  <c r="AA2208" i="1" l="1"/>
  <c r="AA1020" i="1"/>
  <c r="AD1020" i="1" s="1"/>
  <c r="AS1020" i="1" s="1"/>
  <c r="AT1020" i="1" s="1"/>
  <c r="AU1020" i="1" s="1"/>
  <c r="AR1896" i="1"/>
  <c r="AQ1896" i="1"/>
  <c r="AN1896" i="1"/>
  <c r="AM1896" i="1"/>
  <c r="AL1896" i="1" s="1"/>
  <c r="AI1896" i="1"/>
  <c r="AH1896" i="1"/>
  <c r="AF1896" i="1"/>
  <c r="AE1896" i="1"/>
  <c r="W1896" i="1"/>
  <c r="V1896" i="1"/>
  <c r="AR2067" i="1"/>
  <c r="AQ2067" i="1"/>
  <c r="AM2067" i="1"/>
  <c r="AL2067" i="1" s="1"/>
  <c r="AI2067" i="1"/>
  <c r="AH2067" i="1"/>
  <c r="AF2067" i="1"/>
  <c r="AE2067" i="1"/>
  <c r="AC2067" i="1"/>
  <c r="W2067" i="1"/>
  <c r="V2067" i="1"/>
  <c r="AR1779" i="1"/>
  <c r="AQ1779" i="1"/>
  <c r="AN1779" i="1"/>
  <c r="AM1779" i="1"/>
  <c r="AL1779" i="1" s="1"/>
  <c r="AI1779" i="1"/>
  <c r="AH1779" i="1"/>
  <c r="AF1779" i="1"/>
  <c r="AE1779" i="1"/>
  <c r="W1779" i="1"/>
  <c r="V1779" i="1"/>
  <c r="AN1631" i="1"/>
  <c r="AM1631" i="1"/>
  <c r="AL1631" i="1" s="1"/>
  <c r="AI1631" i="1"/>
  <c r="AH1631" i="1"/>
  <c r="AF1631" i="1"/>
  <c r="AE1631" i="1"/>
  <c r="W1631" i="1"/>
  <c r="V1631" i="1"/>
  <c r="AQ1631" i="1"/>
  <c r="AR1631" i="1"/>
  <c r="AN1315" i="1"/>
  <c r="AM1315" i="1"/>
  <c r="AL1315" i="1" s="1"/>
  <c r="AI1315" i="1"/>
  <c r="AH1315" i="1"/>
  <c r="AF1315" i="1"/>
  <c r="AB2208" i="1" l="1"/>
  <c r="AA1631" i="1"/>
  <c r="AB1631" i="1" s="1"/>
  <c r="AD1631" i="1" s="1"/>
  <c r="AA1896" i="1"/>
  <c r="AB1020" i="1"/>
  <c r="AJ1020" i="1"/>
  <c r="AK1020" i="1" s="1"/>
  <c r="AA1779" i="1"/>
  <c r="AB1779" i="1" s="1"/>
  <c r="AA2067" i="1"/>
  <c r="AB2067" i="1" s="1"/>
  <c r="AB1896" i="1" l="1"/>
  <c r="AD1896" i="1"/>
  <c r="AD2067" i="1"/>
  <c r="AJ2067" i="1" s="1"/>
  <c r="AK2067" i="1" s="1"/>
  <c r="AE1315" i="1"/>
  <c r="W1315" i="1"/>
  <c r="V1315" i="1"/>
  <c r="AQ1315" i="1"/>
  <c r="AR1315" i="1"/>
  <c r="AS2067" i="1" l="1"/>
  <c r="AT2067" i="1" s="1"/>
  <c r="AU2067" i="1" s="1"/>
  <c r="AA1315" i="1"/>
  <c r="AB1315" i="1" s="1"/>
  <c r="AD1315" i="1" l="1"/>
  <c r="AF897" i="1"/>
  <c r="AF1029" i="1"/>
  <c r="AN2446" i="1" l="1"/>
  <c r="AM2446" i="1"/>
  <c r="AL2446" i="1" s="1"/>
  <c r="AH2446" i="1"/>
  <c r="AF2446" i="1"/>
  <c r="AE2446" i="1"/>
  <c r="W2446" i="1"/>
  <c r="V2446" i="1"/>
  <c r="AN2441" i="1"/>
  <c r="AM2441" i="1"/>
  <c r="AL2441" i="1" s="1"/>
  <c r="AH2441" i="1"/>
  <c r="AH2442" i="1"/>
  <c r="AM2442" i="1"/>
  <c r="AL2442" i="1" s="1"/>
  <c r="AF2441" i="1"/>
  <c r="AE2441" i="1"/>
  <c r="W2441" i="1"/>
  <c r="V2441" i="1"/>
  <c r="AN897" i="1"/>
  <c r="AM897" i="1"/>
  <c r="AL897" i="1" s="1"/>
  <c r="AH897" i="1"/>
  <c r="AE897" i="1"/>
  <c r="W897" i="1"/>
  <c r="V897" i="1"/>
  <c r="AN1029" i="1"/>
  <c r="AM1029" i="1"/>
  <c r="AL1029" i="1" s="1"/>
  <c r="AH1029" i="1"/>
  <c r="AE1029" i="1"/>
  <c r="AN779" i="1"/>
  <c r="AM779" i="1"/>
  <c r="AL779" i="1" s="1"/>
  <c r="AH779" i="1"/>
  <c r="AF779" i="1"/>
  <c r="AE779" i="1"/>
  <c r="W779" i="1"/>
  <c r="V779" i="1"/>
  <c r="AN407" i="1"/>
  <c r="AM407" i="1"/>
  <c r="AL407" i="1" s="1"/>
  <c r="AH407" i="1"/>
  <c r="AF407" i="1"/>
  <c r="AE407" i="1"/>
  <c r="W407" i="1"/>
  <c r="V407" i="1"/>
  <c r="AA2441" i="1" l="1"/>
  <c r="AB2441" i="1" s="1"/>
  <c r="AA2446" i="1"/>
  <c r="AD2446" i="1" s="1"/>
  <c r="AA1029" i="1"/>
  <c r="AD1029" i="1" s="1"/>
  <c r="AA779" i="1"/>
  <c r="AD779" i="1" s="1"/>
  <c r="AA407" i="1"/>
  <c r="AD407" i="1" s="1"/>
  <c r="AA897" i="1"/>
  <c r="AD897" i="1" s="1"/>
  <c r="AP1136" i="1"/>
  <c r="AQ1136" i="1" s="1"/>
  <c r="AN1136" i="1"/>
  <c r="AM1136" i="1"/>
  <c r="AL1136" i="1" s="1"/>
  <c r="AI1136" i="1"/>
  <c r="AH1136" i="1"/>
  <c r="AF1136" i="1"/>
  <c r="AD2441" i="1" l="1"/>
  <c r="AB2446" i="1"/>
  <c r="AB779" i="1"/>
  <c r="AB1029" i="1"/>
  <c r="AB407" i="1"/>
  <c r="AB897" i="1"/>
  <c r="AR1136" i="1"/>
  <c r="AE1136" i="1" l="1"/>
  <c r="W1136" i="1"/>
  <c r="V1136" i="1"/>
  <c r="AR1177" i="1"/>
  <c r="AQ1177" i="1"/>
  <c r="AI1177" i="1"/>
  <c r="AN1177" i="1"/>
  <c r="AM1177" i="1"/>
  <c r="AL1177" i="1" s="1"/>
  <c r="AH1177" i="1"/>
  <c r="AF1177" i="1"/>
  <c r="AE1177" i="1"/>
  <c r="AA1177" i="1"/>
  <c r="W1177" i="1"/>
  <c r="V1177" i="1"/>
  <c r="AA1136" i="1" l="1"/>
  <c r="AB1136" i="1" l="1"/>
  <c r="AQ2566" i="1" l="1"/>
  <c r="AR2566" i="1"/>
  <c r="AH2566" i="1"/>
  <c r="AI2566" i="1"/>
  <c r="AM2566" i="1"/>
  <c r="AL2566" i="1" s="1"/>
  <c r="AN2566" i="1"/>
  <c r="AF2566" i="1"/>
  <c r="V2566" i="1"/>
  <c r="W2566" i="1"/>
  <c r="AQ2565" i="1"/>
  <c r="AR2565" i="1"/>
  <c r="AH2565" i="1"/>
  <c r="AI2565" i="1"/>
  <c r="AM2565" i="1"/>
  <c r="AL2565" i="1" s="1"/>
  <c r="AN2565" i="1"/>
  <c r="AF2565" i="1"/>
  <c r="AE2565" i="1"/>
  <c r="V2565" i="1"/>
  <c r="AC2565" i="1" s="1"/>
  <c r="W2565" i="1"/>
  <c r="AQ2545" i="1"/>
  <c r="AR2545" i="1"/>
  <c r="AH2545" i="1"/>
  <c r="AI2545" i="1"/>
  <c r="AM2545" i="1"/>
  <c r="AL2545" i="1" s="1"/>
  <c r="AN2545" i="1"/>
  <c r="AF2545" i="1"/>
  <c r="AC2545" i="1"/>
  <c r="AE2545" i="1"/>
  <c r="V2545" i="1"/>
  <c r="W2545" i="1"/>
  <c r="AP2497" i="1"/>
  <c r="AR2497" i="1" s="1"/>
  <c r="AH2497" i="1"/>
  <c r="AI2497" i="1"/>
  <c r="AM2497" i="1"/>
  <c r="AL2497" i="1" s="1"/>
  <c r="AN2497" i="1"/>
  <c r="AF2497" i="1"/>
  <c r="AA2497" i="1"/>
  <c r="AD2497" i="1" s="1"/>
  <c r="AC2497" i="1"/>
  <c r="V2497" i="1"/>
  <c r="W2497" i="1"/>
  <c r="AQ2478" i="1"/>
  <c r="AR2478" i="1"/>
  <c r="AH2478" i="1"/>
  <c r="AI2478" i="1"/>
  <c r="AM2478" i="1"/>
  <c r="AL2478" i="1" s="1"/>
  <c r="AN2478" i="1"/>
  <c r="AF2478" i="1"/>
  <c r="AC2478" i="1"/>
  <c r="AE2478" i="1"/>
  <c r="V2478" i="1"/>
  <c r="W2478" i="1"/>
  <c r="AQ2183" i="1"/>
  <c r="AR2183" i="1"/>
  <c r="AH2183" i="1"/>
  <c r="AI2183" i="1"/>
  <c r="AM2183" i="1"/>
  <c r="AL2183" i="1" s="1"/>
  <c r="AN2183" i="1"/>
  <c r="AF2183" i="1"/>
  <c r="AE2183" i="1"/>
  <c r="V2183" i="1"/>
  <c r="Y2183" i="1" s="1"/>
  <c r="W2183" i="1"/>
  <c r="Z2183" i="1" s="1"/>
  <c r="AQ2066" i="1"/>
  <c r="AR2066" i="1"/>
  <c r="AH2066" i="1"/>
  <c r="AI2066" i="1"/>
  <c r="AM2066" i="1"/>
  <c r="AL2066" i="1" s="1"/>
  <c r="AF2066" i="1"/>
  <c r="AC2066" i="1"/>
  <c r="AE2066" i="1"/>
  <c r="V2066" i="1"/>
  <c r="Y2066" i="1" s="1"/>
  <c r="W2066" i="1"/>
  <c r="Z2066" i="1" s="1"/>
  <c r="AA2565" i="1" l="1"/>
  <c r="AA2545" i="1"/>
  <c r="AB2545" i="1" s="1"/>
  <c r="AB2497" i="1"/>
  <c r="AQ2497" i="1"/>
  <c r="AS2497" i="1" s="1"/>
  <c r="AT2497" i="1" s="1"/>
  <c r="AU2497" i="1" s="1"/>
  <c r="AJ2497" i="1"/>
  <c r="AK2497" i="1" s="1"/>
  <c r="AA2478" i="1"/>
  <c r="AB2478" i="1" s="1"/>
  <c r="AA2183" i="1"/>
  <c r="AB2183" i="1"/>
  <c r="AD2183" i="1" s="1"/>
  <c r="AA2066" i="1"/>
  <c r="AD2066" i="1" l="1"/>
  <c r="AS2066" i="1" s="1"/>
  <c r="AT2066" i="1" s="1"/>
  <c r="AU2066" i="1" s="1"/>
  <c r="AB2066" i="1"/>
  <c r="AD2478" i="1"/>
  <c r="AJ2478" i="1" s="1"/>
  <c r="AK2478" i="1" s="1"/>
  <c r="AJ2066" i="1" l="1"/>
  <c r="AK2066" i="1" s="1"/>
  <c r="AS2478" i="1"/>
  <c r="AT2478" i="1" s="1"/>
  <c r="AU2478" i="1" s="1"/>
  <c r="AQ2065" i="1" l="1"/>
  <c r="AR2065" i="1"/>
  <c r="AH2065" i="1"/>
  <c r="AI2065" i="1"/>
  <c r="AM2065" i="1"/>
  <c r="AL2065" i="1" s="1"/>
  <c r="AF2065" i="1"/>
  <c r="AC2065" i="1"/>
  <c r="AE2065" i="1"/>
  <c r="V2065" i="1"/>
  <c r="W2065" i="1"/>
  <c r="AQ2043" i="1"/>
  <c r="AR2043" i="1"/>
  <c r="AH2043" i="1"/>
  <c r="AI2043" i="1"/>
  <c r="AM2043" i="1"/>
  <c r="AL2043" i="1" s="1"/>
  <c r="AN2043" i="1"/>
  <c r="AF2043" i="1"/>
  <c r="AC2043" i="1"/>
  <c r="AE2043" i="1"/>
  <c r="V2043" i="1"/>
  <c r="W2043" i="1"/>
  <c r="AR2030" i="1"/>
  <c r="AQ2030" i="1"/>
  <c r="AI2030" i="1"/>
  <c r="AI2032" i="1"/>
  <c r="AN2030" i="1"/>
  <c r="AM2030" i="1"/>
  <c r="AL2030" i="1" s="1"/>
  <c r="AH2030" i="1"/>
  <c r="AF2030" i="1"/>
  <c r="AE2030" i="1"/>
  <c r="W2030" i="1"/>
  <c r="V2030" i="1"/>
  <c r="AR2010" i="1"/>
  <c r="AQ2010" i="1"/>
  <c r="AM2010" i="1"/>
  <c r="AL2010" i="1" s="1"/>
  <c r="AI2010" i="1"/>
  <c r="AH2010" i="1"/>
  <c r="AF2010" i="1"/>
  <c r="AA2010" i="1"/>
  <c r="W2010" i="1"/>
  <c r="V2010" i="1"/>
  <c r="AR1935" i="1"/>
  <c r="AQ1935" i="1"/>
  <c r="AN1935" i="1"/>
  <c r="AM1935" i="1"/>
  <c r="AL1935" i="1" s="1"/>
  <c r="AI1935" i="1"/>
  <c r="AH1935" i="1"/>
  <c r="AF1935" i="1"/>
  <c r="AP1905" i="1"/>
  <c r="AQ1905" i="1" s="1"/>
  <c r="AN1905" i="1"/>
  <c r="AM1905" i="1"/>
  <c r="AL1905" i="1" s="1"/>
  <c r="AI1905" i="1"/>
  <c r="AH1905" i="1"/>
  <c r="AF1905" i="1"/>
  <c r="AE1905" i="1"/>
  <c r="AC1905" i="1"/>
  <c r="W1905" i="1"/>
  <c r="V1905" i="1"/>
  <c r="AR1894" i="1"/>
  <c r="AQ1894" i="1"/>
  <c r="AN1894" i="1"/>
  <c r="AM1894" i="1"/>
  <c r="AL1894" i="1" s="1"/>
  <c r="AI1894" i="1"/>
  <c r="AH1894" i="1"/>
  <c r="AF1894" i="1"/>
  <c r="W1894" i="1"/>
  <c r="V1894" i="1"/>
  <c r="AP1888" i="1"/>
  <c r="AQ1888" i="1" s="1"/>
  <c r="AN1888" i="1"/>
  <c r="AM1888" i="1"/>
  <c r="AL1888" i="1" s="1"/>
  <c r="AI1888" i="1"/>
  <c r="AH1888" i="1"/>
  <c r="AF1888" i="1"/>
  <c r="AA2065" i="1" l="1"/>
  <c r="AD2065" i="1" s="1"/>
  <c r="AS2065" i="1" s="1"/>
  <c r="AT2065" i="1" s="1"/>
  <c r="AU2065" i="1" s="1"/>
  <c r="AA2030" i="1"/>
  <c r="AD2030" i="1" s="1"/>
  <c r="AA2043" i="1"/>
  <c r="AB2043" i="1" s="1"/>
  <c r="AD2010" i="1"/>
  <c r="AB2010" i="1"/>
  <c r="AA1905" i="1"/>
  <c r="AB1905" i="1" s="1"/>
  <c r="AR1905" i="1"/>
  <c r="AA1894" i="1"/>
  <c r="AR1888" i="1"/>
  <c r="AD1894" i="1" l="1"/>
  <c r="AB1894" i="1"/>
  <c r="AB2065" i="1"/>
  <c r="AJ2065" i="1"/>
  <c r="AK2065" i="1" s="1"/>
  <c r="AB2030" i="1"/>
  <c r="AD2043" i="1"/>
  <c r="AS2043" i="1" s="1"/>
  <c r="AT2043" i="1" s="1"/>
  <c r="AU2043" i="1" s="1"/>
  <c r="AD1905" i="1"/>
  <c r="AJ1905" i="1" s="1"/>
  <c r="AK1905" i="1" s="1"/>
  <c r="AS1905" i="1" l="1"/>
  <c r="AT1905" i="1" s="1"/>
  <c r="AU1905" i="1" s="1"/>
  <c r="AJ2043" i="1"/>
  <c r="AK2043" i="1" s="1"/>
  <c r="AE1888" i="1"/>
  <c r="W1888" i="1"/>
  <c r="Z1888" i="1" s="1"/>
  <c r="V1888" i="1"/>
  <c r="Y1888" i="1" s="1"/>
  <c r="AP1877" i="1"/>
  <c r="AQ1877" i="1" s="1"/>
  <c r="AN1877" i="1"/>
  <c r="AM1877" i="1"/>
  <c r="AL1877" i="1" s="1"/>
  <c r="AI1877" i="1"/>
  <c r="AH1877" i="1"/>
  <c r="AF1877" i="1"/>
  <c r="AE1877" i="1"/>
  <c r="W1877" i="1"/>
  <c r="V1877" i="1"/>
  <c r="AR1866" i="1"/>
  <c r="AQ1866" i="1"/>
  <c r="AR1869" i="1"/>
  <c r="AQ1869" i="1"/>
  <c r="AN1869" i="1"/>
  <c r="AM1869" i="1"/>
  <c r="AL1869" i="1" s="1"/>
  <c r="AI1869" i="1"/>
  <c r="AH1869" i="1"/>
  <c r="AF1869" i="1"/>
  <c r="AE1869" i="1"/>
  <c r="W1869" i="1"/>
  <c r="Z1869" i="1" s="1"/>
  <c r="V1869" i="1"/>
  <c r="Y1869" i="1" s="1"/>
  <c r="AN1866" i="1"/>
  <c r="AM1866" i="1"/>
  <c r="AL1866" i="1" s="1"/>
  <c r="AI1866" i="1"/>
  <c r="AH1866" i="1"/>
  <c r="AF1866" i="1"/>
  <c r="AE1866" i="1"/>
  <c r="W1866" i="1"/>
  <c r="Z1866" i="1" s="1"/>
  <c r="V1866" i="1"/>
  <c r="Y1866" i="1" s="1"/>
  <c r="AR1858" i="1"/>
  <c r="AQ1858" i="1"/>
  <c r="AN1858" i="1"/>
  <c r="AM1858" i="1"/>
  <c r="AL1858" i="1" s="1"/>
  <c r="AI1858" i="1"/>
  <c r="AH1858" i="1"/>
  <c r="AF1858" i="1"/>
  <c r="AE1858" i="1"/>
  <c r="V1858" i="1"/>
  <c r="AA1858" i="1" s="1"/>
  <c r="AR1850" i="1"/>
  <c r="AQ1850" i="1"/>
  <c r="AN1850" i="1"/>
  <c r="AM1850" i="1"/>
  <c r="AL1850" i="1" s="1"/>
  <c r="AI1850" i="1"/>
  <c r="AH1850" i="1"/>
  <c r="AF1850" i="1"/>
  <c r="AE1850" i="1"/>
  <c r="W1850" i="1"/>
  <c r="V1850" i="1"/>
  <c r="AA1877" i="1" l="1"/>
  <c r="AB1888" i="1"/>
  <c r="AA1888" i="1"/>
  <c r="AD1888" i="1" s="1"/>
  <c r="AR1877" i="1"/>
  <c r="AA1869" i="1"/>
  <c r="AA1866" i="1"/>
  <c r="AB1858" i="1"/>
  <c r="AD1858" i="1" s="1"/>
  <c r="AA1850" i="1"/>
  <c r="AB1877" i="1" l="1"/>
  <c r="AR1771" i="1" l="1"/>
  <c r="AQ1771" i="1"/>
  <c r="AI1771" i="1"/>
  <c r="AN1771" i="1"/>
  <c r="AM1771" i="1"/>
  <c r="AL1771" i="1" s="1"/>
  <c r="AH1771" i="1"/>
  <c r="AF1771" i="1"/>
  <c r="AE1771" i="1"/>
  <c r="W1771" i="1"/>
  <c r="V1771" i="1"/>
  <c r="AR1745" i="1"/>
  <c r="AQ1745" i="1"/>
  <c r="AI1745" i="1"/>
  <c r="AO1745" i="1"/>
  <c r="AN1745" i="1"/>
  <c r="AM1745" i="1"/>
  <c r="AL1745" i="1" s="1"/>
  <c r="AF1745" i="1"/>
  <c r="AE1745" i="1"/>
  <c r="W1745" i="1"/>
  <c r="Z1745" i="1" s="1"/>
  <c r="V1745" i="1"/>
  <c r="Y1745" i="1" s="1"/>
  <c r="AR1641" i="1"/>
  <c r="AQ1641" i="1"/>
  <c r="AN1641" i="1"/>
  <c r="AM1641" i="1"/>
  <c r="AL1641" i="1" s="1"/>
  <c r="AI1641" i="1"/>
  <c r="AH1641" i="1"/>
  <c r="AF1641" i="1"/>
  <c r="AE1641" i="1"/>
  <c r="AC1641" i="1"/>
  <c r="W1641" i="1"/>
  <c r="V1641" i="1"/>
  <c r="AR1554" i="1"/>
  <c r="AQ1554" i="1"/>
  <c r="AN1554" i="1"/>
  <c r="AM1554" i="1"/>
  <c r="AL1554" i="1" s="1"/>
  <c r="AI1554" i="1"/>
  <c r="AH1554" i="1"/>
  <c r="AF1554" i="1"/>
  <c r="AE1554" i="1"/>
  <c r="AC1554" i="1"/>
  <c r="W1554" i="1"/>
  <c r="V1554" i="1"/>
  <c r="AR1510" i="1"/>
  <c r="AQ1510" i="1"/>
  <c r="AN1510" i="1"/>
  <c r="AM1510" i="1"/>
  <c r="AL1510" i="1" s="1"/>
  <c r="AI1510" i="1"/>
  <c r="AH1510" i="1"/>
  <c r="AF1510" i="1"/>
  <c r="AE1510" i="1"/>
  <c r="AC1510" i="1"/>
  <c r="W1510" i="1"/>
  <c r="V1510" i="1"/>
  <c r="AR1505" i="1"/>
  <c r="AQ1505" i="1"/>
  <c r="AN1505" i="1"/>
  <c r="AM1505" i="1"/>
  <c r="AL1505" i="1" s="1"/>
  <c r="AI1505" i="1"/>
  <c r="AH1505" i="1"/>
  <c r="AF1505" i="1"/>
  <c r="AE1505" i="1"/>
  <c r="W1505" i="1"/>
  <c r="V1505" i="1"/>
  <c r="AE1488" i="1"/>
  <c r="AE1487" i="1"/>
  <c r="AE1486" i="1"/>
  <c r="AE1485" i="1"/>
  <c r="AE1484" i="1"/>
  <c r="W1488" i="1"/>
  <c r="V1488" i="1"/>
  <c r="AC1488" i="1" s="1"/>
  <c r="W1487" i="1"/>
  <c r="V1487" i="1"/>
  <c r="W1486" i="1"/>
  <c r="V1486" i="1"/>
  <c r="AC1486" i="1" s="1"/>
  <c r="W1485" i="1"/>
  <c r="V1485" i="1"/>
  <c r="AC1485" i="1" s="1"/>
  <c r="W1484" i="1"/>
  <c r="V1484" i="1"/>
  <c r="AC1484" i="1" s="1"/>
  <c r="AN1488" i="1"/>
  <c r="AM1488" i="1"/>
  <c r="AL1488" i="1" s="1"/>
  <c r="AI1488" i="1"/>
  <c r="AH1488" i="1"/>
  <c r="AN1487" i="1"/>
  <c r="AM1487" i="1"/>
  <c r="AL1487" i="1" s="1"/>
  <c r="AI1487" i="1"/>
  <c r="AH1487" i="1"/>
  <c r="AN1486" i="1"/>
  <c r="AM1486" i="1"/>
  <c r="AL1486" i="1" s="1"/>
  <c r="AI1486" i="1"/>
  <c r="AH1486" i="1"/>
  <c r="AN1485" i="1"/>
  <c r="AM1485" i="1"/>
  <c r="AL1485" i="1" s="1"/>
  <c r="AI1485" i="1"/>
  <c r="AH1485" i="1"/>
  <c r="AN1484" i="1"/>
  <c r="AM1484" i="1"/>
  <c r="AL1484" i="1" s="1"/>
  <c r="AI1484" i="1"/>
  <c r="AH1484" i="1"/>
  <c r="AR1488" i="1"/>
  <c r="AQ1488" i="1"/>
  <c r="AR1487" i="1"/>
  <c r="AQ1487" i="1"/>
  <c r="AR1486" i="1"/>
  <c r="AQ1486" i="1"/>
  <c r="AR1485" i="1"/>
  <c r="AQ1485" i="1"/>
  <c r="AR1484" i="1"/>
  <c r="AQ1484" i="1"/>
  <c r="AR1482" i="1"/>
  <c r="AQ1482" i="1"/>
  <c r="AN1482" i="1"/>
  <c r="AM1482" i="1"/>
  <c r="AL1482" i="1" s="1"/>
  <c r="AI1482" i="1"/>
  <c r="AH1482" i="1"/>
  <c r="AF1488" i="1"/>
  <c r="AF1487" i="1"/>
  <c r="AF1486" i="1"/>
  <c r="AF1484" i="1"/>
  <c r="AF1485" i="1"/>
  <c r="AF1482" i="1"/>
  <c r="AE1482" i="1"/>
  <c r="W1482" i="1"/>
  <c r="V1482" i="1"/>
  <c r="AC1482" i="1" s="1"/>
  <c r="AR1472" i="1"/>
  <c r="AQ1472" i="1"/>
  <c r="AN1472" i="1"/>
  <c r="AM1472" i="1"/>
  <c r="AL1472" i="1" s="1"/>
  <c r="AI1472" i="1"/>
  <c r="AH1472" i="1"/>
  <c r="AF1472" i="1"/>
  <c r="AE1472" i="1"/>
  <c r="AA1472" i="1"/>
  <c r="W1472" i="1"/>
  <c r="V1472" i="1"/>
  <c r="AR1468" i="1"/>
  <c r="AQ1468" i="1"/>
  <c r="AR1466" i="1"/>
  <c r="AQ1466" i="1"/>
  <c r="AR1461" i="1"/>
  <c r="AQ1461" i="1"/>
  <c r="AN1468" i="1"/>
  <c r="AM1468" i="1"/>
  <c r="AL1468" i="1" s="1"/>
  <c r="AI1468" i="1"/>
  <c r="AH1468" i="1"/>
  <c r="AN1466" i="1"/>
  <c r="AM1466" i="1"/>
  <c r="AL1466" i="1" s="1"/>
  <c r="AI1466" i="1"/>
  <c r="AH1466" i="1"/>
  <c r="AN1461" i="1"/>
  <c r="AM1461" i="1"/>
  <c r="AL1461" i="1" s="1"/>
  <c r="AI1461" i="1"/>
  <c r="AH1461" i="1"/>
  <c r="AF1468" i="1"/>
  <c r="AF1466" i="1"/>
  <c r="AF1461" i="1"/>
  <c r="AE1468" i="1"/>
  <c r="AE1466" i="1"/>
  <c r="AE1461" i="1"/>
  <c r="W1468" i="1"/>
  <c r="V1468" i="1"/>
  <c r="W1466" i="1"/>
  <c r="V1466" i="1"/>
  <c r="W1461" i="1"/>
  <c r="V1461" i="1"/>
  <c r="AR1459" i="1"/>
  <c r="AQ1459" i="1"/>
  <c r="AN1459" i="1"/>
  <c r="AM1459" i="1"/>
  <c r="AL1459" i="1" s="1"/>
  <c r="AI1459" i="1"/>
  <c r="AH1459" i="1"/>
  <c r="AF1459" i="1"/>
  <c r="AE1459" i="1"/>
  <c r="W1459" i="1"/>
  <c r="V1459" i="1"/>
  <c r="AR1379" i="1"/>
  <c r="AQ1379" i="1"/>
  <c r="AN1379" i="1"/>
  <c r="AM1379" i="1"/>
  <c r="AL1379" i="1" s="1"/>
  <c r="AI1379" i="1"/>
  <c r="AH1379" i="1"/>
  <c r="AF1379" i="1"/>
  <c r="AE1379" i="1"/>
  <c r="AC1379" i="1"/>
  <c r="W1379" i="1"/>
  <c r="V1379" i="1"/>
  <c r="AR1375" i="1"/>
  <c r="AQ1375" i="1"/>
  <c r="AI1375" i="1"/>
  <c r="AN1375" i="1"/>
  <c r="AM1375" i="1"/>
  <c r="AL1375" i="1" s="1"/>
  <c r="AH1375" i="1"/>
  <c r="AF1375" i="1"/>
  <c r="AE1375" i="1"/>
  <c r="AC1375" i="1"/>
  <c r="W1375" i="1"/>
  <c r="V1375" i="1"/>
  <c r="AR1267" i="1"/>
  <c r="AQ1267" i="1"/>
  <c r="AI1267" i="1"/>
  <c r="AN1267" i="1"/>
  <c r="AM1267" i="1"/>
  <c r="AL1267" i="1" s="1"/>
  <c r="AH1267" i="1"/>
  <c r="AF1267" i="1"/>
  <c r="AE1267" i="1"/>
  <c r="AA1267" i="1"/>
  <c r="W1267" i="1"/>
  <c r="V1267" i="1"/>
  <c r="AR1209" i="1"/>
  <c r="AQ1209" i="1"/>
  <c r="AN1209" i="1"/>
  <c r="AM1209" i="1"/>
  <c r="AL1209" i="1" s="1"/>
  <c r="AI1209" i="1"/>
  <c r="AF1209" i="1"/>
  <c r="AH1209" i="1"/>
  <c r="AE1209" i="1"/>
  <c r="AA1209" i="1"/>
  <c r="W1209" i="1"/>
  <c r="V1209" i="1"/>
  <c r="V1208" i="1"/>
  <c r="W1208" i="1"/>
  <c r="AR1037" i="1"/>
  <c r="AQ1037" i="1"/>
  <c r="AN1037" i="1"/>
  <c r="AM1037" i="1"/>
  <c r="AL1037" i="1" s="1"/>
  <c r="AI1037" i="1"/>
  <c r="AH1037" i="1"/>
  <c r="AF1037" i="1"/>
  <c r="AE1037" i="1"/>
  <c r="W1037" i="1"/>
  <c r="V1037" i="1"/>
  <c r="AR1019" i="1"/>
  <c r="AQ1019" i="1"/>
  <c r="AI1019" i="1"/>
  <c r="AN1019" i="1"/>
  <c r="AM1019" i="1"/>
  <c r="AL1019" i="1" s="1"/>
  <c r="AH1019" i="1"/>
  <c r="AF1019" i="1"/>
  <c r="AE1019" i="1"/>
  <c r="AC1019" i="1"/>
  <c r="W1019" i="1"/>
  <c r="V1019" i="1"/>
  <c r="AR1002" i="1"/>
  <c r="AQ1002" i="1"/>
  <c r="AI1002" i="1"/>
  <c r="AN1002" i="1"/>
  <c r="AM1002" i="1"/>
  <c r="AL1002" i="1" s="1"/>
  <c r="AH1002" i="1"/>
  <c r="AF1002" i="1"/>
  <c r="AE1002" i="1"/>
  <c r="W1002" i="1"/>
  <c r="V1002" i="1"/>
  <c r="AR989" i="1"/>
  <c r="AQ989" i="1"/>
  <c r="AN989" i="1"/>
  <c r="AM989" i="1"/>
  <c r="AL989" i="1" s="1"/>
  <c r="AI989" i="1"/>
  <c r="AH989" i="1"/>
  <c r="AF989" i="1"/>
  <c r="AE989" i="1"/>
  <c r="W989" i="1"/>
  <c r="V989" i="1"/>
  <c r="AR976" i="1"/>
  <c r="AQ976" i="1"/>
  <c r="AN976" i="1"/>
  <c r="AM976" i="1"/>
  <c r="AL976" i="1" s="1"/>
  <c r="AI976" i="1"/>
  <c r="AH976" i="1"/>
  <c r="AF976" i="1"/>
  <c r="AE976" i="1"/>
  <c r="AC976" i="1"/>
  <c r="W976" i="1"/>
  <c r="V976" i="1"/>
  <c r="AR936" i="1"/>
  <c r="AQ936" i="1"/>
  <c r="AN936" i="1"/>
  <c r="AM936" i="1"/>
  <c r="AL936" i="1" s="1"/>
  <c r="AI936" i="1"/>
  <c r="AH936" i="1"/>
  <c r="AF936" i="1"/>
  <c r="AE936" i="1"/>
  <c r="W936" i="1"/>
  <c r="V936" i="1"/>
  <c r="AR935" i="1"/>
  <c r="AQ935" i="1"/>
  <c r="AI935" i="1"/>
  <c r="AN935" i="1"/>
  <c r="AM935" i="1"/>
  <c r="AL935" i="1" s="1"/>
  <c r="AH935" i="1"/>
  <c r="AF935" i="1"/>
  <c r="AE935" i="1"/>
  <c r="AA935" i="1"/>
  <c r="W935" i="1"/>
  <c r="V935" i="1"/>
  <c r="AR908" i="1"/>
  <c r="AQ908" i="1"/>
  <c r="AO908" i="1"/>
  <c r="AN908" i="1"/>
  <c r="AM908" i="1"/>
  <c r="AL908" i="1" s="1"/>
  <c r="AF908" i="1"/>
  <c r="AE908" i="1"/>
  <c r="W908" i="1"/>
  <c r="Z908" i="1" s="1"/>
  <c r="V908" i="1"/>
  <c r="Y908" i="1" s="1"/>
  <c r="AR853" i="1"/>
  <c r="AQ853" i="1"/>
  <c r="AN853" i="1"/>
  <c r="AM853" i="1"/>
  <c r="AL853" i="1" s="1"/>
  <c r="AI853" i="1"/>
  <c r="AH853" i="1"/>
  <c r="AF853" i="1"/>
  <c r="AE853" i="1"/>
  <c r="AA855" i="1"/>
  <c r="W853" i="1"/>
  <c r="V853" i="1"/>
  <c r="AR844" i="1"/>
  <c r="AQ844" i="1"/>
  <c r="AF844" i="1"/>
  <c r="AE844" i="1"/>
  <c r="AP808" i="1"/>
  <c r="AQ808" i="1" s="1"/>
  <c r="AU811" i="1"/>
  <c r="AN808" i="1"/>
  <c r="AM808" i="1"/>
  <c r="AL808" i="1" s="1"/>
  <c r="AI808" i="1"/>
  <c r="AH808" i="1"/>
  <c r="AF808" i="1"/>
  <c r="AE808" i="1"/>
  <c r="AC808" i="1"/>
  <c r="W808" i="1"/>
  <c r="V808" i="1"/>
  <c r="W810" i="1"/>
  <c r="V810" i="1"/>
  <c r="AR764" i="1"/>
  <c r="AQ764" i="1"/>
  <c r="AR746" i="1"/>
  <c r="AQ746" i="1"/>
  <c r="AN746" i="1"/>
  <c r="AM746" i="1"/>
  <c r="AL746" i="1" s="1"/>
  <c r="AI746" i="1"/>
  <c r="AH746" i="1"/>
  <c r="AF746" i="1"/>
  <c r="AE746" i="1"/>
  <c r="W746" i="1"/>
  <c r="Z746" i="1" s="1"/>
  <c r="V746" i="1"/>
  <c r="AR745" i="1"/>
  <c r="AQ745" i="1"/>
  <c r="AN745" i="1"/>
  <c r="AM745" i="1"/>
  <c r="AL745" i="1" s="1"/>
  <c r="AI745" i="1"/>
  <c r="AH745" i="1"/>
  <c r="AF745" i="1"/>
  <c r="AE745" i="1"/>
  <c r="W745" i="1"/>
  <c r="Z745" i="1" s="1"/>
  <c r="V745" i="1"/>
  <c r="AH741" i="1"/>
  <c r="AR741" i="1"/>
  <c r="AQ741" i="1"/>
  <c r="AN741" i="1"/>
  <c r="AM741" i="1"/>
  <c r="AL741" i="1" s="1"/>
  <c r="AI741" i="1"/>
  <c r="AE741" i="1"/>
  <c r="W741" i="1"/>
  <c r="Z741" i="1" s="1"/>
  <c r="V741" i="1"/>
  <c r="Y741" i="1" s="1"/>
  <c r="AP708" i="1"/>
  <c r="AQ708" i="1" s="1"/>
  <c r="AN708" i="1"/>
  <c r="AM708" i="1"/>
  <c r="AL708" i="1" s="1"/>
  <c r="AI708" i="1"/>
  <c r="AH708" i="1"/>
  <c r="AF708" i="1"/>
  <c r="AE708" i="1"/>
  <c r="W708" i="1"/>
  <c r="V708" i="1"/>
  <c r="AR700" i="1"/>
  <c r="AQ700" i="1"/>
  <c r="AN700" i="1"/>
  <c r="AM700" i="1"/>
  <c r="AL700" i="1" s="1"/>
  <c r="AI700" i="1"/>
  <c r="AH700" i="1"/>
  <c r="AF700" i="1"/>
  <c r="AE700" i="1"/>
  <c r="W700" i="1"/>
  <c r="V700" i="1"/>
  <c r="AR698" i="1"/>
  <c r="AQ698" i="1"/>
  <c r="AN698" i="1"/>
  <c r="AM698" i="1"/>
  <c r="AL698" i="1" s="1"/>
  <c r="AI698" i="1"/>
  <c r="AH698" i="1"/>
  <c r="AF698" i="1"/>
  <c r="AE698" i="1"/>
  <c r="Z698" i="1"/>
  <c r="Y698" i="1"/>
  <c r="AE699" i="1"/>
  <c r="AR359" i="1"/>
  <c r="AQ359" i="1"/>
  <c r="AI359" i="1"/>
  <c r="AN359" i="1"/>
  <c r="AM359" i="1"/>
  <c r="AL359" i="1" s="1"/>
  <c r="AH359" i="1"/>
  <c r="AF359" i="1"/>
  <c r="AE359" i="1"/>
  <c r="W359" i="1"/>
  <c r="V359" i="1"/>
  <c r="AR350" i="1"/>
  <c r="AQ350" i="1"/>
  <c r="AI350" i="1"/>
  <c r="AO350" i="1"/>
  <c r="AN350" i="1"/>
  <c r="AM350" i="1"/>
  <c r="AL350" i="1" s="1"/>
  <c r="AH350" i="1"/>
  <c r="AF350" i="1"/>
  <c r="AE350" i="1"/>
  <c r="W350" i="1"/>
  <c r="V350" i="1"/>
  <c r="AR330" i="1"/>
  <c r="AQ330" i="1"/>
  <c r="AU2" i="1"/>
  <c r="AU3" i="1"/>
  <c r="AU4" i="1"/>
  <c r="AU5" i="1"/>
  <c r="AU6" i="1"/>
  <c r="AU7" i="1"/>
  <c r="AU8" i="1"/>
  <c r="AU9" i="1"/>
  <c r="AU10" i="1"/>
  <c r="AU11" i="1"/>
  <c r="AU12" i="1"/>
  <c r="AU13" i="1"/>
  <c r="AU383" i="1"/>
  <c r="AU2329" i="1"/>
  <c r="AU17" i="1"/>
  <c r="AU18" i="1"/>
  <c r="AU19" i="1"/>
  <c r="AU750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2" i="1"/>
  <c r="AU63" i="1"/>
  <c r="AU64" i="1"/>
  <c r="AU65" i="1"/>
  <c r="AU66" i="1"/>
  <c r="AU67" i="1"/>
  <c r="AU68" i="1"/>
  <c r="AU69" i="1"/>
  <c r="AU70" i="1"/>
  <c r="AU76" i="1"/>
  <c r="AU77" i="1"/>
  <c r="AU79" i="1"/>
  <c r="AU80" i="1"/>
  <c r="AU81" i="1"/>
  <c r="AU82" i="1"/>
  <c r="AU83" i="1"/>
  <c r="AU84" i="1"/>
  <c r="AU85" i="1"/>
  <c r="AU86" i="1"/>
  <c r="AU87" i="1"/>
  <c r="AU88" i="1"/>
  <c r="AU89" i="1"/>
  <c r="AU91" i="1"/>
  <c r="AU94" i="1"/>
  <c r="AU93" i="1"/>
  <c r="AU92" i="1"/>
  <c r="AU95" i="1"/>
  <c r="AU96" i="1"/>
  <c r="AU97" i="1"/>
  <c r="AU101" i="1"/>
  <c r="AU102" i="1"/>
  <c r="AU103" i="1"/>
  <c r="AU104" i="1"/>
  <c r="AU105" i="1"/>
  <c r="AU106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8" i="1"/>
  <c r="AU129" i="1"/>
  <c r="AU130" i="1"/>
  <c r="AU131" i="1"/>
  <c r="AU132" i="1"/>
  <c r="AU133" i="1"/>
  <c r="AU134" i="1"/>
  <c r="AU137" i="1"/>
  <c r="AU138" i="1"/>
  <c r="AU139" i="1"/>
  <c r="AU142" i="1"/>
  <c r="AU145" i="1"/>
  <c r="AU146" i="1"/>
  <c r="AU147" i="1"/>
  <c r="AU148" i="1"/>
  <c r="AU149" i="1"/>
  <c r="AU150" i="1"/>
  <c r="AU154" i="1"/>
  <c r="AU151" i="1"/>
  <c r="AU152" i="1"/>
  <c r="AU155" i="1"/>
  <c r="AU156" i="1"/>
  <c r="AU158" i="1"/>
  <c r="AU159" i="1"/>
  <c r="AU160" i="1"/>
  <c r="AU161" i="1"/>
  <c r="AU163" i="1"/>
  <c r="AU164" i="1"/>
  <c r="AU165" i="1"/>
  <c r="AU168" i="1"/>
  <c r="AU169" i="1"/>
  <c r="AU171" i="1"/>
  <c r="AU172" i="1"/>
  <c r="AU173" i="1"/>
  <c r="AU174" i="1"/>
  <c r="AU175" i="1"/>
  <c r="AU176" i="1"/>
  <c r="AU177" i="1"/>
  <c r="AU178" i="1"/>
  <c r="AU179" i="1"/>
  <c r="AU180" i="1"/>
  <c r="AU181" i="1"/>
  <c r="AU184" i="1"/>
  <c r="AU185" i="1"/>
  <c r="AU186" i="1"/>
  <c r="AU187" i="1"/>
  <c r="AU188" i="1"/>
  <c r="AU189" i="1"/>
  <c r="AU190" i="1"/>
  <c r="AU191" i="1"/>
  <c r="AU192" i="1"/>
  <c r="AU193" i="1"/>
  <c r="AU194" i="1"/>
  <c r="AU197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9" i="1"/>
  <c r="AU228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754" i="1"/>
  <c r="AU247" i="1"/>
  <c r="AU248" i="1"/>
  <c r="AU257" i="1"/>
  <c r="AU249" i="1"/>
  <c r="AU250" i="1"/>
  <c r="AU251" i="1"/>
  <c r="AU252" i="1"/>
  <c r="AU253" i="1"/>
  <c r="AU254" i="1"/>
  <c r="AU255" i="1"/>
  <c r="AU256" i="1"/>
  <c r="AU259" i="1"/>
  <c r="AU260" i="1"/>
  <c r="AU261" i="1"/>
  <c r="AU262" i="1"/>
  <c r="AU263" i="1"/>
  <c r="AU264" i="1"/>
  <c r="AU265" i="1"/>
  <c r="AU266" i="1"/>
  <c r="AU267" i="1"/>
  <c r="AU268" i="1"/>
  <c r="AU269" i="1"/>
  <c r="AU270" i="1"/>
  <c r="AU273" i="1"/>
  <c r="AU274" i="1"/>
  <c r="AU275" i="1"/>
  <c r="AU276" i="1"/>
  <c r="AU277" i="1"/>
  <c r="AU278" i="1"/>
  <c r="AU279" i="1"/>
  <c r="AU280" i="1"/>
  <c r="AU282" i="1"/>
  <c r="AU283" i="1"/>
  <c r="AU284" i="1"/>
  <c r="AU285" i="1"/>
  <c r="AU286" i="1"/>
  <c r="AU287" i="1"/>
  <c r="AU288" i="1"/>
  <c r="AU289" i="1"/>
  <c r="AU290" i="1"/>
  <c r="AU291" i="1"/>
  <c r="AU292" i="1"/>
  <c r="AU293" i="1"/>
  <c r="AU294" i="1"/>
  <c r="AU295" i="1"/>
  <c r="AU296" i="1"/>
  <c r="AU297" i="1"/>
  <c r="AU298" i="1"/>
  <c r="AU299" i="1"/>
  <c r="AU300" i="1"/>
  <c r="AU1005" i="1"/>
  <c r="AU302" i="1"/>
  <c r="AU303" i="1"/>
  <c r="AU304" i="1"/>
  <c r="AU305" i="1"/>
  <c r="AU306" i="1"/>
  <c r="AU307" i="1"/>
  <c r="AU308" i="1"/>
  <c r="AU1241" i="1"/>
  <c r="AU310" i="1"/>
  <c r="AU311" i="1"/>
  <c r="AU312" i="1"/>
  <c r="AU313" i="1"/>
  <c r="AU314" i="1"/>
  <c r="AU315" i="1"/>
  <c r="AU316" i="1"/>
  <c r="AU317" i="1"/>
  <c r="AU318" i="1"/>
  <c r="AU319" i="1"/>
  <c r="AU320" i="1"/>
  <c r="AU321" i="1"/>
  <c r="AU322" i="1"/>
  <c r="AU323" i="1"/>
  <c r="AU324" i="1"/>
  <c r="AU325" i="1"/>
  <c r="AU326" i="1"/>
  <c r="AU327" i="1"/>
  <c r="AU328" i="1"/>
  <c r="AU329" i="1"/>
  <c r="AU1242" i="1"/>
  <c r="AU334" i="1"/>
  <c r="AU335" i="1"/>
  <c r="AU336" i="1"/>
  <c r="AU337" i="1"/>
  <c r="AU339" i="1"/>
  <c r="AU340" i="1"/>
  <c r="AU341" i="1"/>
  <c r="AU342" i="1"/>
  <c r="AU343" i="1"/>
  <c r="AU344" i="1"/>
  <c r="AU345" i="1"/>
  <c r="AU346" i="1"/>
  <c r="AU347" i="1"/>
  <c r="AU348" i="1"/>
  <c r="AU351" i="1"/>
  <c r="AU352" i="1"/>
  <c r="AU353" i="1"/>
  <c r="AU354" i="1"/>
  <c r="AU355" i="1"/>
  <c r="AU356" i="1"/>
  <c r="AU357" i="1"/>
  <c r="AU358" i="1"/>
  <c r="AU360" i="1"/>
  <c r="AU361" i="1"/>
  <c r="AU1243" i="1"/>
  <c r="AU363" i="1"/>
  <c r="AU364" i="1"/>
  <c r="AU1244" i="1"/>
  <c r="AU368" i="1"/>
  <c r="AU369" i="1"/>
  <c r="AU782" i="1"/>
  <c r="AU371" i="1"/>
  <c r="AU372" i="1"/>
  <c r="AU373" i="1"/>
  <c r="AU374" i="1"/>
  <c r="AU375" i="1"/>
  <c r="AU376" i="1"/>
  <c r="AU14" i="1"/>
  <c r="AU377" i="1"/>
  <c r="AU384" i="1"/>
  <c r="AU16" i="1"/>
  <c r="AU387" i="1"/>
  <c r="AU388" i="1"/>
  <c r="AU389" i="1"/>
  <c r="AU390" i="1"/>
  <c r="AU391" i="1"/>
  <c r="AU392" i="1"/>
  <c r="AU393" i="1"/>
  <c r="AU394" i="1"/>
  <c r="AU395" i="1"/>
  <c r="AU396" i="1"/>
  <c r="AU397" i="1"/>
  <c r="AU398" i="1"/>
  <c r="AU399" i="1"/>
  <c r="AU400" i="1"/>
  <c r="AU401" i="1"/>
  <c r="AU402" i="1"/>
  <c r="AU301" i="1"/>
  <c r="AU404" i="1"/>
  <c r="AU405" i="1"/>
  <c r="AU406" i="1"/>
  <c r="AU408" i="1"/>
  <c r="AU409" i="1"/>
  <c r="AU410" i="1"/>
  <c r="AU411" i="1"/>
  <c r="AU412" i="1"/>
  <c r="AU413" i="1"/>
  <c r="AU414" i="1"/>
  <c r="AU415" i="1"/>
  <c r="AU416" i="1"/>
  <c r="AU417" i="1"/>
  <c r="AU421" i="1"/>
  <c r="AU423" i="1"/>
  <c r="AU422" i="1"/>
  <c r="AU424" i="1"/>
  <c r="AU425" i="1"/>
  <c r="AU426" i="1"/>
  <c r="AU427" i="1"/>
  <c r="AU428" i="1"/>
  <c r="AU429" i="1"/>
  <c r="AU430" i="1"/>
  <c r="AU431" i="1"/>
  <c r="AU432" i="1"/>
  <c r="AU433" i="1"/>
  <c r="AU434" i="1"/>
  <c r="AU435" i="1"/>
  <c r="AU436" i="1"/>
  <c r="AU437" i="1"/>
  <c r="AU438" i="1"/>
  <c r="AU439" i="1"/>
  <c r="AU440" i="1"/>
  <c r="AU441" i="1"/>
  <c r="AU442" i="1"/>
  <c r="AU443" i="1"/>
  <c r="AU444" i="1"/>
  <c r="AU309" i="1"/>
  <c r="AU446" i="1"/>
  <c r="AU447" i="1"/>
  <c r="AU448" i="1"/>
  <c r="AU449" i="1"/>
  <c r="AU450" i="1"/>
  <c r="AU451" i="1"/>
  <c r="AU452" i="1"/>
  <c r="AU453" i="1"/>
  <c r="AU454" i="1"/>
  <c r="AU455" i="1"/>
  <c r="AU456" i="1"/>
  <c r="AU457" i="1"/>
  <c r="AU458" i="1"/>
  <c r="AU459" i="1"/>
  <c r="AU460" i="1"/>
  <c r="AU461" i="1"/>
  <c r="AU462" i="1"/>
  <c r="AU463" i="1"/>
  <c r="AU464" i="1"/>
  <c r="AU465" i="1"/>
  <c r="AU466" i="1"/>
  <c r="AU467" i="1"/>
  <c r="AU468" i="1"/>
  <c r="AU469" i="1"/>
  <c r="AU470" i="1"/>
  <c r="AU471" i="1"/>
  <c r="AU472" i="1"/>
  <c r="AU473" i="1"/>
  <c r="AU474" i="1"/>
  <c r="AU475" i="1"/>
  <c r="AU476" i="1"/>
  <c r="AU477" i="1"/>
  <c r="AU478" i="1"/>
  <c r="AU481" i="1"/>
  <c r="AU482" i="1"/>
  <c r="AU485" i="1"/>
  <c r="AU486" i="1"/>
  <c r="AU492" i="1"/>
  <c r="AU331" i="1"/>
  <c r="AU496" i="1"/>
  <c r="AU497" i="1"/>
  <c r="AU500" i="1"/>
  <c r="AU501" i="1"/>
  <c r="AU502" i="1"/>
  <c r="AU503" i="1"/>
  <c r="AU504" i="1"/>
  <c r="AU505" i="1"/>
  <c r="AU506" i="1"/>
  <c r="AU507" i="1"/>
  <c r="AU508" i="1"/>
  <c r="AU509" i="1"/>
  <c r="AU510" i="1"/>
  <c r="AU511" i="1"/>
  <c r="AU512" i="1"/>
  <c r="AU513" i="1"/>
  <c r="AU514" i="1"/>
  <c r="AU515" i="1"/>
  <c r="AU516" i="1"/>
  <c r="AU517" i="1"/>
  <c r="AU518" i="1"/>
  <c r="AU519" i="1"/>
  <c r="AU520" i="1"/>
  <c r="AU521" i="1"/>
  <c r="AU522" i="1"/>
  <c r="AU523" i="1"/>
  <c r="AU525" i="1"/>
  <c r="AU526" i="1"/>
  <c r="AU362" i="1"/>
  <c r="AU528" i="1"/>
  <c r="AU534" i="1"/>
  <c r="AU535" i="1"/>
  <c r="AU536" i="1"/>
  <c r="AU537" i="1"/>
  <c r="AU538" i="1"/>
  <c r="AU539" i="1"/>
  <c r="AU540" i="1"/>
  <c r="AU541" i="1"/>
  <c r="AU365" i="1"/>
  <c r="AU543" i="1"/>
  <c r="AU544" i="1"/>
  <c r="AU545" i="1"/>
  <c r="AU546" i="1"/>
  <c r="AU547" i="1"/>
  <c r="AU548" i="1"/>
  <c r="AU370" i="1"/>
  <c r="AU550" i="1"/>
  <c r="AU551" i="1"/>
  <c r="AU552" i="1"/>
  <c r="AU553" i="1"/>
  <c r="AU554" i="1"/>
  <c r="AU555" i="1"/>
  <c r="AU556" i="1"/>
  <c r="AU385" i="1"/>
  <c r="AU403" i="1"/>
  <c r="AU559" i="1"/>
  <c r="AU563" i="1"/>
  <c r="AU566" i="1"/>
  <c r="AU567" i="1"/>
  <c r="AU568" i="1"/>
  <c r="AU569" i="1"/>
  <c r="AU570" i="1"/>
  <c r="AU571" i="1"/>
  <c r="AU572" i="1"/>
  <c r="AU573" i="1"/>
  <c r="AU574" i="1"/>
  <c r="AU575" i="1"/>
  <c r="AU577" i="1"/>
  <c r="AU578" i="1"/>
  <c r="AU495" i="1"/>
  <c r="AU586" i="1"/>
  <c r="AU587" i="1"/>
  <c r="AU588" i="1"/>
  <c r="AU589" i="1"/>
  <c r="AU590" i="1"/>
  <c r="AU591" i="1"/>
  <c r="AU592" i="1"/>
  <c r="AU593" i="1"/>
  <c r="AU594" i="1"/>
  <c r="AU595" i="1"/>
  <c r="AU597" i="1"/>
  <c r="AU598" i="1"/>
  <c r="AU599" i="1"/>
  <c r="AU600" i="1"/>
  <c r="AU604" i="1"/>
  <c r="AU605" i="1"/>
  <c r="AU606" i="1"/>
  <c r="AU607" i="1"/>
  <c r="AU608" i="1"/>
  <c r="AU609" i="1"/>
  <c r="AU610" i="1"/>
  <c r="AU611" i="1"/>
  <c r="AU612" i="1"/>
  <c r="AU613" i="1"/>
  <c r="AU614" i="1"/>
  <c r="AU615" i="1"/>
  <c r="AU616" i="1"/>
  <c r="AU617" i="1"/>
  <c r="AU618" i="1"/>
  <c r="AU619" i="1"/>
  <c r="AU620" i="1"/>
  <c r="AU621" i="1"/>
  <c r="AU622" i="1"/>
  <c r="AU623" i="1"/>
  <c r="AU624" i="1"/>
  <c r="AU625" i="1"/>
  <c r="AU626" i="1"/>
  <c r="AU627" i="1"/>
  <c r="AU628" i="1"/>
  <c r="AU629" i="1"/>
  <c r="AU630" i="1"/>
  <c r="AU631" i="1"/>
  <c r="AU632" i="1"/>
  <c r="AU633" i="1"/>
  <c r="AU634" i="1"/>
  <c r="AU635" i="1"/>
  <c r="AU636" i="1"/>
  <c r="AU637" i="1"/>
  <c r="AU638" i="1"/>
  <c r="AU639" i="1"/>
  <c r="AU640" i="1"/>
  <c r="AU641" i="1"/>
  <c r="AU642" i="1"/>
  <c r="AU643" i="1"/>
  <c r="AU644" i="1"/>
  <c r="AU645" i="1"/>
  <c r="AU646" i="1"/>
  <c r="AU647" i="1"/>
  <c r="AU648" i="1"/>
  <c r="AU649" i="1"/>
  <c r="AU650" i="1"/>
  <c r="AU651" i="1"/>
  <c r="AU652" i="1"/>
  <c r="AU653" i="1"/>
  <c r="AU654" i="1"/>
  <c r="AU655" i="1"/>
  <c r="AU656" i="1"/>
  <c r="AU657" i="1"/>
  <c r="AU658" i="1"/>
  <c r="AU659" i="1"/>
  <c r="AU660" i="1"/>
  <c r="AU662" i="1"/>
  <c r="AU663" i="1"/>
  <c r="AU664" i="1"/>
  <c r="AU665" i="1"/>
  <c r="AU666" i="1"/>
  <c r="AU667" i="1"/>
  <c r="AU668" i="1"/>
  <c r="AU670" i="1"/>
  <c r="AU671" i="1"/>
  <c r="AU672" i="1"/>
  <c r="AU673" i="1"/>
  <c r="AU674" i="1"/>
  <c r="AU676" i="1"/>
  <c r="AU677" i="1"/>
  <c r="AU678" i="1"/>
  <c r="AU679" i="1"/>
  <c r="AU680" i="1"/>
  <c r="AU681" i="1"/>
  <c r="AU684" i="1"/>
  <c r="AU685" i="1"/>
  <c r="AU686" i="1"/>
  <c r="AU687" i="1"/>
  <c r="AU690" i="1"/>
  <c r="AU691" i="1"/>
  <c r="AU692" i="1"/>
  <c r="AU693" i="1"/>
  <c r="AU694" i="1"/>
  <c r="AU695" i="1"/>
  <c r="AU696" i="1"/>
  <c r="AU697" i="1"/>
  <c r="AU701" i="1"/>
  <c r="AU703" i="1"/>
  <c r="AU704" i="1"/>
  <c r="AU705" i="1"/>
  <c r="AU706" i="1"/>
  <c r="AU707" i="1"/>
  <c r="AU709" i="1"/>
  <c r="AU710" i="1"/>
  <c r="AU711" i="1"/>
  <c r="AU712" i="1"/>
  <c r="AU713" i="1"/>
  <c r="AU714" i="1"/>
  <c r="AU715" i="1"/>
  <c r="AU716" i="1"/>
  <c r="AU717" i="1"/>
  <c r="AU718" i="1"/>
  <c r="AU719" i="1"/>
  <c r="AU720" i="1"/>
  <c r="AU721" i="1"/>
  <c r="AU722" i="1"/>
  <c r="AU723" i="1"/>
  <c r="AU724" i="1"/>
  <c r="AU725" i="1"/>
  <c r="AU726" i="1"/>
  <c r="AU727" i="1"/>
  <c r="AU728" i="1"/>
  <c r="AU729" i="1"/>
  <c r="AU730" i="1"/>
  <c r="AU527" i="1"/>
  <c r="AU735" i="1"/>
  <c r="AU736" i="1"/>
  <c r="AU737" i="1"/>
  <c r="AU740" i="1"/>
  <c r="AU742" i="1"/>
  <c r="AU743" i="1"/>
  <c r="AU549" i="1"/>
  <c r="AU557" i="1"/>
  <c r="AU748" i="1"/>
  <c r="AU749" i="1"/>
  <c r="AU747" i="1"/>
  <c r="AU558" i="1"/>
  <c r="AU752" i="1"/>
  <c r="AU753" i="1"/>
  <c r="AU751" i="1"/>
  <c r="AU585" i="1"/>
  <c r="AU731" i="1"/>
  <c r="AU757" i="1"/>
  <c r="AU758" i="1"/>
  <c r="AU759" i="1"/>
  <c r="AU760" i="1"/>
  <c r="AU761" i="1"/>
  <c r="AU762" i="1"/>
  <c r="AU763" i="1"/>
  <c r="AU765" i="1"/>
  <c r="AU766" i="1"/>
  <c r="AU767" i="1"/>
  <c r="AU768" i="1"/>
  <c r="AU769" i="1"/>
  <c r="AU770" i="1"/>
  <c r="AU771" i="1"/>
  <c r="AU772" i="1"/>
  <c r="AU773" i="1"/>
  <c r="AU774" i="1"/>
  <c r="AU775" i="1"/>
  <c r="AU776" i="1"/>
  <c r="AU778" i="1"/>
  <c r="AU780" i="1"/>
  <c r="AU781" i="1"/>
  <c r="AU732" i="1"/>
  <c r="AU783" i="1"/>
  <c r="AU784" i="1"/>
  <c r="AU785" i="1"/>
  <c r="AU786" i="1"/>
  <c r="AU787" i="1"/>
  <c r="AU788" i="1"/>
  <c r="AU789" i="1"/>
  <c r="AU790" i="1"/>
  <c r="AU791" i="1"/>
  <c r="AU792" i="1"/>
  <c r="AU793" i="1"/>
  <c r="AU794" i="1"/>
  <c r="AU795" i="1"/>
  <c r="AU796" i="1"/>
  <c r="AU797" i="1"/>
  <c r="AU798" i="1"/>
  <c r="AU799" i="1"/>
  <c r="AU800" i="1"/>
  <c r="AU801" i="1"/>
  <c r="AU802" i="1"/>
  <c r="AU803" i="1"/>
  <c r="AU806" i="1"/>
  <c r="AU807" i="1"/>
  <c r="AU804" i="1"/>
  <c r="AU805" i="1"/>
  <c r="AU744" i="1"/>
  <c r="AU810" i="1"/>
  <c r="AU812" i="1"/>
  <c r="AU813" i="1"/>
  <c r="AU814" i="1"/>
  <c r="AU815" i="1"/>
  <c r="AU755" i="1"/>
  <c r="AU821" i="1"/>
  <c r="AU822" i="1"/>
  <c r="AU823" i="1"/>
  <c r="AU824" i="1"/>
  <c r="AU825" i="1"/>
  <c r="AU826" i="1"/>
  <c r="AU827" i="1"/>
  <c r="AU828" i="1"/>
  <c r="AU829" i="1"/>
  <c r="AU830" i="1"/>
  <c r="AU831" i="1"/>
  <c r="AU832" i="1"/>
  <c r="AU833" i="1"/>
  <c r="AU834" i="1"/>
  <c r="AU835" i="1"/>
  <c r="AU836" i="1"/>
  <c r="AU837" i="1"/>
  <c r="AU838" i="1"/>
  <c r="AU840" i="1"/>
  <c r="AU841" i="1"/>
  <c r="AU843" i="1"/>
  <c r="AU846" i="1"/>
  <c r="AU847" i="1"/>
  <c r="AU848" i="1"/>
  <c r="AU852" i="1"/>
  <c r="AU854" i="1"/>
  <c r="AU855" i="1"/>
  <c r="AU856" i="1"/>
  <c r="AU857" i="1"/>
  <c r="AU858" i="1"/>
  <c r="AU859" i="1"/>
  <c r="AU860" i="1"/>
  <c r="AU861" i="1"/>
  <c r="AU862" i="1"/>
  <c r="AU863" i="1"/>
  <c r="AU868" i="1"/>
  <c r="AU869" i="1"/>
  <c r="AU870" i="1"/>
  <c r="AU871" i="1"/>
  <c r="AU872" i="1"/>
  <c r="AU873" i="1"/>
  <c r="AU874" i="1"/>
  <c r="AU875" i="1"/>
  <c r="AU876" i="1"/>
  <c r="AU877" i="1"/>
  <c r="AU878" i="1"/>
  <c r="AU879" i="1"/>
  <c r="AU880" i="1"/>
  <c r="AU881" i="1"/>
  <c r="AU882" i="1"/>
  <c r="AU883" i="1"/>
  <c r="AU884" i="1"/>
  <c r="AU885" i="1"/>
  <c r="AU886" i="1"/>
  <c r="AU888" i="1"/>
  <c r="AU889" i="1"/>
  <c r="AU890" i="1"/>
  <c r="AU891" i="1"/>
  <c r="AU892" i="1"/>
  <c r="AU756" i="1"/>
  <c r="AU894" i="1"/>
  <c r="AU896" i="1"/>
  <c r="AU899" i="1"/>
  <c r="AU898" i="1"/>
  <c r="AU900" i="1"/>
  <c r="AU820" i="1"/>
  <c r="AU902" i="1"/>
  <c r="AU903" i="1"/>
  <c r="AU904" i="1"/>
  <c r="AU905" i="1"/>
  <c r="AU906" i="1"/>
  <c r="AU901" i="1"/>
  <c r="AU911" i="1"/>
  <c r="AU912" i="1"/>
  <c r="AU913" i="1"/>
  <c r="AU914" i="1"/>
  <c r="AU916" i="1"/>
  <c r="AU918" i="1"/>
  <c r="AU919" i="1"/>
  <c r="AU929" i="1"/>
  <c r="AU921" i="1"/>
  <c r="AU920" i="1"/>
  <c r="AU923" i="1"/>
  <c r="AU924" i="1"/>
  <c r="AU925" i="1"/>
  <c r="AU926" i="1"/>
  <c r="AU927" i="1"/>
  <c r="AU928" i="1"/>
  <c r="AU930" i="1"/>
  <c r="AU933" i="1"/>
  <c r="AU934" i="1"/>
  <c r="AU937" i="1"/>
  <c r="AU938" i="1"/>
  <c r="AU939" i="1"/>
  <c r="AU940" i="1"/>
  <c r="AU907" i="1"/>
  <c r="AU942" i="1"/>
  <c r="AU943" i="1"/>
  <c r="AU944" i="1"/>
  <c r="AU946" i="1"/>
  <c r="AU951" i="1"/>
  <c r="AU952" i="1"/>
  <c r="AU947" i="1"/>
  <c r="AU948" i="1"/>
  <c r="AU949" i="1"/>
  <c r="AU950" i="1"/>
  <c r="AU953" i="1"/>
  <c r="AU955" i="1"/>
  <c r="AU956" i="1"/>
  <c r="AU990" i="1"/>
  <c r="AU958" i="1"/>
  <c r="AU959" i="1"/>
  <c r="AU960" i="1"/>
  <c r="AU961" i="1"/>
  <c r="AU962" i="1"/>
  <c r="AU963" i="1"/>
  <c r="AU964" i="1"/>
  <c r="AU965" i="1"/>
  <c r="AU966" i="1"/>
  <c r="AU967" i="1"/>
  <c r="AU968" i="1"/>
  <c r="AU969" i="1"/>
  <c r="AU970" i="1"/>
  <c r="AU971" i="1"/>
  <c r="AU972" i="1"/>
  <c r="AU973" i="1"/>
  <c r="AU975" i="1"/>
  <c r="AU977" i="1"/>
  <c r="AU978" i="1"/>
  <c r="AU979" i="1"/>
  <c r="AU980" i="1"/>
  <c r="AU981" i="1"/>
  <c r="AU982" i="1"/>
  <c r="AU983" i="1"/>
  <c r="AU984" i="1"/>
  <c r="AU985" i="1"/>
  <c r="AU986" i="1"/>
  <c r="AU987" i="1"/>
  <c r="AU988" i="1"/>
  <c r="AU1038" i="1"/>
  <c r="AU991" i="1"/>
  <c r="AU992" i="1"/>
  <c r="AU993" i="1"/>
  <c r="AU994" i="1"/>
  <c r="AU995" i="1"/>
  <c r="AU996" i="1"/>
  <c r="AU997" i="1"/>
  <c r="AU998" i="1"/>
  <c r="AU999" i="1"/>
  <c r="AU1000" i="1"/>
  <c r="AU1001" i="1"/>
  <c r="AU1003" i="1"/>
  <c r="AU1004" i="1"/>
  <c r="AU1044" i="1"/>
  <c r="AU1008" i="1"/>
  <c r="AU1007" i="1"/>
  <c r="AU1006" i="1"/>
  <c r="AU1009" i="1"/>
  <c r="AU1010" i="1"/>
  <c r="AU1011" i="1"/>
  <c r="AU1012" i="1"/>
  <c r="AU1013" i="1"/>
  <c r="AU1014" i="1"/>
  <c r="AU1015" i="1"/>
  <c r="AU1016" i="1"/>
  <c r="AU1017" i="1"/>
  <c r="AU1018" i="1"/>
  <c r="AU1021" i="1"/>
  <c r="AU1046" i="1"/>
  <c r="AU1023" i="1"/>
  <c r="AU1026" i="1"/>
  <c r="AU1027" i="1"/>
  <c r="AU1028" i="1"/>
  <c r="AU1030" i="1"/>
  <c r="AU1031" i="1"/>
  <c r="AU1032" i="1"/>
  <c r="AU1033" i="1"/>
  <c r="AU1034" i="1"/>
  <c r="AU1035" i="1"/>
  <c r="AU1047" i="1"/>
  <c r="AU1039" i="1"/>
  <c r="AU1040" i="1"/>
  <c r="AU1043" i="1"/>
  <c r="AU1045" i="1"/>
  <c r="AU1086" i="1"/>
  <c r="AU1090" i="1"/>
  <c r="AU1048" i="1"/>
  <c r="AU1049" i="1"/>
  <c r="AU1051" i="1"/>
  <c r="AU1052" i="1"/>
  <c r="AU1055" i="1"/>
  <c r="AU1091" i="1"/>
  <c r="AU1057" i="1"/>
  <c r="AU1058" i="1"/>
  <c r="AU1059" i="1"/>
  <c r="AU1061" i="1"/>
  <c r="AU1062" i="1"/>
  <c r="AU1063" i="1"/>
  <c r="AU1064" i="1"/>
  <c r="AU1065" i="1"/>
  <c r="AU1066" i="1"/>
  <c r="AU1067" i="1"/>
  <c r="AU1068" i="1"/>
  <c r="AU1069" i="1"/>
  <c r="AU1070" i="1"/>
  <c r="AU1071" i="1"/>
  <c r="AU1092" i="1"/>
  <c r="AU1073" i="1"/>
  <c r="AU1074" i="1"/>
  <c r="AU1075" i="1"/>
  <c r="AU1076" i="1"/>
  <c r="AU1077" i="1"/>
  <c r="AU1078" i="1"/>
  <c r="AU1079" i="1"/>
  <c r="AU1080" i="1"/>
  <c r="AU1081" i="1"/>
  <c r="AU1082" i="1"/>
  <c r="AU1083" i="1"/>
  <c r="AU1084" i="1"/>
  <c r="AU1093" i="1"/>
  <c r="AU1087" i="1"/>
  <c r="AU1088" i="1"/>
  <c r="AU1089" i="1"/>
  <c r="AU1094" i="1"/>
  <c r="AU1095" i="1"/>
  <c r="AU1099" i="1"/>
  <c r="AU1278" i="1"/>
  <c r="AU1295" i="1"/>
  <c r="AU1296" i="1"/>
  <c r="AU1096" i="1"/>
  <c r="AU1301" i="1"/>
  <c r="AU1098" i="1"/>
  <c r="AU1339" i="1"/>
  <c r="AU1100" i="1"/>
  <c r="AU1101" i="1"/>
  <c r="AU1102" i="1"/>
  <c r="AU1103" i="1"/>
  <c r="AU1104" i="1"/>
  <c r="AU1105" i="1"/>
  <c r="AU1106" i="1"/>
  <c r="AU1107" i="1"/>
  <c r="AU1108" i="1"/>
  <c r="AU1109" i="1"/>
  <c r="AU1110" i="1"/>
  <c r="AU1111" i="1"/>
  <c r="AU1112" i="1"/>
  <c r="AU1113" i="1"/>
  <c r="AU1114" i="1"/>
  <c r="AU1115" i="1"/>
  <c r="AU1116" i="1"/>
  <c r="AU1117" i="1"/>
  <c r="AU1118" i="1"/>
  <c r="AU1119" i="1"/>
  <c r="AU1120" i="1"/>
  <c r="AU1121" i="1"/>
  <c r="AU1122" i="1"/>
  <c r="AU1123" i="1"/>
  <c r="AU1124" i="1"/>
  <c r="AU1125" i="1"/>
  <c r="AU1126" i="1"/>
  <c r="AU1127" i="1"/>
  <c r="AU1128" i="1"/>
  <c r="AU1129" i="1"/>
  <c r="AU1130" i="1"/>
  <c r="AU1131" i="1"/>
  <c r="AU1132" i="1"/>
  <c r="AU1133" i="1"/>
  <c r="AU1134" i="1"/>
  <c r="AU1137" i="1"/>
  <c r="AU1138" i="1"/>
  <c r="AU1139" i="1"/>
  <c r="AU1140" i="1"/>
  <c r="AU1141" i="1"/>
  <c r="AU1143" i="1"/>
  <c r="AU1144" i="1"/>
  <c r="AU1145" i="1"/>
  <c r="AU1147" i="1"/>
  <c r="AU1148" i="1"/>
  <c r="AU1149" i="1"/>
  <c r="AU1151" i="1"/>
  <c r="AU1152" i="1"/>
  <c r="AU1159" i="1"/>
  <c r="AU1382" i="1"/>
  <c r="AU1161" i="1"/>
  <c r="AU1162" i="1"/>
  <c r="AU1163" i="1"/>
  <c r="AU1164" i="1"/>
  <c r="AU1165" i="1"/>
  <c r="AU1166" i="1"/>
  <c r="AU1167" i="1"/>
  <c r="AU1168" i="1"/>
  <c r="AU1169" i="1"/>
  <c r="AU1170" i="1"/>
  <c r="AU1171" i="1"/>
  <c r="AU1172" i="1"/>
  <c r="AU1173" i="1"/>
  <c r="AU1174" i="1"/>
  <c r="AU1175" i="1"/>
  <c r="AU1176" i="1"/>
  <c r="AU1178" i="1"/>
  <c r="AU1180" i="1"/>
  <c r="AU1181" i="1"/>
  <c r="AU1182" i="1"/>
  <c r="AU1183" i="1"/>
  <c r="AU1186" i="1"/>
  <c r="AU1187" i="1"/>
  <c r="AU1188" i="1"/>
  <c r="AU1189" i="1"/>
  <c r="AU1190" i="1"/>
  <c r="AU1192" i="1"/>
  <c r="AU1193" i="1"/>
  <c r="AU1194" i="1"/>
  <c r="AU1201" i="1"/>
  <c r="AU1203" i="1"/>
  <c r="AU1409" i="1"/>
  <c r="AU1205" i="1"/>
  <c r="AU1206" i="1"/>
  <c r="AU1207" i="1"/>
  <c r="AU1208" i="1"/>
  <c r="AU1210" i="1"/>
  <c r="AU1211" i="1"/>
  <c r="AU1212" i="1"/>
  <c r="AU1213" i="1"/>
  <c r="AU1214" i="1"/>
  <c r="AU1215" i="1"/>
  <c r="AU1216" i="1"/>
  <c r="AU1217" i="1"/>
  <c r="AU1218" i="1"/>
  <c r="AU1219" i="1"/>
  <c r="AU1220" i="1"/>
  <c r="AU1221" i="1"/>
  <c r="AU1222" i="1"/>
  <c r="AU1223" i="1"/>
  <c r="AU1224" i="1"/>
  <c r="AU1225" i="1"/>
  <c r="AU1228" i="1"/>
  <c r="AU1229" i="1"/>
  <c r="AU1226" i="1"/>
  <c r="AU1227" i="1"/>
  <c r="AU1230" i="1"/>
  <c r="AU1231" i="1"/>
  <c r="AU1233" i="1"/>
  <c r="AU1234" i="1"/>
  <c r="AU1235" i="1"/>
  <c r="AU1236" i="1"/>
  <c r="AU1237" i="1"/>
  <c r="AU1238" i="1"/>
  <c r="AU1239" i="1"/>
  <c r="AU1454" i="1"/>
  <c r="AU1512" i="1"/>
  <c r="AU1546" i="1"/>
  <c r="AU1549" i="1"/>
  <c r="AU1245" i="1"/>
  <c r="AU1246" i="1"/>
  <c r="AU1259" i="1"/>
  <c r="AU1260" i="1"/>
  <c r="AU1261" i="1"/>
  <c r="AU1262" i="1"/>
  <c r="AU1263" i="1"/>
  <c r="AU1264" i="1"/>
  <c r="AU1265" i="1"/>
  <c r="AU1266" i="1"/>
  <c r="AU1268" i="1"/>
  <c r="AU1273" i="1"/>
  <c r="AU1274" i="1"/>
  <c r="AU1275" i="1"/>
  <c r="AU1276" i="1"/>
  <c r="AU1277" i="1"/>
  <c r="AU1550" i="1"/>
  <c r="AU1279" i="1"/>
  <c r="AU1280" i="1"/>
  <c r="AU1281" i="1"/>
  <c r="AU1282" i="1"/>
  <c r="AU1283" i="1"/>
  <c r="AU1284" i="1"/>
  <c r="AU1285" i="1"/>
  <c r="AU1287" i="1"/>
  <c r="AU1551" i="1"/>
  <c r="AU1290" i="1"/>
  <c r="AU1291" i="1"/>
  <c r="AU1292" i="1"/>
  <c r="AU1555" i="1"/>
  <c r="AU1556" i="1"/>
  <c r="AU1297" i="1"/>
  <c r="AU1298" i="1"/>
  <c r="AU1299" i="1"/>
  <c r="AU1300" i="1"/>
  <c r="AU1557" i="1"/>
  <c r="AU1302" i="1"/>
  <c r="AU1303" i="1"/>
  <c r="AU1304" i="1"/>
  <c r="AU1308" i="1"/>
  <c r="AU1305" i="1"/>
  <c r="AU1306" i="1"/>
  <c r="AU1307" i="1"/>
  <c r="AU1309" i="1"/>
  <c r="AU1310" i="1"/>
  <c r="AU1311" i="1"/>
  <c r="AU1312" i="1"/>
  <c r="AU1316" i="1"/>
  <c r="AU1317" i="1"/>
  <c r="AU1318" i="1"/>
  <c r="AU1319" i="1"/>
  <c r="AU1320" i="1"/>
  <c r="AU1321" i="1"/>
  <c r="AU1322" i="1"/>
  <c r="AU1323" i="1"/>
  <c r="AU1326" i="1"/>
  <c r="AU1324" i="1"/>
  <c r="AU1325" i="1"/>
  <c r="AU1327" i="1"/>
  <c r="AU1328" i="1"/>
  <c r="AU1329" i="1"/>
  <c r="AU1330" i="1"/>
  <c r="AU1331" i="1"/>
  <c r="AU1332" i="1"/>
  <c r="AU1333" i="1"/>
  <c r="AU1334" i="1"/>
  <c r="AU1335" i="1"/>
  <c r="AU1336" i="1"/>
  <c r="AU1337" i="1"/>
  <c r="AU1338" i="1"/>
  <c r="AU1599" i="1"/>
  <c r="AU1341" i="1"/>
  <c r="AU1342" i="1"/>
  <c r="AU1343" i="1"/>
  <c r="AU1344" i="1"/>
  <c r="AU1345" i="1"/>
  <c r="AU1346" i="1"/>
  <c r="AU1347" i="1"/>
  <c r="AU1348" i="1"/>
  <c r="AU1349" i="1"/>
  <c r="AU1350" i="1"/>
  <c r="AU1351" i="1"/>
  <c r="AU1352" i="1"/>
  <c r="AU1353" i="1"/>
  <c r="AU1356" i="1"/>
  <c r="AU1357" i="1"/>
  <c r="AU1358" i="1"/>
  <c r="AU1359" i="1"/>
  <c r="AU1360" i="1"/>
  <c r="AU1361" i="1"/>
  <c r="AU1362" i="1"/>
  <c r="AU1363" i="1"/>
  <c r="AU1364" i="1"/>
  <c r="AU1365" i="1"/>
  <c r="AU1366" i="1"/>
  <c r="AU1367" i="1"/>
  <c r="AU1368" i="1"/>
  <c r="AU1369" i="1"/>
  <c r="AU1370" i="1"/>
  <c r="AU1371" i="1"/>
  <c r="AU1372" i="1"/>
  <c r="AU1373" i="1"/>
  <c r="AU1374" i="1"/>
  <c r="AU1376" i="1"/>
  <c r="AU1377" i="1"/>
  <c r="AU1378" i="1"/>
  <c r="AU1600" i="1"/>
  <c r="AU1383" i="1"/>
  <c r="AU1384" i="1"/>
  <c r="AU1385" i="1"/>
  <c r="AU1386" i="1"/>
  <c r="AU1387" i="1"/>
  <c r="AU1388" i="1"/>
  <c r="AU1389" i="1"/>
  <c r="AU1390" i="1"/>
  <c r="AU1391" i="1"/>
  <c r="AU1392" i="1"/>
  <c r="AU1393" i="1"/>
  <c r="AU1394" i="1"/>
  <c r="AU1395" i="1"/>
  <c r="AU1396" i="1"/>
  <c r="AU1397" i="1"/>
  <c r="AU1398" i="1"/>
  <c r="AU1399" i="1"/>
  <c r="AU1400" i="1"/>
  <c r="AU1401" i="1"/>
  <c r="AU1402" i="1"/>
  <c r="AU1403" i="1"/>
  <c r="AU1404" i="1"/>
  <c r="AU1405" i="1"/>
  <c r="AU1406" i="1"/>
  <c r="AU1408" i="1"/>
  <c r="AU1612" i="1"/>
  <c r="AU1410" i="1"/>
  <c r="AU1411" i="1"/>
  <c r="AU1412" i="1"/>
  <c r="AU1413" i="1"/>
  <c r="AU1414" i="1"/>
  <c r="AU1415" i="1"/>
  <c r="AU1417" i="1"/>
  <c r="AU1416" i="1"/>
  <c r="AU1418" i="1"/>
  <c r="AU1420" i="1"/>
  <c r="AU1419" i="1"/>
  <c r="AU1421" i="1"/>
  <c r="AU1422" i="1"/>
  <c r="AU1425" i="1"/>
  <c r="AU1426" i="1"/>
  <c r="AU1429" i="1"/>
  <c r="AU1430" i="1"/>
  <c r="AU1431" i="1"/>
  <c r="AU1432" i="1"/>
  <c r="AU1433" i="1"/>
  <c r="AU1434" i="1"/>
  <c r="AU1435" i="1"/>
  <c r="AU1436" i="1"/>
  <c r="AU1437" i="1"/>
  <c r="AU1438" i="1"/>
  <c r="AU1439" i="1"/>
  <c r="AU1441" i="1"/>
  <c r="AU1442" i="1"/>
  <c r="AU1443" i="1"/>
  <c r="AU1444" i="1"/>
  <c r="AU1445" i="1"/>
  <c r="AU1644" i="1"/>
  <c r="AU1447" i="1"/>
  <c r="AU1450" i="1"/>
  <c r="AU1451" i="1"/>
  <c r="AU1452" i="1"/>
  <c r="AU1453" i="1"/>
  <c r="AU1746" i="1"/>
  <c r="AU1455" i="1"/>
  <c r="AU1456" i="1"/>
  <c r="AU1457" i="1"/>
  <c r="AU1460" i="1"/>
  <c r="AU1462" i="1"/>
  <c r="AU1463" i="1"/>
  <c r="AU1464" i="1"/>
  <c r="AU1467" i="1"/>
  <c r="AU1469" i="1"/>
  <c r="AU1470" i="1"/>
  <c r="AU1471" i="1"/>
  <c r="AU1473" i="1"/>
  <c r="AU1474" i="1"/>
  <c r="AU1475" i="1"/>
  <c r="AU1476" i="1"/>
  <c r="AU1477" i="1"/>
  <c r="AU1478" i="1"/>
  <c r="AU1479" i="1"/>
  <c r="AU1480" i="1"/>
  <c r="AU1481" i="1"/>
  <c r="AU1483" i="1"/>
  <c r="AU1489" i="1"/>
  <c r="AU1490" i="1"/>
  <c r="AU1491" i="1"/>
  <c r="AU1492" i="1"/>
  <c r="AU1493" i="1"/>
  <c r="AU1494" i="1"/>
  <c r="AU1495" i="1"/>
  <c r="AU1496" i="1"/>
  <c r="AU1497" i="1"/>
  <c r="AU1498" i="1"/>
  <c r="AU1499" i="1"/>
  <c r="AU1500" i="1"/>
  <c r="AU1501" i="1"/>
  <c r="AU1502" i="1"/>
  <c r="AU1503" i="1"/>
  <c r="AU1504" i="1"/>
  <c r="AU1759" i="1"/>
  <c r="AU1507" i="1"/>
  <c r="AU1508" i="1"/>
  <c r="AU1509" i="1"/>
  <c r="AU1511" i="1"/>
  <c r="AU1852" i="1"/>
  <c r="AU1513" i="1"/>
  <c r="AU1514" i="1"/>
  <c r="AU1515" i="1"/>
  <c r="AU1516" i="1"/>
  <c r="AU1517" i="1"/>
  <c r="AU1518" i="1"/>
  <c r="AU1519" i="1"/>
  <c r="AU1520" i="1"/>
  <c r="AU1521" i="1"/>
  <c r="AU1522" i="1"/>
  <c r="AU1523" i="1"/>
  <c r="AU1524" i="1"/>
  <c r="AU1525" i="1"/>
  <c r="AU1526" i="1"/>
  <c r="AU1527" i="1"/>
  <c r="AU1528" i="1"/>
  <c r="AU1529" i="1"/>
  <c r="AU1532" i="1"/>
  <c r="AU1533" i="1"/>
  <c r="AU1534" i="1"/>
  <c r="AU1535" i="1"/>
  <c r="AU1536" i="1"/>
  <c r="AU1539" i="1"/>
  <c r="AU1540" i="1"/>
  <c r="AU1541" i="1"/>
  <c r="AU1542" i="1"/>
  <c r="AU1543" i="1"/>
  <c r="AU1867" i="1"/>
  <c r="AU1547" i="1"/>
  <c r="AU1868" i="1"/>
  <c r="AU1880" i="1"/>
  <c r="AU1881" i="1"/>
  <c r="AU1882" i="1"/>
  <c r="AU1553" i="1"/>
  <c r="AU1883" i="1"/>
  <c r="AU1884" i="1"/>
  <c r="AU1885" i="1"/>
  <c r="AU1558" i="1"/>
  <c r="AU1559" i="1"/>
  <c r="AU1560" i="1"/>
  <c r="AU1561" i="1"/>
  <c r="AU1562" i="1"/>
  <c r="AU1563" i="1"/>
  <c r="AU1564" i="1"/>
  <c r="AU1565" i="1"/>
  <c r="AU1566" i="1"/>
  <c r="AU1568" i="1"/>
  <c r="AU1569" i="1"/>
  <c r="AU1570" i="1"/>
  <c r="AU1571" i="1"/>
  <c r="AU1572" i="1"/>
  <c r="AU1573" i="1"/>
  <c r="AU1574" i="1"/>
  <c r="AU1575" i="1"/>
  <c r="AU1576" i="1"/>
  <c r="AU1577" i="1"/>
  <c r="AU1579" i="1"/>
  <c r="AU1581" i="1"/>
  <c r="AU1582" i="1"/>
  <c r="AU1583" i="1"/>
  <c r="AU1584" i="1"/>
  <c r="AU1585" i="1"/>
  <c r="AU1586" i="1"/>
  <c r="AU1587" i="1"/>
  <c r="AU1588" i="1"/>
  <c r="AU1589" i="1"/>
  <c r="AU1590" i="1"/>
  <c r="AU1592" i="1"/>
  <c r="AU1593" i="1"/>
  <c r="AU1594" i="1"/>
  <c r="AU1597" i="1"/>
  <c r="AU1886" i="1"/>
  <c r="AU1889" i="1"/>
  <c r="AU1601" i="1"/>
  <c r="AU1606" i="1"/>
  <c r="AU1607" i="1"/>
  <c r="AU1608" i="1"/>
  <c r="AU1609" i="1"/>
  <c r="AU1610" i="1"/>
  <c r="AU1611" i="1"/>
  <c r="AU1887" i="1"/>
  <c r="AU1613" i="1"/>
  <c r="AU1614" i="1"/>
  <c r="AU1615" i="1"/>
  <c r="AU1616" i="1"/>
  <c r="AU1619" i="1"/>
  <c r="AU1620" i="1"/>
  <c r="AU1623" i="1"/>
  <c r="AU1624" i="1"/>
  <c r="AU1625" i="1"/>
  <c r="AU1626" i="1"/>
  <c r="AU1627" i="1"/>
  <c r="AU1629" i="1"/>
  <c r="AU1632" i="1"/>
  <c r="AU1633" i="1"/>
  <c r="AU1634" i="1"/>
  <c r="AU1635" i="1"/>
  <c r="AU1637" i="1"/>
  <c r="AU1642" i="1"/>
  <c r="AU1890" i="1"/>
  <c r="AU1891" i="1"/>
  <c r="AU1645" i="1"/>
  <c r="AU1646" i="1"/>
  <c r="AU1647" i="1"/>
  <c r="AU1649" i="1"/>
  <c r="AU1651" i="1"/>
  <c r="AU1652" i="1"/>
  <c r="AU1653" i="1"/>
  <c r="AU1654" i="1"/>
  <c r="AU1655" i="1"/>
  <c r="AU1658" i="1"/>
  <c r="AU1659" i="1"/>
  <c r="AU1660" i="1"/>
  <c r="AU1661" i="1"/>
  <c r="AU1662" i="1"/>
  <c r="AU1663" i="1"/>
  <c r="AU1664" i="1"/>
  <c r="AU1665" i="1"/>
  <c r="AU1666" i="1"/>
  <c r="AU1667" i="1"/>
  <c r="AU1668" i="1"/>
  <c r="AU1669" i="1"/>
  <c r="AU1670" i="1"/>
  <c r="AU1671" i="1"/>
  <c r="AU1672" i="1"/>
  <c r="AU1673" i="1"/>
  <c r="AU1674" i="1"/>
  <c r="AU1682" i="1"/>
  <c r="AU1683" i="1"/>
  <c r="AU1684" i="1"/>
  <c r="AU1685" i="1"/>
  <c r="AU1686" i="1"/>
  <c r="AU1687" i="1"/>
  <c r="AU1688" i="1"/>
  <c r="AU1689" i="1"/>
  <c r="AU1690" i="1"/>
  <c r="AU1691" i="1"/>
  <c r="AU1692" i="1"/>
  <c r="AU1693" i="1"/>
  <c r="AU1694" i="1"/>
  <c r="AU1695" i="1"/>
  <c r="AU1696" i="1"/>
  <c r="AU1697" i="1"/>
  <c r="AU1699" i="1"/>
  <c r="AU1700" i="1"/>
  <c r="AU1698" i="1"/>
  <c r="AU1701" i="1"/>
  <c r="AU1703" i="1"/>
  <c r="AU1704" i="1"/>
  <c r="AU1705" i="1"/>
  <c r="AU1706" i="1"/>
  <c r="AU1709" i="1"/>
  <c r="AU1710" i="1"/>
  <c r="AU1711" i="1"/>
  <c r="AU1714" i="1"/>
  <c r="AU1715" i="1"/>
  <c r="AU1716" i="1"/>
  <c r="AU1717" i="1"/>
  <c r="AU1718" i="1"/>
  <c r="AU1720" i="1"/>
  <c r="AU1721" i="1"/>
  <c r="AU1722" i="1"/>
  <c r="AU1723" i="1"/>
  <c r="AU1724" i="1"/>
  <c r="AU1725" i="1"/>
  <c r="AU1727" i="1"/>
  <c r="AU1728" i="1"/>
  <c r="AU1729" i="1"/>
  <c r="AU1730" i="1"/>
  <c r="AU1731" i="1"/>
  <c r="AU1732" i="1"/>
  <c r="AU1733" i="1"/>
  <c r="AU1734" i="1"/>
  <c r="AU1735" i="1"/>
  <c r="AU1736" i="1"/>
  <c r="AU1737" i="1"/>
  <c r="AU1738" i="1"/>
  <c r="AU1739" i="1"/>
  <c r="AU1740" i="1"/>
  <c r="AU1741" i="1"/>
  <c r="AU1742" i="1"/>
  <c r="AU1743" i="1"/>
  <c r="AU1744" i="1"/>
  <c r="AU1893" i="1"/>
  <c r="AU1747" i="1"/>
  <c r="AU1749" i="1"/>
  <c r="AU1750" i="1"/>
  <c r="AU1751" i="1"/>
  <c r="AU1752" i="1"/>
  <c r="AU1753" i="1"/>
  <c r="AU1754" i="1"/>
  <c r="AU1755" i="1"/>
  <c r="AU1756" i="1"/>
  <c r="AU1757" i="1"/>
  <c r="AU1758" i="1"/>
  <c r="AU1898" i="1"/>
  <c r="AU1760" i="1"/>
  <c r="AU1761" i="1"/>
  <c r="AU1762" i="1"/>
  <c r="AU1763" i="1"/>
  <c r="AU1764" i="1"/>
  <c r="AU1766" i="1"/>
  <c r="AU1767" i="1"/>
  <c r="AU1768" i="1"/>
  <c r="AU1769" i="1"/>
  <c r="AU1772" i="1"/>
  <c r="AU1773" i="1"/>
  <c r="AU1774" i="1"/>
  <c r="AU1775" i="1"/>
  <c r="AU1776" i="1"/>
  <c r="AU1777" i="1"/>
  <c r="AU1778" i="1"/>
  <c r="AU1780" i="1"/>
  <c r="AU1781" i="1"/>
  <c r="AU1782" i="1"/>
  <c r="AU1783" i="1"/>
  <c r="AU1784" i="1"/>
  <c r="AU1785" i="1"/>
  <c r="AU1786" i="1"/>
  <c r="AU1787" i="1"/>
  <c r="AU1788" i="1"/>
  <c r="AU1789" i="1"/>
  <c r="AU1790" i="1"/>
  <c r="AU1791" i="1"/>
  <c r="AU1792" i="1"/>
  <c r="AU1794" i="1"/>
  <c r="AU1795" i="1"/>
  <c r="AU1796" i="1"/>
  <c r="AU1797" i="1"/>
  <c r="AU1798" i="1"/>
  <c r="AU1799" i="1"/>
  <c r="AU1800" i="1"/>
  <c r="AU1801" i="1"/>
  <c r="AU1803" i="1"/>
  <c r="AU1899" i="1"/>
  <c r="AU1805" i="1"/>
  <c r="AU1806" i="1"/>
  <c r="AU1807" i="1"/>
  <c r="AU1808" i="1"/>
  <c r="AU1809" i="1"/>
  <c r="AU1810" i="1"/>
  <c r="AU1811" i="1"/>
  <c r="AU1812" i="1"/>
  <c r="AU1814" i="1"/>
  <c r="AU1815" i="1"/>
  <c r="AU1816" i="1"/>
  <c r="AU1817" i="1"/>
  <c r="AU1818" i="1"/>
  <c r="AU1819" i="1"/>
  <c r="AU1820" i="1"/>
  <c r="AU1821" i="1"/>
  <c r="AU1822" i="1"/>
  <c r="AU1823" i="1"/>
  <c r="AU1824" i="1"/>
  <c r="AU1825" i="1"/>
  <c r="AU1826" i="1"/>
  <c r="AU1827" i="1"/>
  <c r="AU1828" i="1"/>
  <c r="AU1829" i="1"/>
  <c r="AU1830" i="1"/>
  <c r="AU1831" i="1"/>
  <c r="AU1832" i="1"/>
  <c r="AU1834" i="1"/>
  <c r="AU1835" i="1"/>
  <c r="AU1836" i="1"/>
  <c r="AU1837" i="1"/>
  <c r="AU1838" i="1"/>
  <c r="AU1839" i="1"/>
  <c r="AU1840" i="1"/>
  <c r="AU1841" i="1"/>
  <c r="AU1842" i="1"/>
  <c r="AU1843" i="1"/>
  <c r="AU1844" i="1"/>
  <c r="AU1845" i="1"/>
  <c r="AU1847" i="1"/>
  <c r="AU1848" i="1"/>
  <c r="AU1851" i="1"/>
  <c r="AU1900" i="1"/>
  <c r="AU1853" i="1"/>
  <c r="AU1854" i="1"/>
  <c r="AU1855" i="1"/>
  <c r="AU1856" i="1"/>
  <c r="AU1859" i="1"/>
  <c r="AU1860" i="1"/>
  <c r="AU1862" i="1"/>
  <c r="AU1863" i="1"/>
  <c r="AU1864" i="1"/>
  <c r="AU1865" i="1"/>
  <c r="AU1901" i="1"/>
  <c r="AU1907" i="1"/>
  <c r="AU1871" i="1"/>
  <c r="AU1872" i="1"/>
  <c r="AU1873" i="1"/>
  <c r="AU1874" i="1"/>
  <c r="AU1875" i="1"/>
  <c r="AU1878" i="1"/>
  <c r="AU1879" i="1"/>
  <c r="AU1908" i="1"/>
  <c r="AU1934" i="1"/>
  <c r="AU1942" i="1"/>
  <c r="AU1958" i="1"/>
  <c r="AU1982" i="1"/>
  <c r="AU2011" i="1"/>
  <c r="AU2012" i="1"/>
  <c r="AU2034" i="1"/>
  <c r="AU2044" i="1"/>
  <c r="AU2059" i="1"/>
  <c r="AU2068" i="1"/>
  <c r="AU2129" i="1"/>
  <c r="AU1895" i="1"/>
  <c r="AU1897" i="1"/>
  <c r="AU2131" i="1"/>
  <c r="AU2137" i="1"/>
  <c r="AU2152" i="1"/>
  <c r="AU2181" i="1"/>
  <c r="AU1902" i="1"/>
  <c r="AU1903" i="1"/>
  <c r="AU1904" i="1"/>
  <c r="AU2185" i="1"/>
  <c r="AU1906" i="1"/>
  <c r="AU2352" i="1"/>
  <c r="AU1910" i="1"/>
  <c r="AU1912" i="1"/>
  <c r="AU1913" i="1"/>
  <c r="AU1914" i="1"/>
  <c r="AU1915" i="1"/>
  <c r="AU1916" i="1"/>
  <c r="AU1917" i="1"/>
  <c r="AU1918" i="1"/>
  <c r="AU1919" i="1"/>
  <c r="AU1920" i="1"/>
  <c r="AU1921" i="1"/>
  <c r="AU1922" i="1"/>
  <c r="AU1923" i="1"/>
  <c r="AU1925" i="1"/>
  <c r="AU1926" i="1"/>
  <c r="AU1928" i="1"/>
  <c r="AU1927" i="1"/>
  <c r="AU1929" i="1"/>
  <c r="AU1931" i="1"/>
  <c r="AU1930" i="1"/>
  <c r="AU1932" i="1"/>
  <c r="AU1933" i="1"/>
  <c r="AU2498" i="1"/>
  <c r="AU1936" i="1"/>
  <c r="AU1938" i="1"/>
  <c r="AU1939" i="1"/>
  <c r="AU1940" i="1"/>
  <c r="AU1941" i="1"/>
  <c r="AU2569" i="1"/>
  <c r="AU1943" i="1"/>
  <c r="AU1944" i="1"/>
  <c r="AU1945" i="1"/>
  <c r="AU1946" i="1"/>
  <c r="AU1947" i="1"/>
  <c r="AU1948" i="1"/>
  <c r="AU1949" i="1"/>
  <c r="AU1950" i="1"/>
  <c r="AU1951" i="1"/>
  <c r="AU1952" i="1"/>
  <c r="AU1953" i="1"/>
  <c r="AU1954" i="1"/>
  <c r="AU1955" i="1"/>
  <c r="AU1956" i="1"/>
  <c r="AU1957" i="1"/>
  <c r="AU1959" i="1"/>
  <c r="AU1960" i="1"/>
  <c r="AU1961" i="1"/>
  <c r="AU1962" i="1"/>
  <c r="AU1963" i="1"/>
  <c r="AU1966" i="1"/>
  <c r="AU1970" i="1"/>
  <c r="AU1971" i="1"/>
  <c r="AU1972" i="1"/>
  <c r="AU1973" i="1"/>
  <c r="AU1975" i="1"/>
  <c r="AU1976" i="1"/>
  <c r="AU1977" i="1"/>
  <c r="AU1978" i="1"/>
  <c r="AU1979" i="1"/>
  <c r="AU1980" i="1"/>
  <c r="AU1981" i="1"/>
  <c r="AU445" i="1"/>
  <c r="AU1983" i="1"/>
  <c r="AU1984" i="1"/>
  <c r="AU1985" i="1"/>
  <c r="AU1990" i="1"/>
  <c r="AU1991" i="1"/>
  <c r="AU1994" i="1"/>
  <c r="AU1995" i="1"/>
  <c r="AU1997" i="1"/>
  <c r="AU1998" i="1"/>
  <c r="AU1999" i="1"/>
  <c r="AU2000" i="1"/>
  <c r="AU2001" i="1"/>
  <c r="AU2002" i="1"/>
  <c r="AU2003" i="1"/>
  <c r="AU2004" i="1"/>
  <c r="AU2005" i="1"/>
  <c r="AU2006" i="1"/>
  <c r="AU2007" i="1"/>
  <c r="AU2008" i="1"/>
  <c r="AU1293" i="1"/>
  <c r="AU941" i="1"/>
  <c r="AU21" i="1"/>
  <c r="AU2013" i="1"/>
  <c r="AU2014" i="1"/>
  <c r="AU2015" i="1"/>
  <c r="AU2016" i="1"/>
  <c r="AU2017" i="1"/>
  <c r="AU2018" i="1"/>
  <c r="AU2019" i="1"/>
  <c r="AU2020" i="1"/>
  <c r="AU2021" i="1"/>
  <c r="AU2022" i="1"/>
  <c r="AU2023" i="1"/>
  <c r="AU2024" i="1"/>
  <c r="AU2025" i="1"/>
  <c r="AU2026" i="1"/>
  <c r="AU2027" i="1"/>
  <c r="AU2028" i="1"/>
  <c r="AU2029" i="1"/>
  <c r="AU2031" i="1"/>
  <c r="AU2033" i="1"/>
  <c r="AU1204" i="1"/>
  <c r="AU2038" i="1"/>
  <c r="AU2039" i="1"/>
  <c r="AU2040" i="1"/>
  <c r="AU2041" i="1"/>
  <c r="AU2042" i="1"/>
  <c r="AU2045" i="1"/>
  <c r="AU2046" i="1"/>
  <c r="AU2047" i="1"/>
  <c r="AU2048" i="1"/>
  <c r="AU2049" i="1"/>
  <c r="AU2050" i="1"/>
  <c r="AU2051" i="1"/>
  <c r="AU2052" i="1"/>
  <c r="AU2053" i="1"/>
  <c r="AU2055" i="1"/>
  <c r="AU2056" i="1"/>
  <c r="AU2057" i="1"/>
  <c r="AU2058" i="1"/>
  <c r="AU1719" i="1"/>
  <c r="AU2060" i="1"/>
  <c r="AU2061" i="1"/>
  <c r="AU2062" i="1"/>
  <c r="AU2063" i="1"/>
  <c r="AU2064" i="1"/>
  <c r="AU1802" i="1"/>
  <c r="AU2069" i="1"/>
  <c r="AU2070" i="1"/>
  <c r="AU2071" i="1"/>
  <c r="AU2072" i="1"/>
  <c r="AU2073" i="1"/>
  <c r="AU2074" i="1"/>
  <c r="AU2075" i="1"/>
  <c r="AU2076" i="1"/>
  <c r="AU2077" i="1"/>
  <c r="AU2078" i="1"/>
  <c r="AU2079" i="1"/>
  <c r="AU2080" i="1"/>
  <c r="AU2081" i="1"/>
  <c r="AU2082" i="1"/>
  <c r="AU2083" i="1"/>
  <c r="AU2084" i="1"/>
  <c r="AU2085" i="1"/>
  <c r="AU2089" i="1"/>
  <c r="AU2090" i="1"/>
  <c r="AU2091" i="1"/>
  <c r="AU2092" i="1"/>
  <c r="AU2093" i="1"/>
  <c r="AU2094" i="1"/>
  <c r="AU2095" i="1"/>
  <c r="AU2096" i="1"/>
  <c r="AU2097" i="1"/>
  <c r="AU2098" i="1"/>
  <c r="AU2099" i="1"/>
  <c r="AU2100" i="1"/>
  <c r="AU2101" i="1"/>
  <c r="AU2102" i="1"/>
  <c r="AU2103" i="1"/>
  <c r="AU2105" i="1"/>
  <c r="AU2106" i="1"/>
  <c r="AU2107" i="1"/>
  <c r="AU2108" i="1"/>
  <c r="AU2109" i="1"/>
  <c r="AU2110" i="1"/>
  <c r="AU2111" i="1"/>
  <c r="AU2112" i="1"/>
  <c r="AU2113" i="1"/>
  <c r="AU2114" i="1"/>
  <c r="AU2115" i="1"/>
  <c r="AU2116" i="1"/>
  <c r="AU2117" i="1"/>
  <c r="AU2118" i="1"/>
  <c r="AU2119" i="1"/>
  <c r="AU2120" i="1"/>
  <c r="AU2121" i="1"/>
  <c r="AU2122" i="1"/>
  <c r="AU2123" i="1"/>
  <c r="AU2124" i="1"/>
  <c r="AU2128" i="1"/>
  <c r="AU2481" i="1"/>
  <c r="AU2130" i="1"/>
  <c r="AU2482" i="1"/>
  <c r="AU2132" i="1"/>
  <c r="AU2134" i="1"/>
  <c r="AU2135" i="1"/>
  <c r="AU2136" i="1"/>
  <c r="AU893" i="1"/>
  <c r="AU2138" i="1"/>
  <c r="AU2140" i="1"/>
  <c r="AU2141" i="1"/>
  <c r="AU2142" i="1"/>
  <c r="AU2143" i="1"/>
  <c r="AU2144" i="1"/>
  <c r="AU2145" i="1"/>
  <c r="AU2146" i="1"/>
  <c r="AU2147" i="1"/>
  <c r="AU2148" i="1"/>
  <c r="AU2149" i="1"/>
  <c r="AU2150" i="1"/>
  <c r="AU2151" i="1"/>
  <c r="AU957" i="1"/>
  <c r="AU2153" i="1"/>
  <c r="AU2155" i="1"/>
  <c r="AU2154" i="1"/>
  <c r="AU2156" i="1"/>
  <c r="AU2157" i="1"/>
  <c r="AU2158" i="1"/>
  <c r="AU2159" i="1"/>
  <c r="AU2160" i="1"/>
  <c r="AU2161" i="1"/>
  <c r="AU2162" i="1"/>
  <c r="AU2164" i="1"/>
  <c r="AU2167" i="1"/>
  <c r="AU2168" i="1"/>
  <c r="AU2169" i="1"/>
  <c r="AU2170" i="1"/>
  <c r="AU2171" i="1"/>
  <c r="AU2172" i="1"/>
  <c r="AU2175" i="1"/>
  <c r="AU2178" i="1"/>
  <c r="AU2179" i="1"/>
  <c r="AU1097" i="1"/>
  <c r="AU2182" i="1"/>
  <c r="AU1160" i="1"/>
  <c r="AU2184" i="1"/>
  <c r="AU2187" i="1"/>
  <c r="AU2188" i="1"/>
  <c r="AU2189" i="1"/>
  <c r="AU2190" i="1"/>
  <c r="AU2192" i="1"/>
  <c r="AU2193" i="1"/>
  <c r="AU2194" i="1"/>
  <c r="AU2195" i="1"/>
  <c r="AU2196" i="1"/>
  <c r="AU2197" i="1"/>
  <c r="AU2198" i="1"/>
  <c r="AU2199" i="1"/>
  <c r="AU2200" i="1"/>
  <c r="AU2201" i="1"/>
  <c r="AU2202" i="1"/>
  <c r="AU2203" i="1"/>
  <c r="AU2204" i="1"/>
  <c r="AU2205" i="1"/>
  <c r="AU2206" i="1"/>
  <c r="AU2207" i="1"/>
  <c r="AU2209" i="1"/>
  <c r="AU2210" i="1"/>
  <c r="AU2211" i="1"/>
  <c r="AU2212" i="1"/>
  <c r="AU2213" i="1"/>
  <c r="AU2214" i="1"/>
  <c r="AU2215" i="1"/>
  <c r="AU2216" i="1"/>
  <c r="AU2217" i="1"/>
  <c r="AU2218" i="1"/>
  <c r="AU2219" i="1"/>
  <c r="AU2220" i="1"/>
  <c r="AU2221" i="1"/>
  <c r="AU2222" i="1"/>
  <c r="AU2223" i="1"/>
  <c r="AU2224" i="1"/>
  <c r="AU2225" i="1"/>
  <c r="AU2226" i="1"/>
  <c r="AU2227" i="1"/>
  <c r="AU2228" i="1"/>
  <c r="AU2229" i="1"/>
  <c r="AU2230" i="1"/>
  <c r="AU2231" i="1"/>
  <c r="AU2232" i="1"/>
  <c r="AU2233" i="1"/>
  <c r="AU2234" i="1"/>
  <c r="AU2235" i="1"/>
  <c r="AU2236" i="1"/>
  <c r="AU2237" i="1"/>
  <c r="AU2238" i="1"/>
  <c r="AU2239" i="1"/>
  <c r="AU2240" i="1"/>
  <c r="AU2241" i="1"/>
  <c r="AU2242" i="1"/>
  <c r="AU2243" i="1"/>
  <c r="AU2244" i="1"/>
  <c r="AU2245" i="1"/>
  <c r="AU2246" i="1"/>
  <c r="AU2247" i="1"/>
  <c r="AU2248" i="1"/>
  <c r="AU2249" i="1"/>
  <c r="AU2250" i="1"/>
  <c r="AU2251" i="1"/>
  <c r="AU2252" i="1"/>
  <c r="AU2253" i="1"/>
  <c r="AU2254" i="1"/>
  <c r="AU2255" i="1"/>
  <c r="AU2256" i="1"/>
  <c r="AU2257" i="1"/>
  <c r="AU2258" i="1"/>
  <c r="AU2259" i="1"/>
  <c r="AU2260" i="1"/>
  <c r="AU2261" i="1"/>
  <c r="AU2262" i="1"/>
  <c r="AU2263" i="1"/>
  <c r="AU2264" i="1"/>
  <c r="AU2265" i="1"/>
  <c r="AU2266" i="1"/>
  <c r="AU2267" i="1"/>
  <c r="AU2268" i="1"/>
  <c r="AU2269" i="1"/>
  <c r="AU2270" i="1"/>
  <c r="AU2271" i="1"/>
  <c r="AU2272" i="1"/>
  <c r="AU2273" i="1"/>
  <c r="AU2274" i="1"/>
  <c r="AU2275" i="1"/>
  <c r="AU2276" i="1"/>
  <c r="AU2277" i="1"/>
  <c r="AU2279" i="1"/>
  <c r="AU2280" i="1"/>
  <c r="AU2281" i="1"/>
  <c r="AU2282" i="1"/>
  <c r="AU2283" i="1"/>
  <c r="AU2284" i="1"/>
  <c r="AU2285" i="1"/>
  <c r="AU2286" i="1"/>
  <c r="AU2287" i="1"/>
  <c r="AU2288" i="1"/>
  <c r="AU2289" i="1"/>
  <c r="AU2290" i="1"/>
  <c r="AU2291" i="1"/>
  <c r="AU2292" i="1"/>
  <c r="AU2293" i="1"/>
  <c r="AU2296" i="1"/>
  <c r="AU2297" i="1"/>
  <c r="AU2298" i="1"/>
  <c r="AU2299" i="1"/>
  <c r="AU2300" i="1"/>
  <c r="AU2301" i="1"/>
  <c r="AU2302" i="1"/>
  <c r="AU2303" i="1"/>
  <c r="AU2304" i="1"/>
  <c r="AU2305" i="1"/>
  <c r="AU2306" i="1"/>
  <c r="AU2307" i="1"/>
  <c r="AU2308" i="1"/>
  <c r="AU2309" i="1"/>
  <c r="AU2310" i="1"/>
  <c r="AU2311" i="1"/>
  <c r="AU2312" i="1"/>
  <c r="AU2313" i="1"/>
  <c r="AU2314" i="1"/>
  <c r="AU2315" i="1"/>
  <c r="AU2317" i="1"/>
  <c r="AU2318" i="1"/>
  <c r="AU2320" i="1"/>
  <c r="AU2322" i="1"/>
  <c r="AU2323" i="1"/>
  <c r="AU2325" i="1"/>
  <c r="AU2326" i="1"/>
  <c r="AU2327" i="1"/>
  <c r="AU2328" i="1"/>
  <c r="AU1446" i="1"/>
  <c r="AU2330" i="1"/>
  <c r="AU2331" i="1"/>
  <c r="AU2332" i="1"/>
  <c r="AU2334" i="1"/>
  <c r="AU2336" i="1"/>
  <c r="AU2337" i="1"/>
  <c r="AU2338" i="1"/>
  <c r="AU2339" i="1"/>
  <c r="AU2341" i="1"/>
  <c r="AU2342" i="1"/>
  <c r="AU2343" i="1"/>
  <c r="AU2344" i="1"/>
  <c r="AU2345" i="1"/>
  <c r="AU2346" i="1"/>
  <c r="AU2347" i="1"/>
  <c r="AU2348" i="1"/>
  <c r="AU2349" i="1"/>
  <c r="AU2350" i="1"/>
  <c r="AU2351" i="1"/>
  <c r="AU246" i="1"/>
  <c r="AU2353" i="1"/>
  <c r="AU2354" i="1"/>
  <c r="AU2355" i="1"/>
  <c r="AU2358" i="1"/>
  <c r="AU2359" i="1"/>
  <c r="AU2360" i="1"/>
  <c r="AU2361" i="1"/>
  <c r="AU2362" i="1"/>
  <c r="AU2363" i="1"/>
  <c r="AU2364" i="1"/>
  <c r="AU2365" i="1"/>
  <c r="AU2366" i="1"/>
  <c r="AU2367" i="1"/>
  <c r="AU2368" i="1"/>
  <c r="AU2369" i="1"/>
  <c r="AU2370" i="1"/>
  <c r="AU2371" i="1"/>
  <c r="AU2372" i="1"/>
  <c r="AU2373" i="1"/>
  <c r="AU2374" i="1"/>
  <c r="AU2375" i="1"/>
  <c r="AU2376" i="1"/>
  <c r="AU2377" i="1"/>
  <c r="AU2379" i="1"/>
  <c r="AU2378" i="1"/>
  <c r="AU2380" i="1"/>
  <c r="AU2381" i="1"/>
  <c r="AU2382" i="1"/>
  <c r="AU2383" i="1"/>
  <c r="AU2384" i="1"/>
  <c r="AU2385" i="1"/>
  <c r="AU2386" i="1"/>
  <c r="AU2387" i="1"/>
  <c r="AU2388" i="1"/>
  <c r="AU2389" i="1"/>
  <c r="AU2390" i="1"/>
  <c r="AU2391" i="1"/>
  <c r="AU2392" i="1"/>
  <c r="AU2393" i="1"/>
  <c r="AU2394" i="1"/>
  <c r="AU2395" i="1"/>
  <c r="AU2396" i="1"/>
  <c r="AU2397" i="1"/>
  <c r="AU2398" i="1"/>
  <c r="AU2399" i="1"/>
  <c r="AU2400" i="1"/>
  <c r="AU2401" i="1"/>
  <c r="AU2402" i="1"/>
  <c r="AU2403" i="1"/>
  <c r="AU2404" i="1"/>
  <c r="AU2405" i="1"/>
  <c r="AU2406" i="1"/>
  <c r="AU2407" i="1"/>
  <c r="AU2408" i="1"/>
  <c r="AU2411" i="1"/>
  <c r="AU2412" i="1"/>
  <c r="AU2413" i="1"/>
  <c r="AU2414" i="1"/>
  <c r="AU2415" i="1"/>
  <c r="AU2416" i="1"/>
  <c r="AU2417" i="1"/>
  <c r="AU2418" i="1"/>
  <c r="AU2419" i="1"/>
  <c r="AU2420" i="1"/>
  <c r="AU2421" i="1"/>
  <c r="AU2422" i="1"/>
  <c r="AU2423" i="1"/>
  <c r="AU2424" i="1"/>
  <c r="AU2426" i="1"/>
  <c r="AU2427" i="1"/>
  <c r="AU2428" i="1"/>
  <c r="AU2429" i="1"/>
  <c r="AU2430" i="1"/>
  <c r="AU809" i="1"/>
  <c r="AU2432" i="1"/>
  <c r="AU2433" i="1"/>
  <c r="AU2434" i="1"/>
  <c r="AU2435" i="1"/>
  <c r="AU2438" i="1"/>
  <c r="AU2439" i="1"/>
  <c r="AU2440" i="1"/>
  <c r="AU2442" i="1"/>
  <c r="AU2443" i="1"/>
  <c r="AU2444" i="1"/>
  <c r="AU2447" i="1"/>
  <c r="AU2448" i="1"/>
  <c r="AU2449" i="1"/>
  <c r="AU2450" i="1"/>
  <c r="AU2451" i="1"/>
  <c r="AU2452" i="1"/>
  <c r="AU2453" i="1"/>
  <c r="AU2454" i="1"/>
  <c r="AU2455" i="1"/>
  <c r="AU2456" i="1"/>
  <c r="AU2457" i="1"/>
  <c r="AU2458" i="1"/>
  <c r="AU2459" i="1"/>
  <c r="AU2460" i="1"/>
  <c r="AU2461" i="1"/>
  <c r="AU2462" i="1"/>
  <c r="AU2463" i="1"/>
  <c r="AU2464" i="1"/>
  <c r="AU2465" i="1"/>
  <c r="AU2466" i="1"/>
  <c r="AU2467" i="1"/>
  <c r="AU2468" i="1"/>
  <c r="AU2469" i="1"/>
  <c r="AU2470" i="1"/>
  <c r="AU2471" i="1"/>
  <c r="AU2472" i="1"/>
  <c r="AU2473" i="1"/>
  <c r="AU2474" i="1"/>
  <c r="AU2475" i="1"/>
  <c r="AU2476" i="1"/>
  <c r="AU2477" i="1"/>
  <c r="AU1022" i="1"/>
  <c r="AU1506" i="1"/>
  <c r="AU2483" i="1"/>
  <c r="AU2484" i="1"/>
  <c r="AU2485" i="1"/>
  <c r="AU2487" i="1"/>
  <c r="AU2488" i="1"/>
  <c r="AU2489" i="1"/>
  <c r="AU2491" i="1"/>
  <c r="AU2492" i="1"/>
  <c r="AU2493" i="1"/>
  <c r="AU2494" i="1"/>
  <c r="AU2495" i="1"/>
  <c r="AU1643" i="1"/>
  <c r="AU2496" i="1"/>
  <c r="AU2499" i="1"/>
  <c r="AU2500" i="1"/>
  <c r="AU2501" i="1"/>
  <c r="AU2502" i="1"/>
  <c r="AU2503" i="1"/>
  <c r="AU2504" i="1"/>
  <c r="AU2505" i="1"/>
  <c r="AU2506" i="1"/>
  <c r="AU2507" i="1"/>
  <c r="AU2508" i="1"/>
  <c r="AU2509" i="1"/>
  <c r="AU2510" i="1"/>
  <c r="AU2511" i="1"/>
  <c r="AU2512" i="1"/>
  <c r="AU2513" i="1"/>
  <c r="AU2514" i="1"/>
  <c r="AU2515" i="1"/>
  <c r="AU2516" i="1"/>
  <c r="AU2517" i="1"/>
  <c r="AU2518" i="1"/>
  <c r="AU2519" i="1"/>
  <c r="AU2520" i="1"/>
  <c r="AU2521" i="1"/>
  <c r="AU2522" i="1"/>
  <c r="AU2523" i="1"/>
  <c r="AU2524" i="1"/>
  <c r="AU2525" i="1"/>
  <c r="AU2526" i="1"/>
  <c r="AU2527" i="1"/>
  <c r="AU2528" i="1"/>
  <c r="AU2529" i="1"/>
  <c r="AU2530" i="1"/>
  <c r="AU2531" i="1"/>
  <c r="AU2532" i="1"/>
  <c r="AU2533" i="1"/>
  <c r="AU2534" i="1"/>
  <c r="AU2536" i="1"/>
  <c r="AU2537" i="1"/>
  <c r="AU2538" i="1"/>
  <c r="AU2539" i="1"/>
  <c r="AU2540" i="1"/>
  <c r="AU2541" i="1"/>
  <c r="AU2543" i="1"/>
  <c r="AU2544" i="1"/>
  <c r="AU2546" i="1"/>
  <c r="AU2547" i="1"/>
  <c r="AU2548" i="1"/>
  <c r="AU2549" i="1"/>
  <c r="AU2550" i="1"/>
  <c r="AU2551" i="1"/>
  <c r="AU2552" i="1"/>
  <c r="AU2553" i="1"/>
  <c r="AU2554" i="1"/>
  <c r="AU2556" i="1"/>
  <c r="AU2559" i="1"/>
  <c r="AU2560" i="1"/>
  <c r="AU2561" i="1"/>
  <c r="AU2562" i="1"/>
  <c r="AU2563" i="1"/>
  <c r="AU2564" i="1"/>
  <c r="AU2431" i="1"/>
  <c r="AU2567" i="1"/>
  <c r="AU2568" i="1"/>
  <c r="AU1072" i="1"/>
  <c r="AU2571" i="1"/>
  <c r="AU2572" i="1"/>
  <c r="AU2573" i="1"/>
  <c r="AU2574" i="1"/>
  <c r="AU2575" i="1"/>
  <c r="AU2578" i="1"/>
  <c r="AU2579" i="1"/>
  <c r="AU2580" i="1"/>
  <c r="AU2581" i="1"/>
  <c r="AU2582" i="1"/>
  <c r="AU2583" i="1"/>
  <c r="AU2584" i="1"/>
  <c r="AU2585" i="1"/>
  <c r="AU2586" i="1"/>
  <c r="AU2587" i="1"/>
  <c r="AU2588" i="1"/>
  <c r="AU2589" i="1"/>
  <c r="AU2590" i="1"/>
  <c r="AU2591" i="1"/>
  <c r="AU2592" i="1"/>
  <c r="AI330" i="1"/>
  <c r="AN330" i="1"/>
  <c r="AM330" i="1"/>
  <c r="AL330" i="1" s="1"/>
  <c r="AF330" i="1"/>
  <c r="AE330" i="1"/>
  <c r="W330" i="1"/>
  <c r="Z330" i="1" s="1"/>
  <c r="V330" i="1"/>
  <c r="AA1771" i="1" l="1"/>
  <c r="AB1771" i="1" s="1"/>
  <c r="AA1745" i="1"/>
  <c r="AA1641" i="1"/>
  <c r="AD1641" i="1" s="1"/>
  <c r="AA1554" i="1"/>
  <c r="AD1554" i="1" s="1"/>
  <c r="AA1459" i="1"/>
  <c r="AA1466" i="1"/>
  <c r="AA1505" i="1"/>
  <c r="AA1510" i="1"/>
  <c r="AB1510" i="1" s="1"/>
  <c r="AA1487" i="1"/>
  <c r="AA1484" i="1"/>
  <c r="AA1486" i="1"/>
  <c r="AB1472" i="1"/>
  <c r="AD1472" i="1" s="1"/>
  <c r="AA1461" i="1"/>
  <c r="AA1468" i="1"/>
  <c r="AA1482" i="1"/>
  <c r="AA1488" i="1"/>
  <c r="AC1487" i="1"/>
  <c r="AA1485" i="1"/>
  <c r="AA1379" i="1"/>
  <c r="AD1379" i="1" s="1"/>
  <c r="AJ1379" i="1" s="1"/>
  <c r="AK1379" i="1" s="1"/>
  <c r="AA1375" i="1"/>
  <c r="AD1375" i="1" s="1"/>
  <c r="AJ1375" i="1" s="1"/>
  <c r="AK1375" i="1" s="1"/>
  <c r="AB1267" i="1"/>
  <c r="AD1267" i="1" s="1"/>
  <c r="AA1037" i="1"/>
  <c r="AA1019" i="1"/>
  <c r="AD1019" i="1" s="1"/>
  <c r="AJ1019" i="1" s="1"/>
  <c r="AK1019" i="1" s="1"/>
  <c r="AA1002" i="1"/>
  <c r="AD1002" i="1" s="1"/>
  <c r="AA989" i="1"/>
  <c r="AB989" i="1" s="1"/>
  <c r="AA976" i="1"/>
  <c r="AD976" i="1" s="1"/>
  <c r="AS976" i="1" s="1"/>
  <c r="AT976" i="1" s="1"/>
  <c r="AU976" i="1" s="1"/>
  <c r="AB935" i="1"/>
  <c r="AD935" i="1" s="1"/>
  <c r="AA936" i="1"/>
  <c r="AC936" i="1"/>
  <c r="AA808" i="1"/>
  <c r="AB808" i="1" s="1"/>
  <c r="AA908" i="1"/>
  <c r="AA853" i="1"/>
  <c r="AR808" i="1"/>
  <c r="Y746" i="1"/>
  <c r="AA746" i="1" s="1"/>
  <c r="Y745" i="1"/>
  <c r="AA745" i="1" s="1"/>
  <c r="AA741" i="1"/>
  <c r="AB741" i="1"/>
  <c r="AD741" i="1" s="1"/>
  <c r="AA708" i="1"/>
  <c r="AR708" i="1"/>
  <c r="AA700" i="1"/>
  <c r="AA359" i="1"/>
  <c r="AD359" i="1" s="1"/>
  <c r="AA698" i="1"/>
  <c r="AB330" i="1"/>
  <c r="AD330" i="1" s="1"/>
  <c r="AA350" i="1"/>
  <c r="AB350" i="1" s="1"/>
  <c r="Y330" i="1"/>
  <c r="AA330" i="1" s="1"/>
  <c r="AD1771" i="1" l="1"/>
  <c r="AB1459" i="1"/>
  <c r="AB1379" i="1"/>
  <c r="AB1554" i="1"/>
  <c r="AB1641" i="1"/>
  <c r="AB1505" i="1"/>
  <c r="AS1641" i="1"/>
  <c r="AT1641" i="1" s="1"/>
  <c r="AU1641" i="1" s="1"/>
  <c r="AJ1641" i="1"/>
  <c r="AK1641" i="1" s="1"/>
  <c r="AB1466" i="1"/>
  <c r="AJ1554" i="1"/>
  <c r="AK1554" i="1" s="1"/>
  <c r="AS1554" i="1"/>
  <c r="AT1554" i="1" s="1"/>
  <c r="AU1554" i="1" s="1"/>
  <c r="AD1505" i="1"/>
  <c r="AD1510" i="1"/>
  <c r="AJ1510" i="1" s="1"/>
  <c r="AK1510" i="1" s="1"/>
  <c r="AB1461" i="1"/>
  <c r="AB1375" i="1"/>
  <c r="AB1468" i="1"/>
  <c r="AS1379" i="1"/>
  <c r="AT1379" i="1" s="1"/>
  <c r="AU1379" i="1" s="1"/>
  <c r="AS1375" i="1"/>
  <c r="AT1375" i="1" s="1"/>
  <c r="AU1375" i="1" s="1"/>
  <c r="AD989" i="1"/>
  <c r="AB1019" i="1"/>
  <c r="AB1037" i="1"/>
  <c r="AB1002" i="1"/>
  <c r="AS1019" i="1"/>
  <c r="AT1019" i="1" s="1"/>
  <c r="AU1019" i="1" s="1"/>
  <c r="AB976" i="1"/>
  <c r="AJ976" i="1"/>
  <c r="AK976" i="1" s="1"/>
  <c r="AD808" i="1"/>
  <c r="AJ808" i="1" s="1"/>
  <c r="AK808" i="1" s="1"/>
  <c r="AC853" i="1"/>
  <c r="AB359" i="1"/>
  <c r="AB708" i="1"/>
  <c r="AD700" i="1"/>
  <c r="AB700" i="1"/>
  <c r="AS1510" i="1" l="1"/>
  <c r="AT1510" i="1" s="1"/>
  <c r="AU1510" i="1" s="1"/>
  <c r="AS808" i="1"/>
  <c r="AT808" i="1" s="1"/>
  <c r="AU808" i="1" s="1"/>
  <c r="AP198" i="1" l="1"/>
  <c r="AR198" i="1" s="1"/>
  <c r="AF198" i="1"/>
  <c r="AI198" i="1"/>
  <c r="AP61" i="1"/>
  <c r="AQ61" i="1" s="1"/>
  <c r="AI61" i="1"/>
  <c r="AN61" i="1"/>
  <c r="AM61" i="1"/>
  <c r="AL61" i="1" s="1"/>
  <c r="AQ198" i="1" l="1"/>
  <c r="AR61" i="1"/>
  <c r="AF61" i="1" l="1"/>
  <c r="AH61" i="1"/>
  <c r="AH64" i="1"/>
  <c r="AH63" i="1"/>
  <c r="AH62" i="1"/>
  <c r="AE61" i="1"/>
  <c r="W61" i="1"/>
  <c r="Z61" i="1" s="1"/>
  <c r="V61" i="1"/>
  <c r="M2012" i="1"/>
  <c r="AF1160" i="1"/>
  <c r="AE2329" i="1"/>
  <c r="AE557" i="1"/>
  <c r="AE2137" i="1"/>
  <c r="AE732" i="1"/>
  <c r="AE731" i="1"/>
  <c r="AE1612" i="1"/>
  <c r="AE1295" i="1"/>
  <c r="AE1095" i="1"/>
  <c r="AE585" i="1"/>
  <c r="AE549" i="1"/>
  <c r="AE495" i="1"/>
  <c r="AE1942" i="1"/>
  <c r="AE1880" i="1"/>
  <c r="AE1454" i="1"/>
  <c r="AE2129" i="1"/>
  <c r="AE1934" i="1"/>
  <c r="AE1898" i="1"/>
  <c r="AE1409" i="1"/>
  <c r="AE2352" i="1"/>
  <c r="AE2181" i="1"/>
  <c r="AE2152" i="1"/>
  <c r="AE1982" i="1"/>
  <c r="AE1852" i="1"/>
  <c r="AE1600" i="1"/>
  <c r="AE1599" i="1"/>
  <c r="AE1557" i="1"/>
  <c r="AE1382" i="1"/>
  <c r="AE1339" i="1"/>
  <c r="AE1099" i="1"/>
  <c r="AE1038" i="1"/>
  <c r="AE901" i="1"/>
  <c r="AE820" i="1"/>
  <c r="AE755" i="1"/>
  <c r="AE744" i="1"/>
  <c r="AE527" i="1"/>
  <c r="AE385" i="1"/>
  <c r="AE301" i="1"/>
  <c r="AE1868" i="1"/>
  <c r="AE1867" i="1"/>
  <c r="AE1746" i="1"/>
  <c r="AE907" i="1"/>
  <c r="AF907" i="1"/>
  <c r="Y2498" i="1"/>
  <c r="Z2498" i="1"/>
  <c r="AB2498" i="1"/>
  <c r="Y1022" i="1"/>
  <c r="Z1022" i="1"/>
  <c r="AB1022" i="1"/>
  <c r="Y809" i="1"/>
  <c r="Z809" i="1"/>
  <c r="AB809" i="1"/>
  <c r="AC2482" i="1"/>
  <c r="AC1643" i="1"/>
  <c r="AC1506" i="1"/>
  <c r="AF1072" i="1"/>
  <c r="AE1244" i="1"/>
  <c r="AE1243" i="1"/>
  <c r="AE1242" i="1"/>
  <c r="AE1241" i="1"/>
  <c r="AE1204" i="1"/>
  <c r="AE1072" i="1"/>
  <c r="AE1046" i="1"/>
  <c r="AE1047" i="1"/>
  <c r="AE754" i="1"/>
  <c r="AE750" i="1"/>
  <c r="V246" i="1"/>
  <c r="AE1887" i="1"/>
  <c r="AE1889" i="1"/>
  <c r="AE1512" i="1"/>
  <c r="AF585" i="1"/>
  <c r="AR2357" i="1"/>
  <c r="AQ2357" i="1"/>
  <c r="AN2357" i="1"/>
  <c r="AM2357" i="1"/>
  <c r="AL2357" i="1" s="1"/>
  <c r="AH2357" i="1"/>
  <c r="AF2357" i="1"/>
  <c r="Y61" i="1" l="1"/>
  <c r="AA61" i="1" s="1"/>
  <c r="AA2498" i="1"/>
  <c r="AD2498" i="1" s="1"/>
  <c r="AA1022" i="1"/>
  <c r="AD1022" i="1" s="1"/>
  <c r="AA809" i="1"/>
  <c r="AD809" i="1" s="1"/>
  <c r="Y246" i="1"/>
  <c r="AE2357" i="1" l="1"/>
  <c r="W2357" i="1"/>
  <c r="V2357" i="1"/>
  <c r="AR2356" i="1"/>
  <c r="AQ2356" i="1"/>
  <c r="AF2356" i="1"/>
  <c r="AN2356" i="1"/>
  <c r="AM2356" i="1"/>
  <c r="AL2356" i="1" s="1"/>
  <c r="AH2356" i="1"/>
  <c r="AE2356" i="1"/>
  <c r="W2356" i="1"/>
  <c r="V2356" i="1"/>
  <c r="AF2009" i="1"/>
  <c r="W2009" i="1"/>
  <c r="Z2009" i="1" s="1"/>
  <c r="V2009" i="1"/>
  <c r="AB2009" i="1" l="1"/>
  <c r="AD2009" i="1" s="1"/>
  <c r="Y2009" i="1"/>
  <c r="AA2009" i="1" s="1"/>
  <c r="AA2357" i="1"/>
  <c r="AB2357" i="1" s="1"/>
  <c r="AA2356" i="1"/>
  <c r="AF1600" i="1"/>
  <c r="AF1599" i="1"/>
  <c r="AB2356" i="1" l="1"/>
  <c r="AF1552" i="1"/>
  <c r="AN1552" i="1" l="1"/>
  <c r="AM1552" i="1"/>
  <c r="AE1552" i="1" l="1"/>
  <c r="W1552" i="1"/>
  <c r="Z1552" i="1" s="1"/>
  <c r="V1552" i="1"/>
  <c r="AQ1552" i="1"/>
  <c r="AU1552" i="1" s="1"/>
  <c r="AR1552" i="1"/>
  <c r="AN542" i="1"/>
  <c r="AM542" i="1"/>
  <c r="AF542" i="1"/>
  <c r="AB1552" i="1" l="1"/>
  <c r="AD1552" i="1" s="1"/>
  <c r="Y1552" i="1"/>
  <c r="AA1552" i="1" s="1"/>
  <c r="AE542" i="1"/>
  <c r="W542" i="1"/>
  <c r="Z542" i="1" s="1"/>
  <c r="V542" i="1"/>
  <c r="AQ542" i="1"/>
  <c r="AU542" i="1" s="1"/>
  <c r="AR542" i="1"/>
  <c r="AN2009" i="1"/>
  <c r="AM2009" i="1"/>
  <c r="AE2009" i="1"/>
  <c r="AQ2009" i="1"/>
  <c r="AU2009" i="1" s="1"/>
  <c r="AR2009" i="1"/>
  <c r="AN1035" i="1"/>
  <c r="AM1035" i="1"/>
  <c r="AL1035" i="1" s="1"/>
  <c r="AF2044" i="1"/>
  <c r="AN489" i="1"/>
  <c r="AM489" i="1"/>
  <c r="AL489" i="1" s="1"/>
  <c r="AI489" i="1"/>
  <c r="AH489" i="1"/>
  <c r="AN488" i="1"/>
  <c r="AM488" i="1"/>
  <c r="AL488" i="1" s="1"/>
  <c r="AI488" i="1"/>
  <c r="AH488" i="1"/>
  <c r="AF489" i="1"/>
  <c r="AF488" i="1"/>
  <c r="AE489" i="1"/>
  <c r="AE488" i="1"/>
  <c r="W489" i="1"/>
  <c r="V489" i="1"/>
  <c r="W488" i="1"/>
  <c r="V488" i="1"/>
  <c r="AQ488" i="1"/>
  <c r="AU488" i="1" s="1"/>
  <c r="AQ489" i="1"/>
  <c r="AU489" i="1" s="1"/>
  <c r="AR488" i="1"/>
  <c r="AR489" i="1"/>
  <c r="Y542" i="1" l="1"/>
  <c r="AA542" i="1" s="1"/>
  <c r="AB542" i="1"/>
  <c r="AD542" i="1" s="1"/>
  <c r="AA489" i="1"/>
  <c r="AB489" i="1" s="1"/>
  <c r="AA488" i="1"/>
  <c r="AB488" i="1" s="1"/>
  <c r="AN1286" i="1"/>
  <c r="AM1286" i="1"/>
  <c r="AF1286" i="1"/>
  <c r="AE1286" i="1"/>
  <c r="W1286" i="1"/>
  <c r="Z1286" i="1" s="1"/>
  <c r="V1286" i="1"/>
  <c r="AQ1286" i="1"/>
  <c r="AU1286" i="1" s="1"/>
  <c r="AR1286" i="1"/>
  <c r="AN2431" i="1"/>
  <c r="AM2431" i="1"/>
  <c r="AF2431" i="1"/>
  <c r="AE2431" i="1"/>
  <c r="W2431" i="1"/>
  <c r="Z2431" i="1" s="1"/>
  <c r="V2431" i="1"/>
  <c r="AE1615" i="1"/>
  <c r="AE1614" i="1"/>
  <c r="AE1613" i="1"/>
  <c r="AN1967" i="1"/>
  <c r="AM1967" i="1"/>
  <c r="AL1967" i="1" s="1"/>
  <c r="AH1967" i="1"/>
  <c r="AF1967" i="1"/>
  <c r="AE1967" i="1"/>
  <c r="W1967" i="1"/>
  <c r="V1967" i="1"/>
  <c r="AQ1967" i="1"/>
  <c r="AU1967" i="1" s="1"/>
  <c r="AR1967" i="1"/>
  <c r="AN1964" i="1"/>
  <c r="AM1964" i="1"/>
  <c r="AL1964" i="1" s="1"/>
  <c r="AH1964" i="1"/>
  <c r="AF1964" i="1"/>
  <c r="AE1964" i="1"/>
  <c r="W1964" i="1"/>
  <c r="V1964" i="1"/>
  <c r="AQ1964" i="1"/>
  <c r="AU1964" i="1" s="1"/>
  <c r="AR1964" i="1"/>
  <c r="AP2490" i="1"/>
  <c r="AN2490" i="1"/>
  <c r="AM2490" i="1"/>
  <c r="AL2490" i="1" s="1"/>
  <c r="AI2490" i="1"/>
  <c r="AH2490" i="1"/>
  <c r="AF2490" i="1"/>
  <c r="AE2490" i="1"/>
  <c r="W2490" i="1"/>
  <c r="V2490" i="1"/>
  <c r="AR1202" i="1"/>
  <c r="AQ1202" i="1"/>
  <c r="AN1202" i="1"/>
  <c r="AM1202" i="1"/>
  <c r="AL1202" i="1" s="1"/>
  <c r="AI1202" i="1"/>
  <c r="AH1202" i="1"/>
  <c r="AF1202" i="1"/>
  <c r="AE1202" i="1"/>
  <c r="W1202" i="1"/>
  <c r="V1202" i="1"/>
  <c r="AR1200" i="1"/>
  <c r="AQ1200" i="1"/>
  <c r="AN1200" i="1"/>
  <c r="AM1200" i="1"/>
  <c r="AL1200" i="1" s="1"/>
  <c r="AI1200" i="1"/>
  <c r="AH1200" i="1"/>
  <c r="AF1200" i="1"/>
  <c r="AE1200" i="1"/>
  <c r="W1200" i="1"/>
  <c r="V1200" i="1"/>
  <c r="AR1196" i="1"/>
  <c r="AQ1196" i="1"/>
  <c r="AN1196" i="1"/>
  <c r="AM1196" i="1"/>
  <c r="AL1196" i="1" s="1"/>
  <c r="AI1196" i="1"/>
  <c r="AH1196" i="1"/>
  <c r="AF1196" i="1"/>
  <c r="Y2431" i="1" l="1"/>
  <c r="AA2431" i="1" s="1"/>
  <c r="AB2431" i="1"/>
  <c r="AB1286" i="1"/>
  <c r="Y1286" i="1"/>
  <c r="AA1286" i="1" s="1"/>
  <c r="AA1967" i="1"/>
  <c r="AD1967" i="1" s="1"/>
  <c r="AA1964" i="1"/>
  <c r="AD1964" i="1" s="1"/>
  <c r="AA1202" i="1"/>
  <c r="AD1202" i="1" s="1"/>
  <c r="AA1200" i="1"/>
  <c r="AB1200" i="1" s="1"/>
  <c r="AA2490" i="1"/>
  <c r="AQ2490" i="1"/>
  <c r="AR2490" i="1"/>
  <c r="AB1967" i="1" l="1"/>
  <c r="AB1964" i="1"/>
  <c r="AB1202" i="1"/>
  <c r="AB2490" i="1"/>
  <c r="AD1200" i="1"/>
  <c r="AD2490" i="1"/>
  <c r="AE1196" i="1" l="1"/>
  <c r="W1196" i="1"/>
  <c r="V1196" i="1"/>
  <c r="AR144" i="1"/>
  <c r="AQ144" i="1"/>
  <c r="AN144" i="1"/>
  <c r="AM144" i="1"/>
  <c r="AL144" i="1" s="1"/>
  <c r="AI144" i="1"/>
  <c r="AH144" i="1"/>
  <c r="AF144" i="1"/>
  <c r="AE144" i="1"/>
  <c r="W144" i="1"/>
  <c r="V144" i="1"/>
  <c r="AR141" i="1"/>
  <c r="AQ141" i="1"/>
  <c r="AN141" i="1"/>
  <c r="AM141" i="1"/>
  <c r="AL141" i="1" s="1"/>
  <c r="AI141" i="1"/>
  <c r="AH141" i="1"/>
  <c r="AF141" i="1"/>
  <c r="AE141" i="1"/>
  <c r="W141" i="1"/>
  <c r="V141" i="1"/>
  <c r="AN1707" i="1"/>
  <c r="AM1707" i="1"/>
  <c r="AL1707" i="1" s="1"/>
  <c r="AI1707" i="1"/>
  <c r="AH1707" i="1"/>
  <c r="AF1707" i="1"/>
  <c r="AE1707" i="1"/>
  <c r="W1707" i="1"/>
  <c r="V1707" i="1"/>
  <c r="AQ1707" i="1"/>
  <c r="AR1707" i="1"/>
  <c r="AI2180" i="1"/>
  <c r="AR2180" i="1"/>
  <c r="AQ2180" i="1"/>
  <c r="AM2180" i="1"/>
  <c r="AL2180" i="1" s="1"/>
  <c r="AH2180" i="1"/>
  <c r="AF2180" i="1"/>
  <c r="AE2180" i="1"/>
  <c r="W2180" i="1"/>
  <c r="V2180" i="1"/>
  <c r="AF301" i="1"/>
  <c r="AN1982" i="1"/>
  <c r="AM1982" i="1"/>
  <c r="AF1982" i="1"/>
  <c r="AA141" i="1" l="1"/>
  <c r="AB141" i="1" s="1"/>
  <c r="AA1196" i="1"/>
  <c r="AD1196" i="1" s="1"/>
  <c r="AA144" i="1"/>
  <c r="AA1707" i="1"/>
  <c r="AA2180" i="1"/>
  <c r="AB2180" i="1" s="1"/>
  <c r="W1982" i="1"/>
  <c r="Z1982" i="1" s="1"/>
  <c r="V1982" i="1"/>
  <c r="Y1982" i="1" l="1"/>
  <c r="AA1982" i="1" s="1"/>
  <c r="AB1196" i="1"/>
  <c r="AB144" i="1"/>
  <c r="AB1707" i="1"/>
  <c r="AD2180" i="1"/>
  <c r="AM153" i="1"/>
  <c r="AL153" i="1" s="1"/>
  <c r="AN153" i="1"/>
  <c r="AF153" i="1"/>
  <c r="AE153" i="1"/>
  <c r="V153" i="1"/>
  <c r="W153" i="1"/>
  <c r="AR153" i="1"/>
  <c r="AQ153" i="1"/>
  <c r="AU153" i="1" s="1"/>
  <c r="AA153" i="1" l="1"/>
  <c r="AC153" i="1"/>
  <c r="AS153" i="1" l="1" a="1"/>
  <c r="AS153" i="1" s="1"/>
  <c r="AT153" i="1" s="1"/>
  <c r="AN887" i="1" l="1"/>
  <c r="AM887" i="1"/>
  <c r="AL887" i="1" s="1"/>
  <c r="AH887" i="1"/>
  <c r="AF887" i="1"/>
  <c r="AE887" i="1"/>
  <c r="W887" i="1"/>
  <c r="V887" i="1"/>
  <c r="AQ887" i="1"/>
  <c r="AU887" i="1" s="1"/>
  <c r="AR887" i="1"/>
  <c r="AN564" i="1"/>
  <c r="AM564" i="1"/>
  <c r="AL564" i="1" s="1"/>
  <c r="AH564" i="1"/>
  <c r="AF564" i="1"/>
  <c r="AE564" i="1"/>
  <c r="W564" i="1"/>
  <c r="V564" i="1"/>
  <c r="AQ564" i="1"/>
  <c r="AU564" i="1" s="1"/>
  <c r="AR564" i="1"/>
  <c r="AN1965" i="1"/>
  <c r="AM1965" i="1"/>
  <c r="AL1965" i="1" s="1"/>
  <c r="AH1965" i="1"/>
  <c r="AF1965" i="1"/>
  <c r="AE1965" i="1"/>
  <c r="W1965" i="1"/>
  <c r="V1965" i="1"/>
  <c r="AQ1965" i="1"/>
  <c r="AU1965" i="1" s="1"/>
  <c r="AR1965" i="1"/>
  <c r="AN1968" i="1"/>
  <c r="AM1968" i="1"/>
  <c r="AL1968" i="1" s="1"/>
  <c r="AH1968" i="1"/>
  <c r="AF1968" i="1"/>
  <c r="AE1968" i="1"/>
  <c r="W1968" i="1"/>
  <c r="V1968" i="1"/>
  <c r="AQ1968" i="1"/>
  <c r="AU1968" i="1" s="1"/>
  <c r="AR1968" i="1"/>
  <c r="AN1448" i="1"/>
  <c r="AM1448" i="1"/>
  <c r="AL1448" i="1" s="1"/>
  <c r="AH1448" i="1"/>
  <c r="AF1448" i="1"/>
  <c r="AE1448" i="1"/>
  <c r="W1448" i="1"/>
  <c r="V1448" i="1"/>
  <c r="AQ1448" i="1"/>
  <c r="AU1448" i="1" s="1"/>
  <c r="AR1448" i="1"/>
  <c r="AN1713" i="1"/>
  <c r="AM1713" i="1"/>
  <c r="AL1713" i="1" s="1"/>
  <c r="AH1713" i="1"/>
  <c r="AA887" i="1" l="1"/>
  <c r="AD887" i="1" s="1"/>
  <c r="AA564" i="1"/>
  <c r="AA1965" i="1"/>
  <c r="AA1968" i="1"/>
  <c r="AA1448" i="1"/>
  <c r="AB887" i="1" l="1"/>
  <c r="AB564" i="1"/>
  <c r="AB1448" i="1"/>
  <c r="AB1968" i="1"/>
  <c r="AD1448" i="1"/>
  <c r="AB1965" i="1"/>
  <c r="AF1713" i="1" l="1"/>
  <c r="AE1713" i="1"/>
  <c r="W1713" i="1"/>
  <c r="V1713" i="1"/>
  <c r="AA1713" i="1" l="1"/>
  <c r="AQ1713" i="1"/>
  <c r="AU1713" i="1" s="1"/>
  <c r="AR1713" i="1"/>
  <c r="AQ1712" i="1"/>
  <c r="AU1712" i="1" s="1"/>
  <c r="AR1712" i="1"/>
  <c r="AS1712" i="1" a="1"/>
  <c r="AS1712" i="1" s="1"/>
  <c r="AT1712" i="1" s="1"/>
  <c r="AB1713" i="1" l="1"/>
  <c r="AN1056" i="1"/>
  <c r="AM1056" i="1"/>
  <c r="AF1056" i="1"/>
  <c r="AE1056" i="1"/>
  <c r="W1056" i="1"/>
  <c r="Z1056" i="1" s="1"/>
  <c r="V1056" i="1"/>
  <c r="AB1056" i="1" l="1"/>
  <c r="AD1056" i="1" s="1"/>
  <c r="Y1056" i="1"/>
  <c r="AA1056" i="1" s="1"/>
  <c r="AQ1056" i="1"/>
  <c r="AU1056" i="1" s="1"/>
  <c r="AR1056" i="1"/>
  <c r="AO2570" i="1"/>
  <c r="AN2570" i="1"/>
  <c r="AM2570" i="1"/>
  <c r="AF2570" i="1"/>
  <c r="AE2570" i="1"/>
  <c r="W2570" i="1"/>
  <c r="Z2570" i="1" s="1"/>
  <c r="V2570" i="1"/>
  <c r="AQ2570" i="1"/>
  <c r="AU2570" i="1" s="1"/>
  <c r="AR2570" i="1"/>
  <c r="AN2137" i="1"/>
  <c r="AM2137" i="1"/>
  <c r="AF2137" i="1"/>
  <c r="W2137" i="1"/>
  <c r="Z2137" i="1" s="1"/>
  <c r="V2137" i="1"/>
  <c r="AF2185" i="1"/>
  <c r="AF1908" i="1"/>
  <c r="AF1901" i="1"/>
  <c r="AN1892" i="1"/>
  <c r="AM1892" i="1"/>
  <c r="AF1892" i="1"/>
  <c r="AE1892" i="1"/>
  <c r="W1892" i="1"/>
  <c r="Z1892" i="1" s="1"/>
  <c r="V1892" i="1"/>
  <c r="AQ1892" i="1"/>
  <c r="AU1892" i="1" s="1"/>
  <c r="AR1892" i="1"/>
  <c r="AF1893" i="1"/>
  <c r="AF1881" i="1"/>
  <c r="AF1296" i="1"/>
  <c r="AF1093" i="1"/>
  <c r="AF1090" i="1"/>
  <c r="AF1044" i="1"/>
  <c r="AF403" i="1"/>
  <c r="AF1424" i="1"/>
  <c r="AR1424" i="1"/>
  <c r="AQ1424" i="1"/>
  <c r="AR1423" i="1"/>
  <c r="AQ1423" i="1"/>
  <c r="AR136" i="1"/>
  <c r="AR135" i="1"/>
  <c r="AQ136" i="1"/>
  <c r="AQ135" i="1"/>
  <c r="AR126" i="1"/>
  <c r="AR127" i="1"/>
  <c r="AT127" i="1"/>
  <c r="AR140" i="1"/>
  <c r="AR143" i="1"/>
  <c r="AR157" i="1"/>
  <c r="AT157" i="1"/>
  <c r="AR162" i="1"/>
  <c r="AR166" i="1"/>
  <c r="AR195" i="1"/>
  <c r="AR281" i="1"/>
  <c r="AR379" i="1"/>
  <c r="AR380" i="1"/>
  <c r="AR381" i="1"/>
  <c r="AR382" i="1"/>
  <c r="AR386" i="1"/>
  <c r="AR487" i="1"/>
  <c r="AR490" i="1"/>
  <c r="AR491" i="1"/>
  <c r="AR531" i="1"/>
  <c r="AR579" i="1"/>
  <c r="AR596" i="1"/>
  <c r="AT596" i="1"/>
  <c r="AR661" i="1"/>
  <c r="AT661" i="1"/>
  <c r="AR675" i="1"/>
  <c r="AR733" i="1"/>
  <c r="AR734" i="1"/>
  <c r="AR738" i="1"/>
  <c r="AR845" i="1"/>
  <c r="AR849" i="1"/>
  <c r="AR867" i="1"/>
  <c r="AR915" i="1"/>
  <c r="AR922" i="1"/>
  <c r="AR945" i="1"/>
  <c r="AT945" i="1"/>
  <c r="AR954" i="1"/>
  <c r="AR974" i="1"/>
  <c r="AR1036" i="1"/>
  <c r="AR1041" i="1"/>
  <c r="AR1042" i="1"/>
  <c r="AR1050" i="1"/>
  <c r="AR1053" i="1"/>
  <c r="AR1054" i="1"/>
  <c r="AR1085" i="1"/>
  <c r="AR1146" i="1"/>
  <c r="AR1158" i="1"/>
  <c r="AR1179" i="1"/>
  <c r="AT1179" i="1"/>
  <c r="AR1191" i="1"/>
  <c r="AT1191" i="1"/>
  <c r="AR1195" i="1"/>
  <c r="AR1197" i="1"/>
  <c r="AT1197" i="1"/>
  <c r="AR1198" i="1"/>
  <c r="AT1198" i="1"/>
  <c r="AR1199" i="1"/>
  <c r="AT1199" i="1"/>
  <c r="AR1232" i="1"/>
  <c r="AR1289" i="1"/>
  <c r="AR1313" i="1"/>
  <c r="AR1314" i="1"/>
  <c r="AR1340" i="1"/>
  <c r="AR1407" i="1"/>
  <c r="AT1407" i="1"/>
  <c r="AR1427" i="1"/>
  <c r="AR1428" i="1"/>
  <c r="AR1440" i="1"/>
  <c r="AR1458" i="1"/>
  <c r="AT1458" i="1"/>
  <c r="AR1465" i="1"/>
  <c r="AT1465" i="1"/>
  <c r="AR1531" i="1"/>
  <c r="AT1531" i="1"/>
  <c r="AR1537" i="1"/>
  <c r="AR1538" i="1"/>
  <c r="AR1548" i="1"/>
  <c r="AR1578" i="1"/>
  <c r="AR1580" i="1"/>
  <c r="AR1591" i="1"/>
  <c r="AR1598" i="1"/>
  <c r="AR1630" i="1"/>
  <c r="AR1638" i="1"/>
  <c r="AR1640" i="1"/>
  <c r="AT1640" i="1"/>
  <c r="AR1650" i="1"/>
  <c r="AR1656" i="1"/>
  <c r="AR1657" i="1"/>
  <c r="AR1677" i="1"/>
  <c r="AT1677" i="1"/>
  <c r="AR1678" i="1"/>
  <c r="AT1678" i="1"/>
  <c r="AR1702" i="1"/>
  <c r="AR1708" i="1"/>
  <c r="AR1748" i="1"/>
  <c r="AT1748" i="1"/>
  <c r="AR1765" i="1"/>
  <c r="AR1804" i="1"/>
  <c r="AR1833" i="1"/>
  <c r="AR1846" i="1"/>
  <c r="AR1924" i="1"/>
  <c r="AR1937" i="1"/>
  <c r="AR2032" i="1"/>
  <c r="AR2054" i="1"/>
  <c r="AR2104" i="1"/>
  <c r="AR2133" i="1"/>
  <c r="AR2163" i="1"/>
  <c r="AR2165" i="1"/>
  <c r="AR2176" i="1"/>
  <c r="AR2177" i="1"/>
  <c r="AR2186" i="1"/>
  <c r="AR2191" i="1"/>
  <c r="AR2294" i="1"/>
  <c r="AR2316" i="1"/>
  <c r="AR2333" i="1"/>
  <c r="AR2335" i="1"/>
  <c r="AR2340" i="1"/>
  <c r="AR2425" i="1"/>
  <c r="AR2445" i="1"/>
  <c r="AR2479" i="1"/>
  <c r="AR2480" i="1"/>
  <c r="AR2535" i="1"/>
  <c r="AR2555" i="1"/>
  <c r="AR20" i="1"/>
  <c r="AT15" i="1"/>
  <c r="AN1042" i="1"/>
  <c r="AM1042" i="1"/>
  <c r="AL1042" i="1" s="1"/>
  <c r="AH1042" i="1"/>
  <c r="AF1042" i="1"/>
  <c r="AE1042" i="1"/>
  <c r="W1042" i="1"/>
  <c r="V1042" i="1"/>
  <c r="AN1041" i="1"/>
  <c r="AM1041" i="1"/>
  <c r="AL1041" i="1" s="1"/>
  <c r="AH1041" i="1"/>
  <c r="AF1041" i="1"/>
  <c r="AE1041" i="1"/>
  <c r="W1041" i="1"/>
  <c r="V1041" i="1"/>
  <c r="AQ1041" i="1"/>
  <c r="AQ1042" i="1"/>
  <c r="AP1911" i="1"/>
  <c r="AN1911" i="1"/>
  <c r="AM1911" i="1"/>
  <c r="AL1911" i="1" s="1"/>
  <c r="AH1911" i="1"/>
  <c r="AF1911" i="1"/>
  <c r="AE1911" i="1"/>
  <c r="AC1911" i="1"/>
  <c r="W1911" i="1"/>
  <c r="V1911" i="1"/>
  <c r="AQ2445" i="1"/>
  <c r="AN2445" i="1"/>
  <c r="AM2445" i="1"/>
  <c r="AL2445" i="1" s="1"/>
  <c r="AH2445" i="1"/>
  <c r="AF2445" i="1"/>
  <c r="Y2137" i="1" l="1"/>
  <c r="AA2137" i="1" s="1"/>
  <c r="AB1892" i="1"/>
  <c r="AD1892" i="1" s="1"/>
  <c r="Y1892" i="1"/>
  <c r="AA1892" i="1" s="1"/>
  <c r="AB2570" i="1"/>
  <c r="AD2570" i="1" s="1"/>
  <c r="Y2570" i="1"/>
  <c r="AA2570" i="1" s="1"/>
  <c r="AA1041" i="1"/>
  <c r="AD1041" i="1" s="1"/>
  <c r="AA1042" i="1"/>
  <c r="AD1042" i="1" s="1"/>
  <c r="AR1911" i="1"/>
  <c r="AA1911" i="1"/>
  <c r="AQ1911" i="1"/>
  <c r="AE2445" i="1"/>
  <c r="W2445" i="1"/>
  <c r="V2445" i="1"/>
  <c r="AN915" i="1"/>
  <c r="AM915" i="1"/>
  <c r="AL915" i="1" s="1"/>
  <c r="AH915" i="1"/>
  <c r="AF915" i="1"/>
  <c r="AE915" i="1"/>
  <c r="W915" i="1"/>
  <c r="V915" i="1"/>
  <c r="AQ915" i="1"/>
  <c r="AN916" i="1"/>
  <c r="AM916" i="1"/>
  <c r="AL916" i="1" s="1"/>
  <c r="AH916" i="1"/>
  <c r="AF916" i="1"/>
  <c r="AE916" i="1"/>
  <c r="W916" i="1"/>
  <c r="V916" i="1"/>
  <c r="AB1041" i="1" l="1"/>
  <c r="AB1042" i="1"/>
  <c r="AB1911" i="1"/>
  <c r="AA916" i="1"/>
  <c r="AD916" i="1" s="1"/>
  <c r="AA2445" i="1"/>
  <c r="AA915" i="1"/>
  <c r="AD915" i="1" s="1"/>
  <c r="AN2481" i="1"/>
  <c r="AM2481" i="1"/>
  <c r="AF2481" i="1"/>
  <c r="AE2481" i="1"/>
  <c r="W2481" i="1"/>
  <c r="Z2481" i="1" s="1"/>
  <c r="V2481" i="1"/>
  <c r="W2482" i="1"/>
  <c r="Z2482" i="1" s="1"/>
  <c r="V2482" i="1"/>
  <c r="Y2482" i="1" s="1"/>
  <c r="AN2352" i="1"/>
  <c r="AM2352" i="1"/>
  <c r="AF2352" i="1"/>
  <c r="W2352" i="1"/>
  <c r="Z2352" i="1" s="1"/>
  <c r="V2352" i="1"/>
  <c r="AM2181" i="1"/>
  <c r="AF2181" i="1"/>
  <c r="W2181" i="1"/>
  <c r="Z2181" i="1" s="1"/>
  <c r="V2181" i="1"/>
  <c r="AN2131" i="1"/>
  <c r="AM2131" i="1"/>
  <c r="AF2131" i="1"/>
  <c r="AE2131" i="1"/>
  <c r="W2131" i="1"/>
  <c r="Z2131" i="1" s="1"/>
  <c r="V2131" i="1"/>
  <c r="AN2129" i="1"/>
  <c r="AM2129" i="1"/>
  <c r="AF2129" i="1"/>
  <c r="W2129" i="1"/>
  <c r="Z2129" i="1" s="1"/>
  <c r="V2129" i="1"/>
  <c r="AC1186" i="1"/>
  <c r="AN2068" i="1"/>
  <c r="AM2068" i="1"/>
  <c r="AF2068" i="1"/>
  <c r="AE2068" i="1"/>
  <c r="W2068" i="1"/>
  <c r="Z2068" i="1" s="1"/>
  <c r="V2068" i="1"/>
  <c r="AN2059" i="1"/>
  <c r="AM2059" i="1"/>
  <c r="AF2059" i="1"/>
  <c r="AE2059" i="1"/>
  <c r="W2059" i="1"/>
  <c r="Z2059" i="1" s="1"/>
  <c r="V2059" i="1"/>
  <c r="AN2034" i="1"/>
  <c r="AM2034" i="1"/>
  <c r="AF2034" i="1"/>
  <c r="AE2034" i="1"/>
  <c r="W2034" i="1"/>
  <c r="Z2034" i="1" s="1"/>
  <c r="V2034" i="1"/>
  <c r="AN2011" i="1"/>
  <c r="AM2011" i="1"/>
  <c r="AF2011" i="1"/>
  <c r="W2011" i="1"/>
  <c r="V2011" i="1"/>
  <c r="AO1942" i="1"/>
  <c r="AN1942" i="1"/>
  <c r="AM1942" i="1"/>
  <c r="AF1942" i="1"/>
  <c r="W1942" i="1"/>
  <c r="Z1942" i="1" s="1"/>
  <c r="V1942" i="1"/>
  <c r="AO1934" i="1"/>
  <c r="AN1934" i="1"/>
  <c r="AM1934" i="1"/>
  <c r="AF1934" i="1"/>
  <c r="W1934" i="1"/>
  <c r="Z1934" i="1" s="1"/>
  <c r="V1934" i="1"/>
  <c r="AD2011" i="1" l="1"/>
  <c r="AA2482" i="1"/>
  <c r="Y2181" i="1"/>
  <c r="AA2181" i="1" s="1"/>
  <c r="Y2352" i="1"/>
  <c r="AA2352" i="1" s="1"/>
  <c r="Y1934" i="1"/>
  <c r="AA1934" i="1" s="1"/>
  <c r="Y2129" i="1"/>
  <c r="AA2129" i="1" s="1"/>
  <c r="Y1942" i="1"/>
  <c r="AA1942" i="1" s="1"/>
  <c r="AB2481" i="1"/>
  <c r="Y2481" i="1"/>
  <c r="AA2481" i="1" s="1"/>
  <c r="AB2131" i="1"/>
  <c r="AD2131" i="1" s="1"/>
  <c r="Y2131" i="1"/>
  <c r="AA2131" i="1" s="1"/>
  <c r="Y2059" i="1"/>
  <c r="AA2059" i="1" s="1"/>
  <c r="AB2059" i="1"/>
  <c r="AD2059" i="1" s="1"/>
  <c r="Y2011" i="1"/>
  <c r="AB2011" i="1"/>
  <c r="Z2011" i="1"/>
  <c r="Y2034" i="1"/>
  <c r="AA2034" i="1" s="1"/>
  <c r="AB2034" i="1"/>
  <c r="AD2034" i="1" s="1"/>
  <c r="AB2068" i="1"/>
  <c r="AD2068" i="1" s="1"/>
  <c r="Y2068" i="1"/>
  <c r="AA2068" i="1" s="1"/>
  <c r="AB915" i="1"/>
  <c r="AB2445" i="1"/>
  <c r="AB916" i="1"/>
  <c r="AA2011" i="1" l="1"/>
  <c r="AO1908" i="1" l="1"/>
  <c r="AN1908" i="1"/>
  <c r="AM1908" i="1"/>
  <c r="AE1908" i="1"/>
  <c r="W1908" i="1"/>
  <c r="Z1908" i="1" s="1"/>
  <c r="V1908" i="1"/>
  <c r="AO1901" i="1"/>
  <c r="AN1901" i="1"/>
  <c r="AM1901" i="1"/>
  <c r="AE1901" i="1"/>
  <c r="W1901" i="1"/>
  <c r="Z1901" i="1" s="1"/>
  <c r="V1901" i="1"/>
  <c r="AO1900" i="1"/>
  <c r="AN1900" i="1"/>
  <c r="AM1900" i="1"/>
  <c r="AF1900" i="1"/>
  <c r="AE1900" i="1"/>
  <c r="W1900" i="1"/>
  <c r="Z1900" i="1" s="1"/>
  <c r="V1900" i="1"/>
  <c r="AF1899" i="1"/>
  <c r="AO1899" i="1"/>
  <c r="AN1899" i="1"/>
  <c r="AM1899" i="1"/>
  <c r="AE1899" i="1"/>
  <c r="W1899" i="1"/>
  <c r="Z1899" i="1" s="1"/>
  <c r="V1899" i="1"/>
  <c r="W1895" i="1"/>
  <c r="V1895" i="1"/>
  <c r="AO1898" i="1"/>
  <c r="AN1898" i="1"/>
  <c r="AM1898" i="1"/>
  <c r="AF1898" i="1"/>
  <c r="W1898" i="1"/>
  <c r="Z1898" i="1" s="1"/>
  <c r="V1898" i="1"/>
  <c r="AN1893" i="1"/>
  <c r="AM1893" i="1"/>
  <c r="AE1893" i="1"/>
  <c r="W1893" i="1"/>
  <c r="Z1893" i="1" s="1"/>
  <c r="V1893" i="1"/>
  <c r="AN1891" i="1"/>
  <c r="AM1891" i="1"/>
  <c r="AF1891" i="1"/>
  <c r="AE1891" i="1"/>
  <c r="W1891" i="1"/>
  <c r="Z1891" i="1" s="1"/>
  <c r="V1891" i="1"/>
  <c r="AN1890" i="1"/>
  <c r="AM1890" i="1"/>
  <c r="AF1890" i="1"/>
  <c r="AE1890" i="1"/>
  <c r="W1890" i="1"/>
  <c r="Z1890" i="1" s="1"/>
  <c r="V1890" i="1"/>
  <c r="AN1886" i="1"/>
  <c r="AM1886" i="1"/>
  <c r="AF1886" i="1"/>
  <c r="AE1886" i="1"/>
  <c r="W1886" i="1"/>
  <c r="Z1886" i="1" s="1"/>
  <c r="V1886" i="1"/>
  <c r="AO1884" i="1"/>
  <c r="AN1884" i="1"/>
  <c r="AM1884" i="1"/>
  <c r="AF1884" i="1"/>
  <c r="AE1884" i="1"/>
  <c r="W1884" i="1"/>
  <c r="Z1884" i="1" s="1"/>
  <c r="V1884" i="1"/>
  <c r="Y1898" i="1" l="1"/>
  <c r="AA1898" i="1" s="1"/>
  <c r="Y1890" i="1"/>
  <c r="AA1890" i="1" s="1"/>
  <c r="AB1890" i="1"/>
  <c r="AD1890" i="1" s="1"/>
  <c r="AB1893" i="1"/>
  <c r="AD1893" i="1" s="1"/>
  <c r="Y1893" i="1"/>
  <c r="AA1893" i="1" s="1"/>
  <c r="Y1901" i="1"/>
  <c r="AA1901" i="1" s="1"/>
  <c r="AB1901" i="1"/>
  <c r="AD1901" i="1" s="1"/>
  <c r="AB1891" i="1"/>
  <c r="AD1891" i="1" s="1"/>
  <c r="Y1891" i="1"/>
  <c r="AA1891" i="1" s="1"/>
  <c r="AB1900" i="1"/>
  <c r="AD1900" i="1" s="1"/>
  <c r="Y1900" i="1"/>
  <c r="AA1900" i="1" s="1"/>
  <c r="Y1886" i="1"/>
  <c r="AA1886" i="1" s="1"/>
  <c r="AB1886" i="1"/>
  <c r="AD1886" i="1" s="1"/>
  <c r="AB1908" i="1"/>
  <c r="AD1908" i="1" s="1"/>
  <c r="Y1908" i="1"/>
  <c r="AA1908" i="1" s="1"/>
  <c r="AB1899" i="1"/>
  <c r="AD1899" i="1" s="1"/>
  <c r="Y1899" i="1"/>
  <c r="AA1899" i="1" s="1"/>
  <c r="AB1884" i="1"/>
  <c r="AD1884" i="1" s="1"/>
  <c r="Y1884" i="1"/>
  <c r="AA1884" i="1" s="1"/>
  <c r="AO1883" i="1" l="1"/>
  <c r="AN1883" i="1"/>
  <c r="AM1883" i="1"/>
  <c r="AF1883" i="1"/>
  <c r="AE1883" i="1"/>
  <c r="W1883" i="1"/>
  <c r="Z1883" i="1" s="1"/>
  <c r="V1883" i="1"/>
  <c r="AO1882" i="1"/>
  <c r="AN1882" i="1"/>
  <c r="AM1882" i="1"/>
  <c r="AF1882" i="1"/>
  <c r="AE1882" i="1"/>
  <c r="W1882" i="1"/>
  <c r="Z1882" i="1" s="1"/>
  <c r="V1882" i="1"/>
  <c r="AE1881" i="1"/>
  <c r="AN1881" i="1"/>
  <c r="AM1881" i="1"/>
  <c r="W1881" i="1"/>
  <c r="Z1881" i="1" s="1"/>
  <c r="V1881" i="1"/>
  <c r="AN1852" i="1"/>
  <c r="AM1852" i="1"/>
  <c r="AF1852" i="1"/>
  <c r="W1852" i="1"/>
  <c r="Z1852" i="1" s="1"/>
  <c r="V1852" i="1"/>
  <c r="AF1802" i="1"/>
  <c r="AN1802" i="1"/>
  <c r="AM1802" i="1"/>
  <c r="AE1802" i="1"/>
  <c r="W1802" i="1"/>
  <c r="Z1802" i="1" s="1"/>
  <c r="V1802" i="1"/>
  <c r="AN1759" i="1"/>
  <c r="AM1759" i="1"/>
  <c r="AF1759" i="1"/>
  <c r="AE1759" i="1"/>
  <c r="W1759" i="1"/>
  <c r="Z1759" i="1" s="1"/>
  <c r="V1759" i="1"/>
  <c r="AN1644" i="1"/>
  <c r="AM1644" i="1"/>
  <c r="AF1644" i="1"/>
  <c r="AE1644" i="1"/>
  <c r="W1644" i="1"/>
  <c r="Z1644" i="1" s="1"/>
  <c r="V1644" i="1"/>
  <c r="AN1612" i="1"/>
  <c r="AM1612" i="1"/>
  <c r="AF1612" i="1"/>
  <c r="W1612" i="1"/>
  <c r="Z1612" i="1" s="1"/>
  <c r="V1612" i="1"/>
  <c r="AN1557" i="1"/>
  <c r="AM1557" i="1"/>
  <c r="AF1557" i="1"/>
  <c r="W1557" i="1"/>
  <c r="Z1557" i="1" s="1"/>
  <c r="V1557" i="1"/>
  <c r="AF1556" i="1"/>
  <c r="AN1556" i="1"/>
  <c r="AM1556" i="1"/>
  <c r="AE1556" i="1"/>
  <c r="W1556" i="1"/>
  <c r="Z1556" i="1" s="1"/>
  <c r="V1556" i="1"/>
  <c r="AN1555" i="1"/>
  <c r="AM1555" i="1"/>
  <c r="AF1555" i="1"/>
  <c r="AE1555" i="1"/>
  <c r="W1555" i="1"/>
  <c r="Z1555" i="1" s="1"/>
  <c r="V1555" i="1"/>
  <c r="AF1551" i="1"/>
  <c r="AF1550" i="1"/>
  <c r="AN1551" i="1"/>
  <c r="AM1551" i="1"/>
  <c r="AN1550" i="1"/>
  <c r="AM1550" i="1"/>
  <c r="AE1551" i="1"/>
  <c r="AE1550" i="1"/>
  <c r="W1551" i="1"/>
  <c r="Z1551" i="1" s="1"/>
  <c r="V1551" i="1"/>
  <c r="W1550" i="1"/>
  <c r="Z1550" i="1" s="1"/>
  <c r="V1550" i="1"/>
  <c r="AN1549" i="1"/>
  <c r="AM1549" i="1"/>
  <c r="AF1549" i="1"/>
  <c r="AE1549" i="1"/>
  <c r="W1549" i="1"/>
  <c r="Z1549" i="1" s="1"/>
  <c r="V1549" i="1"/>
  <c r="AN1546" i="1"/>
  <c r="AM1546" i="1"/>
  <c r="AF1546" i="1"/>
  <c r="AE1546" i="1"/>
  <c r="W1546" i="1"/>
  <c r="Z1546" i="1" s="1"/>
  <c r="V1546" i="1"/>
  <c r="W1512" i="1"/>
  <c r="Z1512" i="1" s="1"/>
  <c r="V1512" i="1"/>
  <c r="AF1512" i="1"/>
  <c r="AN1512" i="1"/>
  <c r="AM1512" i="1"/>
  <c r="AN1454" i="1"/>
  <c r="AM1454" i="1"/>
  <c r="AF1454" i="1"/>
  <c r="W1454" i="1"/>
  <c r="Z1454" i="1" s="1"/>
  <c r="V1454" i="1"/>
  <c r="AN1409" i="1"/>
  <c r="AM1409" i="1"/>
  <c r="AF1409" i="1"/>
  <c r="W1409" i="1"/>
  <c r="Z1409" i="1" s="1"/>
  <c r="V1409" i="1"/>
  <c r="AN1382" i="1"/>
  <c r="AM1382" i="1"/>
  <c r="AF1382" i="1"/>
  <c r="W1382" i="1"/>
  <c r="Z1382" i="1" s="1"/>
  <c r="V1382" i="1"/>
  <c r="AN1339" i="1"/>
  <c r="AM1339" i="1"/>
  <c r="AF1339" i="1"/>
  <c r="W1339" i="1"/>
  <c r="Z1339" i="1" s="1"/>
  <c r="V1339" i="1"/>
  <c r="AN1301" i="1"/>
  <c r="AM1301" i="1"/>
  <c r="AF1301" i="1"/>
  <c r="AE1301" i="1"/>
  <c r="AN1296" i="1"/>
  <c r="AM1296" i="1"/>
  <c r="AE1296" i="1"/>
  <c r="AN1295" i="1"/>
  <c r="AM1295" i="1"/>
  <c r="AF1295" i="1"/>
  <c r="W1301" i="1"/>
  <c r="Z1301" i="1" s="1"/>
  <c r="V1301" i="1"/>
  <c r="W1296" i="1"/>
  <c r="Z1296" i="1" s="1"/>
  <c r="V1296" i="1"/>
  <c r="W1295" i="1"/>
  <c r="Z1295" i="1" s="1"/>
  <c r="V1295" i="1"/>
  <c r="AF1293" i="1"/>
  <c r="AN1293" i="1"/>
  <c r="AM1293" i="1"/>
  <c r="AE1293" i="1"/>
  <c r="W1293" i="1"/>
  <c r="Z1293" i="1" s="1"/>
  <c r="V1293" i="1"/>
  <c r="AN2152" i="1"/>
  <c r="AM2152" i="1"/>
  <c r="AF2152" i="1"/>
  <c r="W2152" i="1"/>
  <c r="Z2152" i="1" s="1"/>
  <c r="V2152" i="1"/>
  <c r="AN2044" i="1"/>
  <c r="AM2044" i="1"/>
  <c r="AE2044" i="1"/>
  <c r="W2044" i="1"/>
  <c r="Z2044" i="1" s="1"/>
  <c r="V2044" i="1"/>
  <c r="AN1887" i="1"/>
  <c r="AM1887" i="1"/>
  <c r="AF1887" i="1"/>
  <c r="W1887" i="1"/>
  <c r="Z1887" i="1" s="1"/>
  <c r="V1887" i="1"/>
  <c r="AF1880" i="1"/>
  <c r="AN1880" i="1"/>
  <c r="AM1880" i="1"/>
  <c r="W1880" i="1"/>
  <c r="Z1880" i="1" s="1"/>
  <c r="V1880" i="1"/>
  <c r="AF1885" i="1"/>
  <c r="AN1885" i="1"/>
  <c r="AM1885" i="1"/>
  <c r="AE1885" i="1"/>
  <c r="W1885" i="1"/>
  <c r="Z1885" i="1" s="1"/>
  <c r="V1885" i="1"/>
  <c r="AN1600" i="1"/>
  <c r="AM1600" i="1"/>
  <c r="AN1599" i="1"/>
  <c r="AM1599" i="1"/>
  <c r="W1600" i="1"/>
  <c r="Z1600" i="1" s="1"/>
  <c r="V1600" i="1"/>
  <c r="W1599" i="1"/>
  <c r="Z1599" i="1" s="1"/>
  <c r="V1599" i="1"/>
  <c r="Y1599" i="1" l="1"/>
  <c r="AA1599" i="1" s="1"/>
  <c r="Y1612" i="1"/>
  <c r="AA1612" i="1" s="1"/>
  <c r="Y1852" i="1"/>
  <c r="AA1852" i="1" s="1"/>
  <c r="Y2152" i="1"/>
  <c r="AA2152" i="1" s="1"/>
  <c r="Y1295" i="1"/>
  <c r="AA1295" i="1" s="1"/>
  <c r="Y1339" i="1"/>
  <c r="AA1339" i="1" s="1"/>
  <c r="Y1409" i="1"/>
  <c r="AA1409" i="1" s="1"/>
  <c r="Y1454" i="1"/>
  <c r="AA1454" i="1" s="1"/>
  <c r="Y1600" i="1"/>
  <c r="AA1600" i="1" s="1"/>
  <c r="Y1880" i="1"/>
  <c r="AA1880" i="1" s="1"/>
  <c r="Y1382" i="1"/>
  <c r="AA1382" i="1" s="1"/>
  <c r="Y1557" i="1"/>
  <c r="AA1557" i="1" s="1"/>
  <c r="Y1802" i="1"/>
  <c r="AA1802" i="1" s="1"/>
  <c r="AB1802" i="1"/>
  <c r="AB1293" i="1"/>
  <c r="Y1293" i="1"/>
  <c r="AA1293" i="1" s="1"/>
  <c r="AB1546" i="1"/>
  <c r="AD1546" i="1" s="1"/>
  <c r="Y1546" i="1"/>
  <c r="AA1546" i="1" s="1"/>
  <c r="AB1550" i="1"/>
  <c r="AD1550" i="1" s="1"/>
  <c r="Y1550" i="1"/>
  <c r="AA1550" i="1" s="1"/>
  <c r="AB1555" i="1"/>
  <c r="AD1555" i="1" s="1"/>
  <c r="Y1555" i="1"/>
  <c r="AA1555" i="1" s="1"/>
  <c r="AB1644" i="1"/>
  <c r="AD1644" i="1" s="1"/>
  <c r="Y1644" i="1"/>
  <c r="AA1644" i="1" s="1"/>
  <c r="Y2044" i="1"/>
  <c r="AA2044" i="1" s="1"/>
  <c r="AB2044" i="1"/>
  <c r="AD2044" i="1" s="1"/>
  <c r="AB1296" i="1"/>
  <c r="AD1296" i="1" s="1"/>
  <c r="Y1296" i="1"/>
  <c r="AA1296" i="1" s="1"/>
  <c r="AB1881" i="1"/>
  <c r="AD1881" i="1" s="1"/>
  <c r="Y1881" i="1"/>
  <c r="AA1881" i="1" s="1"/>
  <c r="AB1883" i="1"/>
  <c r="AD1883" i="1" s="1"/>
  <c r="Y1883" i="1"/>
  <c r="AA1883" i="1" s="1"/>
  <c r="AB1301" i="1"/>
  <c r="AD1301" i="1" s="1"/>
  <c r="Y1301" i="1"/>
  <c r="AA1301" i="1" s="1"/>
  <c r="AB1512" i="1"/>
  <c r="Y1512" i="1"/>
  <c r="AA1512" i="1" s="1"/>
  <c r="AB1549" i="1"/>
  <c r="AD1549" i="1" s="1"/>
  <c r="Y1549" i="1"/>
  <c r="AA1549" i="1" s="1"/>
  <c r="AB1551" i="1"/>
  <c r="AD1551" i="1" s="1"/>
  <c r="Y1551" i="1"/>
  <c r="AA1551" i="1" s="1"/>
  <c r="AB1556" i="1"/>
  <c r="AD1556" i="1" s="1"/>
  <c r="Y1556" i="1"/>
  <c r="AA1556" i="1" s="1"/>
  <c r="AB1759" i="1"/>
  <c r="AD1759" i="1" s="1"/>
  <c r="Y1759" i="1"/>
  <c r="AA1759" i="1" s="1"/>
  <c r="AB1882" i="1"/>
  <c r="AD1882" i="1" s="1"/>
  <c r="Y1882" i="1"/>
  <c r="AA1882" i="1" s="1"/>
  <c r="Y1885" i="1"/>
  <c r="AA1885" i="1" s="1"/>
  <c r="AB1885" i="1"/>
  <c r="AD1885" i="1" s="1"/>
  <c r="Y1887" i="1"/>
  <c r="AA1887" i="1" s="1"/>
  <c r="AB1887" i="1"/>
  <c r="AN1278" i="1"/>
  <c r="AM1278" i="1"/>
  <c r="AF1278" i="1"/>
  <c r="AE1278" i="1"/>
  <c r="W1278" i="1"/>
  <c r="Z1278" i="1" s="1"/>
  <c r="V1278" i="1"/>
  <c r="AN1099" i="1"/>
  <c r="AM1099" i="1"/>
  <c r="AF1099" i="1"/>
  <c r="K5" i="5"/>
  <c r="L5" i="5" s="1"/>
  <c r="W1099" i="1"/>
  <c r="Z1099" i="1" s="1"/>
  <c r="V1099" i="1"/>
  <c r="AF1095" i="1"/>
  <c r="AF1094" i="1"/>
  <c r="AF1092" i="1"/>
  <c r="AF1091" i="1"/>
  <c r="AN1095" i="1"/>
  <c r="AM1095" i="1"/>
  <c r="AN1094" i="1"/>
  <c r="AM1094" i="1"/>
  <c r="AN1093" i="1"/>
  <c r="AM1093" i="1"/>
  <c r="AN1092" i="1"/>
  <c r="AM1092" i="1"/>
  <c r="AN1091" i="1"/>
  <c r="AM1091" i="1"/>
  <c r="AN1090" i="1"/>
  <c r="AM1090" i="1"/>
  <c r="AE1094" i="1"/>
  <c r="AE1093" i="1"/>
  <c r="AE1092" i="1"/>
  <c r="AE1091" i="1"/>
  <c r="AE1090" i="1"/>
  <c r="W1095" i="1"/>
  <c r="Z1095" i="1" s="1"/>
  <c r="V1095" i="1"/>
  <c r="W1094" i="1"/>
  <c r="Z1094" i="1" s="1"/>
  <c r="V1094" i="1"/>
  <c r="W1093" i="1"/>
  <c r="Z1093" i="1" s="1"/>
  <c r="V1093" i="1"/>
  <c r="W1092" i="1"/>
  <c r="Z1092" i="1" s="1"/>
  <c r="V1092" i="1"/>
  <c r="W1091" i="1"/>
  <c r="Z1091" i="1" s="1"/>
  <c r="V1091" i="1"/>
  <c r="W1090" i="1"/>
  <c r="Z1090" i="1" s="1"/>
  <c r="V1090" i="1"/>
  <c r="AN1086" i="1"/>
  <c r="AM1086" i="1"/>
  <c r="AF1086" i="1"/>
  <c r="AE1086" i="1"/>
  <c r="W1086" i="1"/>
  <c r="Z1086" i="1" s="1"/>
  <c r="V1086" i="1"/>
  <c r="AN1044" i="1"/>
  <c r="AM1044" i="1"/>
  <c r="AE1044" i="1"/>
  <c r="W1044" i="1"/>
  <c r="Z1044" i="1" s="1"/>
  <c r="V1044" i="1"/>
  <c r="AN1038" i="1"/>
  <c r="AM1038" i="1"/>
  <c r="AF1038" i="1"/>
  <c r="W1038" i="1"/>
  <c r="Z1038" i="1" s="1"/>
  <c r="V1038" i="1"/>
  <c r="AN1005" i="1"/>
  <c r="AM1005" i="1"/>
  <c r="AF1005" i="1"/>
  <c r="AE1005" i="1"/>
  <c r="W1006" i="1"/>
  <c r="V1006" i="1"/>
  <c r="W1007" i="1"/>
  <c r="V1007" i="1"/>
  <c r="W1008" i="1"/>
  <c r="V1008" i="1"/>
  <c r="W1005" i="1"/>
  <c r="Z1005" i="1" s="1"/>
  <c r="V1005" i="1"/>
  <c r="AO990" i="1"/>
  <c r="AN990" i="1"/>
  <c r="AM990" i="1"/>
  <c r="AF990" i="1"/>
  <c r="W990" i="1"/>
  <c r="Z990" i="1" s="1"/>
  <c r="V990" i="1"/>
  <c r="AF940" i="1"/>
  <c r="AN901" i="1"/>
  <c r="AM901" i="1"/>
  <c r="AF901" i="1"/>
  <c r="Y1099" i="1" l="1"/>
  <c r="AA1099" i="1" s="1"/>
  <c r="Y1095" i="1"/>
  <c r="AA1095" i="1" s="1"/>
  <c r="Y990" i="1"/>
  <c r="AA990" i="1" s="1"/>
  <c r="AB990" i="1"/>
  <c r="AD990" i="1"/>
  <c r="Y1038" i="1"/>
  <c r="AA1038" i="1" s="1"/>
  <c r="AB1005" i="1"/>
  <c r="Y1005" i="1"/>
  <c r="AA1005" i="1" s="1"/>
  <c r="AB1090" i="1"/>
  <c r="AD1090" i="1" s="1"/>
  <c r="Y1090" i="1"/>
  <c r="AA1090" i="1" s="1"/>
  <c r="AB1044" i="1"/>
  <c r="AD1044" i="1" s="1"/>
  <c r="Y1044" i="1"/>
  <c r="AA1044" i="1" s="1"/>
  <c r="AB1278" i="1"/>
  <c r="AD1278" i="1" s="1"/>
  <c r="Y1278" i="1"/>
  <c r="AA1278" i="1" s="1"/>
  <c r="AD1887" i="1"/>
  <c r="AB1086" i="1"/>
  <c r="AD1086" i="1" s="1"/>
  <c r="Y1086" i="1"/>
  <c r="AA1086" i="1" s="1"/>
  <c r="AB1091" i="1"/>
  <c r="AD1091" i="1" s="1"/>
  <c r="Y1091" i="1"/>
  <c r="AA1091" i="1" s="1"/>
  <c r="AB1093" i="1"/>
  <c r="AD1093" i="1" s="1"/>
  <c r="Y1093" i="1"/>
  <c r="AA1093" i="1" s="1"/>
  <c r="AB1092" i="1"/>
  <c r="AD1092" i="1" s="1"/>
  <c r="Y1092" i="1"/>
  <c r="AA1092" i="1" s="1"/>
  <c r="AB1094" i="1"/>
  <c r="AD1094" i="1" s="1"/>
  <c r="Y1094" i="1"/>
  <c r="AA1094" i="1" s="1"/>
  <c r="AD1512" i="1"/>
  <c r="W901" i="1" l="1"/>
  <c r="Z901" i="1" s="1"/>
  <c r="V901" i="1"/>
  <c r="AN820" i="1"/>
  <c r="AM820" i="1"/>
  <c r="AF820" i="1"/>
  <c r="W820" i="1"/>
  <c r="Z820" i="1" s="1"/>
  <c r="V820" i="1"/>
  <c r="AN756" i="1"/>
  <c r="AM756" i="1"/>
  <c r="AF756" i="1"/>
  <c r="AE756" i="1"/>
  <c r="W764" i="1"/>
  <c r="V764" i="1"/>
  <c r="W763" i="1"/>
  <c r="V763" i="1"/>
  <c r="W761" i="1"/>
  <c r="V761" i="1"/>
  <c r="W760" i="1"/>
  <c r="V760" i="1"/>
  <c r="W762" i="1"/>
  <c r="V762" i="1"/>
  <c r="W759" i="1"/>
  <c r="V759" i="1"/>
  <c r="W758" i="1"/>
  <c r="V758" i="1"/>
  <c r="W757" i="1"/>
  <c r="V757" i="1"/>
  <c r="W756" i="1"/>
  <c r="Z756" i="1" s="1"/>
  <c r="V756" i="1"/>
  <c r="AN755" i="1"/>
  <c r="AM755" i="1"/>
  <c r="AF755" i="1"/>
  <c r="W755" i="1"/>
  <c r="Z755" i="1" s="1"/>
  <c r="V755" i="1"/>
  <c r="AN754" i="1"/>
  <c r="AM754" i="1"/>
  <c r="AN750" i="1"/>
  <c r="AM750" i="1"/>
  <c r="AF754" i="1"/>
  <c r="AF750" i="1"/>
  <c r="W754" i="1"/>
  <c r="Z754" i="1" s="1"/>
  <c r="V754" i="1"/>
  <c r="W750" i="1"/>
  <c r="Z750" i="1" s="1"/>
  <c r="V750" i="1"/>
  <c r="AN744" i="1"/>
  <c r="AM744" i="1"/>
  <c r="AF744" i="1"/>
  <c r="W744" i="1"/>
  <c r="Z744" i="1" s="1"/>
  <c r="V744" i="1"/>
  <c r="AN585" i="1"/>
  <c r="AM585" i="1"/>
  <c r="W585" i="1"/>
  <c r="Z585" i="1" s="1"/>
  <c r="V585" i="1"/>
  <c r="AN558" i="1"/>
  <c r="AM558" i="1"/>
  <c r="AF558" i="1"/>
  <c r="AE558" i="1"/>
  <c r="W558" i="1"/>
  <c r="Z558" i="1" s="1"/>
  <c r="V558" i="1"/>
  <c r="AN557" i="1"/>
  <c r="AM557" i="1"/>
  <c r="AF557" i="1"/>
  <c r="W557" i="1"/>
  <c r="Z557" i="1" s="1"/>
  <c r="V557" i="1"/>
  <c r="AN549" i="1"/>
  <c r="AM549" i="1"/>
  <c r="AF549" i="1"/>
  <c r="W549" i="1"/>
  <c r="Z549" i="1" s="1"/>
  <c r="V549" i="1"/>
  <c r="AD754" i="1" l="1"/>
  <c r="Y549" i="1"/>
  <c r="AA549" i="1" s="1"/>
  <c r="Y585" i="1"/>
  <c r="AA585" i="1" s="1"/>
  <c r="Y820" i="1"/>
  <c r="AA820" i="1" s="1"/>
  <c r="Y557" i="1"/>
  <c r="AA557" i="1" s="1"/>
  <c r="Y755" i="1"/>
  <c r="AA755" i="1" s="1"/>
  <c r="Y901" i="1"/>
  <c r="AA901" i="1" s="1"/>
  <c r="Y744" i="1"/>
  <c r="AA744" i="1" s="1"/>
  <c r="Y754" i="1"/>
  <c r="AA754" i="1" s="1"/>
  <c r="AB754" i="1"/>
  <c r="Y756" i="1"/>
  <c r="AA756" i="1" s="1"/>
  <c r="AB756" i="1"/>
  <c r="AD756" i="1" s="1"/>
  <c r="Y558" i="1"/>
  <c r="AA558" i="1" s="1"/>
  <c r="AB558" i="1"/>
  <c r="AD558" i="1" s="1"/>
  <c r="AD750" i="1"/>
  <c r="Y750" i="1"/>
  <c r="AA750" i="1" s="1"/>
  <c r="AB750" i="1"/>
  <c r="AN527" i="1" l="1"/>
  <c r="AM527" i="1"/>
  <c r="W527" i="1"/>
  <c r="Z527" i="1" s="1"/>
  <c r="V527" i="1"/>
  <c r="AN495" i="1"/>
  <c r="AM495" i="1"/>
  <c r="AF495" i="1"/>
  <c r="W495" i="1"/>
  <c r="Z495" i="1" s="1"/>
  <c r="V495" i="1"/>
  <c r="AF385" i="1"/>
  <c r="AN403" i="1"/>
  <c r="AM403" i="1"/>
  <c r="AE403" i="1"/>
  <c r="W403" i="1"/>
  <c r="Z403" i="1" s="1"/>
  <c r="V403" i="1"/>
  <c r="AN385" i="1"/>
  <c r="AM385" i="1"/>
  <c r="W385" i="1"/>
  <c r="Z385" i="1" s="1"/>
  <c r="V385" i="1"/>
  <c r="AN370" i="1"/>
  <c r="AM370" i="1"/>
  <c r="AF370" i="1"/>
  <c r="AE370" i="1"/>
  <c r="W370" i="1"/>
  <c r="Z370" i="1" s="1"/>
  <c r="V370" i="1"/>
  <c r="AM365" i="1"/>
  <c r="AF365" i="1"/>
  <c r="AE365" i="1"/>
  <c r="W365" i="1"/>
  <c r="Z365" i="1" s="1"/>
  <c r="V365" i="1"/>
  <c r="AN309" i="1"/>
  <c r="AM309" i="1"/>
  <c r="AF309" i="1"/>
  <c r="AE309" i="1"/>
  <c r="W309" i="1"/>
  <c r="Z309" i="1" s="1"/>
  <c r="V309" i="1"/>
  <c r="AN301" i="1"/>
  <c r="AM301" i="1"/>
  <c r="K11" i="4"/>
  <c r="L11" i="4" s="1"/>
  <c r="W301" i="1"/>
  <c r="Z301" i="1" s="1"/>
  <c r="V301" i="1"/>
  <c r="AN246" i="1"/>
  <c r="AM246" i="1"/>
  <c r="AF246" i="1"/>
  <c r="AE246" i="1"/>
  <c r="W246" i="1"/>
  <c r="AN16" i="1"/>
  <c r="AM16" i="1"/>
  <c r="AF16" i="1"/>
  <c r="AE16" i="1"/>
  <c r="W16" i="1"/>
  <c r="Z16" i="1" s="1"/>
  <c r="V16" i="1"/>
  <c r="AF14" i="1"/>
  <c r="Y527" i="1" l="1"/>
  <c r="AA527" i="1" s="1"/>
  <c r="Y385" i="1"/>
  <c r="AA385" i="1" s="1"/>
  <c r="Y301" i="1"/>
  <c r="AA301" i="1" s="1"/>
  <c r="Y495" i="1"/>
  <c r="AA495" i="1" s="1"/>
  <c r="Z246" i="1"/>
  <c r="AA246" i="1" s="1"/>
  <c r="AD246" i="1"/>
  <c r="AB246" i="1"/>
  <c r="AB309" i="1"/>
  <c r="AD309" i="1" s="1"/>
  <c r="Y309" i="1"/>
  <c r="AA309" i="1" s="1"/>
  <c r="AB370" i="1"/>
  <c r="AD370" i="1" s="1"/>
  <c r="Y370" i="1"/>
  <c r="AA370" i="1" s="1"/>
  <c r="AB16" i="1"/>
  <c r="AD16" i="1" s="1"/>
  <c r="Y16" i="1"/>
  <c r="AA16" i="1" s="1"/>
  <c r="AB365" i="1"/>
  <c r="AD365" i="1" s="1"/>
  <c r="Y365" i="1"/>
  <c r="AA365" i="1" s="1"/>
  <c r="AB403" i="1"/>
  <c r="AD403" i="1" s="1"/>
  <c r="Y403" i="1"/>
  <c r="AA403" i="1" s="1"/>
  <c r="AN14" i="1" l="1"/>
  <c r="AM14" i="1"/>
  <c r="AE14" i="1"/>
  <c r="W14" i="1"/>
  <c r="Z14" i="1" s="1"/>
  <c r="V14" i="1"/>
  <c r="AQ2032" i="1"/>
  <c r="AF2032" i="1"/>
  <c r="AN2032" i="1"/>
  <c r="AM2032" i="1"/>
  <c r="AL2032" i="1" s="1"/>
  <c r="AH2032" i="1"/>
  <c r="AE2032" i="1"/>
  <c r="W2032" i="1"/>
  <c r="V2032" i="1"/>
  <c r="Y14" i="1" l="1"/>
  <c r="AA14" i="1" s="1"/>
  <c r="AB14" i="1"/>
  <c r="AA2032" i="1"/>
  <c r="AD14" i="1" l="1"/>
  <c r="AD2032" i="1"/>
  <c r="AB2032" i="1"/>
  <c r="AQ1146" i="1" l="1"/>
  <c r="AF1146" i="1"/>
  <c r="AQ2104" i="1"/>
  <c r="AN2133" i="1"/>
  <c r="AM2133" i="1"/>
  <c r="AL2133" i="1" s="1"/>
  <c r="AI2133" i="1"/>
  <c r="AN2104" i="1"/>
  <c r="AM2104" i="1"/>
  <c r="AL2104" i="1" s="1"/>
  <c r="AI2104" i="1"/>
  <c r="AQ2163" i="1" l="1"/>
  <c r="AF2163" i="1"/>
  <c r="AN2163" i="1"/>
  <c r="AM2163" i="1"/>
  <c r="AL2163" i="1" s="1"/>
  <c r="AI2163" i="1"/>
  <c r="AH2163" i="1"/>
  <c r="AE2163" i="1"/>
  <c r="W2163" i="1"/>
  <c r="V2163" i="1"/>
  <c r="AH2104" i="1"/>
  <c r="AF2104" i="1"/>
  <c r="AE2104" i="1"/>
  <c r="W2104" i="1"/>
  <c r="V2104" i="1"/>
  <c r="AQ579" i="1"/>
  <c r="AQ1531" i="1"/>
  <c r="AN608" i="1"/>
  <c r="AM608" i="1"/>
  <c r="AL608" i="1" s="1"/>
  <c r="AH608" i="1"/>
  <c r="AN607" i="1"/>
  <c r="AM607" i="1"/>
  <c r="AL607" i="1" s="1"/>
  <c r="AH607" i="1"/>
  <c r="AN606" i="1"/>
  <c r="AM606" i="1"/>
  <c r="AL606" i="1" s="1"/>
  <c r="AH606" i="1"/>
  <c r="AF608" i="1"/>
  <c r="AF607" i="1"/>
  <c r="AF606" i="1"/>
  <c r="AE608" i="1"/>
  <c r="AE607" i="1"/>
  <c r="AE606" i="1"/>
  <c r="W608" i="1"/>
  <c r="V608" i="1"/>
  <c r="W607" i="1"/>
  <c r="V607" i="1"/>
  <c r="W606" i="1"/>
  <c r="V606" i="1"/>
  <c r="AS1531" i="1" l="1"/>
  <c r="AU1531" i="1"/>
  <c r="AA2163" i="1"/>
  <c r="AA2104" i="1"/>
  <c r="AA607" i="1"/>
  <c r="AA606" i="1"/>
  <c r="AB606" i="1" s="1"/>
  <c r="AA608" i="1"/>
  <c r="AN1921" i="1"/>
  <c r="AM1921" i="1"/>
  <c r="AL1921" i="1" s="1"/>
  <c r="AH1921" i="1"/>
  <c r="AF1921" i="1"/>
  <c r="AE1921" i="1"/>
  <c r="W1921" i="1"/>
  <c r="V1921" i="1"/>
  <c r="AB2163" i="1" l="1"/>
  <c r="AB2104" i="1"/>
  <c r="AB607" i="1"/>
  <c r="AB608" i="1"/>
  <c r="AA1921" i="1"/>
  <c r="AF6" i="1"/>
  <c r="AF5" i="1"/>
  <c r="AF4" i="1"/>
  <c r="AN6" i="1"/>
  <c r="AM6" i="1"/>
  <c r="AL6" i="1" s="1"/>
  <c r="AH6" i="1"/>
  <c r="AN5" i="1"/>
  <c r="AM5" i="1"/>
  <c r="AL5" i="1" s="1"/>
  <c r="AH5" i="1"/>
  <c r="AN4" i="1"/>
  <c r="AM4" i="1"/>
  <c r="AL4" i="1" s="1"/>
  <c r="AH4" i="1"/>
  <c r="AE6" i="1"/>
  <c r="AE5" i="1"/>
  <c r="AE4" i="1"/>
  <c r="W6" i="1"/>
  <c r="V6" i="1"/>
  <c r="W5" i="1"/>
  <c r="V5" i="1"/>
  <c r="W4" i="1"/>
  <c r="V4" i="1"/>
  <c r="V2408" i="1"/>
  <c r="W2408" i="1"/>
  <c r="AN1006" i="1"/>
  <c r="AM1006" i="1"/>
  <c r="AL1006" i="1" s="1"/>
  <c r="AH1006" i="1"/>
  <c r="AN1007" i="1"/>
  <c r="AM1007" i="1"/>
  <c r="AL1007" i="1" s="1"/>
  <c r="AH1007" i="1"/>
  <c r="AF1006" i="1"/>
  <c r="AF1007" i="1"/>
  <c r="AE1006" i="1"/>
  <c r="AE1007" i="1"/>
  <c r="AM92" i="1"/>
  <c r="AL92" i="1" s="1"/>
  <c r="AH92" i="1"/>
  <c r="AM93" i="1"/>
  <c r="AL93" i="1" s="1"/>
  <c r="AH93" i="1"/>
  <c r="AF92" i="1"/>
  <c r="AF93" i="1"/>
  <c r="AE92" i="1"/>
  <c r="AE93" i="1"/>
  <c r="W92" i="1"/>
  <c r="V92" i="1"/>
  <c r="W93" i="1"/>
  <c r="V93" i="1"/>
  <c r="AF2153" i="1"/>
  <c r="AN2153" i="1"/>
  <c r="AM2153" i="1"/>
  <c r="AL2153" i="1" s="1"/>
  <c r="AE2153" i="1"/>
  <c r="W2153" i="1"/>
  <c r="V2153" i="1"/>
  <c r="AB1921" i="1" l="1"/>
  <c r="AA1006" i="1"/>
  <c r="AD1006" i="1" s="1"/>
  <c r="AA5" i="1"/>
  <c r="AB5" i="1" s="1"/>
  <c r="AA6" i="1"/>
  <c r="AD6" i="1" s="1"/>
  <c r="AA4" i="1"/>
  <c r="AA2408" i="1"/>
  <c r="AA1007" i="1"/>
  <c r="AB1007" i="1" s="1"/>
  <c r="AA92" i="1"/>
  <c r="AD92" i="1" s="1"/>
  <c r="AA2153" i="1"/>
  <c r="AA93" i="1"/>
  <c r="AD93" i="1" s="1"/>
  <c r="AC2153" i="1"/>
  <c r="AO1307" i="1"/>
  <c r="AN1307" i="1"/>
  <c r="AM1307" i="1"/>
  <c r="AL1307" i="1" s="1"/>
  <c r="AO1306" i="1"/>
  <c r="AN1306" i="1"/>
  <c r="AM1306" i="1"/>
  <c r="AL1306" i="1" s="1"/>
  <c r="AF1307" i="1"/>
  <c r="AF1306" i="1"/>
  <c r="AE1307" i="1"/>
  <c r="AE1306" i="1"/>
  <c r="W1307" i="1"/>
  <c r="V1307" i="1"/>
  <c r="AC1307" i="1" s="1"/>
  <c r="W1306" i="1"/>
  <c r="V1306" i="1"/>
  <c r="AC1306" i="1" s="1"/>
  <c r="AF152" i="1"/>
  <c r="AF151" i="1"/>
  <c r="AD1007" i="1" l="1"/>
  <c r="AB1006" i="1"/>
  <c r="AB6" i="1"/>
  <c r="AD5" i="1"/>
  <c r="AD4" i="1"/>
  <c r="AB92" i="1"/>
  <c r="AB4" i="1"/>
  <c r="AB93" i="1"/>
  <c r="AA1306" i="1"/>
  <c r="AA1307" i="1"/>
  <c r="AN152" i="1"/>
  <c r="AM152" i="1"/>
  <c r="AL152" i="1" s="1"/>
  <c r="AN151" i="1"/>
  <c r="AM151" i="1"/>
  <c r="AL151" i="1" s="1"/>
  <c r="AE152" i="1"/>
  <c r="AE151" i="1"/>
  <c r="W152" i="1"/>
  <c r="V152" i="1"/>
  <c r="AC152" i="1" s="1"/>
  <c r="W151" i="1"/>
  <c r="V151" i="1"/>
  <c r="AN751" i="1"/>
  <c r="AM751" i="1"/>
  <c r="AL751" i="1" s="1"/>
  <c r="AH751" i="1"/>
  <c r="AN747" i="1"/>
  <c r="AM747" i="1"/>
  <c r="AL747" i="1" s="1"/>
  <c r="AH747" i="1"/>
  <c r="AF751" i="1"/>
  <c r="AF747" i="1"/>
  <c r="AE751" i="1"/>
  <c r="AE747" i="1"/>
  <c r="W751" i="1"/>
  <c r="V751" i="1"/>
  <c r="W747" i="1"/>
  <c r="V747" i="1"/>
  <c r="AA751" i="1" l="1"/>
  <c r="AD751" i="1" s="1"/>
  <c r="AA151" i="1"/>
  <c r="AC151" i="1"/>
  <c r="AA152" i="1"/>
  <c r="AA747" i="1"/>
  <c r="AB747" i="1" s="1"/>
  <c r="AN753" i="1"/>
  <c r="AM753" i="1"/>
  <c r="AL753" i="1" s="1"/>
  <c r="AH753" i="1"/>
  <c r="AN749" i="1"/>
  <c r="AM749" i="1"/>
  <c r="AL749" i="1" s="1"/>
  <c r="AH749" i="1"/>
  <c r="AF753" i="1"/>
  <c r="AF749" i="1"/>
  <c r="AE753" i="1"/>
  <c r="AE749" i="1"/>
  <c r="W753" i="1"/>
  <c r="V753" i="1"/>
  <c r="W749" i="1"/>
  <c r="V749" i="1"/>
  <c r="AB751" i="1" l="1"/>
  <c r="AA753" i="1"/>
  <c r="AD753" i="1" s="1"/>
  <c r="AD747" i="1"/>
  <c r="AA749" i="1"/>
  <c r="AB749" i="1" s="1"/>
  <c r="AD749" i="1" l="1"/>
  <c r="AB753" i="1"/>
  <c r="AN154" i="1"/>
  <c r="AM154" i="1"/>
  <c r="AL154" i="1" s="1"/>
  <c r="AF154" i="1"/>
  <c r="AE154" i="1"/>
  <c r="W154" i="1"/>
  <c r="V154" i="1"/>
  <c r="AC154" i="1" s="1"/>
  <c r="AF2154" i="1"/>
  <c r="AN2154" i="1"/>
  <c r="AM2154" i="1"/>
  <c r="AL2154" i="1" s="1"/>
  <c r="AE2154" i="1"/>
  <c r="W2154" i="1"/>
  <c r="V2154" i="1"/>
  <c r="AO1305" i="1"/>
  <c r="AN1305" i="1"/>
  <c r="AM1305" i="1"/>
  <c r="AL1305" i="1" s="1"/>
  <c r="AF1305" i="1"/>
  <c r="AE1305" i="1"/>
  <c r="W1305" i="1"/>
  <c r="V1305" i="1"/>
  <c r="AC1305" i="1" s="1"/>
  <c r="AN447" i="1"/>
  <c r="AM447" i="1"/>
  <c r="AL447" i="1" s="1"/>
  <c r="AF447" i="1"/>
  <c r="AE447" i="1"/>
  <c r="W447" i="1"/>
  <c r="V447" i="1"/>
  <c r="AC447" i="1" s="1"/>
  <c r="AA154" i="1" l="1"/>
  <c r="AA2154" i="1"/>
  <c r="AC2154" i="1"/>
  <c r="AA1305" i="1"/>
  <c r="AA447" i="1"/>
  <c r="AN2318" i="1" l="1"/>
  <c r="AM2318" i="1"/>
  <c r="AL2318" i="1" s="1"/>
  <c r="AH2318" i="1"/>
  <c r="AF2318" i="1"/>
  <c r="AE2318" i="1"/>
  <c r="W2318" i="1"/>
  <c r="V2318" i="1"/>
  <c r="AA2318" i="1" l="1"/>
  <c r="AB2318" i="1" s="1"/>
  <c r="AN2317" i="1" l="1"/>
  <c r="AH2317" i="1"/>
  <c r="AF2317" i="1"/>
  <c r="AE2317" i="1"/>
  <c r="W2317" i="1"/>
  <c r="V2317" i="1"/>
  <c r="U2317" i="1"/>
  <c r="T2317" i="1"/>
  <c r="AM2317" i="1" l="1"/>
  <c r="AL2317" i="1" s="1"/>
  <c r="AA2317" i="1"/>
  <c r="AB2317" i="1" l="1"/>
  <c r="AN181" i="1"/>
  <c r="AM181" i="1"/>
  <c r="AL181" i="1" s="1"/>
  <c r="AH181" i="1"/>
  <c r="AE181" i="1"/>
  <c r="W181" i="1"/>
  <c r="V181" i="1"/>
  <c r="V180" i="1"/>
  <c r="W180" i="1"/>
  <c r="AN2196" i="1"/>
  <c r="AM2196" i="1"/>
  <c r="AL2196" i="1" s="1"/>
  <c r="AH2196" i="1"/>
  <c r="AF2196" i="1"/>
  <c r="AE2196" i="1"/>
  <c r="W2196" i="1"/>
  <c r="V2196" i="1"/>
  <c r="AN1917" i="1"/>
  <c r="AM1917" i="1"/>
  <c r="AL1917" i="1" s="1"/>
  <c r="AH1917" i="1"/>
  <c r="AF1917" i="1"/>
  <c r="AA181" i="1" l="1"/>
  <c r="AB181" i="1" s="1"/>
  <c r="AA2196" i="1"/>
  <c r="AD2196" i="1" s="1"/>
  <c r="AB2196" i="1" l="1"/>
  <c r="AE1917" i="1" l="1"/>
  <c r="AC1917" i="1"/>
  <c r="W1917" i="1"/>
  <c r="V1917" i="1"/>
  <c r="AN1715" i="1"/>
  <c r="AM1715" i="1"/>
  <c r="AL1715" i="1" s="1"/>
  <c r="AH1715" i="1"/>
  <c r="AF1715" i="1"/>
  <c r="AE1715" i="1"/>
  <c r="AN1711" i="1"/>
  <c r="AM1711" i="1"/>
  <c r="AL1711" i="1" s="1"/>
  <c r="AH1711" i="1"/>
  <c r="AF1711" i="1"/>
  <c r="AE1711" i="1"/>
  <c r="W1715" i="1"/>
  <c r="V1715" i="1"/>
  <c r="W1711" i="1"/>
  <c r="V1711" i="1"/>
  <c r="AN889" i="1"/>
  <c r="AM889" i="1"/>
  <c r="AL889" i="1" s="1"/>
  <c r="AH889" i="1"/>
  <c r="AF889" i="1"/>
  <c r="AE889" i="1"/>
  <c r="W889" i="1"/>
  <c r="V889" i="1"/>
  <c r="AN886" i="1"/>
  <c r="AM886" i="1"/>
  <c r="AL886" i="1" s="1"/>
  <c r="AH886" i="1"/>
  <c r="AF886" i="1"/>
  <c r="AE886" i="1"/>
  <c r="W886" i="1"/>
  <c r="V886" i="1"/>
  <c r="AN2092" i="1"/>
  <c r="AM2092" i="1"/>
  <c r="AL2092" i="1" s="1"/>
  <c r="AH2092" i="1"/>
  <c r="AN2091" i="1"/>
  <c r="AM2091" i="1"/>
  <c r="AL2091" i="1" s="1"/>
  <c r="AH2091" i="1"/>
  <c r="AN2090" i="1"/>
  <c r="AM2090" i="1"/>
  <c r="AL2090" i="1" s="1"/>
  <c r="AH2090" i="1"/>
  <c r="AN2089" i="1"/>
  <c r="AM2089" i="1"/>
  <c r="AL2089" i="1" s="1"/>
  <c r="AH2089" i="1"/>
  <c r="AF2092" i="1"/>
  <c r="AF2091" i="1"/>
  <c r="AF2090" i="1"/>
  <c r="AF2089" i="1"/>
  <c r="AE2092" i="1"/>
  <c r="AE2091" i="1"/>
  <c r="AE2090" i="1"/>
  <c r="AE2089" i="1"/>
  <c r="W2092" i="1"/>
  <c r="V2092" i="1"/>
  <c r="W2091" i="1"/>
  <c r="V2091" i="1"/>
  <c r="W2090" i="1"/>
  <c r="V2090" i="1"/>
  <c r="W2089" i="1"/>
  <c r="V2089" i="1"/>
  <c r="AN2063" i="1"/>
  <c r="AM2063" i="1"/>
  <c r="AL2063" i="1" s="1"/>
  <c r="AH2063" i="1"/>
  <c r="AN2062" i="1"/>
  <c r="AM2062" i="1"/>
  <c r="AL2062" i="1" s="1"/>
  <c r="AH2062" i="1"/>
  <c r="AN2061" i="1"/>
  <c r="AM2061" i="1"/>
  <c r="AL2061" i="1" s="1"/>
  <c r="AH2061" i="1"/>
  <c r="AN2060" i="1"/>
  <c r="AM2060" i="1"/>
  <c r="AL2060" i="1" s="1"/>
  <c r="AH2060" i="1"/>
  <c r="AF2063" i="1"/>
  <c r="AF2062" i="1"/>
  <c r="AF2061" i="1"/>
  <c r="AF2060" i="1"/>
  <c r="AA1711" i="1" l="1"/>
  <c r="AB1711" i="1" s="1"/>
  <c r="AA1917" i="1"/>
  <c r="AA1715" i="1"/>
  <c r="AA889" i="1"/>
  <c r="AD889" i="1" s="1"/>
  <c r="AA886" i="1"/>
  <c r="AD886" i="1" s="1"/>
  <c r="AA2092" i="1"/>
  <c r="AA2089" i="1"/>
  <c r="AB2089" i="1" s="1"/>
  <c r="AA2091" i="1"/>
  <c r="AB2091" i="1" s="1"/>
  <c r="AA2090" i="1"/>
  <c r="AB2090" i="1" s="1"/>
  <c r="AB1715" i="1" l="1"/>
  <c r="AB1917" i="1"/>
  <c r="AB889" i="1"/>
  <c r="AB886" i="1"/>
  <c r="AB2092" i="1"/>
  <c r="AE2063" i="1"/>
  <c r="AE2062" i="1"/>
  <c r="AE2061" i="1"/>
  <c r="AE2060" i="1"/>
  <c r="W2063" i="1"/>
  <c r="V2063" i="1"/>
  <c r="W2062" i="1"/>
  <c r="V2062" i="1"/>
  <c r="W2061" i="1"/>
  <c r="V2061" i="1"/>
  <c r="W2060" i="1"/>
  <c r="V2060" i="1"/>
  <c r="AA2062" i="1" l="1"/>
  <c r="AA2060" i="1"/>
  <c r="AB2060" i="1" s="1"/>
  <c r="AA2061" i="1"/>
  <c r="AA2063" i="1"/>
  <c r="AN1478" i="1"/>
  <c r="AM1478" i="1"/>
  <c r="AL1478" i="1" s="1"/>
  <c r="AH1478" i="1"/>
  <c r="AN1477" i="1"/>
  <c r="AM1477" i="1"/>
  <c r="AL1477" i="1" s="1"/>
  <c r="AH1477" i="1"/>
  <c r="AN1476" i="1"/>
  <c r="AM1476" i="1"/>
  <c r="AL1476" i="1" s="1"/>
  <c r="AH1476" i="1"/>
  <c r="AF1478" i="1"/>
  <c r="AF1477" i="1"/>
  <c r="AF1476" i="1"/>
  <c r="AE1478" i="1"/>
  <c r="AE1477" i="1"/>
  <c r="AE1476" i="1"/>
  <c r="W1478" i="1"/>
  <c r="V1478" i="1"/>
  <c r="W1477" i="1"/>
  <c r="V1477" i="1"/>
  <c r="W1476" i="1"/>
  <c r="V1476" i="1"/>
  <c r="W657" i="1"/>
  <c r="V657" i="1"/>
  <c r="W656" i="1"/>
  <c r="V656" i="1"/>
  <c r="AN657" i="1"/>
  <c r="AM657" i="1"/>
  <c r="AL657" i="1" s="1"/>
  <c r="AH657" i="1"/>
  <c r="AN656" i="1"/>
  <c r="AM656" i="1"/>
  <c r="AL656" i="1" s="1"/>
  <c r="AH656" i="1"/>
  <c r="AN655" i="1"/>
  <c r="AM655" i="1"/>
  <c r="AL655" i="1" s="1"/>
  <c r="AH655" i="1"/>
  <c r="AN654" i="1"/>
  <c r="AM654" i="1"/>
  <c r="AL654" i="1" s="1"/>
  <c r="AH654" i="1"/>
  <c r="AF657" i="1"/>
  <c r="AF656" i="1"/>
  <c r="AF655" i="1"/>
  <c r="AE657" i="1"/>
  <c r="AE656" i="1"/>
  <c r="AE654" i="1"/>
  <c r="AE655" i="1"/>
  <c r="W655" i="1"/>
  <c r="V655" i="1"/>
  <c r="AB2062" i="1" l="1"/>
  <c r="AB2061" i="1"/>
  <c r="AB2063" i="1"/>
  <c r="AA1477" i="1"/>
  <c r="AB1477" i="1" s="1"/>
  <c r="AA1476" i="1"/>
  <c r="AA1478" i="1"/>
  <c r="AA655" i="1"/>
  <c r="AD655" i="1" s="1"/>
  <c r="AA657" i="1"/>
  <c r="AD657" i="1" s="1"/>
  <c r="AA656" i="1"/>
  <c r="AF1907" i="1"/>
  <c r="W1907" i="1"/>
  <c r="Z1907" i="1" s="1"/>
  <c r="V1907" i="1"/>
  <c r="V1910" i="1"/>
  <c r="AF1889" i="1"/>
  <c r="AN1719" i="1"/>
  <c r="AM1719" i="1"/>
  <c r="AF1719" i="1"/>
  <c r="AE1719" i="1"/>
  <c r="W1719" i="1"/>
  <c r="Z1719" i="1" s="1"/>
  <c r="V1719" i="1"/>
  <c r="AF732" i="1"/>
  <c r="AN732" i="1"/>
  <c r="AM732" i="1"/>
  <c r="W732" i="1"/>
  <c r="Z732" i="1" s="1"/>
  <c r="V732" i="1"/>
  <c r="AN731" i="1"/>
  <c r="AM731" i="1"/>
  <c r="AF731" i="1"/>
  <c r="W731" i="1"/>
  <c r="Z731" i="1" s="1"/>
  <c r="V731" i="1"/>
  <c r="AO1446" i="1"/>
  <c r="AN1446" i="1"/>
  <c r="AM1446" i="1"/>
  <c r="AF1446" i="1"/>
  <c r="W1446" i="1"/>
  <c r="Z1446" i="1" s="1"/>
  <c r="V1446" i="1"/>
  <c r="AF1867" i="1"/>
  <c r="AB1446" i="1" l="1"/>
  <c r="Y1446" i="1"/>
  <c r="AA1446" i="1" s="1"/>
  <c r="AD1446" i="1"/>
  <c r="Y732" i="1"/>
  <c r="AA732" i="1" s="1"/>
  <c r="AB1907" i="1"/>
  <c r="Y1907" i="1"/>
  <c r="AA1907" i="1" s="1"/>
  <c r="AD1907" i="1"/>
  <c r="Y731" i="1"/>
  <c r="AA731" i="1" s="1"/>
  <c r="AB1719" i="1"/>
  <c r="Y1719" i="1"/>
  <c r="AA1719" i="1" s="1"/>
  <c r="AB657" i="1"/>
  <c r="AD656" i="1"/>
  <c r="AB656" i="1"/>
  <c r="AB1478" i="1"/>
  <c r="AB655" i="1"/>
  <c r="AB1476" i="1"/>
  <c r="AO445" i="1"/>
  <c r="AN445" i="1"/>
  <c r="AM445" i="1"/>
  <c r="AF445" i="1"/>
  <c r="AE445" i="1"/>
  <c r="W445" i="1"/>
  <c r="Z445" i="1" s="1"/>
  <c r="V445" i="1"/>
  <c r="AQ166" i="1"/>
  <c r="AN166" i="1"/>
  <c r="AM166" i="1"/>
  <c r="AL166" i="1" s="1"/>
  <c r="AH166" i="1"/>
  <c r="AF166" i="1"/>
  <c r="AE166" i="1"/>
  <c r="W166" i="1"/>
  <c r="V166" i="1"/>
  <c r="Y445" i="1" l="1"/>
  <c r="AA445" i="1" s="1"/>
  <c r="AB445" i="1"/>
  <c r="AD445" i="1" s="1"/>
  <c r="AA166" i="1"/>
  <c r="AB166" i="1" l="1"/>
  <c r="AQ2316" i="1" l="1"/>
  <c r="AN2316" i="1"/>
  <c r="AM2316" i="1"/>
  <c r="AL2316" i="1" s="1"/>
  <c r="AH2316" i="1"/>
  <c r="AF2316" i="1"/>
  <c r="AE2316" i="1"/>
  <c r="W2316" i="1"/>
  <c r="V2316" i="1"/>
  <c r="AN563" i="1"/>
  <c r="AM563" i="1"/>
  <c r="AL563" i="1" s="1"/>
  <c r="AH563" i="1"/>
  <c r="AN559" i="1"/>
  <c r="AM559" i="1"/>
  <c r="AL559" i="1" s="1"/>
  <c r="AH559" i="1"/>
  <c r="AF563" i="1"/>
  <c r="AF559" i="1"/>
  <c r="AE563" i="1"/>
  <c r="AE559" i="1"/>
  <c r="W563" i="1"/>
  <c r="V563" i="1"/>
  <c r="W559" i="1"/>
  <c r="V559" i="1"/>
  <c r="AN1966" i="1"/>
  <c r="AM1966" i="1"/>
  <c r="AL1966" i="1" s="1"/>
  <c r="AH1966" i="1"/>
  <c r="AN1963" i="1"/>
  <c r="AM1963" i="1"/>
  <c r="AL1963" i="1" s="1"/>
  <c r="AH1963" i="1"/>
  <c r="AF1966" i="1"/>
  <c r="AF1963" i="1"/>
  <c r="AE1966" i="1"/>
  <c r="AE1963" i="1"/>
  <c r="W1966" i="1"/>
  <c r="V1966" i="1"/>
  <c r="W1963" i="1"/>
  <c r="V1963" i="1"/>
  <c r="AN1923" i="1"/>
  <c r="AM1923" i="1"/>
  <c r="AL1923" i="1" s="1"/>
  <c r="AH1923" i="1"/>
  <c r="AF1923" i="1"/>
  <c r="AE1923" i="1"/>
  <c r="W1923" i="1"/>
  <c r="V1923" i="1"/>
  <c r="AN525" i="1"/>
  <c r="AM525" i="1"/>
  <c r="AL525" i="1" s="1"/>
  <c r="AH525" i="1"/>
  <c r="AN523" i="1"/>
  <c r="AM523" i="1"/>
  <c r="AL523" i="1" s="1"/>
  <c r="AH523" i="1"/>
  <c r="AF525" i="1"/>
  <c r="AF523" i="1"/>
  <c r="AE525" i="1"/>
  <c r="AE523" i="1"/>
  <c r="W525" i="1"/>
  <c r="V525" i="1"/>
  <c r="W523" i="1"/>
  <c r="V523" i="1"/>
  <c r="AN1716" i="1"/>
  <c r="AM1716" i="1"/>
  <c r="AL1716" i="1" s="1"/>
  <c r="AH1716" i="1"/>
  <c r="AN1714" i="1"/>
  <c r="AM1714" i="1"/>
  <c r="AL1714" i="1" s="1"/>
  <c r="AH1714" i="1"/>
  <c r="AN1710" i="1"/>
  <c r="AM1710" i="1"/>
  <c r="AL1710" i="1" s="1"/>
  <c r="AH1710" i="1"/>
  <c r="AF1716" i="1"/>
  <c r="AF1714" i="1"/>
  <c r="AF1710" i="1"/>
  <c r="AE1716" i="1"/>
  <c r="AE1714" i="1"/>
  <c r="AE1710" i="1"/>
  <c r="W1716" i="1"/>
  <c r="V1716" i="1"/>
  <c r="W1714" i="1"/>
  <c r="V1714" i="1"/>
  <c r="W1710" i="1"/>
  <c r="V1710" i="1"/>
  <c r="AN1709" i="1"/>
  <c r="AM1709" i="1"/>
  <c r="AL1709" i="1" s="1"/>
  <c r="AH1709" i="1"/>
  <c r="AF1709" i="1"/>
  <c r="AE1709" i="1"/>
  <c r="W1709" i="1"/>
  <c r="V1709" i="1"/>
  <c r="AN890" i="1"/>
  <c r="AM890" i="1"/>
  <c r="AL890" i="1" s="1"/>
  <c r="AH890" i="1"/>
  <c r="AN888" i="1"/>
  <c r="AM888" i="1"/>
  <c r="AL888" i="1" s="1"/>
  <c r="AH888" i="1"/>
  <c r="AF890" i="1"/>
  <c r="AF888" i="1"/>
  <c r="AE890" i="1"/>
  <c r="AE888" i="1"/>
  <c r="W890" i="1"/>
  <c r="V890" i="1"/>
  <c r="W888" i="1"/>
  <c r="V888" i="1"/>
  <c r="AN973" i="1"/>
  <c r="AM973" i="1"/>
  <c r="AL973" i="1" s="1"/>
  <c r="AH973" i="1"/>
  <c r="AF973" i="1"/>
  <c r="AE973" i="1"/>
  <c r="W973" i="1"/>
  <c r="V973" i="1"/>
  <c r="AN1920" i="1"/>
  <c r="AM1920" i="1"/>
  <c r="AL1920" i="1" s="1"/>
  <c r="AH1920" i="1"/>
  <c r="AN1919" i="1"/>
  <c r="AM1919" i="1"/>
  <c r="AL1919" i="1" s="1"/>
  <c r="AH1919" i="1"/>
  <c r="AN1918" i="1"/>
  <c r="AM1918" i="1"/>
  <c r="AL1918" i="1" s="1"/>
  <c r="AH1918" i="1"/>
  <c r="AF1920" i="1"/>
  <c r="AF1919" i="1"/>
  <c r="AF1918" i="1"/>
  <c r="AE1920" i="1"/>
  <c r="AE1919" i="1"/>
  <c r="AE1918" i="1"/>
  <c r="W1920" i="1"/>
  <c r="V1920" i="1"/>
  <c r="W1919" i="1"/>
  <c r="V1919" i="1"/>
  <c r="W1918" i="1"/>
  <c r="V1918" i="1"/>
  <c r="AN1916" i="1"/>
  <c r="AM1916" i="1"/>
  <c r="AL1916" i="1" s="1"/>
  <c r="AH1916" i="1"/>
  <c r="AF1916" i="1"/>
  <c r="AE1916" i="1"/>
  <c r="W1916" i="1"/>
  <c r="V1916" i="1"/>
  <c r="AA559" i="1" l="1"/>
  <c r="AB559" i="1" s="1"/>
  <c r="AA2316" i="1"/>
  <c r="AA563" i="1"/>
  <c r="AA1963" i="1"/>
  <c r="AA1966" i="1"/>
  <c r="AA1923" i="1"/>
  <c r="AB1923" i="1" s="1"/>
  <c r="AA1710" i="1"/>
  <c r="AA1716" i="1"/>
  <c r="AB1716" i="1" s="1"/>
  <c r="AA523" i="1"/>
  <c r="AB523" i="1" s="1"/>
  <c r="AA888" i="1"/>
  <c r="AB888" i="1" s="1"/>
  <c r="AA525" i="1"/>
  <c r="AA1709" i="1"/>
  <c r="AA1714" i="1"/>
  <c r="AB1714" i="1" s="1"/>
  <c r="AA890" i="1"/>
  <c r="AB890" i="1" s="1"/>
  <c r="AA973" i="1"/>
  <c r="AA1919" i="1"/>
  <c r="AA1918" i="1"/>
  <c r="AA1920" i="1"/>
  <c r="AB1920" i="1" s="1"/>
  <c r="AA1916" i="1"/>
  <c r="AB2316" i="1" l="1"/>
  <c r="AB563" i="1"/>
  <c r="AB1963" i="1"/>
  <c r="AB1966" i="1"/>
  <c r="AB1710" i="1"/>
  <c r="AD890" i="1"/>
  <c r="AD888" i="1"/>
  <c r="AB525" i="1"/>
  <c r="AB1709" i="1"/>
  <c r="AB973" i="1"/>
  <c r="AB1919" i="1"/>
  <c r="AB1918" i="1"/>
  <c r="AB1916" i="1"/>
  <c r="AF1158" i="1" l="1"/>
  <c r="AN1158" i="1"/>
  <c r="AM1158" i="1"/>
  <c r="AL1158" i="1" s="1"/>
  <c r="AH1158" i="1"/>
  <c r="AE1158" i="1"/>
  <c r="AC1158" i="1"/>
  <c r="W1158" i="1"/>
  <c r="V1158" i="1"/>
  <c r="AQ1158" i="1"/>
  <c r="AN893" i="1"/>
  <c r="AM893" i="1"/>
  <c r="AF893" i="1"/>
  <c r="W893" i="1"/>
  <c r="Z893" i="1" s="1"/>
  <c r="V893" i="1"/>
  <c r="AN1643" i="1"/>
  <c r="AF1643" i="1"/>
  <c r="W1643" i="1"/>
  <c r="Z1643" i="1" s="1"/>
  <c r="V1643" i="1"/>
  <c r="Y1643" i="1" s="1"/>
  <c r="U1643" i="1"/>
  <c r="AM1643" i="1" s="1"/>
  <c r="AA1643" i="1" l="1"/>
  <c r="AD1643" i="1" s="1"/>
  <c r="Y893" i="1"/>
  <c r="AA893" i="1" s="1"/>
  <c r="AB893" i="1"/>
  <c r="AD893" i="1"/>
  <c r="AA1158" i="1"/>
  <c r="AD1158" i="1" s="1"/>
  <c r="AS1158" i="1" s="1"/>
  <c r="AT1158" i="1" s="1"/>
  <c r="AU1158" i="1" s="1"/>
  <c r="AN101" i="1"/>
  <c r="AM101" i="1"/>
  <c r="AL101" i="1" s="1"/>
  <c r="AH101" i="1"/>
  <c r="AF101" i="1"/>
  <c r="AE101" i="1"/>
  <c r="W101" i="1"/>
  <c r="V101" i="1"/>
  <c r="AF1373" i="1"/>
  <c r="AC1374" i="1"/>
  <c r="AF1376" i="1"/>
  <c r="AB1158" i="1" l="1"/>
  <c r="AB1643" i="1"/>
  <c r="AJ1158" i="1"/>
  <c r="AK1158" i="1" s="1"/>
  <c r="AA101" i="1"/>
  <c r="AD101" i="1" s="1"/>
  <c r="AN1338" i="1"/>
  <c r="AM1338" i="1"/>
  <c r="AL1338" i="1" s="1"/>
  <c r="AH1338" i="1"/>
  <c r="AF1338" i="1"/>
  <c r="AE1338" i="1"/>
  <c r="W1338" i="1"/>
  <c r="V1338" i="1"/>
  <c r="AN1182" i="1"/>
  <c r="AM1182" i="1"/>
  <c r="AL1182" i="1" s="1"/>
  <c r="AH1182" i="1"/>
  <c r="AF1182" i="1"/>
  <c r="AE1182" i="1"/>
  <c r="W1182" i="1"/>
  <c r="V1182" i="1"/>
  <c r="AN354" i="1"/>
  <c r="AH354" i="1"/>
  <c r="AF354" i="1"/>
  <c r="AE354" i="1"/>
  <c r="W354" i="1"/>
  <c r="V354" i="1"/>
  <c r="U354" i="1"/>
  <c r="T354" i="1"/>
  <c r="AN1292" i="1"/>
  <c r="AM1292" i="1"/>
  <c r="AL1292" i="1" s="1"/>
  <c r="AH1292" i="1"/>
  <c r="AF1292" i="1"/>
  <c r="AE1292" i="1"/>
  <c r="W1292" i="1"/>
  <c r="V1292" i="1"/>
  <c r="AN1291" i="1"/>
  <c r="AM1291" i="1"/>
  <c r="AL1291" i="1" s="1"/>
  <c r="AH1291" i="1"/>
  <c r="AF1291" i="1"/>
  <c r="AE1291" i="1"/>
  <c r="W1291" i="1"/>
  <c r="V1291" i="1"/>
  <c r="AB101" i="1" l="1"/>
  <c r="AA1338" i="1"/>
  <c r="AB1338" i="1" s="1"/>
  <c r="AM354" i="1"/>
  <c r="AL354" i="1" s="1"/>
  <c r="AA354" i="1"/>
  <c r="AA1182" i="1"/>
  <c r="AB1182" i="1" s="1"/>
  <c r="AA1291" i="1"/>
  <c r="AA1292" i="1"/>
  <c r="AB1292" i="1" s="1"/>
  <c r="AB354" i="1" l="1"/>
  <c r="AB1291" i="1"/>
  <c r="AE1949" i="1" l="1"/>
  <c r="AC1949" i="1"/>
  <c r="AE1948" i="1"/>
  <c r="AF1762" i="1" l="1"/>
  <c r="AN1762" i="1"/>
  <c r="AM1762" i="1"/>
  <c r="AL1762" i="1" s="1"/>
  <c r="AH1762" i="1"/>
  <c r="AE1762" i="1"/>
  <c r="W1762" i="1"/>
  <c r="V1762" i="1"/>
  <c r="AA1762" i="1" l="1"/>
  <c r="AN1281" i="1"/>
  <c r="AM1281" i="1"/>
  <c r="AL1281" i="1" s="1"/>
  <c r="AH1281" i="1"/>
  <c r="AF1281" i="1"/>
  <c r="AE1281" i="1"/>
  <c r="AC1281" i="1"/>
  <c r="W1281" i="1"/>
  <c r="V1281" i="1"/>
  <c r="AM1737" i="1"/>
  <c r="AL1737" i="1" s="1"/>
  <c r="AN1737" i="1"/>
  <c r="AF1737" i="1"/>
  <c r="AE1737" i="1"/>
  <c r="V1737" i="1"/>
  <c r="W1737" i="1"/>
  <c r="AF2346" i="1"/>
  <c r="AF2345" i="1"/>
  <c r="AF2344" i="1"/>
  <c r="AM2346" i="1"/>
  <c r="AL2346" i="1" s="1"/>
  <c r="AH2346" i="1"/>
  <c r="AM2345" i="1"/>
  <c r="AL2345" i="1" s="1"/>
  <c r="AH2345" i="1"/>
  <c r="AM2344" i="1"/>
  <c r="AL2344" i="1" s="1"/>
  <c r="AH2344" i="1"/>
  <c r="AE2346" i="1"/>
  <c r="AE2345" i="1"/>
  <c r="AE2344" i="1"/>
  <c r="W2346" i="1"/>
  <c r="V2346" i="1"/>
  <c r="W2345" i="1"/>
  <c r="V2345" i="1"/>
  <c r="W2344" i="1"/>
  <c r="V2344" i="1"/>
  <c r="AL1786" i="1"/>
  <c r="AH1786" i="1"/>
  <c r="AF1786" i="1"/>
  <c r="AF1785" i="1"/>
  <c r="AF1784" i="1"/>
  <c r="AL1785" i="1"/>
  <c r="AH1785" i="1"/>
  <c r="AL1784" i="1"/>
  <c r="AH1784" i="1"/>
  <c r="AE1786" i="1"/>
  <c r="AE1785" i="1"/>
  <c r="AE1784" i="1"/>
  <c r="W1786" i="1"/>
  <c r="V1786" i="1"/>
  <c r="W1785" i="1"/>
  <c r="V1785" i="1"/>
  <c r="W1784" i="1"/>
  <c r="V1784" i="1"/>
  <c r="AF1516" i="1"/>
  <c r="AF1515" i="1"/>
  <c r="AF1514" i="1"/>
  <c r="AN1516" i="1"/>
  <c r="AM1516" i="1"/>
  <c r="AL1516" i="1" s="1"/>
  <c r="AH1516" i="1"/>
  <c r="AN1515" i="1"/>
  <c r="AM1515" i="1"/>
  <c r="AL1515" i="1" s="1"/>
  <c r="AH1515" i="1"/>
  <c r="AN1514" i="1"/>
  <c r="AM1514" i="1"/>
  <c r="AL1514" i="1" s="1"/>
  <c r="AH1514" i="1"/>
  <c r="AE1516" i="1"/>
  <c r="AE1515" i="1"/>
  <c r="AE1514" i="1"/>
  <c r="W1516" i="1"/>
  <c r="V1516" i="1"/>
  <c r="W1515" i="1"/>
  <c r="V1515" i="1"/>
  <c r="W1514" i="1"/>
  <c r="V1514" i="1"/>
  <c r="W1513" i="1"/>
  <c r="V1513" i="1"/>
  <c r="AF1388" i="1"/>
  <c r="AF1387" i="1"/>
  <c r="AF1386" i="1"/>
  <c r="AN1388" i="1"/>
  <c r="AM1388" i="1"/>
  <c r="AL1388" i="1" s="1"/>
  <c r="AH1388" i="1"/>
  <c r="AN1387" i="1"/>
  <c r="AM1387" i="1"/>
  <c r="AL1387" i="1" s="1"/>
  <c r="AH1387" i="1"/>
  <c r="AN1386" i="1"/>
  <c r="AM1386" i="1"/>
  <c r="AL1386" i="1" s="1"/>
  <c r="AH1386" i="1"/>
  <c r="AE1388" i="1"/>
  <c r="AE1387" i="1"/>
  <c r="AE1386" i="1"/>
  <c r="W1388" i="1"/>
  <c r="V1388" i="1"/>
  <c r="W1387" i="1"/>
  <c r="V1387" i="1"/>
  <c r="W1386" i="1"/>
  <c r="V1386" i="1"/>
  <c r="AF1285" i="1"/>
  <c r="AF1284" i="1"/>
  <c r="AF1283" i="1"/>
  <c r="AN1285" i="1"/>
  <c r="AM1285" i="1"/>
  <c r="AL1285" i="1" s="1"/>
  <c r="AH1285" i="1"/>
  <c r="AN1284" i="1"/>
  <c r="AM1284" i="1"/>
  <c r="AL1284" i="1" s="1"/>
  <c r="AH1284" i="1"/>
  <c r="AN1283" i="1"/>
  <c r="AM1283" i="1"/>
  <c r="AL1283" i="1" s="1"/>
  <c r="AH1283" i="1"/>
  <c r="AE1285" i="1"/>
  <c r="AE1284" i="1"/>
  <c r="AE1283" i="1"/>
  <c r="W1285" i="1"/>
  <c r="V1285" i="1"/>
  <c r="W1284" i="1"/>
  <c r="V1284" i="1"/>
  <c r="W1283" i="1"/>
  <c r="V1283" i="1"/>
  <c r="AF1105" i="1"/>
  <c r="AF1104" i="1"/>
  <c r="AF1103" i="1"/>
  <c r="AN1105" i="1"/>
  <c r="AM1105" i="1"/>
  <c r="AL1105" i="1" s="1"/>
  <c r="AH1105" i="1"/>
  <c r="AN1104" i="1"/>
  <c r="AM1104" i="1"/>
  <c r="AL1104" i="1" s="1"/>
  <c r="AH1104" i="1"/>
  <c r="AN1103" i="1"/>
  <c r="AM1103" i="1"/>
  <c r="AL1103" i="1" s="1"/>
  <c r="AH1103" i="1"/>
  <c r="AE1105" i="1"/>
  <c r="AC1105" i="1"/>
  <c r="AE1104" i="1"/>
  <c r="AC1104" i="1"/>
  <c r="AE1103" i="1"/>
  <c r="AC1103" i="1"/>
  <c r="W1105" i="1"/>
  <c r="V1105" i="1"/>
  <c r="W1104" i="1"/>
  <c r="V1104" i="1"/>
  <c r="W1103" i="1"/>
  <c r="V1103" i="1"/>
  <c r="AF1034" i="1"/>
  <c r="AF1033" i="1"/>
  <c r="AN1034" i="1"/>
  <c r="AM1034" i="1"/>
  <c r="AL1034" i="1" s="1"/>
  <c r="AH1034" i="1"/>
  <c r="AN1033" i="1"/>
  <c r="AM1033" i="1"/>
  <c r="AL1033" i="1" s="1"/>
  <c r="AH1033" i="1"/>
  <c r="AE1034" i="1"/>
  <c r="AE1033" i="1"/>
  <c r="W1034" i="1"/>
  <c r="V1034" i="1"/>
  <c r="W1033" i="1"/>
  <c r="V1033" i="1"/>
  <c r="AF681" i="1"/>
  <c r="AF680" i="1"/>
  <c r="AF679" i="1"/>
  <c r="AN681" i="1"/>
  <c r="AM681" i="1"/>
  <c r="AL681" i="1" s="1"/>
  <c r="AH681" i="1"/>
  <c r="AN680" i="1"/>
  <c r="AM680" i="1"/>
  <c r="AL680" i="1" s="1"/>
  <c r="AH680" i="1"/>
  <c r="AN679" i="1"/>
  <c r="AM679" i="1"/>
  <c r="AL679" i="1" s="1"/>
  <c r="AH679" i="1"/>
  <c r="AE681" i="1"/>
  <c r="AE680" i="1"/>
  <c r="AE679" i="1"/>
  <c r="W681" i="1"/>
  <c r="V681" i="1"/>
  <c r="W680" i="1"/>
  <c r="V680" i="1"/>
  <c r="W679" i="1"/>
  <c r="V679" i="1"/>
  <c r="AF308" i="1"/>
  <c r="AF307" i="1"/>
  <c r="AF306" i="1"/>
  <c r="AN308" i="1"/>
  <c r="AM308" i="1"/>
  <c r="AL308" i="1" s="1"/>
  <c r="AH308" i="1"/>
  <c r="AN307" i="1"/>
  <c r="AM307" i="1"/>
  <c r="AL307" i="1" s="1"/>
  <c r="AH307" i="1"/>
  <c r="AN306" i="1"/>
  <c r="AM306" i="1"/>
  <c r="AL306" i="1" s="1"/>
  <c r="AH306" i="1"/>
  <c r="AE308" i="1"/>
  <c r="AE307" i="1"/>
  <c r="AE306" i="1"/>
  <c r="W308" i="1"/>
  <c r="V308" i="1"/>
  <c r="W307" i="1"/>
  <c r="V307" i="1"/>
  <c r="W306" i="1"/>
  <c r="V306" i="1"/>
  <c r="AN88" i="1"/>
  <c r="AM88" i="1"/>
  <c r="AL88" i="1" s="1"/>
  <c r="AI88" i="1"/>
  <c r="AH88" i="1"/>
  <c r="AN87" i="1"/>
  <c r="AM87" i="1"/>
  <c r="AL87" i="1" s="1"/>
  <c r="AI87" i="1"/>
  <c r="AH87" i="1"/>
  <c r="AN86" i="1"/>
  <c r="AM86" i="1"/>
  <c r="AL86" i="1" s="1"/>
  <c r="AI86" i="1"/>
  <c r="AH86" i="1"/>
  <c r="AF88" i="1"/>
  <c r="AF87" i="1"/>
  <c r="AF86" i="1"/>
  <c r="AE88" i="1"/>
  <c r="AE87" i="1"/>
  <c r="AE86" i="1"/>
  <c r="W88" i="1"/>
  <c r="V88" i="1"/>
  <c r="W87" i="1"/>
  <c r="V87" i="1"/>
  <c r="W86" i="1"/>
  <c r="V86" i="1"/>
  <c r="AB1762" i="1" l="1"/>
  <c r="AA1281" i="1"/>
  <c r="AB1281" i="1" s="1"/>
  <c r="AA1737" i="1"/>
  <c r="AD1737" i="1" s="1"/>
  <c r="AA2346" i="1"/>
  <c r="AA2344" i="1"/>
  <c r="AA1785" i="1"/>
  <c r="AB1785" i="1" s="1"/>
  <c r="AA2345" i="1"/>
  <c r="AB2345" i="1" s="1"/>
  <c r="AA1784" i="1"/>
  <c r="AA1786" i="1"/>
  <c r="AA1515" i="1"/>
  <c r="AA1284" i="1"/>
  <c r="AB1284" i="1" s="1"/>
  <c r="AA1387" i="1"/>
  <c r="AA1514" i="1"/>
  <c r="AA1516" i="1"/>
  <c r="AA1283" i="1"/>
  <c r="AA1386" i="1"/>
  <c r="AA1388" i="1"/>
  <c r="AB1388" i="1" s="1"/>
  <c r="AA1103" i="1"/>
  <c r="AB1103" i="1" s="1"/>
  <c r="AA1105" i="1"/>
  <c r="AA1285" i="1"/>
  <c r="AA1033" i="1"/>
  <c r="AB1033" i="1" s="1"/>
  <c r="AA1104" i="1"/>
  <c r="AA1034" i="1"/>
  <c r="AB1034" i="1" s="1"/>
  <c r="AA679" i="1"/>
  <c r="AA681" i="1"/>
  <c r="AA680" i="1"/>
  <c r="AB680" i="1" s="1"/>
  <c r="AA307" i="1"/>
  <c r="AB307" i="1" s="1"/>
  <c r="AA306" i="1"/>
  <c r="AA86" i="1"/>
  <c r="AA88" i="1"/>
  <c r="AB88" i="1" s="1"/>
  <c r="AA87" i="1"/>
  <c r="AA308" i="1"/>
  <c r="AF1479" i="1"/>
  <c r="AF1475" i="1"/>
  <c r="AN1475" i="1"/>
  <c r="AM1475" i="1"/>
  <c r="AL1475" i="1" s="1"/>
  <c r="AH1475" i="1"/>
  <c r="AE1475" i="1"/>
  <c r="W1475" i="1"/>
  <c r="V1475" i="1"/>
  <c r="AF980" i="1"/>
  <c r="AN980" i="1"/>
  <c r="AM980" i="1"/>
  <c r="AL980" i="1" s="1"/>
  <c r="AH980" i="1"/>
  <c r="AE980" i="1"/>
  <c r="W980" i="1"/>
  <c r="V980" i="1"/>
  <c r="AF1031" i="1"/>
  <c r="AN1031" i="1"/>
  <c r="AM1031" i="1"/>
  <c r="AL1031" i="1" s="1"/>
  <c r="AH1031" i="1"/>
  <c r="AE1031" i="1"/>
  <c r="W1031" i="1"/>
  <c r="V1031" i="1"/>
  <c r="AB1737" i="1" l="1"/>
  <c r="AB2346" i="1"/>
  <c r="AB2344" i="1"/>
  <c r="AB1515" i="1"/>
  <c r="AB1105" i="1"/>
  <c r="AB1784" i="1"/>
  <c r="AB1283" i="1"/>
  <c r="AB1786" i="1"/>
  <c r="AB1386" i="1"/>
  <c r="AB1104" i="1"/>
  <c r="AB1387" i="1"/>
  <c r="AB1514" i="1"/>
  <c r="AB1516" i="1"/>
  <c r="AB1285" i="1"/>
  <c r="AB679" i="1"/>
  <c r="AB86" i="1"/>
  <c r="AB681" i="1"/>
  <c r="AB306" i="1"/>
  <c r="AB87" i="1"/>
  <c r="AB308" i="1"/>
  <c r="AA980" i="1"/>
  <c r="AB980" i="1" s="1"/>
  <c r="AA1475" i="1"/>
  <c r="AB1475" i="1" s="1"/>
  <c r="AA1031" i="1"/>
  <c r="AD1031" i="1" s="1"/>
  <c r="AB1031" i="1" l="1"/>
  <c r="AF782" i="1" l="1"/>
  <c r="AN1183" i="1" l="1"/>
  <c r="AM1183" i="1"/>
  <c r="AL1183" i="1" s="1"/>
  <c r="AH1183" i="1"/>
  <c r="AF1183" i="1"/>
  <c r="AE1183" i="1"/>
  <c r="AC1183" i="1"/>
  <c r="W1183" i="1"/>
  <c r="V1183" i="1"/>
  <c r="AN1026" i="1"/>
  <c r="AM1026" i="1"/>
  <c r="AL1026" i="1" s="1"/>
  <c r="AH1026" i="1"/>
  <c r="AF1026" i="1"/>
  <c r="AE1026" i="1"/>
  <c r="W1026" i="1"/>
  <c r="V1026" i="1"/>
  <c r="AN780" i="1"/>
  <c r="AM780" i="1"/>
  <c r="AL780" i="1" s="1"/>
  <c r="AH780" i="1"/>
  <c r="AF780" i="1"/>
  <c r="AE780" i="1"/>
  <c r="W780" i="1"/>
  <c r="V780" i="1"/>
  <c r="AN68" i="1"/>
  <c r="AM68" i="1"/>
  <c r="AL68" i="1" s="1"/>
  <c r="AH68" i="1"/>
  <c r="AF68" i="1"/>
  <c r="AE68" i="1"/>
  <c r="W68" i="1"/>
  <c r="V68" i="1"/>
  <c r="AF1047" i="1"/>
  <c r="AN1889" i="1"/>
  <c r="AM1889" i="1"/>
  <c r="W1889" i="1"/>
  <c r="Z1889" i="1" s="1"/>
  <c r="V1889" i="1"/>
  <c r="AQ2133" i="1"/>
  <c r="AH2133" i="1"/>
  <c r="AF2133" i="1"/>
  <c r="AE2133" i="1"/>
  <c r="W2133" i="1"/>
  <c r="V2133" i="1"/>
  <c r="AF1046" i="1"/>
  <c r="Y1889" i="1" l="1"/>
  <c r="AA1889" i="1" s="1"/>
  <c r="AB1889" i="1"/>
  <c r="AA1183" i="1"/>
  <c r="AD1183" i="1" s="1"/>
  <c r="AJ1183" i="1" s="1"/>
  <c r="AK1183" i="1" s="1"/>
  <c r="AA780" i="1"/>
  <c r="AD780" i="1" s="1"/>
  <c r="AA1026" i="1"/>
  <c r="AB1026" i="1" s="1"/>
  <c r="AA68" i="1"/>
  <c r="AA2133" i="1"/>
  <c r="AD1889" i="1" l="1"/>
  <c r="AD1026" i="1"/>
  <c r="AB780" i="1"/>
  <c r="AB1183" i="1"/>
  <c r="AD68" i="1"/>
  <c r="AB68" i="1"/>
  <c r="AB2133" i="1"/>
  <c r="AN1046" i="1" l="1"/>
  <c r="AM1046" i="1"/>
  <c r="W1046" i="1"/>
  <c r="Z1046" i="1" s="1"/>
  <c r="V1046" i="1"/>
  <c r="AF440" i="1"/>
  <c r="AN440" i="1"/>
  <c r="AH440" i="1"/>
  <c r="AE440" i="1"/>
  <c r="AC440" i="1"/>
  <c r="X440" i="1"/>
  <c r="W440" i="1"/>
  <c r="V440" i="1"/>
  <c r="U440" i="1"/>
  <c r="AM440" i="1" s="1"/>
  <c r="AL440" i="1" s="1"/>
  <c r="AF383" i="1"/>
  <c r="AN383" i="1"/>
  <c r="AM383" i="1"/>
  <c r="AE383" i="1"/>
  <c r="W383" i="1"/>
  <c r="Z383" i="1" s="1"/>
  <c r="V383" i="1"/>
  <c r="AN1958" i="1"/>
  <c r="AM1958" i="1"/>
  <c r="AF1958" i="1"/>
  <c r="Y383" i="1" l="1"/>
  <c r="AA383" i="1" s="1"/>
  <c r="AB383" i="1"/>
  <c r="AB1046" i="1"/>
  <c r="AD1046" i="1"/>
  <c r="Y1046" i="1"/>
  <c r="AA1046" i="1" s="1"/>
  <c r="AA440" i="1"/>
  <c r="AB440" i="1" s="1"/>
  <c r="AE1958" i="1"/>
  <c r="W1958" i="1"/>
  <c r="Z1958" i="1" s="1"/>
  <c r="V1958" i="1"/>
  <c r="AN2329" i="1"/>
  <c r="AM2329" i="1"/>
  <c r="AF2329" i="1"/>
  <c r="W2329" i="1"/>
  <c r="Z2329" i="1" s="1"/>
  <c r="V2329" i="1"/>
  <c r="AF957" i="1"/>
  <c r="AO957" i="1"/>
  <c r="AN957" i="1"/>
  <c r="AM957" i="1"/>
  <c r="W957" i="1"/>
  <c r="Z957" i="1" s="1"/>
  <c r="V957" i="1"/>
  <c r="AN21" i="1"/>
  <c r="AM21" i="1"/>
  <c r="AF21" i="1"/>
  <c r="AE21" i="1"/>
  <c r="W21" i="1"/>
  <c r="Z21" i="1" s="1"/>
  <c r="V21" i="1"/>
  <c r="AO1907" i="1"/>
  <c r="AN1907" i="1"/>
  <c r="AM1907" i="1"/>
  <c r="AN782" i="1"/>
  <c r="AM782" i="1"/>
  <c r="AE782" i="1"/>
  <c r="W782" i="1"/>
  <c r="Z782" i="1" s="1"/>
  <c r="V782" i="1"/>
  <c r="Y2329" i="1" l="1"/>
  <c r="AA2329" i="1" s="1"/>
  <c r="Y782" i="1"/>
  <c r="AA782" i="1" s="1"/>
  <c r="Y957" i="1"/>
  <c r="AD957" i="1"/>
  <c r="AB957" i="1"/>
  <c r="Y21" i="1"/>
  <c r="AA21" i="1" s="1"/>
  <c r="AB21" i="1"/>
  <c r="Y1958" i="1"/>
  <c r="AA1958" i="1" s="1"/>
  <c r="AB1958" i="1"/>
  <c r="AD1958" i="1" s="1"/>
  <c r="AD440" i="1"/>
  <c r="AJ440" i="1" s="1"/>
  <c r="AK440" i="1" s="1"/>
  <c r="AA957" i="1" l="1"/>
  <c r="AF2569" i="1"/>
  <c r="W2569" i="1"/>
  <c r="V2569" i="1"/>
  <c r="AO2569" i="1"/>
  <c r="AN2569" i="1"/>
  <c r="AM2569" i="1"/>
  <c r="AN1376" i="1"/>
  <c r="AH1376" i="1"/>
  <c r="AE1376" i="1"/>
  <c r="W1376" i="1"/>
  <c r="V1376" i="1"/>
  <c r="AM1376" i="1"/>
  <c r="AL1376" i="1" s="1"/>
  <c r="AN1047" i="1"/>
  <c r="AM1047" i="1"/>
  <c r="W1047" i="1"/>
  <c r="Z1047" i="1" s="1"/>
  <c r="V1047" i="1"/>
  <c r="AQ2294" i="1"/>
  <c r="AN2294" i="1"/>
  <c r="AM2294" i="1"/>
  <c r="AL2294" i="1" s="1"/>
  <c r="AH2294" i="1"/>
  <c r="AF2294" i="1"/>
  <c r="AE2294" i="1"/>
  <c r="W2294" i="1"/>
  <c r="V2294" i="1"/>
  <c r="AO331" i="1"/>
  <c r="AN331" i="1"/>
  <c r="AM331" i="1"/>
  <c r="AF331" i="1"/>
  <c r="W331" i="1"/>
  <c r="Z331" i="1" s="1"/>
  <c r="V331" i="1"/>
  <c r="AQ1708" i="1"/>
  <c r="AN1708" i="1"/>
  <c r="AM1708" i="1"/>
  <c r="AL1708" i="1" s="1"/>
  <c r="AI1708" i="1"/>
  <c r="AH1708" i="1"/>
  <c r="AF1708" i="1"/>
  <c r="AE1708" i="1"/>
  <c r="W1708" i="1"/>
  <c r="V1708" i="1"/>
  <c r="AN1289" i="1"/>
  <c r="AI1289" i="1"/>
  <c r="AH1289" i="1"/>
  <c r="AQ1289" i="1"/>
  <c r="AI1085" i="1"/>
  <c r="AQ1085" i="1"/>
  <c r="AF675" i="1"/>
  <c r="AQ675" i="1"/>
  <c r="AN675" i="1"/>
  <c r="AM675" i="1"/>
  <c r="AL675" i="1" s="1"/>
  <c r="AH675" i="1"/>
  <c r="AE675" i="1"/>
  <c r="W675" i="1"/>
  <c r="V675" i="1"/>
  <c r="AB2569" i="1" l="1"/>
  <c r="AD2569" i="1"/>
  <c r="Y2569" i="1"/>
  <c r="Z2566" i="1"/>
  <c r="Z2569" i="1"/>
  <c r="AD331" i="1"/>
  <c r="AB331" i="1"/>
  <c r="Y331" i="1"/>
  <c r="Y2566" i="1"/>
  <c r="AD2566" i="1"/>
  <c r="AB2566" i="1"/>
  <c r="AB1047" i="1"/>
  <c r="AD1047" i="1"/>
  <c r="Y1047" i="1"/>
  <c r="AA1047" i="1" s="1"/>
  <c r="AA1376" i="1"/>
  <c r="AA2294" i="1"/>
  <c r="AD2294" i="1" s="1"/>
  <c r="AA1708" i="1"/>
  <c r="AA675" i="1"/>
  <c r="AD675" i="1" s="1"/>
  <c r="AA2569" i="1" l="1"/>
  <c r="AA2566" i="1"/>
  <c r="AA331" i="1"/>
  <c r="AD1376" i="1"/>
  <c r="AB2294" i="1"/>
  <c r="AB1708" i="1"/>
  <c r="AB675" i="1"/>
  <c r="AN678" i="1" l="1"/>
  <c r="AM678" i="1"/>
  <c r="AL678" i="1" s="1"/>
  <c r="AH678" i="1"/>
  <c r="AF678" i="1"/>
  <c r="AE678" i="1"/>
  <c r="W678" i="1"/>
  <c r="V678" i="1"/>
  <c r="AN2343" i="1"/>
  <c r="AM2343" i="1"/>
  <c r="AL2343" i="1" s="1"/>
  <c r="AH2343" i="1"/>
  <c r="AF2343" i="1"/>
  <c r="AE2343" i="1"/>
  <c r="W2343" i="1"/>
  <c r="V2343" i="1"/>
  <c r="AN305" i="1"/>
  <c r="AM305" i="1"/>
  <c r="AL305" i="1" s="1"/>
  <c r="AH305" i="1"/>
  <c r="AF305" i="1"/>
  <c r="AE305" i="1"/>
  <c r="W305" i="1"/>
  <c r="V305" i="1"/>
  <c r="AI2555" i="1"/>
  <c r="AI2535" i="1"/>
  <c r="AI2480" i="1"/>
  <c r="AI2479" i="1"/>
  <c r="AI2425" i="1"/>
  <c r="AI2340" i="1"/>
  <c r="AI2333" i="1"/>
  <c r="AI2335" i="1"/>
  <c r="AI2186" i="1"/>
  <c r="AI2177" i="1"/>
  <c r="AI2176" i="1"/>
  <c r="AI2054" i="1"/>
  <c r="AI1937" i="1"/>
  <c r="AI1924" i="1"/>
  <c r="AI1846" i="1"/>
  <c r="AI1833" i="1"/>
  <c r="AI1804" i="1"/>
  <c r="AI1765" i="1"/>
  <c r="AI1748" i="1"/>
  <c r="AI1702" i="1"/>
  <c r="AI1657" i="1"/>
  <c r="AI1656" i="1"/>
  <c r="AI1650" i="1"/>
  <c r="AI1640" i="1"/>
  <c r="AI1630" i="1"/>
  <c r="AI1598" i="1"/>
  <c r="AI1591" i="1"/>
  <c r="AI1580" i="1"/>
  <c r="AI1548" i="1"/>
  <c r="AI1578" i="1"/>
  <c r="AI1538" i="1"/>
  <c r="AI1537" i="1"/>
  <c r="AI1440" i="1"/>
  <c r="AI1428" i="1"/>
  <c r="AI1427" i="1"/>
  <c r="AI1340" i="1"/>
  <c r="AI1313" i="1"/>
  <c r="AI1199" i="1"/>
  <c r="AI1198" i="1"/>
  <c r="AI1197" i="1"/>
  <c r="AI1195" i="1"/>
  <c r="AI1191" i="1"/>
  <c r="AI1179" i="1"/>
  <c r="AI1150" i="1"/>
  <c r="AI1142" i="1"/>
  <c r="AI1050" i="1"/>
  <c r="AI974" i="1"/>
  <c r="AI945" i="1"/>
  <c r="AI922" i="1"/>
  <c r="AI867" i="1"/>
  <c r="AI849" i="1"/>
  <c r="AI845" i="1"/>
  <c r="AI842" i="1"/>
  <c r="AI738" i="1"/>
  <c r="AI386" i="1"/>
  <c r="AI281" i="1"/>
  <c r="AI195" i="1"/>
  <c r="AI162" i="1"/>
  <c r="AI143" i="1"/>
  <c r="AI140" i="1"/>
  <c r="AA678" i="1" l="1"/>
  <c r="AA2343" i="1"/>
  <c r="AA305" i="1"/>
  <c r="AN979" i="1"/>
  <c r="AM979" i="1"/>
  <c r="AL979" i="1" s="1"/>
  <c r="AH979" i="1"/>
  <c r="AF979" i="1"/>
  <c r="AE979" i="1"/>
  <c r="W979" i="1"/>
  <c r="V979" i="1"/>
  <c r="AN1030" i="1"/>
  <c r="AM1030" i="1"/>
  <c r="AL1030" i="1" s="1"/>
  <c r="AH1030" i="1"/>
  <c r="AF1030" i="1"/>
  <c r="AE1030" i="1"/>
  <c r="W1030" i="1"/>
  <c r="V1030" i="1"/>
  <c r="AN1474" i="1"/>
  <c r="AM1474" i="1"/>
  <c r="AL1474" i="1" s="1"/>
  <c r="AH1474" i="1"/>
  <c r="AF1474" i="1"/>
  <c r="AE1474" i="1"/>
  <c r="W1474" i="1"/>
  <c r="V1474" i="1"/>
  <c r="AQ195" i="1"/>
  <c r="AN195" i="1"/>
  <c r="AM195" i="1"/>
  <c r="AL195" i="1" s="1"/>
  <c r="AH195" i="1"/>
  <c r="AF195" i="1"/>
  <c r="AE195" i="1"/>
  <c r="W195" i="1"/>
  <c r="V195" i="1"/>
  <c r="AQ15" i="1"/>
  <c r="AR15" i="1"/>
  <c r="AF2177" i="1"/>
  <c r="AQ2177" i="1"/>
  <c r="AH2177" i="1"/>
  <c r="AE2177" i="1"/>
  <c r="W2177" i="1"/>
  <c r="V2177" i="1"/>
  <c r="AM2177" i="1"/>
  <c r="AL2177" i="1" s="1"/>
  <c r="AN1804" i="1"/>
  <c r="AM1804" i="1"/>
  <c r="AL1804" i="1" s="1"/>
  <c r="AH1804" i="1"/>
  <c r="AF1804" i="1"/>
  <c r="AE1804" i="1"/>
  <c r="AE1806" i="1"/>
  <c r="W1804" i="1"/>
  <c r="V1804" i="1"/>
  <c r="AQ1804" i="1"/>
  <c r="AQ2340" i="1"/>
  <c r="AN2340" i="1"/>
  <c r="AM2340" i="1"/>
  <c r="AL2340" i="1" s="1"/>
  <c r="AF2340" i="1"/>
  <c r="AE2340" i="1"/>
  <c r="W2340" i="1"/>
  <c r="V2340" i="1"/>
  <c r="AO1097" i="1"/>
  <c r="AN1097" i="1"/>
  <c r="AM1097" i="1"/>
  <c r="AF1097" i="1"/>
  <c r="AE1097" i="1"/>
  <c r="W1097" i="1"/>
  <c r="Z1097" i="1" s="1"/>
  <c r="V1097" i="1"/>
  <c r="AS15" i="1" l="1" a="1"/>
  <c r="AS15" i="1" s="1"/>
  <c r="AU15" i="1"/>
  <c r="AB1097" i="1"/>
  <c r="Y1097" i="1"/>
  <c r="AA1097" i="1" s="1"/>
  <c r="AB678" i="1"/>
  <c r="AB305" i="1"/>
  <c r="AB2343" i="1"/>
  <c r="AA979" i="1"/>
  <c r="AA1474" i="1"/>
  <c r="AA1030" i="1"/>
  <c r="AA195" i="1"/>
  <c r="AA2340" i="1"/>
  <c r="AD2340" i="1" s="1"/>
  <c r="AA2177" i="1"/>
  <c r="AA1804" i="1"/>
  <c r="AB1804" i="1" s="1"/>
  <c r="AD1030" i="1" l="1"/>
  <c r="AB1030" i="1"/>
  <c r="AD1097" i="1"/>
  <c r="AB1474" i="1"/>
  <c r="AB979" i="1"/>
  <c r="AB195" i="1"/>
  <c r="AB2340" i="1"/>
  <c r="AB2177" i="1"/>
  <c r="AF849" i="1" l="1"/>
  <c r="AQ849" i="1"/>
  <c r="AN849" i="1"/>
  <c r="AM849" i="1"/>
  <c r="AL849" i="1" s="1"/>
  <c r="AH849" i="1"/>
  <c r="AE849" i="1" l="1"/>
  <c r="W849" i="1"/>
  <c r="V849" i="1"/>
  <c r="AN1538" i="1"/>
  <c r="AM1538" i="1"/>
  <c r="AL1538" i="1" s="1"/>
  <c r="AH1538" i="1"/>
  <c r="AF1538" i="1"/>
  <c r="AE1538" i="1"/>
  <c r="W1538" i="1"/>
  <c r="V1538" i="1"/>
  <c r="AQ1538" i="1"/>
  <c r="AF1865" i="1"/>
  <c r="AO1865" i="1"/>
  <c r="AN1865" i="1"/>
  <c r="AM1865" i="1"/>
  <c r="AL1865" i="1" s="1"/>
  <c r="AE1865" i="1"/>
  <c r="W1865" i="1"/>
  <c r="V1865" i="1"/>
  <c r="AF594" i="1"/>
  <c r="AM594" i="1"/>
  <c r="AL594" i="1" s="1"/>
  <c r="AN594" i="1"/>
  <c r="AH594" i="1"/>
  <c r="AE594" i="1"/>
  <c r="V594" i="1"/>
  <c r="W594" i="1"/>
  <c r="AF599" i="1"/>
  <c r="AM599" i="1"/>
  <c r="AL599" i="1" s="1"/>
  <c r="AN599" i="1"/>
  <c r="AH599" i="1"/>
  <c r="AE599" i="1"/>
  <c r="V599" i="1"/>
  <c r="W599" i="1"/>
  <c r="AF590" i="1"/>
  <c r="AM590" i="1"/>
  <c r="AL590" i="1" s="1"/>
  <c r="AN590" i="1"/>
  <c r="AH590" i="1"/>
  <c r="AE590" i="1"/>
  <c r="V590" i="1"/>
  <c r="W590" i="1"/>
  <c r="AA849" i="1" l="1"/>
  <c r="AA1538" i="1"/>
  <c r="AB1538" i="1" s="1"/>
  <c r="AA1865" i="1"/>
  <c r="AB1865" i="1" s="1"/>
  <c r="AD1865" i="1" s="1"/>
  <c r="AA594" i="1"/>
  <c r="AB594" i="1" s="1"/>
  <c r="AA599" i="1"/>
  <c r="AB599" i="1" s="1"/>
  <c r="AA590" i="1"/>
  <c r="AB590" i="1" s="1"/>
  <c r="AF150" i="1"/>
  <c r="AN150" i="1"/>
  <c r="AM150" i="1"/>
  <c r="AL150" i="1" s="1"/>
  <c r="AE150" i="1"/>
  <c r="W150" i="1"/>
  <c r="V150" i="1"/>
  <c r="AB849" i="1" l="1"/>
  <c r="AA150" i="1"/>
  <c r="AC150" i="1"/>
  <c r="AQ845" i="1"/>
  <c r="AF845" i="1"/>
  <c r="AN845" i="1"/>
  <c r="AM845" i="1"/>
  <c r="AL845" i="1" s="1"/>
  <c r="AH845" i="1"/>
  <c r="AE845" i="1"/>
  <c r="W845" i="1"/>
  <c r="V845" i="1"/>
  <c r="AQ1846" i="1"/>
  <c r="AQ1650" i="1"/>
  <c r="AQ1598" i="1"/>
  <c r="AN1598" i="1"/>
  <c r="AM1598" i="1"/>
  <c r="AL1598" i="1" s="1"/>
  <c r="AH1598" i="1"/>
  <c r="AF1598" i="1"/>
  <c r="AE1598" i="1"/>
  <c r="W1598" i="1"/>
  <c r="V1598" i="1"/>
  <c r="AQ1440" i="1"/>
  <c r="AF1440" i="1"/>
  <c r="AN1440" i="1"/>
  <c r="AM1440" i="1"/>
  <c r="AL1440" i="1" s="1"/>
  <c r="AH1440" i="1"/>
  <c r="AE1440" i="1"/>
  <c r="W1440" i="1"/>
  <c r="V1440" i="1"/>
  <c r="AQ1428" i="1"/>
  <c r="AQ1427" i="1"/>
  <c r="AQ162" i="1"/>
  <c r="AF184" i="1"/>
  <c r="AN184" i="1"/>
  <c r="AM184" i="1"/>
  <c r="AL184" i="1" s="1"/>
  <c r="AH184" i="1"/>
  <c r="AE184" i="1"/>
  <c r="AN180" i="1"/>
  <c r="AM180" i="1"/>
  <c r="AL180" i="1" s="1"/>
  <c r="AH180" i="1"/>
  <c r="AF180" i="1"/>
  <c r="AE180" i="1"/>
  <c r="W184" i="1"/>
  <c r="V184" i="1"/>
  <c r="AN863" i="1"/>
  <c r="AM863" i="1"/>
  <c r="AL863" i="1" s="1"/>
  <c r="AH863" i="1"/>
  <c r="AF863" i="1"/>
  <c r="AE863" i="1"/>
  <c r="W863" i="1"/>
  <c r="V863" i="1"/>
  <c r="AN1543" i="1"/>
  <c r="AM1543" i="1"/>
  <c r="AL1543" i="1" s="1"/>
  <c r="AH1543" i="1"/>
  <c r="AF1543" i="1"/>
  <c r="AE1543" i="1"/>
  <c r="W1543" i="1"/>
  <c r="V1543" i="1"/>
  <c r="AN2038" i="1"/>
  <c r="AM2038" i="1"/>
  <c r="AL2038" i="1" s="1"/>
  <c r="AH2038" i="1"/>
  <c r="AF2038" i="1"/>
  <c r="AE2038" i="1"/>
  <c r="W2038" i="1"/>
  <c r="V2038" i="1"/>
  <c r="AN2064" i="1"/>
  <c r="AM2064" i="1"/>
  <c r="AL2064" i="1" s="1"/>
  <c r="AH2064" i="1"/>
  <c r="AF2064" i="1"/>
  <c r="AE2064" i="1"/>
  <c r="W2064" i="1"/>
  <c r="V2064" i="1"/>
  <c r="AN2093" i="1"/>
  <c r="AM2093" i="1"/>
  <c r="AL2093" i="1" s="1"/>
  <c r="AH2093" i="1"/>
  <c r="AF2093" i="1"/>
  <c r="AE2093" i="1"/>
  <c r="W2093" i="1"/>
  <c r="V2093" i="1"/>
  <c r="AN2128" i="1"/>
  <c r="AM2128" i="1"/>
  <c r="AL2128" i="1" s="1"/>
  <c r="AH2128" i="1"/>
  <c r="AF2128" i="1"/>
  <c r="AE2128" i="1"/>
  <c r="W2128" i="1"/>
  <c r="V2128" i="1"/>
  <c r="AN3" i="1"/>
  <c r="AM3" i="1"/>
  <c r="AL3" i="1" s="1"/>
  <c r="AH3" i="1"/>
  <c r="AF3" i="1"/>
  <c r="AA845" i="1" l="1"/>
  <c r="AA1598" i="1"/>
  <c r="AB1598" i="1" s="1"/>
  <c r="AD1598" i="1" s="1"/>
  <c r="AA180" i="1"/>
  <c r="AA2093" i="1"/>
  <c r="AA863" i="1"/>
  <c r="AB863" i="1" s="1"/>
  <c r="AD863" i="1" s="1"/>
  <c r="AA2128" i="1"/>
  <c r="AA1543" i="1"/>
  <c r="AB1543" i="1" s="1"/>
  <c r="AA184" i="1"/>
  <c r="AA2064" i="1"/>
  <c r="AA1440" i="1"/>
  <c r="AA2038" i="1"/>
  <c r="AE3" i="1"/>
  <c r="W3" i="1"/>
  <c r="V3" i="1"/>
  <c r="AN898" i="1"/>
  <c r="AH898" i="1"/>
  <c r="AF898" i="1"/>
  <c r="AE898" i="1"/>
  <c r="W898" i="1"/>
  <c r="V898" i="1"/>
  <c r="U898" i="1"/>
  <c r="AM898" i="1" s="1"/>
  <c r="AL898" i="1" s="1"/>
  <c r="AB2128" i="1" l="1"/>
  <c r="AB184" i="1"/>
  <c r="AB2093" i="1"/>
  <c r="AB2038" i="1"/>
  <c r="AB1440" i="1"/>
  <c r="AB180" i="1"/>
  <c r="AB2064" i="1"/>
  <c r="AA898" i="1"/>
  <c r="AA3" i="1"/>
  <c r="AD3" i="1" l="1"/>
  <c r="AB3" i="1"/>
  <c r="AB898" i="1"/>
  <c r="AN8" i="1"/>
  <c r="AM8" i="1"/>
  <c r="AL8" i="1" s="1"/>
  <c r="AH8" i="1"/>
  <c r="AF8" i="1"/>
  <c r="AE8" i="1"/>
  <c r="W8" i="1"/>
  <c r="V8" i="1"/>
  <c r="AN421" i="1"/>
  <c r="AM421" i="1"/>
  <c r="AL421" i="1" s="1"/>
  <c r="AH421" i="1"/>
  <c r="AF421" i="1"/>
  <c r="AA8" i="1" l="1"/>
  <c r="AD8" i="1" s="1"/>
  <c r="AE421" i="1"/>
  <c r="W421" i="1"/>
  <c r="V421" i="1"/>
  <c r="AN1787" i="1"/>
  <c r="AL1787" i="1"/>
  <c r="AH1787" i="1"/>
  <c r="AF1787" i="1"/>
  <c r="AE1787" i="1"/>
  <c r="W1787" i="1"/>
  <c r="V1787" i="1"/>
  <c r="AN589" i="1"/>
  <c r="AM589" i="1"/>
  <c r="AL589" i="1" s="1"/>
  <c r="AH589" i="1"/>
  <c r="AF589" i="1"/>
  <c r="AE589" i="1"/>
  <c r="W589" i="1"/>
  <c r="V589" i="1"/>
  <c r="AN1032" i="1"/>
  <c r="AM1032" i="1"/>
  <c r="AL1032" i="1" s="1"/>
  <c r="AH1032" i="1"/>
  <c r="AF1032" i="1"/>
  <c r="AE1032" i="1"/>
  <c r="W1032" i="1"/>
  <c r="V1032" i="1"/>
  <c r="AN2342" i="1"/>
  <c r="AM2342" i="1"/>
  <c r="AL2342" i="1" s="1"/>
  <c r="AH2342" i="1"/>
  <c r="AF2342" i="1"/>
  <c r="AE2342" i="1"/>
  <c r="W2342" i="1"/>
  <c r="V2342" i="1"/>
  <c r="AN1513" i="1"/>
  <c r="AM1513" i="1"/>
  <c r="AL1513" i="1" s="1"/>
  <c r="AH1513" i="1"/>
  <c r="AF1513" i="1"/>
  <c r="AE1513" i="1"/>
  <c r="AN1385" i="1"/>
  <c r="AM1385" i="1"/>
  <c r="AL1385" i="1" s="1"/>
  <c r="AH1385" i="1"/>
  <c r="AF1385" i="1"/>
  <c r="AE1385" i="1"/>
  <c r="W1385" i="1"/>
  <c r="V1385" i="1"/>
  <c r="AN1282" i="1"/>
  <c r="AM1282" i="1"/>
  <c r="AL1282" i="1" s="1"/>
  <c r="AH1282" i="1"/>
  <c r="AF1282" i="1"/>
  <c r="AE1282" i="1"/>
  <c r="W1282" i="1"/>
  <c r="V1282" i="1"/>
  <c r="AN677" i="1"/>
  <c r="AM677" i="1"/>
  <c r="AL677" i="1" s="1"/>
  <c r="AH677" i="1"/>
  <c r="AF677" i="1"/>
  <c r="AE677" i="1"/>
  <c r="W677" i="1"/>
  <c r="V677" i="1"/>
  <c r="AN415" i="1"/>
  <c r="AM415" i="1"/>
  <c r="AL415" i="1" s="1"/>
  <c r="AH415" i="1"/>
  <c r="AF415" i="1"/>
  <c r="AE415" i="1"/>
  <c r="W415" i="1"/>
  <c r="V415" i="1"/>
  <c r="AN412" i="1"/>
  <c r="AM412" i="1"/>
  <c r="AL412" i="1" s="1"/>
  <c r="AH412" i="1"/>
  <c r="AF412" i="1"/>
  <c r="AE412" i="1"/>
  <c r="W412" i="1"/>
  <c r="V412" i="1"/>
  <c r="AF304" i="1"/>
  <c r="AN304" i="1"/>
  <c r="AM304" i="1"/>
  <c r="AL304" i="1" s="1"/>
  <c r="AH304" i="1"/>
  <c r="AE304" i="1"/>
  <c r="W304" i="1"/>
  <c r="V304" i="1"/>
  <c r="AN9" i="1"/>
  <c r="AM9" i="1"/>
  <c r="AL9" i="1" s="1"/>
  <c r="AH9" i="1"/>
  <c r="W9" i="1"/>
  <c r="V9" i="1"/>
  <c r="AE9" i="1"/>
  <c r="AN1447" i="1"/>
  <c r="AH1447" i="1"/>
  <c r="AF1447" i="1"/>
  <c r="AE1447" i="1"/>
  <c r="W1447" i="1"/>
  <c r="V1447" i="1"/>
  <c r="U1447" i="1"/>
  <c r="T1447" i="1"/>
  <c r="AN605" i="1"/>
  <c r="AM605" i="1"/>
  <c r="AL605" i="1" s="1"/>
  <c r="AH605" i="1"/>
  <c r="AF605" i="1"/>
  <c r="AE605" i="1"/>
  <c r="W605" i="1"/>
  <c r="V605" i="1"/>
  <c r="AN600" i="1"/>
  <c r="AM600" i="1"/>
  <c r="AL600" i="1" s="1"/>
  <c r="AH600" i="1"/>
  <c r="AF600" i="1"/>
  <c r="AE600" i="1"/>
  <c r="W600" i="1"/>
  <c r="V600" i="1"/>
  <c r="AN597" i="1"/>
  <c r="AM597" i="1"/>
  <c r="AL597" i="1" s="1"/>
  <c r="AH597" i="1"/>
  <c r="AF597" i="1"/>
  <c r="AE597" i="1"/>
  <c r="W597" i="1"/>
  <c r="V597" i="1"/>
  <c r="AN586" i="1"/>
  <c r="AM586" i="1"/>
  <c r="AL586" i="1" s="1"/>
  <c r="AH586" i="1"/>
  <c r="AF586" i="1"/>
  <c r="AE586" i="1"/>
  <c r="W586" i="1"/>
  <c r="V586" i="1"/>
  <c r="AB8" i="1" l="1"/>
  <c r="AA421" i="1"/>
  <c r="AD421" i="1" s="1"/>
  <c r="AA677" i="1"/>
  <c r="AA415" i="1"/>
  <c r="AA2342" i="1"/>
  <c r="AA1787" i="1"/>
  <c r="AA589" i="1"/>
  <c r="AA1032" i="1"/>
  <c r="AB1032" i="1" s="1"/>
  <c r="AA412" i="1"/>
  <c r="AB412" i="1" s="1"/>
  <c r="AA304" i="1"/>
  <c r="AA1282" i="1"/>
  <c r="AB1282" i="1" s="1"/>
  <c r="AA1385" i="1"/>
  <c r="AB1385" i="1" s="1"/>
  <c r="AA1513" i="1"/>
  <c r="AA9" i="1"/>
  <c r="AD9" i="1" s="1"/>
  <c r="AM1447" i="1"/>
  <c r="AL1447" i="1" s="1"/>
  <c r="AA1447" i="1"/>
  <c r="AA605" i="1"/>
  <c r="AA597" i="1"/>
  <c r="AB597" i="1" s="1"/>
  <c r="AA600" i="1"/>
  <c r="AA586" i="1"/>
  <c r="AD1447" i="1" l="1"/>
  <c r="AB1447" i="1"/>
  <c r="AB421" i="1"/>
  <c r="AB677" i="1"/>
  <c r="AB9" i="1"/>
  <c r="AB2342" i="1"/>
  <c r="AB589" i="1"/>
  <c r="AB415" i="1"/>
  <c r="AB1787" i="1"/>
  <c r="AB1513" i="1"/>
  <c r="AB304" i="1"/>
  <c r="AB600" i="1"/>
  <c r="AB586" i="1"/>
  <c r="AB605" i="1"/>
  <c r="AF803" i="1" l="1"/>
  <c r="AF802" i="1" l="1"/>
  <c r="AN1623" i="1"/>
  <c r="AM1623" i="1"/>
  <c r="AL1623" i="1" s="1"/>
  <c r="AH1623" i="1"/>
  <c r="AF1623" i="1"/>
  <c r="AE1623" i="1"/>
  <c r="V1623" i="1"/>
  <c r="W1623" i="1"/>
  <c r="AH930" i="1"/>
  <c r="AM930" i="1"/>
  <c r="AL930" i="1" s="1"/>
  <c r="AN930" i="1"/>
  <c r="AF930" i="1"/>
  <c r="AE930" i="1"/>
  <c r="V930" i="1"/>
  <c r="W930" i="1"/>
  <c r="AH417" i="1"/>
  <c r="AM417" i="1"/>
  <c r="AL417" i="1" s="1"/>
  <c r="AN417" i="1"/>
  <c r="AF417" i="1"/>
  <c r="AE417" i="1"/>
  <c r="V417" i="1"/>
  <c r="W417" i="1"/>
  <c r="AQ2335" i="1"/>
  <c r="AA1623" i="1" l="1"/>
  <c r="AB1623" i="1" s="1"/>
  <c r="AA417" i="1"/>
  <c r="AA930" i="1"/>
  <c r="AE1981" i="1"/>
  <c r="AB930" i="1" l="1"/>
  <c r="AB417" i="1"/>
  <c r="AD417" i="1"/>
  <c r="AF1102" i="1"/>
  <c r="V7" i="1"/>
  <c r="AQ1580" i="1"/>
  <c r="AN85" i="1"/>
  <c r="AM85" i="1"/>
  <c r="AL85" i="1" s="1"/>
  <c r="AI85" i="1"/>
  <c r="AH85" i="1"/>
  <c r="AF85" i="1"/>
  <c r="AE85" i="1"/>
  <c r="W85" i="1"/>
  <c r="V85" i="1"/>
  <c r="AF2341" i="1"/>
  <c r="AN2341" i="1"/>
  <c r="AM2341" i="1"/>
  <c r="AL2341" i="1" s="1"/>
  <c r="AH2341" i="1"/>
  <c r="AE2341" i="1"/>
  <c r="W2341" i="1"/>
  <c r="V2341" i="1"/>
  <c r="AN752" i="1"/>
  <c r="AM752" i="1"/>
  <c r="AL752" i="1" s="1"/>
  <c r="AH752" i="1"/>
  <c r="AF752" i="1"/>
  <c r="AE752" i="1"/>
  <c r="V752" i="1"/>
  <c r="W752" i="1"/>
  <c r="AN748" i="1"/>
  <c r="AM748" i="1"/>
  <c r="AL748" i="1" s="1"/>
  <c r="AH748" i="1"/>
  <c r="AF748" i="1"/>
  <c r="AE748" i="1"/>
  <c r="W748" i="1"/>
  <c r="V748" i="1"/>
  <c r="AN149" i="1"/>
  <c r="AM149" i="1"/>
  <c r="AL149" i="1" s="1"/>
  <c r="AF149" i="1"/>
  <c r="AE149" i="1"/>
  <c r="W149" i="1"/>
  <c r="V149" i="1"/>
  <c r="AC149" i="1" s="1"/>
  <c r="AF2155" i="1"/>
  <c r="AN2155" i="1"/>
  <c r="AM2155" i="1"/>
  <c r="AL2155" i="1" s="1"/>
  <c r="AE2156" i="1"/>
  <c r="AE2155" i="1"/>
  <c r="AC2155" i="1"/>
  <c r="W2155" i="1"/>
  <c r="V2155" i="1"/>
  <c r="AO1308" i="1"/>
  <c r="AN1308" i="1"/>
  <c r="AM1308" i="1"/>
  <c r="AL1308" i="1" s="1"/>
  <c r="AF1308" i="1"/>
  <c r="AE1308" i="1"/>
  <c r="W1308" i="1"/>
  <c r="V1308" i="1"/>
  <c r="AM94" i="1"/>
  <c r="AL94" i="1" s="1"/>
  <c r="AH94" i="1"/>
  <c r="AF94" i="1"/>
  <c r="AE94" i="1"/>
  <c r="W94" i="1"/>
  <c r="V94" i="1"/>
  <c r="AF1008" i="1"/>
  <c r="AN1008" i="1"/>
  <c r="AM1008" i="1"/>
  <c r="AL1008" i="1" s="1"/>
  <c r="AH1008" i="1"/>
  <c r="AE1008" i="1"/>
  <c r="AF1864" i="1"/>
  <c r="AO1864" i="1"/>
  <c r="AN1864" i="1"/>
  <c r="AM1864" i="1"/>
  <c r="AL1864" i="1" s="1"/>
  <c r="AE1864" i="1"/>
  <c r="W1864" i="1"/>
  <c r="V1864" i="1"/>
  <c r="AN446" i="1"/>
  <c r="AM446" i="1"/>
  <c r="AL446" i="1" s="1"/>
  <c r="AF446" i="1"/>
  <c r="AE446" i="1"/>
  <c r="W446" i="1"/>
  <c r="V446" i="1"/>
  <c r="AF2535" i="1"/>
  <c r="AF2479" i="1"/>
  <c r="AF2176" i="1"/>
  <c r="AF1924" i="1"/>
  <c r="AF1678" i="1"/>
  <c r="AF1677" i="1"/>
  <c r="AA85" i="1" l="1"/>
  <c r="AB85" i="1" s="1"/>
  <c r="AA2341" i="1"/>
  <c r="AA2155" i="1"/>
  <c r="AB2155" i="1" s="1"/>
  <c r="AA748" i="1"/>
  <c r="AA149" i="1"/>
  <c r="AA752" i="1"/>
  <c r="AD752" i="1" s="1"/>
  <c r="AA446" i="1"/>
  <c r="AA1864" i="1"/>
  <c r="AB1864" i="1" s="1"/>
  <c r="AA1008" i="1"/>
  <c r="AA94" i="1"/>
  <c r="AA1308" i="1"/>
  <c r="AD1308" i="1" s="1"/>
  <c r="AC446" i="1"/>
  <c r="AF1638" i="1"/>
  <c r="AF1580" i="1"/>
  <c r="AF1578" i="1"/>
  <c r="AF1548" i="1"/>
  <c r="AF1465" i="1"/>
  <c r="AF1458" i="1"/>
  <c r="AF1407" i="1"/>
  <c r="AF1314" i="1"/>
  <c r="AF1232" i="1"/>
  <c r="AF1179" i="1"/>
  <c r="AF1054" i="1"/>
  <c r="AF1053" i="1"/>
  <c r="AF1050" i="1"/>
  <c r="AF1036" i="1"/>
  <c r="AF974" i="1"/>
  <c r="AF954" i="1"/>
  <c r="AF922" i="1"/>
  <c r="AF738" i="1"/>
  <c r="AF661" i="1"/>
  <c r="AF596" i="1"/>
  <c r="AF491" i="1"/>
  <c r="AF490" i="1"/>
  <c r="AF487" i="1"/>
  <c r="AB2341" i="1" l="1"/>
  <c r="AD748" i="1"/>
  <c r="AB748" i="1"/>
  <c r="AD94" i="1"/>
  <c r="AB94" i="1"/>
  <c r="AB752" i="1"/>
  <c r="AB1008" i="1"/>
  <c r="AD1008" i="1"/>
  <c r="AD2155" i="1"/>
  <c r="AJ2155" i="1" s="1"/>
  <c r="AK2155" i="1" s="1"/>
  <c r="AD1864" i="1"/>
  <c r="AB1308" i="1"/>
  <c r="AF157" i="1"/>
  <c r="AF127" i="1"/>
  <c r="AF126" i="1"/>
  <c r="AN2535" i="1"/>
  <c r="AM2535" i="1"/>
  <c r="AL2535" i="1" s="1"/>
  <c r="AN2479" i="1"/>
  <c r="AM2479" i="1"/>
  <c r="AL2479" i="1" s="1"/>
  <c r="AN2176" i="1"/>
  <c r="AM2176" i="1"/>
  <c r="AL2176" i="1" s="1"/>
  <c r="AN1924" i="1"/>
  <c r="AM1924" i="1"/>
  <c r="AL1924" i="1" s="1"/>
  <c r="AN1678" i="1"/>
  <c r="AM1678" i="1"/>
  <c r="AL1678" i="1" s="1"/>
  <c r="AN1677" i="1"/>
  <c r="AM1677" i="1"/>
  <c r="AL1677" i="1" s="1"/>
  <c r="AN1638" i="1"/>
  <c r="AM1638" i="1"/>
  <c r="AL1638" i="1" s="1"/>
  <c r="AN1580" i="1"/>
  <c r="AM1580" i="1"/>
  <c r="AL1580" i="1" s="1"/>
  <c r="AN1578" i="1"/>
  <c r="AM1578" i="1"/>
  <c r="AL1578" i="1" s="1"/>
  <c r="AN1548" i="1"/>
  <c r="AM1548" i="1"/>
  <c r="AL1548" i="1" s="1"/>
  <c r="AN1465" i="1"/>
  <c r="AM1465" i="1"/>
  <c r="AL1465" i="1" s="1"/>
  <c r="AN1458" i="1"/>
  <c r="AM1458" i="1"/>
  <c r="AL1458" i="1" s="1"/>
  <c r="AN1314" i="1"/>
  <c r="AM1314" i="1"/>
  <c r="AL1314" i="1" s="1"/>
  <c r="AN1232" i="1"/>
  <c r="AM1232" i="1"/>
  <c r="AL1232" i="1" s="1"/>
  <c r="AN1179" i="1"/>
  <c r="AM1179" i="1"/>
  <c r="AL1179" i="1" s="1"/>
  <c r="AN1054" i="1"/>
  <c r="AM1054" i="1"/>
  <c r="AL1054" i="1" s="1"/>
  <c r="AN1053" i="1"/>
  <c r="AM1053" i="1"/>
  <c r="AL1053" i="1" s="1"/>
  <c r="AN1036" i="1"/>
  <c r="AM1036" i="1"/>
  <c r="AL1036" i="1" s="1"/>
  <c r="AN1050" i="1"/>
  <c r="AM1050" i="1"/>
  <c r="AL1050" i="1" s="1"/>
  <c r="AN974" i="1"/>
  <c r="AM974" i="1"/>
  <c r="AL974" i="1" s="1"/>
  <c r="AN954" i="1"/>
  <c r="AM954" i="1"/>
  <c r="AL954" i="1" s="1"/>
  <c r="AN922" i="1"/>
  <c r="AM922" i="1"/>
  <c r="AL922" i="1" s="1"/>
  <c r="AN738" i="1"/>
  <c r="AM738" i="1"/>
  <c r="AL738" i="1" s="1"/>
  <c r="AN661" i="1"/>
  <c r="AM661" i="1"/>
  <c r="AL661" i="1" s="1"/>
  <c r="AN596" i="1"/>
  <c r="AM596" i="1"/>
  <c r="AL596" i="1" s="1"/>
  <c r="AN491" i="1"/>
  <c r="AM491" i="1"/>
  <c r="AL491" i="1" s="1"/>
  <c r="AN490" i="1"/>
  <c r="AM490" i="1"/>
  <c r="AL490" i="1" s="1"/>
  <c r="AN487" i="1"/>
  <c r="AM487" i="1"/>
  <c r="AL487" i="1" s="1"/>
  <c r="AN157" i="1"/>
  <c r="AM157" i="1"/>
  <c r="AL157" i="1" s="1"/>
  <c r="AN127" i="1"/>
  <c r="AM127" i="1"/>
  <c r="AL127" i="1" s="1"/>
  <c r="AN126" i="1"/>
  <c r="AM126" i="1"/>
  <c r="AL126" i="1" s="1"/>
  <c r="AH2535" i="1"/>
  <c r="AH2479" i="1"/>
  <c r="AH2176" i="1"/>
  <c r="AH1924" i="1"/>
  <c r="AH1678" i="1"/>
  <c r="AH1677" i="1"/>
  <c r="AH1638" i="1"/>
  <c r="AH1580" i="1"/>
  <c r="AH1578" i="1"/>
  <c r="AH1548" i="1"/>
  <c r="AH1465" i="1"/>
  <c r="AH1458" i="1"/>
  <c r="AH1314" i="1"/>
  <c r="AH1232" i="1"/>
  <c r="AH1179" i="1"/>
  <c r="AH1054" i="1"/>
  <c r="AH1053" i="1"/>
  <c r="AH1050" i="1"/>
  <c r="AH974" i="1"/>
  <c r="AH954" i="1"/>
  <c r="AH922" i="1"/>
  <c r="AH738" i="1"/>
  <c r="AH661" i="1"/>
  <c r="AH596" i="1"/>
  <c r="AH491" i="1"/>
  <c r="AH490" i="1"/>
  <c r="AH487" i="1"/>
  <c r="AH157" i="1"/>
  <c r="AH127" i="1"/>
  <c r="AH126" i="1"/>
  <c r="AE922" i="1"/>
  <c r="AE954" i="1"/>
  <c r="AE738" i="1"/>
  <c r="AE1638" i="1"/>
  <c r="AE2535" i="1"/>
  <c r="AE2479" i="1"/>
  <c r="AE2176" i="1"/>
  <c r="AE1924" i="1"/>
  <c r="AE1580" i="1"/>
  <c r="AE1578" i="1"/>
  <c r="AE1548" i="1"/>
  <c r="AE1465" i="1"/>
  <c r="AE1458" i="1"/>
  <c r="AE1407" i="1"/>
  <c r="AE1314" i="1"/>
  <c r="AE1232" i="1"/>
  <c r="AE1179" i="1"/>
  <c r="AE1054" i="1"/>
  <c r="AE1053" i="1"/>
  <c r="AE1036" i="1"/>
  <c r="AE974" i="1"/>
  <c r="AE661" i="1"/>
  <c r="AE596" i="1"/>
  <c r="AE491" i="1"/>
  <c r="AE490" i="1"/>
  <c r="AE487" i="1"/>
  <c r="AE157" i="1"/>
  <c r="AE127" i="1"/>
  <c r="AE126" i="1"/>
  <c r="AE1050" i="1"/>
  <c r="AE867" i="1"/>
  <c r="AF734" i="1"/>
  <c r="AF733" i="1"/>
  <c r="AN734" i="1"/>
  <c r="AM734" i="1"/>
  <c r="AL734" i="1" s="1"/>
  <c r="AI734" i="1"/>
  <c r="AH734" i="1"/>
  <c r="AN733" i="1"/>
  <c r="AM733" i="1"/>
  <c r="AL733" i="1" s="1"/>
  <c r="AI733" i="1"/>
  <c r="AH733" i="1"/>
  <c r="AE734" i="1"/>
  <c r="AE733" i="1"/>
  <c r="W2555" i="1"/>
  <c r="V2555" i="1"/>
  <c r="W2535" i="1"/>
  <c r="V2535" i="1"/>
  <c r="W2486" i="1"/>
  <c r="V2486" i="1"/>
  <c r="W2479" i="1"/>
  <c r="V2479" i="1"/>
  <c r="W2425" i="1"/>
  <c r="V2425" i="1"/>
  <c r="W2335" i="1"/>
  <c r="V2335" i="1"/>
  <c r="W2333" i="1"/>
  <c r="V2333" i="1"/>
  <c r="W2186" i="1"/>
  <c r="V2186" i="1"/>
  <c r="W2176" i="1"/>
  <c r="V2176" i="1"/>
  <c r="W2166" i="1"/>
  <c r="V2166" i="1"/>
  <c r="W2165" i="1"/>
  <c r="V2165" i="1"/>
  <c r="W2139" i="1"/>
  <c r="V2139" i="1"/>
  <c r="W2054" i="1"/>
  <c r="V2054" i="1"/>
  <c r="W1924" i="1"/>
  <c r="V1924" i="1"/>
  <c r="W1870" i="1"/>
  <c r="V1870" i="1"/>
  <c r="W1847" i="1"/>
  <c r="V1847" i="1"/>
  <c r="W1793" i="1"/>
  <c r="V1793" i="1"/>
  <c r="W1748" i="1"/>
  <c r="V1748" i="1"/>
  <c r="W1702" i="1"/>
  <c r="V1702" i="1"/>
  <c r="W1657" i="1"/>
  <c r="V1657" i="1"/>
  <c r="W1656" i="1"/>
  <c r="V1656" i="1"/>
  <c r="W1640" i="1"/>
  <c r="V1640" i="1"/>
  <c r="W1638" i="1"/>
  <c r="V1638" i="1"/>
  <c r="W1630" i="1"/>
  <c r="V1630" i="1"/>
  <c r="W1596" i="1"/>
  <c r="V1596" i="1"/>
  <c r="W1595" i="1"/>
  <c r="V1595" i="1"/>
  <c r="W1591" i="1"/>
  <c r="V1591" i="1"/>
  <c r="W1580" i="1"/>
  <c r="V1580" i="1"/>
  <c r="W1578" i="1"/>
  <c r="V1578" i="1"/>
  <c r="W1548" i="1"/>
  <c r="V1548" i="1"/>
  <c r="W1537" i="1"/>
  <c r="V1537" i="1"/>
  <c r="W1465" i="1"/>
  <c r="V1465" i="1"/>
  <c r="W1458" i="1"/>
  <c r="V1458" i="1"/>
  <c r="W1407" i="1"/>
  <c r="V1407" i="1"/>
  <c r="W1340" i="1"/>
  <c r="V1340" i="1"/>
  <c r="W1314" i="1"/>
  <c r="V1314" i="1"/>
  <c r="W1294" i="1"/>
  <c r="V1294" i="1"/>
  <c r="W1232" i="1"/>
  <c r="V1232" i="1"/>
  <c r="W1191" i="1"/>
  <c r="V1191" i="1"/>
  <c r="W1179" i="1"/>
  <c r="V1179" i="1"/>
  <c r="W1150" i="1"/>
  <c r="V1150" i="1"/>
  <c r="W1142" i="1"/>
  <c r="V1142" i="1"/>
  <c r="W126" i="1"/>
  <c r="V126" i="1"/>
  <c r="W107" i="1"/>
  <c r="V107" i="1"/>
  <c r="W90" i="1"/>
  <c r="V90" i="1"/>
  <c r="W78" i="1"/>
  <c r="V78" i="1"/>
  <c r="W20" i="1"/>
  <c r="V20" i="1"/>
  <c r="W1054" i="1"/>
  <c r="V1054" i="1"/>
  <c r="W1053" i="1"/>
  <c r="V1053" i="1"/>
  <c r="W1050" i="1"/>
  <c r="V1050" i="1"/>
  <c r="W1036" i="1"/>
  <c r="V1036" i="1"/>
  <c r="W1024" i="1"/>
  <c r="V1024" i="1"/>
  <c r="W974" i="1"/>
  <c r="V974" i="1"/>
  <c r="W954" i="1"/>
  <c r="V954" i="1"/>
  <c r="W922" i="1"/>
  <c r="V922" i="1"/>
  <c r="W867" i="1"/>
  <c r="V867" i="1"/>
  <c r="W842" i="1"/>
  <c r="V842" i="1"/>
  <c r="W738" i="1"/>
  <c r="V738" i="1"/>
  <c r="W734" i="1"/>
  <c r="V734" i="1"/>
  <c r="AC734" i="1" s="1"/>
  <c r="W733" i="1"/>
  <c r="V733" i="1"/>
  <c r="AC733" i="1" s="1"/>
  <c r="W702" i="1"/>
  <c r="V702" i="1"/>
  <c r="W699" i="1"/>
  <c r="V699" i="1"/>
  <c r="W661" i="1"/>
  <c r="V661" i="1"/>
  <c r="W596" i="1"/>
  <c r="V596" i="1"/>
  <c r="W576" i="1"/>
  <c r="V576" i="1"/>
  <c r="W531" i="1"/>
  <c r="V531" i="1"/>
  <c r="W491" i="1"/>
  <c r="V491" i="1"/>
  <c r="W490" i="1"/>
  <c r="V490" i="1"/>
  <c r="W487" i="1"/>
  <c r="V487" i="1"/>
  <c r="W479" i="1"/>
  <c r="V479" i="1"/>
  <c r="W378" i="1"/>
  <c r="V378" i="1"/>
  <c r="W382" i="1"/>
  <c r="V382" i="1"/>
  <c r="W381" i="1"/>
  <c r="V381" i="1"/>
  <c r="W380" i="1"/>
  <c r="V380" i="1"/>
  <c r="W379" i="1"/>
  <c r="V379" i="1"/>
  <c r="W245" i="1"/>
  <c r="V245" i="1"/>
  <c r="W214" i="1"/>
  <c r="V214" i="1"/>
  <c r="W196" i="1"/>
  <c r="V196" i="1"/>
  <c r="W157" i="1"/>
  <c r="V157" i="1"/>
  <c r="W127" i="1"/>
  <c r="V127" i="1"/>
  <c r="AF382" i="1"/>
  <c r="AF381" i="1"/>
  <c r="AF380" i="1"/>
  <c r="AF379" i="1"/>
  <c r="AN382" i="1"/>
  <c r="AM382" i="1"/>
  <c r="AL382" i="1" s="1"/>
  <c r="AI382" i="1"/>
  <c r="AH382" i="1"/>
  <c r="AN381" i="1"/>
  <c r="AM381" i="1"/>
  <c r="AL381" i="1" s="1"/>
  <c r="AI381" i="1"/>
  <c r="AH381" i="1"/>
  <c r="AN380" i="1"/>
  <c r="AM380" i="1"/>
  <c r="AL380" i="1" s="1"/>
  <c r="AI380" i="1"/>
  <c r="AH380" i="1"/>
  <c r="AN379" i="1"/>
  <c r="AM379" i="1"/>
  <c r="AL379" i="1" s="1"/>
  <c r="AI379" i="1"/>
  <c r="AH379" i="1"/>
  <c r="AE382" i="1"/>
  <c r="AE381" i="1"/>
  <c r="AE380" i="1"/>
  <c r="AE379" i="1"/>
  <c r="AQ2425" i="1"/>
  <c r="AQ2535" i="1"/>
  <c r="AQ2479" i="1"/>
  <c r="AF2425" i="1"/>
  <c r="AN2425" i="1"/>
  <c r="AM2425" i="1"/>
  <c r="AL2425" i="1" s="1"/>
  <c r="AH2425" i="1"/>
  <c r="AE2425" i="1"/>
  <c r="AF2333" i="1"/>
  <c r="AQ2176" i="1"/>
  <c r="AF2054" i="1"/>
  <c r="AQ2054" i="1"/>
  <c r="AH2054" i="1"/>
  <c r="AE2054" i="1"/>
  <c r="U2054" i="1"/>
  <c r="T2054" i="1"/>
  <c r="AQ1924" i="1"/>
  <c r="AA699" i="1" l="1"/>
  <c r="AB699" i="1" s="1"/>
  <c r="AA157" i="1"/>
  <c r="AA379" i="1"/>
  <c r="AA381" i="1"/>
  <c r="AB381" i="1" s="1"/>
  <c r="AA487" i="1"/>
  <c r="AA491" i="1"/>
  <c r="AA661" i="1"/>
  <c r="AA922" i="1"/>
  <c r="AA974" i="1"/>
  <c r="AA1036" i="1"/>
  <c r="AA1053" i="1"/>
  <c r="AA126" i="1"/>
  <c r="AA1458" i="1"/>
  <c r="AA1578" i="1"/>
  <c r="AA1638" i="1"/>
  <c r="AA2176" i="1"/>
  <c r="AA127" i="1"/>
  <c r="AA380" i="1"/>
  <c r="AA382" i="1"/>
  <c r="AA490" i="1"/>
  <c r="AA596" i="1"/>
  <c r="AA738" i="1"/>
  <c r="AA954" i="1"/>
  <c r="AA1050" i="1"/>
  <c r="AD1050" i="1" s="1"/>
  <c r="AA1054" i="1"/>
  <c r="AA1179" i="1"/>
  <c r="AA1232" i="1"/>
  <c r="AA1314" i="1"/>
  <c r="AA1407" i="1"/>
  <c r="AA1465" i="1"/>
  <c r="AA1548" i="1"/>
  <c r="AD1548" i="1" s="1"/>
  <c r="AA1580" i="1"/>
  <c r="AA1924" i="1"/>
  <c r="AA2479" i="1"/>
  <c r="AA2535" i="1"/>
  <c r="AA733" i="1"/>
  <c r="AA734" i="1"/>
  <c r="AA2425" i="1"/>
  <c r="AA2054" i="1"/>
  <c r="AM2054" i="1"/>
  <c r="AL2054" i="1" s="1"/>
  <c r="AB1578" i="1" l="1"/>
  <c r="AB1036" i="1"/>
  <c r="AB157" i="1"/>
  <c r="AB661" i="1"/>
  <c r="AB491" i="1"/>
  <c r="AB954" i="1"/>
  <c r="AB1050" i="1"/>
  <c r="AB379" i="1"/>
  <c r="AB922" i="1"/>
  <c r="AB2176" i="1"/>
  <c r="AB127" i="1"/>
  <c r="AB126" i="1"/>
  <c r="AB1053" i="1"/>
  <c r="AB490" i="1"/>
  <c r="AB1458" i="1"/>
  <c r="AB974" i="1"/>
  <c r="AB1054" i="1"/>
  <c r="AB487" i="1"/>
  <c r="AB596" i="1"/>
  <c r="AB382" i="1"/>
  <c r="AB380" i="1"/>
  <c r="AB1232" i="1"/>
  <c r="AB1179" i="1"/>
  <c r="AB1465" i="1"/>
  <c r="AB1924" i="1"/>
  <c r="AB1407" i="1"/>
  <c r="AB1580" i="1"/>
  <c r="AB1314" i="1"/>
  <c r="AB2479" i="1"/>
  <c r="AB1548" i="1"/>
  <c r="AB2054" i="1"/>
  <c r="AB2425" i="1"/>
  <c r="AQ733" i="1" l="1"/>
  <c r="AQ734" i="1"/>
  <c r="AQ738" i="1"/>
  <c r="AF1748" i="1"/>
  <c r="AQ1748" i="1"/>
  <c r="AU1748" i="1" s="1"/>
  <c r="AN1748" i="1"/>
  <c r="AM1748" i="1"/>
  <c r="AL1748" i="1" s="1"/>
  <c r="AH1748" i="1"/>
  <c r="AE1748" i="1"/>
  <c r="AF1702" i="1"/>
  <c r="AQ1702" i="1"/>
  <c r="AN1702" i="1"/>
  <c r="AM1702" i="1"/>
  <c r="AL1702" i="1" s="1"/>
  <c r="AH1702" i="1"/>
  <c r="AE1702" i="1"/>
  <c r="AF1657" i="1"/>
  <c r="AQ1657" i="1"/>
  <c r="AN1657" i="1"/>
  <c r="AM1657" i="1"/>
  <c r="AL1657" i="1" s="1"/>
  <c r="AH1657" i="1"/>
  <c r="AE1657" i="1"/>
  <c r="AF1656" i="1"/>
  <c r="AO1656" i="1"/>
  <c r="AN1656" i="1"/>
  <c r="AM1656" i="1"/>
  <c r="AL1656" i="1" s="1"/>
  <c r="AH1656" i="1"/>
  <c r="AE1656" i="1"/>
  <c r="AF1630" i="1"/>
  <c r="AQ1630" i="1"/>
  <c r="AN1630" i="1"/>
  <c r="AM1630" i="1"/>
  <c r="AL1630" i="1" s="1"/>
  <c r="AH1630" i="1"/>
  <c r="AE1630" i="1"/>
  <c r="AQ1548" i="1"/>
  <c r="AQ1179" i="1"/>
  <c r="AU1179" i="1" s="1"/>
  <c r="AP1142" i="1"/>
  <c r="AF1142" i="1"/>
  <c r="AQ1142" i="1" l="1"/>
  <c r="AR1142" i="1"/>
  <c r="AA1748" i="1"/>
  <c r="AA1702" i="1"/>
  <c r="AA1657" i="1"/>
  <c r="AA1656" i="1"/>
  <c r="AA1630" i="1"/>
  <c r="AB1630" i="1" s="1"/>
  <c r="AD1630" i="1" s="1"/>
  <c r="AQ1656" i="1"/>
  <c r="AB1702" i="1" l="1"/>
  <c r="AB1748" i="1"/>
  <c r="AB1657" i="1"/>
  <c r="AD1657" i="1"/>
  <c r="AD1656" i="1"/>
  <c r="AB1656" i="1"/>
  <c r="AN1142" i="1"/>
  <c r="AM1142" i="1"/>
  <c r="AL1142" i="1" s="1"/>
  <c r="AH1142" i="1"/>
  <c r="AE1142" i="1"/>
  <c r="AP1150" i="1"/>
  <c r="AN1150" i="1"/>
  <c r="AH1150" i="1"/>
  <c r="AF1150" i="1"/>
  <c r="AE1150" i="1"/>
  <c r="U1150" i="1"/>
  <c r="T1150" i="1"/>
  <c r="AQ1150" i="1" l="1"/>
  <c r="AR1150" i="1"/>
  <c r="AA1142" i="1"/>
  <c r="AB1142" i="1" s="1"/>
  <c r="AM1150" i="1"/>
  <c r="AL1150" i="1" s="1"/>
  <c r="AA1150" i="1"/>
  <c r="AD1142" i="1" l="1"/>
  <c r="AB1150" i="1"/>
  <c r="AQ1050" i="1" l="1"/>
  <c r="AQ974" i="1"/>
  <c r="AQ922" i="1"/>
  <c r="AQ867" i="1"/>
  <c r="AO867" i="1"/>
  <c r="AN867" i="1"/>
  <c r="AM867" i="1"/>
  <c r="AL867" i="1" s="1"/>
  <c r="AF867" i="1"/>
  <c r="AP842" i="1"/>
  <c r="AF1244" i="1"/>
  <c r="AF1243" i="1"/>
  <c r="AF1242" i="1"/>
  <c r="AF1241" i="1"/>
  <c r="AQ842" i="1" l="1"/>
  <c r="AR842" i="1"/>
  <c r="AA867" i="1"/>
  <c r="AP699" i="1"/>
  <c r="AP378" i="1"/>
  <c r="AP196" i="1"/>
  <c r="AP2139" i="1"/>
  <c r="AP702" i="1"/>
  <c r="AP2166" i="1"/>
  <c r="AQ2165" i="1"/>
  <c r="AP2486" i="1"/>
  <c r="AP1870" i="1"/>
  <c r="AP107" i="1"/>
  <c r="AP245" i="1"/>
  <c r="AP1024" i="1"/>
  <c r="AP1793" i="1"/>
  <c r="AP1135" i="1"/>
  <c r="AP576" i="1"/>
  <c r="AP90" i="1"/>
  <c r="AP78" i="1"/>
  <c r="AP1294" i="1"/>
  <c r="AP1596" i="1"/>
  <c r="AP1595" i="1"/>
  <c r="AP479" i="1"/>
  <c r="AP214" i="1"/>
  <c r="AP1680" i="1"/>
  <c r="AP1679" i="1"/>
  <c r="AP1676" i="1"/>
  <c r="AQ382" i="1"/>
  <c r="AQ381" i="1"/>
  <c r="AQ380" i="1"/>
  <c r="AQ379" i="1"/>
  <c r="AQ1036" i="1"/>
  <c r="AQ1314" i="1"/>
  <c r="AQ1053" i="1"/>
  <c r="AQ661" i="1"/>
  <c r="AU661" i="1" s="1"/>
  <c r="AQ1054" i="1"/>
  <c r="AQ1638" i="1"/>
  <c r="AQ954" i="1"/>
  <c r="AQ157" i="1"/>
  <c r="AU157" i="1" s="1"/>
  <c r="AQ126" i="1"/>
  <c r="AQ1232" i="1"/>
  <c r="AQ127" i="1"/>
  <c r="AU127" i="1" s="1"/>
  <c r="AQ491" i="1"/>
  <c r="AQ490" i="1"/>
  <c r="AQ487" i="1"/>
  <c r="AQ1465" i="1"/>
  <c r="AU1465" i="1" s="1"/>
  <c r="AQ1458" i="1"/>
  <c r="AU1458" i="1" s="1"/>
  <c r="AQ1407" i="1"/>
  <c r="AU1407" i="1" s="1"/>
  <c r="AQ596" i="1"/>
  <c r="AU596" i="1" s="1"/>
  <c r="AQ1678" i="1"/>
  <c r="AU1678" i="1" s="1"/>
  <c r="AQ1677" i="1"/>
  <c r="AU1677" i="1" s="1"/>
  <c r="AQ140" i="1"/>
  <c r="AQ143" i="1"/>
  <c r="AQ281" i="1"/>
  <c r="AQ386" i="1"/>
  <c r="AQ945" i="1"/>
  <c r="AU945" i="1" s="1"/>
  <c r="AQ1191" i="1"/>
  <c r="AU1191" i="1" s="1"/>
  <c r="AQ1195" i="1"/>
  <c r="AQ1197" i="1"/>
  <c r="AU1197" i="1" s="1"/>
  <c r="AQ1198" i="1"/>
  <c r="AU1198" i="1" s="1"/>
  <c r="AQ1199" i="1"/>
  <c r="AU1199" i="1" s="1"/>
  <c r="AQ1313" i="1"/>
  <c r="AQ1340" i="1"/>
  <c r="AQ1537" i="1"/>
  <c r="AQ1578" i="1"/>
  <c r="AQ1591" i="1"/>
  <c r="AQ1640" i="1"/>
  <c r="AU1640" i="1" s="1"/>
  <c r="AQ1765" i="1"/>
  <c r="AQ1833" i="1"/>
  <c r="AQ1937" i="1"/>
  <c r="AQ2186" i="1"/>
  <c r="AQ2191" i="1"/>
  <c r="AQ2333" i="1"/>
  <c r="AQ2480" i="1"/>
  <c r="AQ2555" i="1"/>
  <c r="AH1676" i="1"/>
  <c r="AI1676" i="1"/>
  <c r="AI1677" i="1"/>
  <c r="AI1678" i="1"/>
  <c r="AI1679" i="1"/>
  <c r="AI1680" i="1"/>
  <c r="AI214" i="1"/>
  <c r="AI596" i="1"/>
  <c r="AI479" i="1"/>
  <c r="AI1595" i="1"/>
  <c r="AI1596" i="1"/>
  <c r="AI1294" i="1"/>
  <c r="AI1407" i="1"/>
  <c r="AI78" i="1"/>
  <c r="AI1458" i="1"/>
  <c r="AI1465" i="1"/>
  <c r="AI90" i="1"/>
  <c r="AI576" i="1"/>
  <c r="AI1135" i="1"/>
  <c r="AI1793" i="1"/>
  <c r="AI487" i="1"/>
  <c r="AI490" i="1"/>
  <c r="AI491" i="1"/>
  <c r="AI1024" i="1"/>
  <c r="AI20" i="1"/>
  <c r="AI127" i="1"/>
  <c r="AI245" i="1"/>
  <c r="AI1232" i="1"/>
  <c r="AI126" i="1"/>
  <c r="AI157" i="1"/>
  <c r="AI954" i="1"/>
  <c r="AI107" i="1"/>
  <c r="AI531" i="1"/>
  <c r="AI1870" i="1"/>
  <c r="AI2486" i="1"/>
  <c r="AI1638" i="1"/>
  <c r="AI2165" i="1"/>
  <c r="AI2166" i="1"/>
  <c r="AI1054" i="1"/>
  <c r="AI661" i="1"/>
  <c r="AI1053" i="1"/>
  <c r="AI1314" i="1"/>
  <c r="AI702" i="1"/>
  <c r="AI1036" i="1"/>
  <c r="AI978" i="1"/>
  <c r="AI2139" i="1"/>
  <c r="AI196" i="1"/>
  <c r="AI378" i="1"/>
  <c r="AI699" i="1"/>
  <c r="AM1679" i="1"/>
  <c r="AL1679" i="1" s="1"/>
  <c r="AM1680" i="1"/>
  <c r="AL1680" i="1" s="1"/>
  <c r="AH1680" i="1"/>
  <c r="AH1679" i="1"/>
  <c r="AF1680" i="1"/>
  <c r="AF1679" i="1"/>
  <c r="AE1680" i="1"/>
  <c r="AE1679" i="1"/>
  <c r="AE1678" i="1"/>
  <c r="AE1677" i="1"/>
  <c r="AN214" i="1"/>
  <c r="AM214" i="1"/>
  <c r="AL214" i="1" s="1"/>
  <c r="AH214" i="1"/>
  <c r="AN576" i="1"/>
  <c r="AM576" i="1"/>
  <c r="AL576" i="1" s="1"/>
  <c r="AH576" i="1"/>
  <c r="AF576" i="1"/>
  <c r="AE576" i="1"/>
  <c r="AN245" i="1"/>
  <c r="AM245" i="1"/>
  <c r="AL245" i="1" s="1"/>
  <c r="AH245" i="1"/>
  <c r="AF245" i="1"/>
  <c r="AE245" i="1"/>
  <c r="AF214" i="1"/>
  <c r="AE214" i="1"/>
  <c r="AN196" i="1"/>
  <c r="AM196" i="1"/>
  <c r="AL196" i="1" s="1"/>
  <c r="AH196" i="1"/>
  <c r="AF196" i="1"/>
  <c r="AE196" i="1"/>
  <c r="AN20" i="1"/>
  <c r="AM20" i="1"/>
  <c r="AL20" i="1" s="1"/>
  <c r="AH20" i="1"/>
  <c r="AF20" i="1"/>
  <c r="AE20" i="1"/>
  <c r="AM479" i="1"/>
  <c r="AL479" i="1" s="1"/>
  <c r="AH479" i="1"/>
  <c r="AF479" i="1"/>
  <c r="AE479" i="1"/>
  <c r="AC479" i="1"/>
  <c r="AN2139" i="1"/>
  <c r="AM2139" i="1"/>
  <c r="AL2139" i="1" s="1"/>
  <c r="AH2139" i="1"/>
  <c r="AF2139" i="1"/>
  <c r="AE2139" i="1"/>
  <c r="AN1676" i="1"/>
  <c r="AM1676" i="1"/>
  <c r="AL1676" i="1" s="1"/>
  <c r="AF1676" i="1"/>
  <c r="AE1676" i="1"/>
  <c r="AN1870" i="1"/>
  <c r="AM1870" i="1"/>
  <c r="AL1870" i="1" s="1"/>
  <c r="AH1870" i="1"/>
  <c r="AF1870" i="1"/>
  <c r="AE1870" i="1"/>
  <c r="AN531" i="1"/>
  <c r="AM531" i="1"/>
  <c r="AL531" i="1" s="1"/>
  <c r="AH531" i="1"/>
  <c r="AF531" i="1"/>
  <c r="AE531" i="1"/>
  <c r="AN1596" i="1"/>
  <c r="AM1596" i="1"/>
  <c r="AL1596" i="1" s="1"/>
  <c r="AH1596" i="1"/>
  <c r="AN1595" i="1"/>
  <c r="AM1595" i="1"/>
  <c r="AL1595" i="1" s="1"/>
  <c r="AH1595" i="1"/>
  <c r="AF1596" i="1"/>
  <c r="AF1595" i="1"/>
  <c r="AQ1676" i="1" l="1"/>
  <c r="AR1676" i="1"/>
  <c r="AQ1679" i="1"/>
  <c r="AR1679" i="1"/>
  <c r="AR1680" i="1"/>
  <c r="AR214" i="1"/>
  <c r="AR479" i="1"/>
  <c r="AR1595" i="1"/>
  <c r="AR1596" i="1"/>
  <c r="AR1294" i="1"/>
  <c r="AR576" i="1"/>
  <c r="AR1135" i="1"/>
  <c r="AR1793" i="1"/>
  <c r="AR1024" i="1"/>
  <c r="AR245" i="1"/>
  <c r="AR1870" i="1"/>
  <c r="AR2486" i="1"/>
  <c r="AR2166" i="1"/>
  <c r="AR702" i="1"/>
  <c r="AR2139" i="1"/>
  <c r="AR196" i="1"/>
  <c r="AR378" i="1"/>
  <c r="AR699" i="1"/>
  <c r="AR78" i="1"/>
  <c r="AR90" i="1"/>
  <c r="AR107" i="1"/>
  <c r="AD867" i="1"/>
  <c r="AB867" i="1"/>
  <c r="AQ2486" i="1"/>
  <c r="AQ1294" i="1"/>
  <c r="AQ2139" i="1"/>
  <c r="AQ576" i="1"/>
  <c r="AQ1595" i="1"/>
  <c r="AQ1024" i="1"/>
  <c r="AQ1135" i="1"/>
  <c r="AQ531" i="1"/>
  <c r="AQ1680" i="1"/>
  <c r="AQ1596" i="1"/>
  <c r="AQ702" i="1"/>
  <c r="AQ479" i="1"/>
  <c r="AQ2166" i="1"/>
  <c r="AQ90" i="1"/>
  <c r="AQ378" i="1"/>
  <c r="AQ245" i="1"/>
  <c r="AQ699" i="1"/>
  <c r="AQ20" i="1"/>
  <c r="AQ1870" i="1"/>
  <c r="AQ1793" i="1"/>
  <c r="AQ196" i="1"/>
  <c r="AQ78" i="1"/>
  <c r="AQ214" i="1"/>
  <c r="AQ107" i="1"/>
  <c r="AA1677" i="1"/>
  <c r="AA1679" i="1"/>
  <c r="AB1679" i="1" s="1"/>
  <c r="AA576" i="1"/>
  <c r="AB576" i="1" s="1"/>
  <c r="AA1678" i="1"/>
  <c r="AB1678" i="1" s="1"/>
  <c r="AA1680" i="1"/>
  <c r="AA245" i="1"/>
  <c r="AA20" i="1"/>
  <c r="AA214" i="1"/>
  <c r="AA196" i="1"/>
  <c r="AA1676" i="1"/>
  <c r="AA1870" i="1"/>
  <c r="AA531" i="1"/>
  <c r="AA2139" i="1"/>
  <c r="AA479" i="1"/>
  <c r="AB1677" i="1" l="1"/>
  <c r="AB1680" i="1"/>
  <c r="AB20" i="1"/>
  <c r="AB245" i="1"/>
  <c r="AB196" i="1"/>
  <c r="AB1676" i="1"/>
  <c r="AB214" i="1"/>
  <c r="AB1870" i="1"/>
  <c r="AD1870" i="1" s="1"/>
  <c r="AB531" i="1"/>
  <c r="AB2139" i="1"/>
  <c r="AE1596" i="1"/>
  <c r="AE1595" i="1"/>
  <c r="AC1596" i="1"/>
  <c r="AC1595" i="1"/>
  <c r="AN1135" i="1"/>
  <c r="AM1135" i="1"/>
  <c r="AL1135" i="1" s="1"/>
  <c r="AH1135" i="1"/>
  <c r="AF1135" i="1"/>
  <c r="AE1135" i="1"/>
  <c r="W1135" i="1"/>
  <c r="V1135" i="1"/>
  <c r="AN107" i="1"/>
  <c r="AM107" i="1"/>
  <c r="AL107" i="1" s="1"/>
  <c r="AH107" i="1"/>
  <c r="AF107" i="1"/>
  <c r="AE107" i="1"/>
  <c r="AN1024" i="1"/>
  <c r="AM1024" i="1"/>
  <c r="AL1024" i="1" s="1"/>
  <c r="AH1024" i="1"/>
  <c r="AF1024" i="1"/>
  <c r="AE1024" i="1"/>
  <c r="AN2486" i="1"/>
  <c r="AM2486" i="1"/>
  <c r="AL2486" i="1" s="1"/>
  <c r="AH2486" i="1"/>
  <c r="AF2486" i="1"/>
  <c r="AE2486" i="1"/>
  <c r="AN702" i="1"/>
  <c r="AM702" i="1"/>
  <c r="AL702" i="1" s="1"/>
  <c r="AH702" i="1"/>
  <c r="AF702" i="1"/>
  <c r="AE702" i="1"/>
  <c r="AN90" i="1"/>
  <c r="AM90" i="1"/>
  <c r="AL90" i="1" s="1"/>
  <c r="AH90" i="1"/>
  <c r="AF90" i="1"/>
  <c r="AE90" i="1"/>
  <c r="AF1793" i="1"/>
  <c r="AN1793" i="1"/>
  <c r="AM1793" i="1"/>
  <c r="AL1793" i="1" s="1"/>
  <c r="AH1793" i="1"/>
  <c r="AE1793" i="1"/>
  <c r="AA702" i="1" l="1"/>
  <c r="AA1024" i="1"/>
  <c r="AA2486" i="1"/>
  <c r="AA1135" i="1"/>
  <c r="AA1595" i="1"/>
  <c r="AA107" i="1"/>
  <c r="AA1596" i="1"/>
  <c r="AA90" i="1"/>
  <c r="AA1793" i="1"/>
  <c r="AB702" i="1" l="1"/>
  <c r="AB1135" i="1"/>
  <c r="AB2486" i="1"/>
  <c r="AB1024" i="1"/>
  <c r="AB107" i="1"/>
  <c r="AB1793" i="1"/>
  <c r="AB90" i="1"/>
  <c r="AF1294" i="1" l="1"/>
  <c r="AN1294" i="1"/>
  <c r="AM1294" i="1"/>
  <c r="AL1294" i="1" s="1"/>
  <c r="AH1294" i="1"/>
  <c r="AE1294" i="1"/>
  <c r="AF2113" i="1"/>
  <c r="AF2109" i="1"/>
  <c r="AF2110" i="1"/>
  <c r="AF2108" i="1"/>
  <c r="AF2112" i="1"/>
  <c r="AF2107" i="1"/>
  <c r="AF138" i="1"/>
  <c r="AF137" i="1"/>
  <c r="AF136" i="1"/>
  <c r="AN138" i="1"/>
  <c r="AM138" i="1"/>
  <c r="AL138" i="1" s="1"/>
  <c r="AH138" i="1"/>
  <c r="AN137" i="1"/>
  <c r="AM137" i="1"/>
  <c r="AL137" i="1" s="1"/>
  <c r="AH137" i="1"/>
  <c r="AN136" i="1"/>
  <c r="AM136" i="1"/>
  <c r="AL136" i="1" s="1"/>
  <c r="AH136" i="1"/>
  <c r="AE138" i="1"/>
  <c r="AE137" i="1"/>
  <c r="AE136" i="1"/>
  <c r="W138" i="1"/>
  <c r="V138" i="1"/>
  <c r="W137" i="1"/>
  <c r="V137" i="1"/>
  <c r="W136" i="1"/>
  <c r="V136" i="1"/>
  <c r="V135" i="1"/>
  <c r="AF914" i="1"/>
  <c r="AF913" i="1"/>
  <c r="AF912" i="1"/>
  <c r="AN914" i="1"/>
  <c r="AM914" i="1"/>
  <c r="AL914" i="1" s="1"/>
  <c r="AH914" i="1"/>
  <c r="AN913" i="1"/>
  <c r="AM913" i="1"/>
  <c r="AL913" i="1" s="1"/>
  <c r="AH913" i="1"/>
  <c r="AN912" i="1"/>
  <c r="AM912" i="1"/>
  <c r="AL912" i="1" s="1"/>
  <c r="AH912" i="1"/>
  <c r="AE914" i="1"/>
  <c r="AE913" i="1"/>
  <c r="AE912" i="1"/>
  <c r="W914" i="1"/>
  <c r="V914" i="1"/>
  <c r="W913" i="1"/>
  <c r="V913" i="1"/>
  <c r="W912" i="1"/>
  <c r="V912" i="1"/>
  <c r="AN1132" i="1"/>
  <c r="AM1132" i="1"/>
  <c r="AL1132" i="1" s="1"/>
  <c r="AH1132" i="1"/>
  <c r="AN1131" i="1"/>
  <c r="AM1131" i="1"/>
  <c r="AL1131" i="1" s="1"/>
  <c r="AH1131" i="1"/>
  <c r="AF1132" i="1"/>
  <c r="AF1131" i="1"/>
  <c r="AE1132" i="1"/>
  <c r="AE1131" i="1"/>
  <c r="W1132" i="1"/>
  <c r="V1132" i="1"/>
  <c r="W1131" i="1"/>
  <c r="V1131" i="1"/>
  <c r="AF2111" i="1"/>
  <c r="AN2113" i="1"/>
  <c r="AM2113" i="1"/>
  <c r="AL2113" i="1" s="1"/>
  <c r="AH2113" i="1"/>
  <c r="AN2110" i="1"/>
  <c r="AM2110" i="1"/>
  <c r="AL2110" i="1" s="1"/>
  <c r="AH2110" i="1"/>
  <c r="AN2109" i="1"/>
  <c r="AM2109" i="1"/>
  <c r="AL2109" i="1" s="1"/>
  <c r="AH2109" i="1"/>
  <c r="AN2108" i="1"/>
  <c r="AM2108" i="1"/>
  <c r="AL2108" i="1" s="1"/>
  <c r="AH2108" i="1"/>
  <c r="AE2113" i="1"/>
  <c r="AE2110" i="1"/>
  <c r="AE2109" i="1"/>
  <c r="AE2108" i="1"/>
  <c r="W2113" i="1"/>
  <c r="V2113" i="1"/>
  <c r="W2110" i="1"/>
  <c r="V2110" i="1"/>
  <c r="W2109" i="1"/>
  <c r="V2109" i="1"/>
  <c r="W2108" i="1"/>
  <c r="V2108" i="1"/>
  <c r="AA2113" i="1" l="1"/>
  <c r="AD2113" i="1" s="1"/>
  <c r="AA912" i="1"/>
  <c r="AB912" i="1" s="1"/>
  <c r="AA1294" i="1"/>
  <c r="AA136" i="1"/>
  <c r="AB136" i="1" s="1"/>
  <c r="AA1132" i="1"/>
  <c r="AD1132" i="1" s="1"/>
  <c r="AA1131" i="1"/>
  <c r="AB1131" i="1" s="1"/>
  <c r="AA2108" i="1"/>
  <c r="AA137" i="1"/>
  <c r="AB137" i="1" s="1"/>
  <c r="AA138" i="1"/>
  <c r="AB138" i="1" s="1"/>
  <c r="AA2109" i="1"/>
  <c r="AA913" i="1"/>
  <c r="AA2110" i="1"/>
  <c r="AD2110" i="1" s="1"/>
  <c r="AA914" i="1"/>
  <c r="AB914" i="1" s="1"/>
  <c r="AD912" i="1" l="1"/>
  <c r="AB2113" i="1"/>
  <c r="AB1294" i="1"/>
  <c r="AD1131" i="1"/>
  <c r="AD136" i="1"/>
  <c r="AB1132" i="1"/>
  <c r="AD137" i="1"/>
  <c r="AD2108" i="1"/>
  <c r="AD913" i="1"/>
  <c r="AD138" i="1"/>
  <c r="AB2108" i="1"/>
  <c r="AB2109" i="1"/>
  <c r="AD2109" i="1"/>
  <c r="AB2110" i="1"/>
  <c r="AB913" i="1"/>
  <c r="AD914" i="1"/>
  <c r="AE1035" i="1" l="1"/>
  <c r="AH1035" i="1"/>
  <c r="W1035" i="1"/>
  <c r="V1035" i="1"/>
  <c r="AA1035" i="1" l="1"/>
  <c r="AB1035" i="1" l="1"/>
  <c r="AF286" i="1"/>
  <c r="AF285" i="1"/>
  <c r="AN286" i="1"/>
  <c r="AM286" i="1"/>
  <c r="AL286" i="1" s="1"/>
  <c r="AH286" i="1"/>
  <c r="AN285" i="1"/>
  <c r="AM285" i="1"/>
  <c r="AL285" i="1" s="1"/>
  <c r="AH285" i="1"/>
  <c r="AE285" i="1"/>
  <c r="AE286" i="1"/>
  <c r="W286" i="1"/>
  <c r="V286" i="1"/>
  <c r="W285" i="1"/>
  <c r="V285" i="1"/>
  <c r="AF713" i="1"/>
  <c r="AF712" i="1"/>
  <c r="AF711" i="1"/>
  <c r="AN713" i="1"/>
  <c r="AM713" i="1"/>
  <c r="AL713" i="1" s="1"/>
  <c r="AH713" i="1"/>
  <c r="AN712" i="1"/>
  <c r="AM712" i="1"/>
  <c r="AL712" i="1" s="1"/>
  <c r="AH712" i="1"/>
  <c r="AN711" i="1"/>
  <c r="AM711" i="1"/>
  <c r="AL711" i="1" s="1"/>
  <c r="AH711" i="1"/>
  <c r="AE713" i="1"/>
  <c r="AE712" i="1"/>
  <c r="AE711" i="1"/>
  <c r="W713" i="1"/>
  <c r="V713" i="1"/>
  <c r="W712" i="1"/>
  <c r="V712" i="1"/>
  <c r="W711" i="1"/>
  <c r="V711" i="1"/>
  <c r="AA286" i="1" l="1"/>
  <c r="AA285" i="1"/>
  <c r="AA712" i="1"/>
  <c r="AA711" i="1"/>
  <c r="AB711" i="1" s="1"/>
  <c r="AA713" i="1"/>
  <c r="AD713" i="1" s="1"/>
  <c r="AB285" i="1" l="1"/>
  <c r="AD285" i="1"/>
  <c r="AB712" i="1"/>
  <c r="AD712" i="1"/>
  <c r="AD711" i="1"/>
  <c r="AB713" i="1"/>
  <c r="AN1186" i="1"/>
  <c r="AM1186" i="1"/>
  <c r="AL1186" i="1" s="1"/>
  <c r="AH1186" i="1"/>
  <c r="AF1186" i="1"/>
  <c r="AE1186" i="1"/>
  <c r="W1186" i="1"/>
  <c r="V1186" i="1"/>
  <c r="AF654" i="1"/>
  <c r="W654" i="1"/>
  <c r="V654" i="1"/>
  <c r="AA654" i="1" l="1"/>
  <c r="AA1186" i="1"/>
  <c r="AN7" i="1"/>
  <c r="AM7" i="1"/>
  <c r="AL7" i="1" s="1"/>
  <c r="AH7" i="1"/>
  <c r="AF7" i="1"/>
  <c r="AE7" i="1"/>
  <c r="W7" i="1"/>
  <c r="AL1783" i="1"/>
  <c r="AH1783" i="1"/>
  <c r="AF1783" i="1"/>
  <c r="AE1783" i="1"/>
  <c r="W1783" i="1"/>
  <c r="V1783" i="1"/>
  <c r="AD1186" i="1" l="1"/>
  <c r="AB1186" i="1"/>
  <c r="AD654" i="1"/>
  <c r="AB654" i="1"/>
  <c r="AA1783" i="1"/>
  <c r="AA7" i="1"/>
  <c r="AD7" i="1" s="1"/>
  <c r="AB1783" i="1" l="1"/>
  <c r="AB7" i="1"/>
  <c r="AF604" i="1"/>
  <c r="AN1055" i="1"/>
  <c r="AM1055" i="1"/>
  <c r="AL1055" i="1" s="1"/>
  <c r="AH1055" i="1"/>
  <c r="AF1055" i="1"/>
  <c r="AE1055" i="1" l="1"/>
  <c r="AC1055" i="1"/>
  <c r="W1055" i="1"/>
  <c r="V1055" i="1"/>
  <c r="AN337" i="1"/>
  <c r="AM337" i="1"/>
  <c r="AL337" i="1" s="1"/>
  <c r="AH337" i="1"/>
  <c r="AE337" i="1"/>
  <c r="W337" i="1"/>
  <c r="V337" i="1"/>
  <c r="AA1055" i="1" l="1"/>
  <c r="AB1055" i="1" s="1"/>
  <c r="AA337" i="1"/>
  <c r="AD1055" i="1" l="1"/>
  <c r="AB337" i="1"/>
  <c r="AN2033" i="1"/>
  <c r="AM2033" i="1"/>
  <c r="AL2033" i="1" s="1"/>
  <c r="AH2033" i="1"/>
  <c r="AF2033" i="1"/>
  <c r="AE2033" i="1"/>
  <c r="W2033" i="1"/>
  <c r="V2033" i="1"/>
  <c r="AN852" i="1"/>
  <c r="AM852" i="1"/>
  <c r="AL852" i="1" s="1"/>
  <c r="AF852" i="1"/>
  <c r="AE852" i="1"/>
  <c r="W852" i="1"/>
  <c r="V852" i="1"/>
  <c r="AJ1055" i="1" l="1"/>
  <c r="AK1055" i="1" s="1"/>
  <c r="AA852" i="1"/>
  <c r="AA2033" i="1"/>
  <c r="AF1483" i="1"/>
  <c r="AF1481" i="1"/>
  <c r="AN1483" i="1"/>
  <c r="AM1483" i="1"/>
  <c r="AL1483" i="1" s="1"/>
  <c r="AH1483" i="1"/>
  <c r="AN1481" i="1"/>
  <c r="AM1481" i="1"/>
  <c r="AL1481" i="1" s="1"/>
  <c r="AH1481" i="1"/>
  <c r="AE1483" i="1"/>
  <c r="AE1481" i="1"/>
  <c r="W1483" i="1"/>
  <c r="V1483" i="1"/>
  <c r="AC1483" i="1" s="1"/>
  <c r="W1481" i="1"/>
  <c r="V1481" i="1"/>
  <c r="AC1481" i="1" s="1"/>
  <c r="AF1699" i="1"/>
  <c r="AN1699" i="1"/>
  <c r="AM1699" i="1"/>
  <c r="AL1699" i="1" s="1"/>
  <c r="AH1699" i="1"/>
  <c r="AE1699" i="1"/>
  <c r="AC1699" i="1"/>
  <c r="W1699" i="1"/>
  <c r="V1699" i="1"/>
  <c r="AB2033" i="1" l="1"/>
  <c r="AA1481" i="1"/>
  <c r="AA1483" i="1"/>
  <c r="AA1699" i="1"/>
  <c r="AN1115" i="1"/>
  <c r="AM1115" i="1"/>
  <c r="AL1115" i="1" s="1"/>
  <c r="AH1115" i="1"/>
  <c r="AF1115" i="1"/>
  <c r="AE1115" i="1"/>
  <c r="W1115" i="1"/>
  <c r="V1115" i="1"/>
  <c r="AN1441" i="1"/>
  <c r="AM1441" i="1"/>
  <c r="AL1441" i="1" s="1"/>
  <c r="AH1441" i="1"/>
  <c r="AF1441" i="1"/>
  <c r="AE1441" i="1"/>
  <c r="W1441" i="1"/>
  <c r="V1441" i="1"/>
  <c r="AN456" i="1"/>
  <c r="AM456" i="1"/>
  <c r="AL456" i="1" s="1"/>
  <c r="AH456" i="1"/>
  <c r="AF456" i="1"/>
  <c r="AE456" i="1"/>
  <c r="W456" i="1"/>
  <c r="V456" i="1"/>
  <c r="V458" i="1"/>
  <c r="W458" i="1"/>
  <c r="AE458" i="1"/>
  <c r="AF458" i="1"/>
  <c r="AH458" i="1"/>
  <c r="AM458" i="1"/>
  <c r="AL458" i="1" s="1"/>
  <c r="AN458" i="1"/>
  <c r="AF595" i="1"/>
  <c r="AF593" i="1"/>
  <c r="AF591" i="1"/>
  <c r="AF598" i="1"/>
  <c r="AF592" i="1"/>
  <c r="AF588" i="1"/>
  <c r="AF587" i="1"/>
  <c r="AN604" i="1"/>
  <c r="AM604" i="1"/>
  <c r="AL604" i="1" s="1"/>
  <c r="AH604" i="1"/>
  <c r="AN598" i="1"/>
  <c r="AM598" i="1"/>
  <c r="AL598" i="1" s="1"/>
  <c r="AH598" i="1"/>
  <c r="AN595" i="1"/>
  <c r="AM595" i="1"/>
  <c r="AL595" i="1" s="1"/>
  <c r="AH595" i="1"/>
  <c r="AN593" i="1"/>
  <c r="AM593" i="1"/>
  <c r="AL593" i="1" s="1"/>
  <c r="AH593" i="1"/>
  <c r="AN592" i="1"/>
  <c r="AM592" i="1"/>
  <c r="AL592" i="1" s="1"/>
  <c r="AH592" i="1"/>
  <c r="AN588" i="1"/>
  <c r="AM588" i="1"/>
  <c r="AL588" i="1" s="1"/>
  <c r="AH588" i="1"/>
  <c r="AN587" i="1"/>
  <c r="AM587" i="1"/>
  <c r="AL587" i="1" s="1"/>
  <c r="AH587" i="1"/>
  <c r="AE604" i="1"/>
  <c r="AE598" i="1"/>
  <c r="AE595" i="1"/>
  <c r="AE593" i="1"/>
  <c r="AE592" i="1"/>
  <c r="AE588" i="1"/>
  <c r="AE587" i="1"/>
  <c r="W604" i="1"/>
  <c r="V604" i="1"/>
  <c r="W598" i="1"/>
  <c r="V598" i="1"/>
  <c r="W595" i="1"/>
  <c r="V595" i="1"/>
  <c r="W593" i="1"/>
  <c r="V593" i="1"/>
  <c r="W592" i="1"/>
  <c r="V592" i="1"/>
  <c r="W588" i="1"/>
  <c r="V588" i="1"/>
  <c r="W587" i="1"/>
  <c r="V587" i="1"/>
  <c r="AF251" i="1"/>
  <c r="AA456" i="1" l="1"/>
  <c r="AB456" i="1" s="1"/>
  <c r="AA1115" i="1"/>
  <c r="AB1699" i="1"/>
  <c r="AA458" i="1"/>
  <c r="AA1441" i="1"/>
  <c r="AA588" i="1"/>
  <c r="AB588" i="1" s="1"/>
  <c r="AA592" i="1"/>
  <c r="AB592" i="1" s="1"/>
  <c r="AA587" i="1"/>
  <c r="AA595" i="1"/>
  <c r="AA604" i="1"/>
  <c r="AA593" i="1"/>
  <c r="AA598" i="1"/>
  <c r="AF1736" i="1"/>
  <c r="AF1735" i="1"/>
  <c r="AF1733" i="1"/>
  <c r="AF1732" i="1"/>
  <c r="AF1734" i="1"/>
  <c r="AF1731" i="1"/>
  <c r="AF1730" i="1"/>
  <c r="AF1729" i="1"/>
  <c r="AN1736" i="1"/>
  <c r="AM1736" i="1"/>
  <c r="AL1736" i="1" s="1"/>
  <c r="AN1735" i="1"/>
  <c r="AM1735" i="1"/>
  <c r="AL1735" i="1" s="1"/>
  <c r="AN1733" i="1"/>
  <c r="AM1733" i="1"/>
  <c r="AL1733" i="1" s="1"/>
  <c r="AN1732" i="1"/>
  <c r="AM1732" i="1"/>
  <c r="AL1732" i="1" s="1"/>
  <c r="AN1734" i="1"/>
  <c r="AM1734" i="1"/>
  <c r="AL1734" i="1" s="1"/>
  <c r="AN1731" i="1"/>
  <c r="AM1731" i="1"/>
  <c r="AL1731" i="1" s="1"/>
  <c r="AN1730" i="1"/>
  <c r="AM1730" i="1"/>
  <c r="AL1730" i="1" s="1"/>
  <c r="AN1729" i="1"/>
  <c r="AM1729" i="1"/>
  <c r="AL1729" i="1" s="1"/>
  <c r="AE1736" i="1"/>
  <c r="AE1735" i="1"/>
  <c r="AE1733" i="1"/>
  <c r="AE1732" i="1"/>
  <c r="AE1734" i="1"/>
  <c r="AE1731" i="1"/>
  <c r="AE1730" i="1"/>
  <c r="AE1729" i="1"/>
  <c r="W1736" i="1"/>
  <c r="V1736" i="1"/>
  <c r="W1735" i="1"/>
  <c r="V1735" i="1"/>
  <c r="W1733" i="1"/>
  <c r="V1733" i="1"/>
  <c r="W1732" i="1"/>
  <c r="V1732" i="1"/>
  <c r="W1734" i="1"/>
  <c r="V1734" i="1"/>
  <c r="W1731" i="1"/>
  <c r="V1731" i="1"/>
  <c r="W1730" i="1"/>
  <c r="V1730" i="1"/>
  <c r="W1729" i="1"/>
  <c r="V1729" i="1"/>
  <c r="AB458" i="1" l="1"/>
  <c r="AB1115" i="1"/>
  <c r="AA1736" i="1"/>
  <c r="AB1736" i="1" s="1"/>
  <c r="AB1441" i="1"/>
  <c r="AB604" i="1"/>
  <c r="AB593" i="1"/>
  <c r="AB587" i="1"/>
  <c r="AB595" i="1"/>
  <c r="AB598" i="1"/>
  <c r="AA1733" i="1"/>
  <c r="AD1733" i="1" s="1"/>
  <c r="AA1729" i="1"/>
  <c r="AB1729" i="1" s="1"/>
  <c r="AA1732" i="1"/>
  <c r="AB1732" i="1" s="1"/>
  <c r="AA1735" i="1"/>
  <c r="AD1735" i="1" s="1"/>
  <c r="AA1731" i="1"/>
  <c r="AB1731" i="1" s="1"/>
  <c r="AA1730" i="1"/>
  <c r="AB1730" i="1" s="1"/>
  <c r="AA1734" i="1"/>
  <c r="AB1734" i="1" s="1"/>
  <c r="AD1736" i="1" l="1"/>
  <c r="AB1733" i="1"/>
  <c r="AD1729" i="1"/>
  <c r="AB1735" i="1"/>
  <c r="AD1732" i="1"/>
  <c r="AD1730" i="1"/>
  <c r="AD1731" i="1"/>
  <c r="AD1734" i="1"/>
  <c r="AF2106" i="1"/>
  <c r="AN2111" i="1"/>
  <c r="AM2111" i="1"/>
  <c r="AL2111" i="1" s="1"/>
  <c r="AH2111" i="1"/>
  <c r="AN2106" i="1"/>
  <c r="AM2106" i="1"/>
  <c r="AL2106" i="1" s="1"/>
  <c r="AH2106" i="1"/>
  <c r="AE2111" i="1"/>
  <c r="AE2106" i="1"/>
  <c r="W2111" i="1"/>
  <c r="V2111" i="1"/>
  <c r="W2106" i="1"/>
  <c r="V2106" i="1"/>
  <c r="AF1129" i="1"/>
  <c r="AN1129" i="1"/>
  <c r="AM1129" i="1"/>
  <c r="AL1129" i="1" s="1"/>
  <c r="AH1129" i="1"/>
  <c r="AE1129" i="1"/>
  <c r="W1129" i="1"/>
  <c r="V1129" i="1"/>
  <c r="AA2111" i="1" l="1"/>
  <c r="AD2111" i="1" s="1"/>
  <c r="AA2106" i="1"/>
  <c r="AD2106" i="1" s="1"/>
  <c r="AA1129" i="1"/>
  <c r="AD1129" i="1" s="1"/>
  <c r="AB2111" i="1" l="1"/>
  <c r="AB2106" i="1"/>
  <c r="AB1129" i="1"/>
  <c r="AF256" i="1"/>
  <c r="AF255" i="1"/>
  <c r="AF253" i="1"/>
  <c r="AF252" i="1"/>
  <c r="AF254" i="1"/>
  <c r="AF250" i="1"/>
  <c r="AF249" i="1"/>
  <c r="AN256" i="1"/>
  <c r="AM256" i="1"/>
  <c r="AL256" i="1" s="1"/>
  <c r="AN255" i="1"/>
  <c r="AM255" i="1"/>
  <c r="AL255" i="1" s="1"/>
  <c r="AN253" i="1"/>
  <c r="AM253" i="1"/>
  <c r="AL253" i="1" s="1"/>
  <c r="AN252" i="1"/>
  <c r="AM252" i="1"/>
  <c r="AL252" i="1" s="1"/>
  <c r="AN254" i="1"/>
  <c r="AM254" i="1"/>
  <c r="AL254" i="1" s="1"/>
  <c r="AN251" i="1"/>
  <c r="AM251" i="1"/>
  <c r="AL251" i="1" s="1"/>
  <c r="AN250" i="1"/>
  <c r="AM250" i="1"/>
  <c r="AL250" i="1" s="1"/>
  <c r="AN249" i="1"/>
  <c r="AM249" i="1"/>
  <c r="AL249" i="1" s="1"/>
  <c r="AE256" i="1"/>
  <c r="AE255" i="1"/>
  <c r="AE253" i="1"/>
  <c r="AE252" i="1"/>
  <c r="AE254" i="1"/>
  <c r="AE251" i="1"/>
  <c r="AE250" i="1"/>
  <c r="AE249" i="1"/>
  <c r="W256" i="1"/>
  <c r="V256" i="1"/>
  <c r="W255" i="1"/>
  <c r="V255" i="1"/>
  <c r="W253" i="1"/>
  <c r="V253" i="1"/>
  <c r="W252" i="1"/>
  <c r="V252" i="1"/>
  <c r="W254" i="1"/>
  <c r="V254" i="1"/>
  <c r="W251" i="1"/>
  <c r="V251" i="1"/>
  <c r="W250" i="1"/>
  <c r="V250" i="1"/>
  <c r="W249" i="1"/>
  <c r="V249" i="1"/>
  <c r="AF322" i="1"/>
  <c r="AF321" i="1"/>
  <c r="AF319" i="1"/>
  <c r="AF318" i="1"/>
  <c r="AF320" i="1"/>
  <c r="AF317" i="1"/>
  <c r="AF758" i="1"/>
  <c r="AF316" i="1"/>
  <c r="AF315" i="1"/>
  <c r="AN322" i="1"/>
  <c r="AM322" i="1"/>
  <c r="AL322" i="1" s="1"/>
  <c r="AN321" i="1"/>
  <c r="AM321" i="1"/>
  <c r="AL321" i="1" s="1"/>
  <c r="AN319" i="1"/>
  <c r="AM319" i="1"/>
  <c r="AL319" i="1" s="1"/>
  <c r="AN318" i="1"/>
  <c r="AM318" i="1"/>
  <c r="AL318" i="1" s="1"/>
  <c r="AN320" i="1"/>
  <c r="AM320" i="1"/>
  <c r="AL320" i="1" s="1"/>
  <c r="AN317" i="1"/>
  <c r="AM317" i="1"/>
  <c r="AL317" i="1" s="1"/>
  <c r="AN316" i="1"/>
  <c r="AM316" i="1"/>
  <c r="AL316" i="1" s="1"/>
  <c r="AN315" i="1"/>
  <c r="AM315" i="1"/>
  <c r="AL315" i="1" s="1"/>
  <c r="AE322" i="1"/>
  <c r="W322" i="1"/>
  <c r="V322" i="1"/>
  <c r="AE321" i="1"/>
  <c r="W321" i="1"/>
  <c r="V321" i="1"/>
  <c r="AE319" i="1"/>
  <c r="W319" i="1"/>
  <c r="V319" i="1"/>
  <c r="AE318" i="1"/>
  <c r="W318" i="1"/>
  <c r="V318" i="1"/>
  <c r="AE320" i="1"/>
  <c r="W320" i="1"/>
  <c r="V320" i="1"/>
  <c r="AE317" i="1"/>
  <c r="W317" i="1"/>
  <c r="V317" i="1"/>
  <c r="AE316" i="1"/>
  <c r="W316" i="1"/>
  <c r="V316" i="1"/>
  <c r="AE315" i="1"/>
  <c r="W315" i="1"/>
  <c r="V315" i="1"/>
  <c r="AF764" i="1"/>
  <c r="AF763" i="1"/>
  <c r="AF761" i="1"/>
  <c r="AF760" i="1"/>
  <c r="AF759" i="1"/>
  <c r="AF762" i="1"/>
  <c r="AF757" i="1"/>
  <c r="AN764" i="1"/>
  <c r="AM764" i="1"/>
  <c r="AL764" i="1" s="1"/>
  <c r="AH764" i="1"/>
  <c r="AN763" i="1"/>
  <c r="AM763" i="1"/>
  <c r="AL763" i="1" s="1"/>
  <c r="AH763" i="1"/>
  <c r="AN761" i="1"/>
  <c r="AM761" i="1"/>
  <c r="AL761" i="1" s="1"/>
  <c r="AH761" i="1"/>
  <c r="AN760" i="1"/>
  <c r="AM760" i="1"/>
  <c r="AL760" i="1" s="1"/>
  <c r="AH760" i="1"/>
  <c r="AN762" i="1"/>
  <c r="AM762" i="1"/>
  <c r="AL762" i="1" s="1"/>
  <c r="AH762" i="1"/>
  <c r="AN759" i="1"/>
  <c r="AM759" i="1"/>
  <c r="AL759" i="1" s="1"/>
  <c r="AH759" i="1"/>
  <c r="AN758" i="1"/>
  <c r="AM758" i="1"/>
  <c r="AL758" i="1" s="1"/>
  <c r="AH758" i="1"/>
  <c r="AN757" i="1"/>
  <c r="AM757" i="1"/>
  <c r="AL757" i="1" s="1"/>
  <c r="AH757" i="1"/>
  <c r="AE764" i="1"/>
  <c r="AE763" i="1"/>
  <c r="AE761" i="1"/>
  <c r="AE760" i="1"/>
  <c r="AE762" i="1"/>
  <c r="AE759" i="1"/>
  <c r="AE758" i="1"/>
  <c r="AE757" i="1"/>
  <c r="AA318" i="1" l="1"/>
  <c r="AB318" i="1" s="1"/>
  <c r="AA762" i="1"/>
  <c r="AB762" i="1" s="1"/>
  <c r="AA320" i="1"/>
  <c r="AB320" i="1" s="1"/>
  <c r="AA250" i="1"/>
  <c r="AD250" i="1" s="1"/>
  <c r="AA253" i="1"/>
  <c r="AD253" i="1" s="1"/>
  <c r="AA317" i="1"/>
  <c r="AA251" i="1"/>
  <c r="AA254" i="1"/>
  <c r="AD254" i="1" s="1"/>
  <c r="AA256" i="1"/>
  <c r="AD256" i="1" s="1"/>
  <c r="AA249" i="1"/>
  <c r="AD249" i="1" s="1"/>
  <c r="AA252" i="1"/>
  <c r="AA319" i="1"/>
  <c r="AA255" i="1"/>
  <c r="AD255" i="1" s="1"/>
  <c r="AA759" i="1"/>
  <c r="AA321" i="1"/>
  <c r="AA322" i="1"/>
  <c r="AA315" i="1"/>
  <c r="AA316" i="1"/>
  <c r="AB316" i="1" s="1"/>
  <c r="AA758" i="1"/>
  <c r="AB758" i="1" s="1"/>
  <c r="AA761" i="1"/>
  <c r="AA760" i="1"/>
  <c r="AA764" i="1"/>
  <c r="AA763" i="1"/>
  <c r="AB763" i="1" s="1"/>
  <c r="AA757" i="1"/>
  <c r="AB252" i="1" l="1"/>
  <c r="AD252" i="1"/>
  <c r="AB251" i="1"/>
  <c r="AD251" i="1"/>
  <c r="AB253" i="1"/>
  <c r="AB319" i="1"/>
  <c r="AB250" i="1"/>
  <c r="AB317" i="1"/>
  <c r="AB759" i="1"/>
  <c r="AB254" i="1"/>
  <c r="AB322" i="1"/>
  <c r="AB249" i="1"/>
  <c r="AB255" i="1"/>
  <c r="AB256" i="1"/>
  <c r="AB321" i="1"/>
  <c r="AB764" i="1"/>
  <c r="AB315" i="1"/>
  <c r="AB760" i="1"/>
  <c r="AB757" i="1"/>
  <c r="AB761" i="1"/>
  <c r="AF1829" i="1" l="1"/>
  <c r="AF1827" i="1"/>
  <c r="AN1829" i="1"/>
  <c r="AM1829" i="1"/>
  <c r="AL1829" i="1" s="1"/>
  <c r="AH1829" i="1"/>
  <c r="AE1829" i="1"/>
  <c r="W1829" i="1"/>
  <c r="V1829" i="1"/>
  <c r="AN1827" i="1"/>
  <c r="AM1827" i="1"/>
  <c r="AL1827" i="1" s="1"/>
  <c r="AH1827" i="1"/>
  <c r="AE1827" i="1"/>
  <c r="W1827" i="1"/>
  <c r="V1827" i="1"/>
  <c r="AF1113" i="1"/>
  <c r="AN1113" i="1"/>
  <c r="AM1113" i="1"/>
  <c r="AL1113" i="1" s="1"/>
  <c r="AH1113" i="1"/>
  <c r="AE1113" i="1"/>
  <c r="W1113" i="1"/>
  <c r="V1113" i="1"/>
  <c r="AA1827" i="1" l="1"/>
  <c r="AA1829" i="1"/>
  <c r="AA1113" i="1"/>
  <c r="AD1113" i="1" s="1"/>
  <c r="AB1113" i="1" l="1"/>
  <c r="AF81" i="1"/>
  <c r="AF84" i="1"/>
  <c r="AF80" i="1"/>
  <c r="AF83" i="1"/>
  <c r="AF79" i="1"/>
  <c r="AF82" i="1"/>
  <c r="AM81" i="1"/>
  <c r="AL81" i="1" s="1"/>
  <c r="AH81" i="1"/>
  <c r="AM84" i="1"/>
  <c r="AL84" i="1" s="1"/>
  <c r="AH84" i="1"/>
  <c r="AM80" i="1"/>
  <c r="AL80" i="1" s="1"/>
  <c r="AH80" i="1"/>
  <c r="AM83" i="1"/>
  <c r="AL83" i="1" s="1"/>
  <c r="AH83" i="1"/>
  <c r="AM79" i="1"/>
  <c r="AL79" i="1" s="1"/>
  <c r="AH79" i="1"/>
  <c r="AM82" i="1"/>
  <c r="AL82" i="1" s="1"/>
  <c r="AH82" i="1"/>
  <c r="AE81" i="1"/>
  <c r="AE84" i="1"/>
  <c r="AE80" i="1"/>
  <c r="AE83" i="1"/>
  <c r="AE79" i="1"/>
  <c r="AE82" i="1"/>
  <c r="W81" i="1"/>
  <c r="V81" i="1"/>
  <c r="W84" i="1"/>
  <c r="V84" i="1"/>
  <c r="W80" i="1"/>
  <c r="V80" i="1"/>
  <c r="W83" i="1"/>
  <c r="V83" i="1"/>
  <c r="W79" i="1"/>
  <c r="V79" i="1"/>
  <c r="W82" i="1"/>
  <c r="V82" i="1"/>
  <c r="AF1754" i="1"/>
  <c r="AF1758" i="1"/>
  <c r="AF1753" i="1"/>
  <c r="AF1757" i="1"/>
  <c r="AF1752" i="1"/>
  <c r="AF1756" i="1"/>
  <c r="AN1754" i="1"/>
  <c r="AM1754" i="1"/>
  <c r="AL1754" i="1" s="1"/>
  <c r="AH1754" i="1"/>
  <c r="AN1758" i="1"/>
  <c r="AM1758" i="1"/>
  <c r="AL1758" i="1" s="1"/>
  <c r="AH1758" i="1"/>
  <c r="AN1753" i="1"/>
  <c r="AM1753" i="1"/>
  <c r="AL1753" i="1" s="1"/>
  <c r="AH1753" i="1"/>
  <c r="AN1757" i="1"/>
  <c r="AM1757" i="1"/>
  <c r="AL1757" i="1" s="1"/>
  <c r="AH1757" i="1"/>
  <c r="AN1752" i="1"/>
  <c r="AM1752" i="1"/>
  <c r="AL1752" i="1" s="1"/>
  <c r="AH1752" i="1"/>
  <c r="AN1756" i="1"/>
  <c r="AM1756" i="1"/>
  <c r="AL1756" i="1" s="1"/>
  <c r="AH1756" i="1"/>
  <c r="W1754" i="1"/>
  <c r="V1754" i="1"/>
  <c r="W1758" i="1"/>
  <c r="V1758" i="1"/>
  <c r="W1753" i="1"/>
  <c r="V1753" i="1"/>
  <c r="W1757" i="1"/>
  <c r="V1757" i="1"/>
  <c r="W1752" i="1"/>
  <c r="V1752" i="1"/>
  <c r="W1756" i="1"/>
  <c r="V1756" i="1"/>
  <c r="AE1754" i="1"/>
  <c r="AE1758" i="1"/>
  <c r="AE1753" i="1"/>
  <c r="AE1757" i="1"/>
  <c r="AE1752" i="1"/>
  <c r="AE1756" i="1"/>
  <c r="AN1694" i="1"/>
  <c r="AH1694" i="1"/>
  <c r="AF1694" i="1"/>
  <c r="AE1694" i="1"/>
  <c r="W1694" i="1"/>
  <c r="V1694" i="1"/>
  <c r="U1694" i="1"/>
  <c r="AM1694" i="1" s="1"/>
  <c r="AL1694" i="1" s="1"/>
  <c r="AN2376" i="1"/>
  <c r="AM2376" i="1"/>
  <c r="AL2376" i="1" s="1"/>
  <c r="AH2376" i="1"/>
  <c r="AF2376" i="1"/>
  <c r="AE2376" i="1"/>
  <c r="W2376" i="1"/>
  <c r="V2376" i="1"/>
  <c r="AN2018" i="1"/>
  <c r="AM2018" i="1"/>
  <c r="AL2018" i="1" s="1"/>
  <c r="AH2018" i="1"/>
  <c r="AF2018" i="1"/>
  <c r="AE2018" i="1"/>
  <c r="W2018" i="1"/>
  <c r="V2018" i="1"/>
  <c r="AN1637" i="1"/>
  <c r="AM1637" i="1"/>
  <c r="AL1637" i="1" s="1"/>
  <c r="AH1637" i="1"/>
  <c r="AF1637" i="1"/>
  <c r="AE1637" i="1"/>
  <c r="W1637" i="1"/>
  <c r="V1637" i="1"/>
  <c r="AC1637" i="1" s="1"/>
  <c r="AN145" i="1"/>
  <c r="AM145" i="1"/>
  <c r="AL145" i="1" s="1"/>
  <c r="AH145" i="1"/>
  <c r="AF145" i="1"/>
  <c r="AF146" i="1"/>
  <c r="AA1752" i="1" l="1"/>
  <c r="AB1752" i="1" s="1"/>
  <c r="AA79" i="1"/>
  <c r="AA81" i="1"/>
  <c r="AA83" i="1"/>
  <c r="AA1754" i="1"/>
  <c r="AD1754" i="1" s="1"/>
  <c r="AA80" i="1"/>
  <c r="AA82" i="1"/>
  <c r="AA84" i="1"/>
  <c r="AB84" i="1" s="1"/>
  <c r="AA1757" i="1"/>
  <c r="AD1757" i="1" s="1"/>
  <c r="AA1753" i="1"/>
  <c r="AD1753" i="1" s="1"/>
  <c r="AA1758" i="1"/>
  <c r="AA1756" i="1"/>
  <c r="AD1756" i="1" s="1"/>
  <c r="AA2018" i="1"/>
  <c r="AB2018" i="1" s="1"/>
  <c r="AA2376" i="1"/>
  <c r="AA1694" i="1"/>
  <c r="AD1694" i="1" s="1"/>
  <c r="AA1637" i="1"/>
  <c r="AE145" i="1"/>
  <c r="W145" i="1"/>
  <c r="V145" i="1"/>
  <c r="AN2444" i="1"/>
  <c r="AM2444" i="1"/>
  <c r="AL2444" i="1" s="1"/>
  <c r="AH2444" i="1"/>
  <c r="AN2440" i="1"/>
  <c r="AM2440" i="1"/>
  <c r="AL2440" i="1" s="1"/>
  <c r="AH2440" i="1"/>
  <c r="AF2444" i="1"/>
  <c r="AF2440" i="1"/>
  <c r="AE2444" i="1"/>
  <c r="AE2440" i="1"/>
  <c r="W2444" i="1"/>
  <c r="V2444" i="1"/>
  <c r="W2440" i="1"/>
  <c r="V2440" i="1"/>
  <c r="AN1981" i="1"/>
  <c r="AM1981" i="1"/>
  <c r="AL1981" i="1" s="1"/>
  <c r="AH1981" i="1"/>
  <c r="W1981" i="1"/>
  <c r="V1981" i="1"/>
  <c r="AN1962" i="1"/>
  <c r="AM1962" i="1"/>
  <c r="AL1962" i="1" s="1"/>
  <c r="AH1962" i="1"/>
  <c r="AF1962" i="1"/>
  <c r="AE1962" i="1"/>
  <c r="W1962" i="1"/>
  <c r="V1962" i="1"/>
  <c r="AN1926" i="1"/>
  <c r="AM1926" i="1"/>
  <c r="AL1926" i="1" s="1"/>
  <c r="AH1926" i="1"/>
  <c r="AF1926" i="1"/>
  <c r="AE1926" i="1"/>
  <c r="W1926" i="1"/>
  <c r="V1926" i="1"/>
  <c r="AN1399" i="1"/>
  <c r="AM1399" i="1"/>
  <c r="AL1399" i="1" s="1"/>
  <c r="AH1399" i="1"/>
  <c r="AF1399" i="1"/>
  <c r="AE1399" i="1"/>
  <c r="W1399" i="1"/>
  <c r="V1399" i="1"/>
  <c r="AN1395" i="1"/>
  <c r="AM1395" i="1"/>
  <c r="AL1395" i="1" s="1"/>
  <c r="AH1395" i="1"/>
  <c r="AF1395" i="1"/>
  <c r="AE1395" i="1"/>
  <c r="W1395" i="1"/>
  <c r="V1395" i="1"/>
  <c r="AN1211" i="1"/>
  <c r="AM1211" i="1"/>
  <c r="AL1211" i="1" s="1"/>
  <c r="AH1211" i="1"/>
  <c r="AN1210" i="1"/>
  <c r="AM1210" i="1"/>
  <c r="AL1210" i="1" s="1"/>
  <c r="AH1210" i="1"/>
  <c r="AF1211" i="1"/>
  <c r="AF1210" i="1"/>
  <c r="AE1211" i="1"/>
  <c r="AE1210" i="1"/>
  <c r="W1211" i="1"/>
  <c r="V1211" i="1"/>
  <c r="W1210" i="1"/>
  <c r="V1210" i="1"/>
  <c r="AN994" i="1"/>
  <c r="AM994" i="1"/>
  <c r="AL994" i="1" s="1"/>
  <c r="AH994" i="1"/>
  <c r="AF994" i="1"/>
  <c r="AE994" i="1"/>
  <c r="W994" i="1"/>
  <c r="V994" i="1"/>
  <c r="AN830" i="1"/>
  <c r="AM830" i="1"/>
  <c r="AL830" i="1" s="1"/>
  <c r="AH830" i="1"/>
  <c r="AN827" i="1"/>
  <c r="AM827" i="1"/>
  <c r="AL827" i="1" s="1"/>
  <c r="AH827" i="1"/>
  <c r="AN824" i="1"/>
  <c r="AM824" i="1"/>
  <c r="AL824" i="1" s="1"/>
  <c r="AH824" i="1"/>
  <c r="AF830" i="1"/>
  <c r="AF827" i="1"/>
  <c r="AF824" i="1"/>
  <c r="AE830" i="1"/>
  <c r="AE827" i="1"/>
  <c r="AE824" i="1"/>
  <c r="W830" i="1"/>
  <c r="V830" i="1"/>
  <c r="W827" i="1"/>
  <c r="V827" i="1"/>
  <c r="W824" i="1"/>
  <c r="V824" i="1"/>
  <c r="AN821" i="1"/>
  <c r="AM821" i="1"/>
  <c r="AL821" i="1" s="1"/>
  <c r="AH821" i="1"/>
  <c r="AF821" i="1"/>
  <c r="AE821" i="1"/>
  <c r="W821" i="1"/>
  <c r="V821" i="1"/>
  <c r="AN803" i="1"/>
  <c r="AM803" i="1"/>
  <c r="AL803" i="1" s="1"/>
  <c r="AH803" i="1"/>
  <c r="AE803" i="1"/>
  <c r="AC803" i="1"/>
  <c r="W803" i="1"/>
  <c r="V803" i="1"/>
  <c r="AN778" i="1"/>
  <c r="AM778" i="1"/>
  <c r="AL778" i="1" s="1"/>
  <c r="AH778" i="1"/>
  <c r="AF778" i="1"/>
  <c r="AE778" i="1"/>
  <c r="W778" i="1"/>
  <c r="V778" i="1"/>
  <c r="V776" i="1"/>
  <c r="AN544" i="1"/>
  <c r="AM544" i="1"/>
  <c r="AL544" i="1" s="1"/>
  <c r="AH544" i="1"/>
  <c r="AF544" i="1"/>
  <c r="AE544" i="1"/>
  <c r="W544" i="1"/>
  <c r="V544" i="1"/>
  <c r="AN406" i="1"/>
  <c r="AM406" i="1"/>
  <c r="AL406" i="1" s="1"/>
  <c r="AH406" i="1"/>
  <c r="AF406" i="1"/>
  <c r="AE364" i="1"/>
  <c r="AE406" i="1"/>
  <c r="W406" i="1"/>
  <c r="V406" i="1"/>
  <c r="AM364" i="1"/>
  <c r="AL364" i="1" s="1"/>
  <c r="AH364" i="1"/>
  <c r="AF364" i="1"/>
  <c r="W364" i="1"/>
  <c r="V364" i="1"/>
  <c r="AF337" i="1"/>
  <c r="AD1752" i="1" l="1"/>
  <c r="AB81" i="1"/>
  <c r="AB79" i="1"/>
  <c r="AB1756" i="1"/>
  <c r="AB82" i="1"/>
  <c r="AB1754" i="1"/>
  <c r="AB80" i="1"/>
  <c r="AB83" i="1"/>
  <c r="AB1758" i="1"/>
  <c r="AB1753" i="1"/>
  <c r="AD1758" i="1"/>
  <c r="AB1757" i="1"/>
  <c r="AD2018" i="1"/>
  <c r="AB1694" i="1"/>
  <c r="AB2376" i="1"/>
  <c r="AA145" i="1"/>
  <c r="AD145" i="1" s="1"/>
  <c r="AA803" i="1"/>
  <c r="AD803" i="1" s="1"/>
  <c r="AJ803" i="1" s="1"/>
  <c r="AK803" i="1" s="1"/>
  <c r="AA2444" i="1"/>
  <c r="AA778" i="1"/>
  <c r="AA1395" i="1"/>
  <c r="AA824" i="1"/>
  <c r="AD824" i="1" s="1"/>
  <c r="AA1926" i="1"/>
  <c r="AB1926" i="1" s="1"/>
  <c r="AA1962" i="1"/>
  <c r="AD1962" i="1" s="1"/>
  <c r="AA1981" i="1"/>
  <c r="AA1399" i="1"/>
  <c r="AA830" i="1"/>
  <c r="AD830" i="1" s="1"/>
  <c r="AA2440" i="1"/>
  <c r="AA544" i="1"/>
  <c r="AD544" i="1" s="1"/>
  <c r="AA364" i="1"/>
  <c r="AD364" i="1" s="1"/>
  <c r="AA1210" i="1"/>
  <c r="AB1210" i="1" s="1"/>
  <c r="AA1211" i="1"/>
  <c r="AA406" i="1"/>
  <c r="AA821" i="1"/>
  <c r="AD821" i="1" s="1"/>
  <c r="AA827" i="1"/>
  <c r="AD827" i="1" s="1"/>
  <c r="AA994" i="1"/>
  <c r="AD994" i="1" s="1"/>
  <c r="AD1147" i="1"/>
  <c r="AF1130" i="1"/>
  <c r="AF1755" i="1"/>
  <c r="AF135" i="1"/>
  <c r="E172" i="5"/>
  <c r="AH146" i="1"/>
  <c r="AM146" i="1"/>
  <c r="AL146" i="1" s="1"/>
  <c r="AN146" i="1"/>
  <c r="AH135" i="1"/>
  <c r="AM135" i="1"/>
  <c r="AL135" i="1" s="1"/>
  <c r="AN135" i="1"/>
  <c r="AH1755" i="1"/>
  <c r="AM1755" i="1"/>
  <c r="AL1755" i="1" s="1"/>
  <c r="AN1755" i="1"/>
  <c r="AH911" i="1"/>
  <c r="AM911" i="1"/>
  <c r="AL911" i="1" s="1"/>
  <c r="AN911" i="1"/>
  <c r="AF911" i="1"/>
  <c r="AE146" i="1"/>
  <c r="AE1755" i="1"/>
  <c r="AE911" i="1"/>
  <c r="AE135" i="1"/>
  <c r="AB1981" i="1" l="1"/>
  <c r="AB145" i="1"/>
  <c r="AB778" i="1"/>
  <c r="AB803" i="1"/>
  <c r="AB1395" i="1"/>
  <c r="AB2444" i="1"/>
  <c r="AD778" i="1"/>
  <c r="AD1926" i="1"/>
  <c r="AB1211" i="1"/>
  <c r="AB406" i="1"/>
  <c r="AB824" i="1"/>
  <c r="AB364" i="1"/>
  <c r="AB821" i="1"/>
  <c r="AB1962" i="1"/>
  <c r="AB2440" i="1"/>
  <c r="AB544" i="1"/>
  <c r="AB830" i="1"/>
  <c r="AB1399" i="1"/>
  <c r="AB827" i="1"/>
  <c r="AB994" i="1"/>
  <c r="AN1130" i="1"/>
  <c r="AM1130" i="1"/>
  <c r="AL1130" i="1" s="1"/>
  <c r="AH1130" i="1"/>
  <c r="AE1130" i="1"/>
  <c r="AN2112" i="1"/>
  <c r="AM2112" i="1"/>
  <c r="AL2112" i="1" s="1"/>
  <c r="AH2112" i="1"/>
  <c r="AN2107" i="1"/>
  <c r="AM2107" i="1"/>
  <c r="AL2107" i="1" s="1"/>
  <c r="AH2107" i="1"/>
  <c r="AE2112" i="1"/>
  <c r="AE2107" i="1"/>
  <c r="AN710" i="1"/>
  <c r="AM710" i="1"/>
  <c r="AL710" i="1" s="1"/>
  <c r="AH710" i="1"/>
  <c r="AF710" i="1"/>
  <c r="AE710" i="1"/>
  <c r="AF2358" i="1"/>
  <c r="AF894" i="1"/>
  <c r="AN2358" i="1"/>
  <c r="AM2358" i="1"/>
  <c r="AL2358" i="1" s="1"/>
  <c r="AH2358" i="1"/>
  <c r="AN894" i="1"/>
  <c r="AM894" i="1"/>
  <c r="AL894" i="1" s="1"/>
  <c r="AH894" i="1"/>
  <c r="AE2358" i="1"/>
  <c r="AE894" i="1"/>
  <c r="W146" i="1"/>
  <c r="W710" i="1"/>
  <c r="W894" i="1"/>
  <c r="W911" i="1"/>
  <c r="W1130" i="1"/>
  <c r="W1755" i="1"/>
  <c r="W2107" i="1"/>
  <c r="W2112" i="1"/>
  <c r="W2358" i="1"/>
  <c r="W135" i="1"/>
  <c r="V146" i="1"/>
  <c r="V710" i="1"/>
  <c r="V894" i="1"/>
  <c r="V911" i="1"/>
  <c r="V1130" i="1"/>
  <c r="V1755" i="1"/>
  <c r="V2107" i="1"/>
  <c r="V2112" i="1"/>
  <c r="V2358" i="1"/>
  <c r="AN215" i="1"/>
  <c r="AM215" i="1"/>
  <c r="AL215" i="1" s="1"/>
  <c r="AH215" i="1"/>
  <c r="AF215" i="1"/>
  <c r="AE215" i="1"/>
  <c r="W215" i="1"/>
  <c r="V215" i="1"/>
  <c r="AN78" i="1"/>
  <c r="AM78" i="1"/>
  <c r="AL78" i="1" s="1"/>
  <c r="AH78" i="1"/>
  <c r="AF78" i="1"/>
  <c r="AE78" i="1"/>
  <c r="AN18" i="1"/>
  <c r="AM18" i="1"/>
  <c r="AL18" i="1" s="1"/>
  <c r="AH18" i="1"/>
  <c r="AF18" i="1"/>
  <c r="AE18" i="1"/>
  <c r="W18" i="1"/>
  <c r="V18" i="1"/>
  <c r="AN17" i="1"/>
  <c r="AM17" i="1"/>
  <c r="AL17" i="1" s="1"/>
  <c r="AH17" i="1"/>
  <c r="AF17" i="1"/>
  <c r="AE17" i="1"/>
  <c r="W17" i="1"/>
  <c r="V17" i="1"/>
  <c r="AM89" i="1"/>
  <c r="AL89" i="1" s="1"/>
  <c r="AH89" i="1"/>
  <c r="AE89" i="1"/>
  <c r="W89" i="1"/>
  <c r="V89" i="1"/>
  <c r="AF89" i="1"/>
  <c r="AF466" i="1"/>
  <c r="AF465" i="1"/>
  <c r="AA135" i="1" l="1"/>
  <c r="AB135" i="1" s="1"/>
  <c r="AA894" i="1"/>
  <c r="AB894" i="1" s="1"/>
  <c r="AA710" i="1"/>
  <c r="AA2358" i="1"/>
  <c r="AB2358" i="1" s="1"/>
  <c r="AA18" i="1"/>
  <c r="AB18" i="1" s="1"/>
  <c r="AA911" i="1"/>
  <c r="AA78" i="1"/>
  <c r="AB78" i="1" s="1"/>
  <c r="AA2112" i="1"/>
  <c r="AA146" i="1"/>
  <c r="AA2107" i="1"/>
  <c r="AA1755" i="1"/>
  <c r="AA1130" i="1"/>
  <c r="AA215" i="1"/>
  <c r="AA89" i="1"/>
  <c r="AA17" i="1"/>
  <c r="AF402" i="1"/>
  <c r="AF1635" i="1"/>
  <c r="AM402" i="1"/>
  <c r="AL402" i="1" s="1"/>
  <c r="AM465" i="1"/>
  <c r="AL465" i="1" s="1"/>
  <c r="AH465" i="1"/>
  <c r="AM466" i="1"/>
  <c r="AL466" i="1" s="1"/>
  <c r="AH466" i="1"/>
  <c r="AM1635" i="1"/>
  <c r="AL1635" i="1" s="1"/>
  <c r="AH1635" i="1"/>
  <c r="AE402" i="1"/>
  <c r="AE465" i="1"/>
  <c r="AE466" i="1"/>
  <c r="AE1635" i="1"/>
  <c r="W1635" i="1"/>
  <c r="V1635" i="1"/>
  <c r="AC1635" i="1" s="1"/>
  <c r="W466" i="1"/>
  <c r="V466" i="1"/>
  <c r="W465" i="1"/>
  <c r="V465" i="1"/>
  <c r="AC465" i="1" s="1"/>
  <c r="W402" i="1"/>
  <c r="V402" i="1"/>
  <c r="AM2438" i="1"/>
  <c r="AL2438" i="1" s="1"/>
  <c r="AF2438" i="1"/>
  <c r="AE2438" i="1"/>
  <c r="AC2438" i="1"/>
  <c r="AA2438" i="1"/>
  <c r="AF1692" i="1"/>
  <c r="AO1692" i="1"/>
  <c r="AN1692" i="1"/>
  <c r="AM1692" i="1"/>
  <c r="AL1692" i="1" s="1"/>
  <c r="AH1692" i="1"/>
  <c r="AE1692" i="1"/>
  <c r="W1692" i="1"/>
  <c r="V1692" i="1"/>
  <c r="AN1280" i="1"/>
  <c r="AH1280" i="1"/>
  <c r="AF1280" i="1"/>
  <c r="AE1280" i="1"/>
  <c r="AC1280" i="1"/>
  <c r="W1280" i="1"/>
  <c r="V1280" i="1"/>
  <c r="U1280" i="1"/>
  <c r="AM1280" i="1" s="1"/>
  <c r="AL1280" i="1" s="1"/>
  <c r="AF335" i="1"/>
  <c r="AN335" i="1"/>
  <c r="AM335" i="1"/>
  <c r="AL335" i="1" s="1"/>
  <c r="AH335" i="1"/>
  <c r="AE335" i="1"/>
  <c r="AA335" i="1"/>
  <c r="AD335" i="1" s="1"/>
  <c r="AD135" i="1" l="1"/>
  <c r="AB911" i="1"/>
  <c r="AD911" i="1"/>
  <c r="AB1755" i="1"/>
  <c r="AD1755" i="1"/>
  <c r="AB146" i="1"/>
  <c r="AD146" i="1"/>
  <c r="AD2112" i="1"/>
  <c r="AB2112" i="1"/>
  <c r="AD710" i="1"/>
  <c r="AB710" i="1"/>
  <c r="AB1130" i="1"/>
  <c r="AD1130" i="1"/>
  <c r="AB2107" i="1"/>
  <c r="AD2107" i="1"/>
  <c r="AB215" i="1"/>
  <c r="AB17" i="1"/>
  <c r="AB89" i="1"/>
  <c r="AA402" i="1"/>
  <c r="AA466" i="1"/>
  <c r="AC402" i="1"/>
  <c r="AA1635" i="1"/>
  <c r="AA465" i="1"/>
  <c r="AC466" i="1"/>
  <c r="AA1692" i="1"/>
  <c r="AA1280" i="1"/>
  <c r="AB335" i="1"/>
  <c r="AB1692" i="1" l="1"/>
  <c r="AD1692" i="1"/>
  <c r="AD1280" i="1"/>
  <c r="AB1280" i="1"/>
  <c r="AJ1280" i="1" l="1"/>
  <c r="AK1280" i="1" s="1"/>
  <c r="AF76" i="1"/>
  <c r="AN76" i="1"/>
  <c r="AM76" i="1"/>
  <c r="AL76" i="1" s="1"/>
  <c r="AH76" i="1"/>
  <c r="AE76" i="1"/>
  <c r="W76" i="1"/>
  <c r="V76" i="1"/>
  <c r="AM345" i="1"/>
  <c r="AL345" i="1" s="1"/>
  <c r="AH345" i="1"/>
  <c r="AF345" i="1"/>
  <c r="AE345" i="1"/>
  <c r="W345" i="1"/>
  <c r="V345" i="1"/>
  <c r="AM341" i="1"/>
  <c r="AL341" i="1" s="1"/>
  <c r="AH341" i="1"/>
  <c r="AF341" i="1"/>
  <c r="AE341" i="1"/>
  <c r="W341" i="1"/>
  <c r="V341" i="1"/>
  <c r="W2178" i="1"/>
  <c r="AH2179" i="1"/>
  <c r="AH2178" i="1"/>
  <c r="AF2179" i="1"/>
  <c r="AE2179" i="1"/>
  <c r="AF2178" i="1"/>
  <c r="AE2178" i="1"/>
  <c r="W2179" i="1"/>
  <c r="V2179" i="1"/>
  <c r="U2179" i="1"/>
  <c r="AM2179" i="1" s="1"/>
  <c r="AL2179" i="1" s="1"/>
  <c r="V2178" i="1"/>
  <c r="U2178" i="1"/>
  <c r="AM2178" i="1" s="1"/>
  <c r="AL2178" i="1" s="1"/>
  <c r="W591" i="1"/>
  <c r="V591" i="1"/>
  <c r="V572" i="1"/>
  <c r="AE591" i="1"/>
  <c r="AH591" i="1"/>
  <c r="AM591" i="1"/>
  <c r="AL591" i="1" s="1"/>
  <c r="AN591" i="1"/>
  <c r="AF416" i="1"/>
  <c r="AE416" i="1"/>
  <c r="AH416" i="1"/>
  <c r="AN416" i="1"/>
  <c r="W416" i="1"/>
  <c r="V416" i="1"/>
  <c r="U416" i="1"/>
  <c r="AM416" i="1" s="1"/>
  <c r="AL416" i="1" s="1"/>
  <c r="AF1204" i="1"/>
  <c r="AM1204" i="1"/>
  <c r="AN1204" i="1"/>
  <c r="W1204" i="1"/>
  <c r="Z1204" i="1" s="1"/>
  <c r="V1204" i="1"/>
  <c r="V1206" i="1"/>
  <c r="B40" i="3"/>
  <c r="AB1204" i="1" l="1"/>
  <c r="Y1204" i="1"/>
  <c r="AA1204" i="1" s="1"/>
  <c r="AD1204" i="1"/>
  <c r="AA76" i="1"/>
  <c r="AA345" i="1"/>
  <c r="AD345" i="1" s="1"/>
  <c r="AA2179" i="1"/>
  <c r="AA2178" i="1"/>
  <c r="AA341" i="1"/>
  <c r="AB341" i="1" s="1"/>
  <c r="AA591" i="1"/>
  <c r="AA416" i="1"/>
  <c r="AN1003" i="1"/>
  <c r="AH1003" i="1"/>
  <c r="AF1003" i="1"/>
  <c r="AE1003" i="1"/>
  <c r="W1003" i="1"/>
  <c r="V1003" i="1"/>
  <c r="U1003" i="1"/>
  <c r="T1003" i="1"/>
  <c r="AN2355" i="1"/>
  <c r="AM2355" i="1"/>
  <c r="AL2355" i="1" s="1"/>
  <c r="AH2355" i="1"/>
  <c r="AF2355" i="1"/>
  <c r="AE2355" i="1"/>
  <c r="W2355" i="1"/>
  <c r="V2355" i="1"/>
  <c r="AF2475" i="1"/>
  <c r="AN2475" i="1"/>
  <c r="AM2475" i="1"/>
  <c r="AL2475" i="1" s="1"/>
  <c r="AH2475" i="1"/>
  <c r="W2475" i="1"/>
  <c r="V2475" i="1"/>
  <c r="AE2475" i="1"/>
  <c r="AF2501" i="1"/>
  <c r="AF2500" i="1"/>
  <c r="AF1902" i="1"/>
  <c r="AB345" i="1" l="1"/>
  <c r="AB76" i="1"/>
  <c r="AD341" i="1"/>
  <c r="AB2179" i="1"/>
  <c r="AB2178" i="1"/>
  <c r="AB591" i="1"/>
  <c r="AB416" i="1"/>
  <c r="AD416" i="1"/>
  <c r="AA1003" i="1"/>
  <c r="AD1003" i="1" s="1"/>
  <c r="AM1003" i="1"/>
  <c r="AL1003" i="1" s="1"/>
  <c r="AA2355" i="1"/>
  <c r="AB2355" i="1" s="1"/>
  <c r="AA2475" i="1"/>
  <c r="AF2464" i="1"/>
  <c r="AF2469" i="1"/>
  <c r="AF2169" i="1"/>
  <c r="AF1537" i="1"/>
  <c r="AF1010" i="1"/>
  <c r="AN2169" i="1"/>
  <c r="AM2169" i="1"/>
  <c r="AL2169" i="1" s="1"/>
  <c r="AH2169" i="1"/>
  <c r="AN1537" i="1"/>
  <c r="AM1537" i="1"/>
  <c r="AL1537" i="1" s="1"/>
  <c r="AH1537" i="1"/>
  <c r="AN1010" i="1"/>
  <c r="AM1010" i="1"/>
  <c r="AL1010" i="1" s="1"/>
  <c r="AH1010" i="1"/>
  <c r="AN900" i="1"/>
  <c r="AM900" i="1"/>
  <c r="AL900" i="1" s="1"/>
  <c r="AH900" i="1"/>
  <c r="AN198" i="1"/>
  <c r="AM198" i="1"/>
  <c r="AL198" i="1" s="1"/>
  <c r="AH198" i="1"/>
  <c r="AF900" i="1"/>
  <c r="AE2169" i="1"/>
  <c r="AE1537" i="1"/>
  <c r="AE1010" i="1"/>
  <c r="AE900" i="1"/>
  <c r="AE198" i="1"/>
  <c r="W2169" i="1"/>
  <c r="V2169" i="1"/>
  <c r="W1010" i="1"/>
  <c r="V1010" i="1"/>
  <c r="W900" i="1"/>
  <c r="V900" i="1"/>
  <c r="W198" i="1"/>
  <c r="V198" i="1"/>
  <c r="AC2069" i="1"/>
  <c r="AE2069" i="1"/>
  <c r="AB2475" i="1" l="1"/>
  <c r="AA198" i="1"/>
  <c r="AB198" i="1" s="1"/>
  <c r="AD198" i="1" s="1"/>
  <c r="AA2169" i="1"/>
  <c r="AB2169" i="1" s="1"/>
  <c r="AD2169" i="1" s="1"/>
  <c r="AA900" i="1"/>
  <c r="AB900" i="1" s="1"/>
  <c r="AA1537" i="1"/>
  <c r="AA1010" i="1"/>
  <c r="AB1010" i="1" s="1"/>
  <c r="AD1010" i="1" s="1"/>
  <c r="AF2069" i="1"/>
  <c r="AF430" i="1"/>
  <c r="AN430" i="1"/>
  <c r="AH430" i="1"/>
  <c r="AE430" i="1"/>
  <c r="AC430" i="1"/>
  <c r="W430" i="1"/>
  <c r="V430" i="1"/>
  <c r="U430" i="1"/>
  <c r="AM430" i="1" s="1"/>
  <c r="AL430" i="1" s="1"/>
  <c r="AF1396" i="1"/>
  <c r="AN1396" i="1"/>
  <c r="AH1396" i="1"/>
  <c r="AE1396" i="1"/>
  <c r="W1396" i="1"/>
  <c r="V1396" i="1"/>
  <c r="U1396" i="1"/>
  <c r="AM1396" i="1" s="1"/>
  <c r="AL1396" i="1" s="1"/>
  <c r="AF387" i="1"/>
  <c r="AF386" i="1"/>
  <c r="AF2134" i="1"/>
  <c r="AN2134" i="1"/>
  <c r="AM2134" i="1"/>
  <c r="AL2134" i="1" s="1"/>
  <c r="AH2134" i="1"/>
  <c r="AE2134" i="1"/>
  <c r="W2134" i="1"/>
  <c r="V2134" i="1"/>
  <c r="AF1847" i="1"/>
  <c r="AN1847" i="1"/>
  <c r="AM1847" i="1"/>
  <c r="AL1847" i="1" s="1"/>
  <c r="AH1847" i="1"/>
  <c r="AE1847" i="1"/>
  <c r="AF1764" i="1"/>
  <c r="AF1765" i="1"/>
  <c r="AN1764" i="1"/>
  <c r="AM1764" i="1"/>
  <c r="AL1764" i="1" s="1"/>
  <c r="AH1764" i="1"/>
  <c r="AE1764" i="1"/>
  <c r="W1764" i="1"/>
  <c r="V1764" i="1"/>
  <c r="AF1662" i="1"/>
  <c r="AN1662" i="1"/>
  <c r="AM1662" i="1"/>
  <c r="AL1662" i="1" s="1"/>
  <c r="AH1662" i="1"/>
  <c r="AE1662" i="1"/>
  <c r="W1662" i="1"/>
  <c r="V1662" i="1"/>
  <c r="AF1649" i="1"/>
  <c r="AN1649" i="1"/>
  <c r="AM1649" i="1"/>
  <c r="AL1649" i="1" s="1"/>
  <c r="AH1649" i="1"/>
  <c r="AE1649" i="1"/>
  <c r="W1649" i="1"/>
  <c r="V1649" i="1"/>
  <c r="AN944" i="1"/>
  <c r="AM944" i="1"/>
  <c r="AL944" i="1" s="1"/>
  <c r="AH944" i="1"/>
  <c r="AF944" i="1"/>
  <c r="AE944" i="1"/>
  <c r="W944" i="1"/>
  <c r="V944" i="1"/>
  <c r="AF933" i="1"/>
  <c r="AN933" i="1"/>
  <c r="AM933" i="1"/>
  <c r="AL933" i="1" s="1"/>
  <c r="AH933" i="1"/>
  <c r="AE933" i="1"/>
  <c r="W933" i="1"/>
  <c r="V933" i="1"/>
  <c r="AF842" i="1"/>
  <c r="AN842" i="1"/>
  <c r="AM842" i="1"/>
  <c r="AL842" i="1" s="1"/>
  <c r="AH842" i="1"/>
  <c r="AE842" i="1"/>
  <c r="AF475" i="1"/>
  <c r="AN475" i="1"/>
  <c r="AM475" i="1"/>
  <c r="AL475" i="1" s="1"/>
  <c r="AH475" i="1"/>
  <c r="AE475" i="1"/>
  <c r="W475" i="1"/>
  <c r="V475" i="1"/>
  <c r="AN387" i="1"/>
  <c r="AM387" i="1"/>
  <c r="AL387" i="1" s="1"/>
  <c r="AH387" i="1"/>
  <c r="AE387" i="1"/>
  <c r="W387" i="1"/>
  <c r="V387" i="1"/>
  <c r="AN384" i="1"/>
  <c r="AM384" i="1"/>
  <c r="AL384" i="1" s="1"/>
  <c r="AH384" i="1"/>
  <c r="AF384" i="1"/>
  <c r="AE384" i="1"/>
  <c r="W384" i="1"/>
  <c r="V384" i="1"/>
  <c r="AF142" i="1"/>
  <c r="AF139" i="1"/>
  <c r="AN142" i="1"/>
  <c r="AM142" i="1"/>
  <c r="AL142" i="1" s="1"/>
  <c r="AH142" i="1"/>
  <c r="AE142" i="1"/>
  <c r="W142" i="1"/>
  <c r="V142" i="1"/>
  <c r="AN139" i="1"/>
  <c r="AM139" i="1"/>
  <c r="AL139" i="1" s="1"/>
  <c r="AH139" i="1"/>
  <c r="AE139" i="1"/>
  <c r="W139" i="1"/>
  <c r="V139" i="1"/>
  <c r="AB1537" i="1" l="1"/>
  <c r="AA430" i="1"/>
  <c r="AA1396" i="1"/>
  <c r="AA1847" i="1"/>
  <c r="AD1847" i="1" s="1"/>
  <c r="AA1649" i="1"/>
  <c r="AB1649" i="1" s="1"/>
  <c r="AA1662" i="1"/>
  <c r="AD1662" i="1" s="1"/>
  <c r="AA2134" i="1"/>
  <c r="AA1764" i="1"/>
  <c r="AD1764" i="1" s="1"/>
  <c r="AA842" i="1"/>
  <c r="AD842" i="1" s="1"/>
  <c r="AA933" i="1"/>
  <c r="AD933" i="1" s="1"/>
  <c r="AA944" i="1"/>
  <c r="AB944" i="1" s="1"/>
  <c r="AD944" i="1" s="1"/>
  <c r="AA139" i="1"/>
  <c r="AA475" i="1"/>
  <c r="AA142" i="1"/>
  <c r="AA384" i="1"/>
  <c r="AA387" i="1"/>
  <c r="AB1396" i="1" l="1"/>
  <c r="AB1847" i="1"/>
  <c r="AD1649" i="1"/>
  <c r="AB1662" i="1"/>
  <c r="AB2134" i="1"/>
  <c r="AB1764" i="1"/>
  <c r="AB475" i="1"/>
  <c r="AB933" i="1"/>
  <c r="AB842" i="1"/>
  <c r="AB139" i="1"/>
  <c r="AB142" i="1"/>
  <c r="AB384" i="1"/>
  <c r="AD384" i="1"/>
  <c r="AB387" i="1"/>
  <c r="AN1985" i="1" l="1"/>
  <c r="AM1985" i="1"/>
  <c r="AL1985" i="1" s="1"/>
  <c r="AH1985" i="1"/>
  <c r="AF1985" i="1"/>
  <c r="AE1985" i="1"/>
  <c r="W1985" i="1"/>
  <c r="V1985" i="1"/>
  <c r="AM569" i="1"/>
  <c r="AL569" i="1" s="1"/>
  <c r="AH569" i="1"/>
  <c r="AF569" i="1"/>
  <c r="AE569" i="1"/>
  <c r="W569" i="1"/>
  <c r="V569" i="1"/>
  <c r="AN340" i="1"/>
  <c r="AM340" i="1"/>
  <c r="AL340" i="1" s="1"/>
  <c r="AH340" i="1"/>
  <c r="AF340" i="1"/>
  <c r="AE340" i="1"/>
  <c r="W340" i="1"/>
  <c r="V340" i="1"/>
  <c r="AN344" i="1"/>
  <c r="AM344" i="1"/>
  <c r="AL344" i="1" s="1"/>
  <c r="AH344" i="1"/>
  <c r="AF344" i="1"/>
  <c r="AE344" i="1"/>
  <c r="W344" i="1"/>
  <c r="V344" i="1"/>
  <c r="AF1317" i="1"/>
  <c r="AN1317" i="1"/>
  <c r="AM1317" i="1"/>
  <c r="AL1317" i="1" s="1"/>
  <c r="AH1317" i="1"/>
  <c r="AE1317" i="1"/>
  <c r="W1317" i="1"/>
  <c r="V1317" i="1"/>
  <c r="AN342" i="1"/>
  <c r="AM342" i="1"/>
  <c r="AL342" i="1" s="1"/>
  <c r="AH342" i="1"/>
  <c r="AN339" i="1"/>
  <c r="AM339" i="1"/>
  <c r="AL339" i="1" s="1"/>
  <c r="AH339" i="1"/>
  <c r="AF342" i="1"/>
  <c r="AF339" i="1"/>
  <c r="AE342" i="1"/>
  <c r="AE339" i="1"/>
  <c r="W342" i="1"/>
  <c r="V342" i="1"/>
  <c r="W339" i="1"/>
  <c r="V339" i="1"/>
  <c r="AM568" i="1"/>
  <c r="AL568" i="1" s="1"/>
  <c r="AH568" i="1"/>
  <c r="W568" i="1"/>
  <c r="V568" i="1"/>
  <c r="AF568" i="1"/>
  <c r="AE568" i="1"/>
  <c r="AA1317" i="1" l="1"/>
  <c r="AD1317" i="1" s="1"/>
  <c r="AA340" i="1"/>
  <c r="AD340" i="1" s="1"/>
  <c r="AA569" i="1"/>
  <c r="AA1985" i="1"/>
  <c r="AA344" i="1"/>
  <c r="AD344" i="1" s="1"/>
  <c r="AA568" i="1"/>
  <c r="AA342" i="1"/>
  <c r="AA339" i="1"/>
  <c r="AB339" i="1" s="1"/>
  <c r="AN2135" i="1"/>
  <c r="AM2135" i="1"/>
  <c r="AL2135" i="1" s="1"/>
  <c r="AH2135" i="1"/>
  <c r="AN2069" i="1"/>
  <c r="AM2069" i="1"/>
  <c r="AL2069" i="1" s="1"/>
  <c r="AN2042" i="1"/>
  <c r="AM2042" i="1"/>
  <c r="AL2042" i="1" s="1"/>
  <c r="AF2135" i="1"/>
  <c r="AF2042" i="1"/>
  <c r="AE2135" i="1"/>
  <c r="AE2042" i="1"/>
  <c r="AC2042" i="1"/>
  <c r="W2135" i="1"/>
  <c r="V2135" i="1"/>
  <c r="W2069" i="1"/>
  <c r="V2069" i="1"/>
  <c r="W2042" i="1"/>
  <c r="V2042" i="1"/>
  <c r="AN1833" i="1"/>
  <c r="AM1833" i="1"/>
  <c r="AL1833" i="1" s="1"/>
  <c r="AH1833" i="1"/>
  <c r="AF1833" i="1"/>
  <c r="AE1833" i="1"/>
  <c r="AC1833" i="1"/>
  <c r="W1833" i="1"/>
  <c r="V1833" i="1"/>
  <c r="AN1553" i="1"/>
  <c r="AM1553" i="1"/>
  <c r="AL1553" i="1" s="1"/>
  <c r="AF1553" i="1"/>
  <c r="AE1553" i="1"/>
  <c r="AC1553" i="1"/>
  <c r="W1553" i="1"/>
  <c r="V1553" i="1"/>
  <c r="AF174" i="1"/>
  <c r="AN174" i="1"/>
  <c r="AM174" i="1"/>
  <c r="AL174" i="1" s="1"/>
  <c r="AH174" i="1"/>
  <c r="AE174" i="1"/>
  <c r="W174" i="1"/>
  <c r="V174" i="1"/>
  <c r="AH697" i="1"/>
  <c r="AM697" i="1"/>
  <c r="AL697" i="1" s="1"/>
  <c r="AN697" i="1"/>
  <c r="AF697" i="1"/>
  <c r="AE697" i="1"/>
  <c r="AA697" i="1"/>
  <c r="AH476" i="1"/>
  <c r="AM476" i="1"/>
  <c r="AL476" i="1" s="1"/>
  <c r="AN476" i="1"/>
  <c r="AF476" i="1"/>
  <c r="AE476" i="1"/>
  <c r="V476" i="1"/>
  <c r="W476" i="1"/>
  <c r="AH386" i="1"/>
  <c r="AM386" i="1"/>
  <c r="AL386" i="1" s="1"/>
  <c r="AN386" i="1"/>
  <c r="AE386" i="1"/>
  <c r="V386" i="1"/>
  <c r="W386" i="1"/>
  <c r="AH378" i="1"/>
  <c r="AM378" i="1"/>
  <c r="AL378" i="1" s="1"/>
  <c r="AN378" i="1"/>
  <c r="AF378" i="1"/>
  <c r="AE378" i="1"/>
  <c r="AM362" i="1"/>
  <c r="AN362" i="1"/>
  <c r="AF362" i="1"/>
  <c r="AC362" i="1"/>
  <c r="V362" i="1"/>
  <c r="W362" i="1"/>
  <c r="Z362" i="1" s="1"/>
  <c r="AH143" i="1"/>
  <c r="AM143" i="1"/>
  <c r="AL143" i="1" s="1"/>
  <c r="AN143" i="1"/>
  <c r="AF143" i="1"/>
  <c r="AE143" i="1"/>
  <c r="V143" i="1"/>
  <c r="W143" i="1"/>
  <c r="AH140" i="1"/>
  <c r="AM140" i="1"/>
  <c r="AL140" i="1" s="1"/>
  <c r="AN140" i="1"/>
  <c r="AF140" i="1"/>
  <c r="AE140" i="1"/>
  <c r="V140" i="1"/>
  <c r="W140" i="1"/>
  <c r="AF2442" i="1"/>
  <c r="AE2442" i="1"/>
  <c r="W2442" i="1"/>
  <c r="V2442" i="1"/>
  <c r="AM695" i="1"/>
  <c r="AL695" i="1" s="1"/>
  <c r="AH695" i="1"/>
  <c r="AF695" i="1"/>
  <c r="AE695" i="1"/>
  <c r="W695" i="1"/>
  <c r="V695" i="1"/>
  <c r="AN1502" i="1"/>
  <c r="AM1502" i="1"/>
  <c r="AL1502" i="1" s="1"/>
  <c r="AH1502" i="1"/>
  <c r="AF1502" i="1"/>
  <c r="AE1502" i="1"/>
  <c r="W1502" i="1"/>
  <c r="V1502" i="1"/>
  <c r="AF1320" i="1"/>
  <c r="AN1320" i="1"/>
  <c r="AM1320" i="1"/>
  <c r="AL1320" i="1" s="1"/>
  <c r="AH1320" i="1"/>
  <c r="AE1320" i="1"/>
  <c r="W1320" i="1"/>
  <c r="V1320" i="1"/>
  <c r="AF1428" i="1"/>
  <c r="AN1428" i="1"/>
  <c r="AH1428" i="1"/>
  <c r="AE1428" i="1"/>
  <c r="W1428" i="1"/>
  <c r="V1428" i="1"/>
  <c r="U1428" i="1"/>
  <c r="T1428" i="1"/>
  <c r="AF2162" i="1"/>
  <c r="Y362" i="1" l="1"/>
  <c r="AA362" i="1" s="1"/>
  <c r="AD362" i="1" s="1"/>
  <c r="AB362" i="1"/>
  <c r="AB568" i="1"/>
  <c r="AB342" i="1"/>
  <c r="AA1553" i="1"/>
  <c r="AB1553" i="1" s="1"/>
  <c r="AA1833" i="1"/>
  <c r="AA2069" i="1"/>
  <c r="AD2069" i="1" s="1"/>
  <c r="AA2042" i="1"/>
  <c r="AD2042" i="1" s="1"/>
  <c r="AJ2042" i="1" s="1"/>
  <c r="AK2042" i="1" s="1"/>
  <c r="AA2135" i="1"/>
  <c r="AA1320" i="1"/>
  <c r="AA174" i="1"/>
  <c r="AD174" i="1" s="1"/>
  <c r="AA2442" i="1"/>
  <c r="AA143" i="1"/>
  <c r="AA378" i="1"/>
  <c r="AA386" i="1"/>
  <c r="AA476" i="1"/>
  <c r="AC697" i="1"/>
  <c r="AA140" i="1"/>
  <c r="AA1502" i="1"/>
  <c r="AD1502" i="1" s="1"/>
  <c r="AA695" i="1"/>
  <c r="AB695" i="1" s="1"/>
  <c r="AM1428" i="1"/>
  <c r="AL1428" i="1" s="1"/>
  <c r="AA1428" i="1"/>
  <c r="AN2162" i="1"/>
  <c r="AM2162" i="1"/>
  <c r="AL2162" i="1" s="1"/>
  <c r="AH2162" i="1"/>
  <c r="AE2162" i="1"/>
  <c r="W2162" i="1"/>
  <c r="V2162" i="1"/>
  <c r="AF1083" i="1"/>
  <c r="AF637" i="1"/>
  <c r="AF1840" i="1"/>
  <c r="AF2567" i="1"/>
  <c r="AF2496" i="1"/>
  <c r="AF2476" i="1"/>
  <c r="AF1903" i="1"/>
  <c r="AF1895" i="1"/>
  <c r="AF1509" i="1"/>
  <c r="AF987" i="1"/>
  <c r="AF328" i="1"/>
  <c r="AN2567" i="1"/>
  <c r="AM2567" i="1"/>
  <c r="AL2567" i="1" s="1"/>
  <c r="AN2496" i="1"/>
  <c r="AM2496" i="1"/>
  <c r="AL2496" i="1" s="1"/>
  <c r="AN2476" i="1"/>
  <c r="AM2476" i="1"/>
  <c r="AL2476" i="1" s="1"/>
  <c r="AN2185" i="1"/>
  <c r="AM2185" i="1"/>
  <c r="AN1903" i="1"/>
  <c r="AM1903" i="1"/>
  <c r="AL1903" i="1" s="1"/>
  <c r="AN1895" i="1"/>
  <c r="AM1895" i="1"/>
  <c r="AL1895" i="1" s="1"/>
  <c r="AN1509" i="1"/>
  <c r="AM1509" i="1"/>
  <c r="AL1509" i="1" s="1"/>
  <c r="AN987" i="1"/>
  <c r="AM987" i="1"/>
  <c r="AL987" i="1" s="1"/>
  <c r="AN328" i="1"/>
  <c r="AM328" i="1"/>
  <c r="AL328" i="1" s="1"/>
  <c r="AE2567" i="1"/>
  <c r="AE2496" i="1"/>
  <c r="AE2476" i="1"/>
  <c r="AE2185" i="1"/>
  <c r="AE1903" i="1"/>
  <c r="AE1509" i="1"/>
  <c r="AE987" i="1"/>
  <c r="AE328" i="1"/>
  <c r="W2567" i="1"/>
  <c r="V2567" i="1"/>
  <c r="W2496" i="1"/>
  <c r="V2496" i="1"/>
  <c r="W2476" i="1"/>
  <c r="V2476" i="1"/>
  <c r="W2185" i="1"/>
  <c r="Z2185" i="1" s="1"/>
  <c r="V2185" i="1"/>
  <c r="W1903" i="1"/>
  <c r="V1903" i="1"/>
  <c r="W1509" i="1"/>
  <c r="V1509" i="1"/>
  <c r="W987" i="1"/>
  <c r="V987" i="1"/>
  <c r="W328" i="1"/>
  <c r="V328" i="1"/>
  <c r="AF2167" i="1"/>
  <c r="AF1723" i="1"/>
  <c r="AF1597" i="1"/>
  <c r="AF1101" i="1"/>
  <c r="AF575" i="1"/>
  <c r="AN2167" i="1"/>
  <c r="AM2167" i="1"/>
  <c r="AL2167" i="1" s="1"/>
  <c r="AH2167" i="1"/>
  <c r="AN1723" i="1"/>
  <c r="AM1723" i="1"/>
  <c r="AL1723" i="1" s="1"/>
  <c r="AH1723" i="1"/>
  <c r="AN1597" i="1"/>
  <c r="AM1597" i="1"/>
  <c r="AL1597" i="1" s="1"/>
  <c r="AH1597" i="1"/>
  <c r="AN1101" i="1"/>
  <c r="AM1101" i="1"/>
  <c r="AL1101" i="1" s="1"/>
  <c r="AH1101" i="1"/>
  <c r="AN575" i="1"/>
  <c r="AM575" i="1"/>
  <c r="AL575" i="1" s="1"/>
  <c r="AH575" i="1"/>
  <c r="AE2167" i="1"/>
  <c r="AE1723" i="1"/>
  <c r="AE1597" i="1"/>
  <c r="AE1101" i="1"/>
  <c r="AE575" i="1"/>
  <c r="AF1208" i="1"/>
  <c r="W2167" i="1"/>
  <c r="V2167" i="1"/>
  <c r="W1723" i="1"/>
  <c r="V1723" i="1"/>
  <c r="W1597" i="1"/>
  <c r="V1597" i="1"/>
  <c r="W1101" i="1"/>
  <c r="V1101" i="1"/>
  <c r="W575" i="1"/>
  <c r="V575" i="1"/>
  <c r="AN199" i="1"/>
  <c r="AM199" i="1"/>
  <c r="AL199" i="1" s="1"/>
  <c r="AH199" i="1"/>
  <c r="AF199" i="1"/>
  <c r="AE199" i="1"/>
  <c r="W199" i="1"/>
  <c r="V199" i="1"/>
  <c r="AF368" i="1"/>
  <c r="AF2477" i="1"/>
  <c r="AA988" i="1"/>
  <c r="AD988" i="1" s="1"/>
  <c r="AC809" i="1"/>
  <c r="AM2568" i="1"/>
  <c r="AL2568" i="1" s="1"/>
  <c r="AN2568" i="1"/>
  <c r="AO2568" i="1"/>
  <c r="AF2184" i="1"/>
  <c r="AF2568" i="1"/>
  <c r="AF2498" i="1"/>
  <c r="AF1904" i="1"/>
  <c r="AF1897" i="1"/>
  <c r="AF1511" i="1"/>
  <c r="AF988" i="1"/>
  <c r="AO1504" i="1"/>
  <c r="AO1384" i="1"/>
  <c r="AO1383" i="1"/>
  <c r="AO1022" i="1"/>
  <c r="AO988" i="1"/>
  <c r="AO809" i="1"/>
  <c r="AM2498" i="1"/>
  <c r="AN2498" i="1"/>
  <c r="AO2498" i="1"/>
  <c r="AM2477" i="1"/>
  <c r="AL2477" i="1" s="1"/>
  <c r="AN2477" i="1"/>
  <c r="AO2477" i="1"/>
  <c r="AM2184" i="1"/>
  <c r="AL2184" i="1" s="1"/>
  <c r="AN2184" i="1"/>
  <c r="AO2184" i="1"/>
  <c r="AM1904" i="1"/>
  <c r="AL1904" i="1" s="1"/>
  <c r="AN1904" i="1"/>
  <c r="AO1904" i="1"/>
  <c r="AM1897" i="1"/>
  <c r="AL1897" i="1" s="1"/>
  <c r="AN1897" i="1"/>
  <c r="AO1897" i="1"/>
  <c r="AM1511" i="1"/>
  <c r="AL1511" i="1" s="1"/>
  <c r="AN1511" i="1"/>
  <c r="AO1511" i="1"/>
  <c r="AM988" i="1"/>
  <c r="AL988" i="1" s="1"/>
  <c r="AN988" i="1"/>
  <c r="AE2568" i="1"/>
  <c r="AE2477" i="1"/>
  <c r="AE2184" i="1"/>
  <c r="AE1904" i="1"/>
  <c r="AE1511" i="1"/>
  <c r="AE988" i="1"/>
  <c r="AC2568" i="1"/>
  <c r="AC2498" i="1"/>
  <c r="AC2477" i="1"/>
  <c r="AC2184" i="1"/>
  <c r="AC1904" i="1"/>
  <c r="AC1384" i="1"/>
  <c r="AC1022" i="1"/>
  <c r="AC1383" i="1"/>
  <c r="AC1511" i="1"/>
  <c r="AC1504" i="1"/>
  <c r="AC988" i="1"/>
  <c r="AC329" i="1"/>
  <c r="AA2568" i="1"/>
  <c r="AA2477" i="1"/>
  <c r="AA2184" i="1"/>
  <c r="AA1904" i="1"/>
  <c r="AA1897" i="1"/>
  <c r="AA1511" i="1"/>
  <c r="AF1384" i="1"/>
  <c r="AF1383" i="1"/>
  <c r="AM329" i="1"/>
  <c r="AL329" i="1" s="1"/>
  <c r="AN329" i="1"/>
  <c r="AO329" i="1"/>
  <c r="V329" i="1"/>
  <c r="W329" i="1"/>
  <c r="AE329" i="1"/>
  <c r="AF329" i="1"/>
  <c r="AF1728" i="1"/>
  <c r="AF1727" i="1"/>
  <c r="AO1728" i="1"/>
  <c r="AN1728" i="1"/>
  <c r="AM1728" i="1"/>
  <c r="AL1728" i="1" s="1"/>
  <c r="AE1728" i="1"/>
  <c r="AC1728" i="1"/>
  <c r="AA1728" i="1"/>
  <c r="AH1504" i="1"/>
  <c r="AF1642" i="1"/>
  <c r="AF1504" i="1"/>
  <c r="AF1022" i="1"/>
  <c r="AE1642" i="1"/>
  <c r="AE1504" i="1"/>
  <c r="AE1384" i="1"/>
  <c r="AE1383" i="1"/>
  <c r="AN1504" i="1"/>
  <c r="AM1504" i="1"/>
  <c r="AL1504" i="1" s="1"/>
  <c r="AN1642" i="1"/>
  <c r="AM1642" i="1"/>
  <c r="AL1642" i="1" s="1"/>
  <c r="AH1642" i="1"/>
  <c r="AN1384" i="1"/>
  <c r="AM1384" i="1"/>
  <c r="AL1384" i="1" s="1"/>
  <c r="AH1384" i="1"/>
  <c r="AN1383" i="1"/>
  <c r="AM1383" i="1"/>
  <c r="AL1383" i="1" s="1"/>
  <c r="AH1383" i="1"/>
  <c r="AN1022" i="1"/>
  <c r="AM1022" i="1"/>
  <c r="AC1642" i="1"/>
  <c r="AA1642" i="1"/>
  <c r="AD1642" i="1" s="1"/>
  <c r="AA1504" i="1"/>
  <c r="AA1384" i="1"/>
  <c r="AA1383" i="1"/>
  <c r="AN809" i="1"/>
  <c r="AM809" i="1"/>
  <c r="AF809" i="1"/>
  <c r="AF1720" i="1"/>
  <c r="AA66" i="1"/>
  <c r="AB66" i="1" s="1"/>
  <c r="AH1112" i="1"/>
  <c r="AM1112" i="1"/>
  <c r="AL1112" i="1" s="1"/>
  <c r="AN1112" i="1"/>
  <c r="AF1112" i="1"/>
  <c r="AE1112" i="1"/>
  <c r="AF336" i="1"/>
  <c r="AE1190" i="1"/>
  <c r="AF69" i="1"/>
  <c r="AN2228" i="1"/>
  <c r="AH2228" i="1"/>
  <c r="AF2228" i="1"/>
  <c r="AE2228" i="1"/>
  <c r="W2228" i="1"/>
  <c r="V2228" i="1"/>
  <c r="U2228" i="1"/>
  <c r="T2228" i="1"/>
  <c r="W336" i="1"/>
  <c r="AF2219" i="1"/>
  <c r="AE2219" i="1"/>
  <c r="AF1979" i="1"/>
  <c r="AF1932" i="1"/>
  <c r="AF1268" i="1"/>
  <c r="AF1023" i="1"/>
  <c r="AF404" i="1"/>
  <c r="AN404" i="1"/>
  <c r="AM404" i="1"/>
  <c r="AL404" i="1" s="1"/>
  <c r="AH404" i="1"/>
  <c r="AE404" i="1"/>
  <c r="W404" i="1"/>
  <c r="V404" i="1"/>
  <c r="AF896" i="1"/>
  <c r="AF776" i="1"/>
  <c r="AF696" i="1"/>
  <c r="AF552" i="1"/>
  <c r="AN552" i="1"/>
  <c r="AM552" i="1"/>
  <c r="AL552" i="1" s="1"/>
  <c r="AH552" i="1"/>
  <c r="AE552" i="1"/>
  <c r="W552" i="1"/>
  <c r="V552" i="1"/>
  <c r="W551" i="1"/>
  <c r="V551" i="1"/>
  <c r="AF551" i="1"/>
  <c r="AD1897" i="1" l="1"/>
  <c r="AB1897" i="1"/>
  <c r="AB2185" i="1"/>
  <c r="AD2185" i="1" s="1"/>
  <c r="Y2185" i="1"/>
  <c r="AA2185" i="1" s="1"/>
  <c r="AJ2069" i="1"/>
  <c r="AK2069" i="1" s="1"/>
  <c r="AD1553" i="1"/>
  <c r="AB2042" i="1"/>
  <c r="AB2135" i="1"/>
  <c r="AD1320" i="1"/>
  <c r="AB2069" i="1"/>
  <c r="AB2442" i="1"/>
  <c r="AB1428" i="1"/>
  <c r="AB476" i="1"/>
  <c r="AB386" i="1"/>
  <c r="AB378" i="1"/>
  <c r="AB143" i="1"/>
  <c r="AB140" i="1"/>
  <c r="AA2162" i="1"/>
  <c r="AD2162" i="1" s="1"/>
  <c r="AA987" i="1"/>
  <c r="AB987" i="1" s="1"/>
  <c r="AD987" i="1" s="1"/>
  <c r="AA2567" i="1"/>
  <c r="AA328" i="1"/>
  <c r="AA1509" i="1"/>
  <c r="AB1509" i="1" s="1"/>
  <c r="AD1509" i="1" s="1"/>
  <c r="AA1903" i="1"/>
  <c r="AA2476" i="1"/>
  <c r="AA1895" i="1"/>
  <c r="AA2496" i="1"/>
  <c r="AB2496" i="1" s="1"/>
  <c r="AD2496" i="1" s="1"/>
  <c r="AA1101" i="1"/>
  <c r="AA1723" i="1"/>
  <c r="AB1723" i="1" s="1"/>
  <c r="AD1723" i="1" s="1"/>
  <c r="AA199" i="1"/>
  <c r="AA575" i="1"/>
  <c r="AB575" i="1" s="1"/>
  <c r="AD575" i="1" s="1"/>
  <c r="AA1597" i="1"/>
  <c r="AA2167" i="1"/>
  <c r="AB2167" i="1" s="1"/>
  <c r="AD2167" i="1" s="1"/>
  <c r="AB988" i="1"/>
  <c r="AA329" i="1"/>
  <c r="AD329" i="1" s="1"/>
  <c r="AJ329" i="1" s="1"/>
  <c r="AK329" i="1" s="1"/>
  <c r="AB1383" i="1"/>
  <c r="AD1383" i="1"/>
  <c r="AJ1383" i="1" s="1"/>
  <c r="AK1383" i="1" s="1"/>
  <c r="AB1384" i="1"/>
  <c r="AD1384" i="1"/>
  <c r="AJ1384" i="1" s="1"/>
  <c r="AK1384" i="1" s="1"/>
  <c r="AB2184" i="1"/>
  <c r="AD2184" i="1"/>
  <c r="AJ2184" i="1" s="1"/>
  <c r="AK2184" i="1" s="1"/>
  <c r="AB2477" i="1"/>
  <c r="AD2477" i="1"/>
  <c r="AJ2477" i="1" s="1"/>
  <c r="AK2477" i="1" s="1"/>
  <c r="AJ2498" i="1"/>
  <c r="AB2568" i="1"/>
  <c r="AD2568" i="1"/>
  <c r="AJ2568" i="1" s="1"/>
  <c r="AK2568" i="1" s="1"/>
  <c r="AB1504" i="1"/>
  <c r="AD1504" i="1"/>
  <c r="AJ1504" i="1" s="1"/>
  <c r="AK1504" i="1" s="1"/>
  <c r="AJ988" i="1"/>
  <c r="AK988" i="1" s="1"/>
  <c r="AB1511" i="1"/>
  <c r="AD1511" i="1"/>
  <c r="AJ1511" i="1" s="1"/>
  <c r="AK1511" i="1" s="1"/>
  <c r="AB1904" i="1"/>
  <c r="AD1904" i="1"/>
  <c r="AJ1904" i="1" s="1"/>
  <c r="AK1904" i="1" s="1"/>
  <c r="AD1728" i="1"/>
  <c r="AJ1728" i="1" s="1"/>
  <c r="AK1728" i="1" s="1"/>
  <c r="AB1642" i="1"/>
  <c r="AJ1642" i="1"/>
  <c r="AK1642" i="1" s="1"/>
  <c r="AM2228" i="1"/>
  <c r="AL2228" i="1" s="1"/>
  <c r="AA2228" i="1"/>
  <c r="AA552" i="1"/>
  <c r="AA404" i="1"/>
  <c r="AB1895" i="1" l="1"/>
  <c r="AD1895" i="1"/>
  <c r="AJ362" i="1"/>
  <c r="AJ1553" i="1"/>
  <c r="AK1553" i="1" s="1"/>
  <c r="AB328" i="1"/>
  <c r="AD328" i="1" s="1"/>
  <c r="AB2567" i="1"/>
  <c r="AD2567" i="1" s="1"/>
  <c r="AB1903" i="1"/>
  <c r="AD1903" i="1" s="1"/>
  <c r="AB2476" i="1"/>
  <c r="AD2476" i="1" s="1"/>
  <c r="AB1101" i="1"/>
  <c r="AD1101" i="1" s="1"/>
  <c r="AB199" i="1"/>
  <c r="AD199" i="1" s="1"/>
  <c r="AB1597" i="1"/>
  <c r="AD1597" i="1" s="1"/>
  <c r="AB329" i="1"/>
  <c r="AD2228" i="1"/>
  <c r="AB404" i="1"/>
  <c r="AB552" i="1"/>
  <c r="AF405" i="1"/>
  <c r="AL2498" i="1" l="1"/>
  <c r="AK2498" i="1"/>
  <c r="AN336" i="1"/>
  <c r="AH336" i="1"/>
  <c r="AE336" i="1"/>
  <c r="V336" i="1"/>
  <c r="AF1761" i="1"/>
  <c r="AE1761" i="1"/>
  <c r="W1761" i="1"/>
  <c r="V1761" i="1"/>
  <c r="AF2443" i="1"/>
  <c r="AF2439" i="1"/>
  <c r="AF847" i="1"/>
  <c r="AF846" i="1"/>
  <c r="T2596" i="1"/>
  <c r="AF2014" i="1"/>
  <c r="AF2040" i="1"/>
  <c r="AH835" i="1"/>
  <c r="AM835" i="1"/>
  <c r="AL835" i="1" s="1"/>
  <c r="AN835" i="1"/>
  <c r="AF835" i="1"/>
  <c r="AE835" i="1"/>
  <c r="AC835" i="1"/>
  <c r="AA835" i="1"/>
  <c r="AF2314" i="1"/>
  <c r="AF2311" i="1"/>
  <c r="AF2408" i="1"/>
  <c r="AF1690" i="1"/>
  <c r="AF394" i="1"/>
  <c r="AF1245" i="1"/>
  <c r="AF376" i="1"/>
  <c r="AF474" i="1"/>
  <c r="AF369" i="1"/>
  <c r="AF1431" i="1"/>
  <c r="AF1127" i="1"/>
  <c r="AF91" i="1"/>
  <c r="AF2474" i="1"/>
  <c r="AF1430" i="1"/>
  <c r="AF486" i="1"/>
  <c r="AF577" i="1"/>
  <c r="AF1561" i="1"/>
  <c r="AF1821" i="1"/>
  <c r="AM2474" i="1"/>
  <c r="AM2408" i="1"/>
  <c r="AM1821" i="1"/>
  <c r="AM1690" i="1"/>
  <c r="AM1561" i="1"/>
  <c r="AM1431" i="1"/>
  <c r="AM1430" i="1"/>
  <c r="AM1245" i="1"/>
  <c r="AM1127" i="1"/>
  <c r="AM486" i="1"/>
  <c r="AL486" i="1" s="1"/>
  <c r="AM474" i="1"/>
  <c r="AM394" i="1"/>
  <c r="AM376" i="1"/>
  <c r="AM369" i="1"/>
  <c r="AM578" i="1"/>
  <c r="AM91" i="1"/>
  <c r="AM577" i="1"/>
  <c r="AH2474" i="1"/>
  <c r="AH2408" i="1"/>
  <c r="AH1821" i="1"/>
  <c r="AH1690" i="1"/>
  <c r="AH1561" i="1"/>
  <c r="AH1431" i="1"/>
  <c r="AH1430" i="1"/>
  <c r="AH1245" i="1"/>
  <c r="AH1127" i="1"/>
  <c r="AH486" i="1"/>
  <c r="AH474" i="1"/>
  <c r="AH394" i="1"/>
  <c r="AH376" i="1"/>
  <c r="AH369" i="1"/>
  <c r="AH91" i="1"/>
  <c r="AE2474" i="1"/>
  <c r="AE2408" i="1"/>
  <c r="AE1821" i="1"/>
  <c r="AE1690" i="1"/>
  <c r="AE1561" i="1"/>
  <c r="AE1431" i="1"/>
  <c r="AE1430" i="1"/>
  <c r="AE1245" i="1"/>
  <c r="AE1127" i="1"/>
  <c r="AE486" i="1"/>
  <c r="AE474" i="1"/>
  <c r="AE394" i="1"/>
  <c r="AE376" i="1"/>
  <c r="AE369" i="1"/>
  <c r="AE578" i="1"/>
  <c r="AE91" i="1"/>
  <c r="W2474" i="1"/>
  <c r="V2474" i="1"/>
  <c r="W1821" i="1"/>
  <c r="V1821" i="1"/>
  <c r="W1690" i="1"/>
  <c r="V1690" i="1"/>
  <c r="W1561" i="1"/>
  <c r="V1561" i="1"/>
  <c r="W1431" i="1"/>
  <c r="V1431" i="1"/>
  <c r="W1430" i="1"/>
  <c r="V1430" i="1"/>
  <c r="W1245" i="1"/>
  <c r="V1245" i="1"/>
  <c r="W1127" i="1"/>
  <c r="V1127" i="1"/>
  <c r="W486" i="1"/>
  <c r="V486" i="1"/>
  <c r="W474" i="1"/>
  <c r="V474" i="1"/>
  <c r="W394" i="1"/>
  <c r="V394" i="1"/>
  <c r="W376" i="1"/>
  <c r="V376" i="1"/>
  <c r="W369" i="1"/>
  <c r="V369" i="1"/>
  <c r="W91" i="1"/>
  <c r="V91" i="1"/>
  <c r="N1176" i="1"/>
  <c r="N707" i="1"/>
  <c r="N706" i="1"/>
  <c r="N705" i="1"/>
  <c r="N1761" i="1"/>
  <c r="N1760" i="1"/>
  <c r="N1803" i="1"/>
  <c r="N1720" i="1"/>
  <c r="N1508" i="1"/>
  <c r="N1479" i="1"/>
  <c r="N1405" i="1"/>
  <c r="N1287" i="1"/>
  <c r="N334" i="1"/>
  <c r="N261" i="1"/>
  <c r="N66" i="1"/>
  <c r="N1562" i="1"/>
  <c r="N1246" i="1"/>
  <c r="N1128" i="1"/>
  <c r="N477" i="1"/>
  <c r="N377" i="1"/>
  <c r="N1792" i="1"/>
  <c r="N1789" i="1"/>
  <c r="N1625" i="1"/>
  <c r="N413" i="1"/>
  <c r="N410" i="1"/>
  <c r="N22" i="1"/>
  <c r="N1747" i="1"/>
  <c r="N1701" i="1"/>
  <c r="N1178" i="1"/>
  <c r="N1141" i="1"/>
  <c r="N368" i="1"/>
  <c r="AL362" i="1" l="1"/>
  <c r="AK362" i="1"/>
  <c r="AA91" i="1"/>
  <c r="AA1761" i="1"/>
  <c r="AB1761" i="1" s="1"/>
  <c r="AA336" i="1"/>
  <c r="AM336" i="1"/>
  <c r="AL336" i="1" s="1"/>
  <c r="AA1127" i="1"/>
  <c r="AB1127" i="1" s="1"/>
  <c r="AA1561" i="1"/>
  <c r="AA2474" i="1"/>
  <c r="AA1430" i="1"/>
  <c r="AA369" i="1"/>
  <c r="AA1821" i="1"/>
  <c r="AA486" i="1"/>
  <c r="AA394" i="1"/>
  <c r="AA1245" i="1"/>
  <c r="AA1431" i="1"/>
  <c r="AB2408" i="1"/>
  <c r="AA1690" i="1"/>
  <c r="AB1690" i="1" s="1"/>
  <c r="AB91" i="1"/>
  <c r="AA376" i="1"/>
  <c r="AA474" i="1"/>
  <c r="AM1230" i="1"/>
  <c r="AL1230" i="1" s="1"/>
  <c r="AH1230" i="1"/>
  <c r="AE1230" i="1"/>
  <c r="AM641" i="1"/>
  <c r="AL641" i="1" s="1"/>
  <c r="AH641" i="1"/>
  <c r="AE641" i="1"/>
  <c r="W1230" i="1"/>
  <c r="V1230" i="1"/>
  <c r="W641" i="1"/>
  <c r="V641" i="1"/>
  <c r="W2151" i="1"/>
  <c r="V2151" i="1"/>
  <c r="W2145" i="1"/>
  <c r="V2145" i="1"/>
  <c r="AM115" i="1"/>
  <c r="AL115" i="1" s="1"/>
  <c r="AH115" i="1"/>
  <c r="AE115" i="1"/>
  <c r="W115" i="1"/>
  <c r="V115" i="1"/>
  <c r="AM2085" i="1"/>
  <c r="AL2085" i="1" s="1"/>
  <c r="AH2085" i="1"/>
  <c r="AE2085" i="1"/>
  <c r="W2085" i="1"/>
  <c r="V2085" i="1"/>
  <c r="AM443" i="1"/>
  <c r="AL443" i="1" s="1"/>
  <c r="AH443" i="1"/>
  <c r="AE443" i="1"/>
  <c r="W443" i="1"/>
  <c r="V443" i="1"/>
  <c r="AM2151" i="1"/>
  <c r="AL2151" i="1" s="1"/>
  <c r="AM2145" i="1"/>
  <c r="AL2145" i="1" s="1"/>
  <c r="AE2151" i="1"/>
  <c r="AE2145" i="1"/>
  <c r="AE2160" i="1"/>
  <c r="AE103" i="1"/>
  <c r="AE2534" i="1"/>
  <c r="AE2523" i="1"/>
  <c r="AE2204" i="1"/>
  <c r="AE193" i="1"/>
  <c r="AE188" i="1"/>
  <c r="AE53" i="1"/>
  <c r="AE38" i="1"/>
  <c r="AE2429" i="1"/>
  <c r="AE1333" i="1"/>
  <c r="AE1947" i="1"/>
  <c r="AE1059" i="1"/>
  <c r="AE2338" i="1"/>
  <c r="AE1438" i="1"/>
  <c r="AE2573" i="1"/>
  <c r="AE2541" i="1"/>
  <c r="AE2047" i="1"/>
  <c r="AE1957" i="1"/>
  <c r="AE1239" i="1"/>
  <c r="AE1236" i="1"/>
  <c r="AE972" i="1"/>
  <c r="AE1491" i="1"/>
  <c r="AE1189" i="1"/>
  <c r="AE1078" i="1"/>
  <c r="AE1068" i="1"/>
  <c r="AE1013" i="1"/>
  <c r="AE921" i="1"/>
  <c r="AE836" i="1"/>
  <c r="AE660" i="1"/>
  <c r="AE223" i="1"/>
  <c r="AM2229" i="1"/>
  <c r="AL2229" i="1" s="1"/>
  <c r="AM1341" i="1"/>
  <c r="AL1341" i="1" s="1"/>
  <c r="AM772" i="1"/>
  <c r="AL772" i="1" s="1"/>
  <c r="AM767" i="1"/>
  <c r="AL767" i="1" s="1"/>
  <c r="AM473" i="1"/>
  <c r="AL473" i="1" s="1"/>
  <c r="AM434" i="1"/>
  <c r="AL434" i="1" s="1"/>
  <c r="W2229" i="1"/>
  <c r="V2229" i="1"/>
  <c r="W1341" i="1"/>
  <c r="V1341" i="1"/>
  <c r="W1223" i="1"/>
  <c r="V1223" i="1"/>
  <c r="W1216" i="1"/>
  <c r="V1216" i="1"/>
  <c r="W772" i="1"/>
  <c r="V772" i="1"/>
  <c r="W767" i="1"/>
  <c r="V767" i="1"/>
  <c r="W473" i="1"/>
  <c r="V473" i="1"/>
  <c r="W434" i="1"/>
  <c r="V434" i="1"/>
  <c r="AE2229" i="1"/>
  <c r="AE1341" i="1"/>
  <c r="AE1223" i="1"/>
  <c r="AE1216" i="1"/>
  <c r="AE772" i="1"/>
  <c r="AE767" i="1"/>
  <c r="AE473" i="1"/>
  <c r="AE434" i="1"/>
  <c r="AD1372" i="1"/>
  <c r="AD1367" i="1"/>
  <c r="AD1361" i="1"/>
  <c r="AD885" i="1"/>
  <c r="AD278" i="1"/>
  <c r="AD2421" i="1"/>
  <c r="AE1372" i="1"/>
  <c r="AE1367" i="1"/>
  <c r="AE2058" i="1"/>
  <c r="AE1361" i="1"/>
  <c r="AE953" i="1"/>
  <c r="AE885" i="1"/>
  <c r="AE522" i="1"/>
  <c r="AE516" i="1"/>
  <c r="AE278" i="1"/>
  <c r="AE58" i="1"/>
  <c r="AE2421" i="1"/>
  <c r="AE2414" i="1"/>
  <c r="AE801" i="1"/>
  <c r="AE797" i="1"/>
  <c r="AE793" i="1"/>
  <c r="AE789" i="1"/>
  <c r="AE2075" i="1"/>
  <c r="AE1594" i="1"/>
  <c r="AE1065" i="1"/>
  <c r="AE510" i="1"/>
  <c r="AE133" i="1"/>
  <c r="AE298" i="1"/>
  <c r="AE693" i="1"/>
  <c r="AE2053" i="1"/>
  <c r="AE177" i="1"/>
  <c r="AE1435" i="1"/>
  <c r="AE2022" i="1"/>
  <c r="AE810" i="1"/>
  <c r="AB1561" i="1" l="1"/>
  <c r="AB1430" i="1"/>
  <c r="AB394" i="1"/>
  <c r="AB369" i="1"/>
  <c r="AB2474" i="1"/>
  <c r="AB486" i="1"/>
  <c r="AB1821" i="1"/>
  <c r="AB1431" i="1"/>
  <c r="AB1245" i="1"/>
  <c r="AB474" i="1"/>
  <c r="AA473" i="1"/>
  <c r="AB376" i="1"/>
  <c r="AA772" i="1"/>
  <c r="AB772" i="1" s="1"/>
  <c r="AD772" i="1" s="1"/>
  <c r="AA1223" i="1"/>
  <c r="AB1223" i="1" s="1"/>
  <c r="AD1223" i="1" s="1"/>
  <c r="AA2145" i="1"/>
  <c r="AB2145" i="1" s="1"/>
  <c r="AA443" i="1"/>
  <c r="AB443" i="1" s="1"/>
  <c r="AA115" i="1"/>
  <c r="AB115" i="1" s="1"/>
  <c r="AA2151" i="1"/>
  <c r="AD2151" i="1" s="1"/>
  <c r="AA1230" i="1"/>
  <c r="AB1230" i="1" s="1"/>
  <c r="AA434" i="1"/>
  <c r="AA767" i="1"/>
  <c r="AA1216" i="1"/>
  <c r="AA1341" i="1"/>
  <c r="AA2085" i="1"/>
  <c r="AD2085" i="1" s="1"/>
  <c r="AA641" i="1"/>
  <c r="AD641" i="1" s="1"/>
  <c r="AA2229" i="1"/>
  <c r="AB473" i="1" l="1"/>
  <c r="AD473" i="1" s="1"/>
  <c r="AD1230" i="1"/>
  <c r="AB767" i="1"/>
  <c r="AD767" i="1" s="1"/>
  <c r="AB434" i="1"/>
  <c r="AD434" i="1" s="1"/>
  <c r="AB2085" i="1"/>
  <c r="AB641" i="1"/>
  <c r="AD2145" i="1"/>
  <c r="AB2151" i="1"/>
  <c r="AB1341" i="1"/>
  <c r="AD1341" i="1" s="1"/>
  <c r="AB2229" i="1"/>
  <c r="AD2229" i="1" s="1"/>
  <c r="AD115" i="1"/>
  <c r="AD443" i="1"/>
  <c r="AB1216" i="1"/>
  <c r="AD1216" i="1" s="1"/>
  <c r="AF1835" i="1" l="1"/>
  <c r="AF1834" i="1"/>
  <c r="AF1832" i="1"/>
  <c r="AF1828" i="1"/>
  <c r="AF1826" i="1"/>
  <c r="AF1825" i="1"/>
  <c r="AF1824" i="1"/>
  <c r="AF2335" i="1"/>
  <c r="AN2335" i="1"/>
  <c r="AM2335" i="1"/>
  <c r="AL2335" i="1" s="1"/>
  <c r="AH2335" i="1"/>
  <c r="AE2335" i="1"/>
  <c r="AN2333" i="1"/>
  <c r="AM2333" i="1"/>
  <c r="AL2333" i="1" s="1"/>
  <c r="AH2333" i="1"/>
  <c r="AE2333" i="1"/>
  <c r="AF848" i="1"/>
  <c r="AA2335" i="1" l="1"/>
  <c r="AA2333" i="1"/>
  <c r="AF1689" i="1" l="1"/>
  <c r="AN1689" i="1"/>
  <c r="AM1689" i="1"/>
  <c r="AL1689" i="1" s="1"/>
  <c r="AH1689" i="1"/>
  <c r="AN1336" i="1"/>
  <c r="AM1336" i="1"/>
  <c r="AL1336" i="1" s="1"/>
  <c r="AH1336" i="1"/>
  <c r="AF1336" i="1"/>
  <c r="AF173" i="1" l="1"/>
  <c r="AE173" i="1"/>
  <c r="W173" i="1"/>
  <c r="V173" i="1"/>
  <c r="AN173" i="1"/>
  <c r="AM173" i="1"/>
  <c r="AL173" i="1" s="1"/>
  <c r="AH173" i="1"/>
  <c r="AN69" i="1"/>
  <c r="AM69" i="1"/>
  <c r="AL69" i="1" s="1"/>
  <c r="AH69" i="1"/>
  <c r="AE69" i="1"/>
  <c r="W69" i="1"/>
  <c r="V69" i="1"/>
  <c r="W1689" i="1"/>
  <c r="V1689" i="1"/>
  <c r="AE1689" i="1"/>
  <c r="AE1336" i="1"/>
  <c r="W1336" i="1"/>
  <c r="V1336" i="1"/>
  <c r="AA69" i="1" l="1"/>
  <c r="AD69" i="1" s="1"/>
  <c r="AA1689" i="1"/>
  <c r="AA173" i="1"/>
  <c r="AA1336" i="1"/>
  <c r="AD173" i="1" l="1"/>
  <c r="AN1028" i="1"/>
  <c r="AM1028" i="1"/>
  <c r="AL1028" i="1" s="1"/>
  <c r="AH1028" i="1"/>
  <c r="AF1028" i="1"/>
  <c r="AE1028" i="1"/>
  <c r="AD1689" i="1"/>
  <c r="AD1336" i="1"/>
  <c r="AD835" i="1"/>
  <c r="W1112" i="1"/>
  <c r="V1112" i="1"/>
  <c r="W1028" i="1"/>
  <c r="V1028" i="1"/>
  <c r="AN2443" i="1"/>
  <c r="AM2443" i="1"/>
  <c r="AL2443" i="1" s="1"/>
  <c r="AH2443" i="1"/>
  <c r="AE2443" i="1"/>
  <c r="W2443" i="1"/>
  <c r="V2443" i="1"/>
  <c r="AF553" i="1"/>
  <c r="AJ835" i="1" l="1"/>
  <c r="AK835" i="1" s="1"/>
  <c r="AA1112" i="1"/>
  <c r="AA1028" i="1"/>
  <c r="AA2443" i="1"/>
  <c r="AN1760" i="1"/>
  <c r="AM1760" i="1"/>
  <c r="AL1760" i="1" s="1"/>
  <c r="AH1760" i="1"/>
  <c r="AF1760" i="1"/>
  <c r="AE1760" i="1"/>
  <c r="W1760" i="1"/>
  <c r="V1760" i="1"/>
  <c r="AF1775" i="1"/>
  <c r="AF1773" i="1"/>
  <c r="M2375" i="1"/>
  <c r="AH1843" i="1"/>
  <c r="AM1843" i="1"/>
  <c r="AL1843" i="1" s="1"/>
  <c r="AN1843" i="1"/>
  <c r="AA1843" i="1"/>
  <c r="AE1843" i="1"/>
  <c r="AF1843" i="1"/>
  <c r="AF1792" i="1"/>
  <c r="AF1789" i="1"/>
  <c r="AF1747" i="1"/>
  <c r="AF1701" i="1"/>
  <c r="AF1625" i="1"/>
  <c r="AF1562" i="1"/>
  <c r="AF1246" i="1"/>
  <c r="AF1178" i="1"/>
  <c r="AF1141" i="1"/>
  <c r="AF1128" i="1"/>
  <c r="AF477" i="1"/>
  <c r="AF377" i="1"/>
  <c r="AD1112" i="1" l="1"/>
  <c r="AB2443" i="1"/>
  <c r="AD1028" i="1"/>
  <c r="AA1760" i="1"/>
  <c r="AB1843" i="1"/>
  <c r="AF1508" i="1"/>
  <c r="AF1405" i="1"/>
  <c r="AF1287" i="1"/>
  <c r="AF2482" i="1"/>
  <c r="AF1803" i="1"/>
  <c r="AF334" i="1"/>
  <c r="AF261" i="1"/>
  <c r="AF66" i="1"/>
  <c r="AF22" i="1"/>
  <c r="AE1792" i="1"/>
  <c r="AE1789" i="1"/>
  <c r="AE1747" i="1"/>
  <c r="AE1701" i="1"/>
  <c r="AE1625" i="1"/>
  <c r="AE1178" i="1"/>
  <c r="AE1141" i="1"/>
  <c r="AE1562" i="1"/>
  <c r="AE1246" i="1"/>
  <c r="AE1128" i="1"/>
  <c r="AE477" i="1"/>
  <c r="AE377" i="1"/>
  <c r="AE368" i="1"/>
  <c r="W1562" i="1"/>
  <c r="V1562" i="1"/>
  <c r="W1246" i="1"/>
  <c r="V1246" i="1"/>
  <c r="W1128" i="1"/>
  <c r="V1128" i="1"/>
  <c r="W477" i="1"/>
  <c r="V477" i="1"/>
  <c r="W413" i="1"/>
  <c r="V413" i="1"/>
  <c r="W410" i="1"/>
  <c r="V410" i="1"/>
  <c r="W377" i="1"/>
  <c r="V377" i="1"/>
  <c r="W368" i="1"/>
  <c r="V368" i="1"/>
  <c r="W1792" i="1"/>
  <c r="V1792" i="1"/>
  <c r="W1789" i="1"/>
  <c r="V1789" i="1"/>
  <c r="W1747" i="1"/>
  <c r="V1747" i="1"/>
  <c r="W1701" i="1"/>
  <c r="V1701" i="1"/>
  <c r="W1625" i="1"/>
  <c r="V1625" i="1"/>
  <c r="W1178" i="1"/>
  <c r="V1178" i="1"/>
  <c r="W1141" i="1"/>
  <c r="V1141" i="1"/>
  <c r="AE1803" i="1"/>
  <c r="AE1720" i="1"/>
  <c r="AE1508" i="1"/>
  <c r="AE1479" i="1"/>
  <c r="AE1405" i="1"/>
  <c r="AE1287" i="1"/>
  <c r="AE334" i="1"/>
  <c r="AE261" i="1"/>
  <c r="AE66" i="1"/>
  <c r="AE22" i="1"/>
  <c r="AF413" i="1"/>
  <c r="AF410" i="1"/>
  <c r="AE413" i="1"/>
  <c r="AE410" i="1"/>
  <c r="AA1803" i="1"/>
  <c r="AA1720" i="1"/>
  <c r="AA1508" i="1"/>
  <c r="AA1479" i="1"/>
  <c r="AA1405" i="1"/>
  <c r="AA1287" i="1"/>
  <c r="AA334" i="1"/>
  <c r="AA261" i="1"/>
  <c r="AN2482" i="1"/>
  <c r="AM2482" i="1"/>
  <c r="AN1803" i="1"/>
  <c r="AM1803" i="1"/>
  <c r="AL1803" i="1" s="1"/>
  <c r="AH1803" i="1"/>
  <c r="AN1792" i="1"/>
  <c r="AM1792" i="1"/>
  <c r="AL1792" i="1" s="1"/>
  <c r="AH1792" i="1"/>
  <c r="AN1789" i="1"/>
  <c r="AM1789" i="1"/>
  <c r="AL1789" i="1" s="1"/>
  <c r="AH1789" i="1"/>
  <c r="AN1747" i="1"/>
  <c r="AM1747" i="1"/>
  <c r="AL1747" i="1" s="1"/>
  <c r="AH1747" i="1"/>
  <c r="AN1720" i="1"/>
  <c r="AM1720" i="1"/>
  <c r="AL1720" i="1" s="1"/>
  <c r="AH1720" i="1"/>
  <c r="AN1701" i="1"/>
  <c r="AM1701" i="1"/>
  <c r="AL1701" i="1" s="1"/>
  <c r="AH1701" i="1"/>
  <c r="AN1625" i="1"/>
  <c r="AM1625" i="1"/>
  <c r="AL1625" i="1" s="1"/>
  <c r="AH1625" i="1"/>
  <c r="AN1562" i="1"/>
  <c r="AM1562" i="1"/>
  <c r="AL1562" i="1" s="1"/>
  <c r="AH1562" i="1"/>
  <c r="AN1508" i="1"/>
  <c r="AM1508" i="1"/>
  <c r="AL1508" i="1" s="1"/>
  <c r="AH1508" i="1"/>
  <c r="AN1479" i="1"/>
  <c r="AM1479" i="1"/>
  <c r="AL1479" i="1" s="1"/>
  <c r="AH1479" i="1"/>
  <c r="AN1405" i="1"/>
  <c r="AM1405" i="1"/>
  <c r="AL1405" i="1" s="1"/>
  <c r="AH1405" i="1"/>
  <c r="AN1287" i="1"/>
  <c r="AM1287" i="1"/>
  <c r="AL1287" i="1" s="1"/>
  <c r="AH1287" i="1"/>
  <c r="AN1246" i="1"/>
  <c r="AM1246" i="1"/>
  <c r="AL1246" i="1" s="1"/>
  <c r="AH1246" i="1"/>
  <c r="AN1178" i="1"/>
  <c r="AM1178" i="1"/>
  <c r="AL1178" i="1" s="1"/>
  <c r="AH1178" i="1"/>
  <c r="AN1141" i="1"/>
  <c r="AM1141" i="1"/>
  <c r="AL1141" i="1" s="1"/>
  <c r="AH1141" i="1"/>
  <c r="AN1128" i="1"/>
  <c r="AM1128" i="1"/>
  <c r="AL1128" i="1" s="1"/>
  <c r="AH1128" i="1"/>
  <c r="AN477" i="1"/>
  <c r="AM477" i="1"/>
  <c r="AL477" i="1" s="1"/>
  <c r="AH477" i="1"/>
  <c r="AN413" i="1"/>
  <c r="AM413" i="1"/>
  <c r="AL413" i="1" s="1"/>
  <c r="AH413" i="1"/>
  <c r="AN410" i="1"/>
  <c r="AM410" i="1"/>
  <c r="AL410" i="1" s="1"/>
  <c r="AH410" i="1"/>
  <c r="AN377" i="1"/>
  <c r="AM377" i="1"/>
  <c r="AL377" i="1" s="1"/>
  <c r="AH377" i="1"/>
  <c r="AN368" i="1"/>
  <c r="AM368" i="1"/>
  <c r="AL368" i="1" s="1"/>
  <c r="AH368" i="1"/>
  <c r="AN334" i="1"/>
  <c r="AM334" i="1"/>
  <c r="AL334" i="1" s="1"/>
  <c r="AH334" i="1"/>
  <c r="AN261" i="1"/>
  <c r="AM261" i="1"/>
  <c r="AL261" i="1" s="1"/>
  <c r="AH261" i="1"/>
  <c r="AN66" i="1"/>
  <c r="AM66" i="1"/>
  <c r="AL66" i="1" s="1"/>
  <c r="AH66" i="1"/>
  <c r="AN22" i="1"/>
  <c r="AM22" i="1"/>
  <c r="AL22" i="1" s="1"/>
  <c r="AH22" i="1"/>
  <c r="W22" i="1"/>
  <c r="V22" i="1"/>
  <c r="AF1620" i="1"/>
  <c r="AF1619" i="1"/>
  <c r="AE2439" i="1"/>
  <c r="AE2040" i="1"/>
  <c r="AE2014" i="1"/>
  <c r="AE1979" i="1"/>
  <c r="AE1932" i="1"/>
  <c r="AE1268" i="1"/>
  <c r="AE1027" i="1"/>
  <c r="AE1023" i="1"/>
  <c r="AE896" i="1"/>
  <c r="AE802" i="1"/>
  <c r="AE776" i="1"/>
  <c r="AE696" i="1"/>
  <c r="AE553" i="1"/>
  <c r="AE551" i="1"/>
  <c r="AE405" i="1"/>
  <c r="AE2377" i="1"/>
  <c r="AE2314" i="1"/>
  <c r="AE2311" i="1"/>
  <c r="AE1980" i="1"/>
  <c r="AE1972" i="1"/>
  <c r="AE1775" i="1"/>
  <c r="AE1773" i="1"/>
  <c r="AE1767" i="1"/>
  <c r="AE837" i="1"/>
  <c r="AN2439" i="1"/>
  <c r="AM2439" i="1"/>
  <c r="AL2439" i="1" s="1"/>
  <c r="AN2377" i="1"/>
  <c r="AM2377" i="1"/>
  <c r="AL2377" i="1" s="1"/>
  <c r="AN2314" i="1"/>
  <c r="AM2314" i="1"/>
  <c r="AL2314" i="1" s="1"/>
  <c r="AN2311" i="1"/>
  <c r="AM2311" i="1"/>
  <c r="AL2311" i="1" s="1"/>
  <c r="AN2259" i="1"/>
  <c r="AM2259" i="1"/>
  <c r="AL2259" i="1" s="1"/>
  <c r="AN2219" i="1"/>
  <c r="AM2219" i="1"/>
  <c r="AL2219" i="1" s="1"/>
  <c r="AN2040" i="1"/>
  <c r="AM2040" i="1"/>
  <c r="AL2040" i="1" s="1"/>
  <c r="AN2014" i="1"/>
  <c r="AM2014" i="1"/>
  <c r="AL2014" i="1" s="1"/>
  <c r="AN1980" i="1"/>
  <c r="AM1980" i="1"/>
  <c r="AL1980" i="1" s="1"/>
  <c r="AN1979" i="1"/>
  <c r="AM1979" i="1"/>
  <c r="AL1979" i="1" s="1"/>
  <c r="AN1972" i="1"/>
  <c r="AM1972" i="1"/>
  <c r="AL1972" i="1" s="1"/>
  <c r="AN1932" i="1"/>
  <c r="AM1932" i="1"/>
  <c r="AL1932" i="1" s="1"/>
  <c r="AN1775" i="1"/>
  <c r="AM1775" i="1"/>
  <c r="AL1775" i="1" s="1"/>
  <c r="AN1773" i="1"/>
  <c r="AM1773" i="1"/>
  <c r="AL1773" i="1" s="1"/>
  <c r="AN1767" i="1"/>
  <c r="AM1767" i="1"/>
  <c r="AL1767" i="1" s="1"/>
  <c r="AN1761" i="1"/>
  <c r="AM1761" i="1"/>
  <c r="AL1761" i="1" s="1"/>
  <c r="AN1268" i="1"/>
  <c r="AM1268" i="1"/>
  <c r="AL1268" i="1" s="1"/>
  <c r="AN1027" i="1"/>
  <c r="AM1027" i="1"/>
  <c r="AL1027" i="1" s="1"/>
  <c r="AN1023" i="1"/>
  <c r="AM1023" i="1"/>
  <c r="AL1023" i="1" s="1"/>
  <c r="AN896" i="1"/>
  <c r="AM896" i="1"/>
  <c r="AL896" i="1" s="1"/>
  <c r="AN837" i="1"/>
  <c r="AM837" i="1"/>
  <c r="AL837" i="1" s="1"/>
  <c r="AN802" i="1"/>
  <c r="AM802" i="1"/>
  <c r="AL802" i="1" s="1"/>
  <c r="AN776" i="1"/>
  <c r="AM776" i="1"/>
  <c r="AL776" i="1" s="1"/>
  <c r="AN696" i="1"/>
  <c r="AM696" i="1"/>
  <c r="AL696" i="1" s="1"/>
  <c r="AN553" i="1"/>
  <c r="AM553" i="1"/>
  <c r="AL553" i="1" s="1"/>
  <c r="AN551" i="1"/>
  <c r="AM551" i="1"/>
  <c r="AL551" i="1" s="1"/>
  <c r="AN405" i="1"/>
  <c r="AM405" i="1"/>
  <c r="AL405" i="1" s="1"/>
  <c r="AH2439" i="1"/>
  <c r="AH2377" i="1"/>
  <c r="AH2314" i="1"/>
  <c r="AH2311" i="1"/>
  <c r="AH2259" i="1"/>
  <c r="AH2219" i="1"/>
  <c r="AH2040" i="1"/>
  <c r="AH2014" i="1"/>
  <c r="AH1980" i="1"/>
  <c r="AH1979" i="1"/>
  <c r="AH1972" i="1"/>
  <c r="AH1932" i="1"/>
  <c r="AH1775" i="1"/>
  <c r="AH1773" i="1"/>
  <c r="AH1767" i="1"/>
  <c r="AH1761" i="1"/>
  <c r="AH1268" i="1"/>
  <c r="AH1027" i="1"/>
  <c r="AH1023" i="1"/>
  <c r="AH896" i="1"/>
  <c r="AH837" i="1"/>
  <c r="AH802" i="1"/>
  <c r="AH776" i="1"/>
  <c r="AH696" i="1"/>
  <c r="AH553" i="1"/>
  <c r="AH551" i="1"/>
  <c r="AH405" i="1"/>
  <c r="W2314" i="1"/>
  <c r="V2314" i="1"/>
  <c r="W2311" i="1"/>
  <c r="V2311" i="1"/>
  <c r="W2259" i="1"/>
  <c r="V2259" i="1"/>
  <c r="W2219" i="1"/>
  <c r="AC2219" i="1" s="1"/>
  <c r="V2219" i="1"/>
  <c r="W2040" i="1"/>
  <c r="V2040" i="1"/>
  <c r="W2014" i="1"/>
  <c r="V2014" i="1"/>
  <c r="W1932" i="1"/>
  <c r="V1932" i="1"/>
  <c r="W1268" i="1"/>
  <c r="V1268" i="1"/>
  <c r="W896" i="1"/>
  <c r="V896" i="1"/>
  <c r="W405" i="1"/>
  <c r="V405" i="1"/>
  <c r="W2439" i="1"/>
  <c r="V2439" i="1"/>
  <c r="W2377" i="1"/>
  <c r="V2377" i="1"/>
  <c r="W1980" i="1"/>
  <c r="V1980" i="1"/>
  <c r="W1979" i="1"/>
  <c r="V1979" i="1"/>
  <c r="W1972" i="1"/>
  <c r="V1972" i="1"/>
  <c r="W1775" i="1"/>
  <c r="V1775" i="1"/>
  <c r="W1773" i="1"/>
  <c r="V1773" i="1"/>
  <c r="W1767" i="1"/>
  <c r="V1767" i="1"/>
  <c r="W1027" i="1"/>
  <c r="V1027" i="1"/>
  <c r="W1023" i="1"/>
  <c r="V1023" i="1"/>
  <c r="W837" i="1"/>
  <c r="V837" i="1"/>
  <c r="W802" i="1"/>
  <c r="V802" i="1"/>
  <c r="W776" i="1"/>
  <c r="W696" i="1"/>
  <c r="V696" i="1"/>
  <c r="W553" i="1"/>
  <c r="V553" i="1"/>
  <c r="AJ2259" i="1" l="1"/>
  <c r="AK2259" i="1" s="1"/>
  <c r="AB261" i="1"/>
  <c r="AB2482" i="1"/>
  <c r="AB334" i="1"/>
  <c r="AB1287" i="1"/>
  <c r="AB1405" i="1"/>
  <c r="AB1803" i="1"/>
  <c r="AB1720" i="1"/>
  <c r="AB1508" i="1"/>
  <c r="AB1479" i="1"/>
  <c r="AA2219" i="1"/>
  <c r="AB1760" i="1"/>
  <c r="AA1141" i="1"/>
  <c r="AA1625" i="1"/>
  <c r="AA1747" i="1"/>
  <c r="AD1747" i="1" s="1"/>
  <c r="AA1792" i="1"/>
  <c r="AA377" i="1"/>
  <c r="AA1128" i="1"/>
  <c r="AA1178" i="1"/>
  <c r="AA1701" i="1"/>
  <c r="AD1701" i="1" s="1"/>
  <c r="AA1789" i="1"/>
  <c r="AA477" i="1"/>
  <c r="AA1246" i="1"/>
  <c r="AA1562" i="1"/>
  <c r="AB1562" i="1" s="1"/>
  <c r="AA22" i="1"/>
  <c r="AA368" i="1"/>
  <c r="AA410" i="1"/>
  <c r="AA413" i="1"/>
  <c r="AA551" i="1"/>
  <c r="AA696" i="1"/>
  <c r="AB696" i="1" s="1"/>
  <c r="AA802" i="1"/>
  <c r="AA1023" i="1"/>
  <c r="AB1023" i="1" s="1"/>
  <c r="AA2439" i="1"/>
  <c r="AB2439" i="1" s="1"/>
  <c r="AA896" i="1"/>
  <c r="AA1932" i="1"/>
  <c r="AB1932" i="1" s="1"/>
  <c r="AA2040" i="1"/>
  <c r="AA553" i="1"/>
  <c r="AA776" i="1"/>
  <c r="AA1027" i="1"/>
  <c r="AA1979" i="1"/>
  <c r="AA1268" i="1"/>
  <c r="AB1268" i="1" s="1"/>
  <c r="AA2014" i="1"/>
  <c r="AA2314" i="1"/>
  <c r="AA405" i="1"/>
  <c r="AB405" i="1" s="1"/>
  <c r="AA1773" i="1"/>
  <c r="AA1972" i="1"/>
  <c r="AD1972" i="1" s="1"/>
  <c r="AA1980" i="1"/>
  <c r="AA837" i="1"/>
  <c r="AA1767" i="1"/>
  <c r="AA1775" i="1"/>
  <c r="AD1775" i="1" s="1"/>
  <c r="AA2377" i="1"/>
  <c r="AA2311" i="1"/>
  <c r="AB802" i="1" l="1"/>
  <c r="AD802" i="1"/>
  <c r="AB413" i="1"/>
  <c r="AB22" i="1"/>
  <c r="AB410" i="1"/>
  <c r="AD1178" i="1"/>
  <c r="AD1141" i="1"/>
  <c r="AB1792" i="1"/>
  <c r="AB1789" i="1"/>
  <c r="AB1625" i="1"/>
  <c r="AB2040" i="1"/>
  <c r="AB776" i="1"/>
  <c r="AB553" i="1"/>
  <c r="AB551" i="1"/>
  <c r="AB1979" i="1"/>
  <c r="AB2014" i="1"/>
  <c r="AB1246" i="1"/>
  <c r="AB368" i="1"/>
  <c r="AB477" i="1"/>
  <c r="AB1128" i="1"/>
  <c r="AB377" i="1"/>
  <c r="AD1027" i="1"/>
  <c r="AD837" i="1"/>
  <c r="AD896" i="1"/>
  <c r="AD1767" i="1"/>
  <c r="AD2314" i="1"/>
  <c r="AD2311" i="1"/>
  <c r="AD1980" i="1"/>
  <c r="AD2377" i="1"/>
  <c r="AD1773" i="1"/>
  <c r="AF202" i="1" l="1"/>
  <c r="AN202" i="1" l="1"/>
  <c r="AH202" i="1"/>
  <c r="AE202" i="1"/>
  <c r="W202" i="1"/>
  <c r="V202" i="1"/>
  <c r="U202" i="1"/>
  <c r="T202" i="1"/>
  <c r="AE934" i="1"/>
  <c r="AM202" i="1" l="1"/>
  <c r="AL202" i="1" s="1"/>
  <c r="AA202" i="1"/>
  <c r="AD202" i="1" s="1"/>
  <c r="AF2560" i="1"/>
  <c r="AF2105" i="1" l="1"/>
  <c r="AF1650" i="1"/>
  <c r="AF709" i="1"/>
  <c r="AF644" i="1"/>
  <c r="AF414" i="1"/>
  <c r="AF411" i="1"/>
  <c r="AF213" i="1"/>
  <c r="AN2408" i="1" l="1"/>
  <c r="AL2408" i="1"/>
  <c r="AN1431" i="1"/>
  <c r="AL1431" i="1"/>
  <c r="AN1821" i="1"/>
  <c r="AL1821" i="1"/>
  <c r="AN369" i="1"/>
  <c r="AL369" i="1"/>
  <c r="AE2354" i="1"/>
  <c r="AE2136" i="1"/>
  <c r="AE1851" i="1"/>
  <c r="AE1765" i="1"/>
  <c r="AE905" i="1"/>
  <c r="AF2395" i="1"/>
  <c r="AF2354" i="1"/>
  <c r="AF2161" i="1"/>
  <c r="AF2136" i="1"/>
  <c r="AF1851" i="1"/>
  <c r="AF1846" i="1"/>
  <c r="AF1500" i="1"/>
  <c r="AF1203" i="1"/>
  <c r="AF1201" i="1"/>
  <c r="AF1199" i="1"/>
  <c r="AF1198" i="1"/>
  <c r="AF1197" i="1"/>
  <c r="AF1195" i="1"/>
  <c r="K61" i="4"/>
  <c r="L61" i="4" s="1"/>
  <c r="AF1145" i="1"/>
  <c r="AF1144" i="1"/>
  <c r="AF969" i="1"/>
  <c r="AF966" i="1"/>
  <c r="K123" i="5"/>
  <c r="L123" i="5" s="1"/>
  <c r="AF955" i="1"/>
  <c r="AF905" i="1"/>
  <c r="AF662" i="1"/>
  <c r="AF556" i="1"/>
  <c r="AF555" i="1"/>
  <c r="AF97" i="1"/>
  <c r="AF96" i="1"/>
  <c r="AL2574" i="1"/>
  <c r="AL2562" i="1"/>
  <c r="AL2563" i="1"/>
  <c r="AL2561" i="1"/>
  <c r="AL2554" i="1"/>
  <c r="AL2549" i="1"/>
  <c r="AL2548" i="1"/>
  <c r="AL2544" i="1"/>
  <c r="AL2538" i="1"/>
  <c r="AL2537" i="1"/>
  <c r="AL2536" i="1"/>
  <c r="AL2485" i="1"/>
  <c r="AL2484" i="1"/>
  <c r="AL2474" i="1"/>
  <c r="AL2434" i="1"/>
  <c r="AL2433" i="1"/>
  <c r="AL2435" i="1"/>
  <c r="AL2417" i="1"/>
  <c r="AL2389" i="1"/>
  <c r="AL2351" i="1"/>
  <c r="AL2350" i="1"/>
  <c r="AL2331" i="1"/>
  <c r="AL2330" i="1"/>
  <c r="AL2328" i="1"/>
  <c r="AL2327" i="1"/>
  <c r="AL2283" i="1"/>
  <c r="AL2276" i="1"/>
  <c r="AL2248" i="1"/>
  <c r="AL2241" i="1"/>
  <c r="AL2236" i="1"/>
  <c r="AL2235" i="1"/>
  <c r="AL2226" i="1"/>
  <c r="AL2224" i="1"/>
  <c r="AL2225" i="1"/>
  <c r="AL2193" i="1"/>
  <c r="AL2192" i="1"/>
  <c r="AL2182" i="1"/>
  <c r="AL2148" i="1"/>
  <c r="AL2146" i="1"/>
  <c r="AL2147" i="1"/>
  <c r="AL2144" i="1"/>
  <c r="AL2142" i="1"/>
  <c r="AL2143" i="1"/>
  <c r="AL2138" i="1"/>
  <c r="AL2084" i="1"/>
  <c r="AL2082" i="1"/>
  <c r="AL2083" i="1"/>
  <c r="AL2000" i="1"/>
  <c r="AL1975" i="1"/>
  <c r="AL1953" i="1"/>
  <c r="AL1954" i="1"/>
  <c r="AL1860" i="1"/>
  <c r="AL1819" i="1"/>
  <c r="AL1818" i="1"/>
  <c r="AL1814" i="1"/>
  <c r="AL1798" i="1"/>
  <c r="AL1799" i="1"/>
  <c r="AL1795" i="1"/>
  <c r="AL1794" i="1"/>
  <c r="AL1788" i="1"/>
  <c r="AL1772" i="1"/>
  <c r="AL1744" i="1"/>
  <c r="AL1743" i="1"/>
  <c r="AL1739" i="1"/>
  <c r="AL1738" i="1"/>
  <c r="AL1688" i="1"/>
  <c r="AL1687" i="1"/>
  <c r="AL1682" i="1"/>
  <c r="AL1646" i="1"/>
  <c r="AL1561" i="1"/>
  <c r="AL1533" i="1"/>
  <c r="AL1535" i="1"/>
  <c r="AL1534" i="1"/>
  <c r="AL1434" i="1"/>
  <c r="AL1690" i="1"/>
  <c r="AL1430" i="1"/>
  <c r="AL1421" i="1"/>
  <c r="AL1415" i="1"/>
  <c r="AL1407" i="1"/>
  <c r="AL1406" i="1"/>
  <c r="AL1357" i="1"/>
  <c r="AL1356" i="1"/>
  <c r="AL1351" i="1"/>
  <c r="AL1349" i="1"/>
  <c r="AL1347" i="1"/>
  <c r="AL1348" i="1"/>
  <c r="AL1346" i="1"/>
  <c r="AL1345" i="1"/>
  <c r="AL1344" i="1"/>
  <c r="AL1342" i="1"/>
  <c r="AL1343" i="1"/>
  <c r="AL1335" i="1"/>
  <c r="AL1334" i="1"/>
  <c r="AL1329" i="1"/>
  <c r="AL1277" i="1"/>
  <c r="AL1276" i="1"/>
  <c r="AL1245" i="1"/>
  <c r="AL1228" i="1"/>
  <c r="AL1229" i="1"/>
  <c r="AL1222" i="1"/>
  <c r="AL1220" i="1"/>
  <c r="AL1221" i="1"/>
  <c r="AL1215" i="1"/>
  <c r="AL1213" i="1"/>
  <c r="AL1214" i="1"/>
  <c r="AL1133" i="1"/>
  <c r="AL1127" i="1"/>
  <c r="AL1045" i="1"/>
  <c r="AL998" i="1"/>
  <c r="AL997" i="1"/>
  <c r="AL942" i="1"/>
  <c r="AL943" i="1"/>
  <c r="AL939" i="1"/>
  <c r="AL881" i="1"/>
  <c r="AL859" i="1"/>
  <c r="AL785" i="1"/>
  <c r="AL784" i="1"/>
  <c r="AL783" i="1"/>
  <c r="AL775" i="1"/>
  <c r="AL773" i="1"/>
  <c r="AL774" i="1"/>
  <c r="AL770" i="1"/>
  <c r="AL768" i="1"/>
  <c r="AL769" i="1"/>
  <c r="AL740" i="1"/>
  <c r="AL673" i="1"/>
  <c r="AL672" i="1"/>
  <c r="AL663" i="1"/>
  <c r="AL664" i="1"/>
  <c r="AL639" i="1"/>
  <c r="AL640" i="1"/>
  <c r="AL638" i="1"/>
  <c r="AL578" i="1"/>
  <c r="AL577" i="1"/>
  <c r="AL566" i="1"/>
  <c r="AL567" i="1"/>
  <c r="AL492" i="1"/>
  <c r="AL474" i="1"/>
  <c r="AL470" i="1"/>
  <c r="AL471" i="1"/>
  <c r="AL469" i="1"/>
  <c r="AL438" i="1"/>
  <c r="AL437" i="1"/>
  <c r="AL432" i="1"/>
  <c r="AL433" i="1"/>
  <c r="AL431" i="1"/>
  <c r="AL376" i="1"/>
  <c r="AL374" i="1"/>
  <c r="AL375" i="1"/>
  <c r="AL371" i="1"/>
  <c r="AL372" i="1"/>
  <c r="AL394" i="1"/>
  <c r="AL313" i="1"/>
  <c r="AL314" i="1"/>
  <c r="AL294" i="1"/>
  <c r="AL282" i="1"/>
  <c r="AL283" i="1"/>
  <c r="AL276" i="1"/>
  <c r="AL277" i="1"/>
  <c r="AL275" i="1"/>
  <c r="AL273" i="1"/>
  <c r="AL274" i="1"/>
  <c r="AL147" i="1"/>
  <c r="AL148" i="1"/>
  <c r="AL128" i="1"/>
  <c r="AL113" i="1"/>
  <c r="AL114" i="1"/>
  <c r="AL112" i="1"/>
  <c r="AL91" i="1"/>
  <c r="AH2575" i="1"/>
  <c r="AH2574" i="1"/>
  <c r="AH2573" i="1"/>
  <c r="AH2572" i="1"/>
  <c r="AH2571" i="1"/>
  <c r="AH2564" i="1"/>
  <c r="AH2562" i="1"/>
  <c r="AH2563" i="1"/>
  <c r="AH2561" i="1"/>
  <c r="AH2560" i="1"/>
  <c r="AH2559" i="1"/>
  <c r="AH2556" i="1"/>
  <c r="AH2555" i="1"/>
  <c r="AH2554" i="1"/>
  <c r="AH2553" i="1"/>
  <c r="AH2552" i="1"/>
  <c r="AH2551" i="1"/>
  <c r="AH2550" i="1"/>
  <c r="AH2549" i="1"/>
  <c r="AH2548" i="1"/>
  <c r="AH2547" i="1"/>
  <c r="AH2546" i="1"/>
  <c r="AH2544" i="1"/>
  <c r="AH2543" i="1"/>
  <c r="AH2541" i="1"/>
  <c r="AH2540" i="1"/>
  <c r="AH2539" i="1"/>
  <c r="AH2538" i="1"/>
  <c r="AH2537" i="1"/>
  <c r="AH2536" i="1"/>
  <c r="AH2534" i="1"/>
  <c r="AH2533" i="1"/>
  <c r="AH2532" i="1"/>
  <c r="AH2531" i="1"/>
  <c r="AH2530" i="1"/>
  <c r="AH2529" i="1"/>
  <c r="AH2526" i="1"/>
  <c r="AH2528" i="1"/>
  <c r="AH2527" i="1"/>
  <c r="AH2525" i="1"/>
  <c r="AH2524" i="1"/>
  <c r="AH2523" i="1"/>
  <c r="AH2522" i="1"/>
  <c r="AH2521" i="1"/>
  <c r="AH2520" i="1"/>
  <c r="AH2519" i="1"/>
  <c r="AH2518" i="1"/>
  <c r="AH2517" i="1"/>
  <c r="AH2515" i="1"/>
  <c r="AH2516" i="1"/>
  <c r="AH2513" i="1"/>
  <c r="AH2514" i="1"/>
  <c r="AH2512" i="1"/>
  <c r="AH2511" i="1"/>
  <c r="AH2510" i="1"/>
  <c r="AH2509" i="1"/>
  <c r="AH2508" i="1"/>
  <c r="AH2507" i="1"/>
  <c r="AH2506" i="1"/>
  <c r="AH2505" i="1"/>
  <c r="AH2504" i="1"/>
  <c r="AH2503" i="1"/>
  <c r="AH2502" i="1"/>
  <c r="AH2501" i="1"/>
  <c r="AH2500" i="1"/>
  <c r="AH2499" i="1"/>
  <c r="AH2494" i="1"/>
  <c r="AH2493" i="1"/>
  <c r="AH2492" i="1"/>
  <c r="AH2491" i="1"/>
  <c r="AH2489" i="1"/>
  <c r="AH2487" i="1"/>
  <c r="AH2485" i="1"/>
  <c r="AH2484" i="1"/>
  <c r="AH2483" i="1"/>
  <c r="AH2480" i="1"/>
  <c r="AH2473" i="1"/>
  <c r="AH2472" i="1"/>
  <c r="AH2471" i="1"/>
  <c r="AH2469" i="1"/>
  <c r="AH2470" i="1"/>
  <c r="AH2467" i="1"/>
  <c r="AH2468" i="1"/>
  <c r="AH2466" i="1"/>
  <c r="AH2465" i="1"/>
  <c r="AH2463" i="1"/>
  <c r="AH2464" i="1"/>
  <c r="AH2461" i="1"/>
  <c r="AH2462" i="1"/>
  <c r="AH2459" i="1"/>
  <c r="AH2460" i="1"/>
  <c r="AH2458" i="1"/>
  <c r="AH2457" i="1"/>
  <c r="AH2455" i="1"/>
  <c r="AH2456" i="1"/>
  <c r="AH2453" i="1"/>
  <c r="AH2454" i="1"/>
  <c r="AH2452" i="1"/>
  <c r="AH2451" i="1"/>
  <c r="AH2450" i="1"/>
  <c r="AH2449" i="1"/>
  <c r="AH2448" i="1"/>
  <c r="AH2447" i="1"/>
  <c r="AH2434" i="1"/>
  <c r="AH2433" i="1"/>
  <c r="AH2435" i="1"/>
  <c r="AH2432" i="1"/>
  <c r="AH2430" i="1"/>
  <c r="AH2429" i="1"/>
  <c r="AH2428" i="1"/>
  <c r="AH2427" i="1"/>
  <c r="AH2426" i="1"/>
  <c r="AH2424" i="1"/>
  <c r="AH2423" i="1"/>
  <c r="AH2422" i="1"/>
  <c r="AH2421" i="1"/>
  <c r="AH2420" i="1"/>
  <c r="AH2419" i="1"/>
  <c r="AH2418" i="1"/>
  <c r="AH2417" i="1"/>
  <c r="AH2416" i="1"/>
  <c r="AH2415" i="1"/>
  <c r="AH2414" i="1"/>
  <c r="AH2413" i="1"/>
  <c r="AH2412" i="1"/>
  <c r="AH2411" i="1"/>
  <c r="AH2407" i="1"/>
  <c r="AH2406" i="1"/>
  <c r="AH2405" i="1"/>
  <c r="AH2404" i="1"/>
  <c r="AH2403" i="1"/>
  <c r="AH2402" i="1"/>
  <c r="AH2401" i="1"/>
  <c r="AH2400" i="1"/>
  <c r="AH2399" i="1"/>
  <c r="AH2398" i="1"/>
  <c r="AH2397" i="1"/>
  <c r="AH2396" i="1"/>
  <c r="AH2395" i="1"/>
  <c r="AH2394" i="1"/>
  <c r="AH2393" i="1"/>
  <c r="AH2392" i="1"/>
  <c r="AH2391" i="1"/>
  <c r="AH2390" i="1"/>
  <c r="AH2389" i="1"/>
  <c r="AH2388" i="1"/>
  <c r="AH2387" i="1"/>
  <c r="AH2386" i="1"/>
  <c r="AH2385" i="1"/>
  <c r="AH2384" i="1"/>
  <c r="AH2383" i="1"/>
  <c r="AH2382" i="1"/>
  <c r="AH2381" i="1"/>
  <c r="AH2380" i="1"/>
  <c r="AH2378" i="1"/>
  <c r="AH2367" i="1"/>
  <c r="AH2368" i="1"/>
  <c r="AH2369" i="1"/>
  <c r="AH2370" i="1"/>
  <c r="AH2361" i="1"/>
  <c r="AH2362" i="1"/>
  <c r="AH2360" i="1"/>
  <c r="AH2359" i="1"/>
  <c r="AH2354" i="1"/>
  <c r="AH2353" i="1"/>
  <c r="AH2351" i="1"/>
  <c r="AH2350" i="1"/>
  <c r="AH2349" i="1"/>
  <c r="AH2348" i="1"/>
  <c r="AH2347" i="1"/>
  <c r="AH2340" i="1"/>
  <c r="AH2339" i="1"/>
  <c r="AH2338" i="1"/>
  <c r="AH2337" i="1"/>
  <c r="AH2336" i="1"/>
  <c r="AH2334" i="1"/>
  <c r="AH2332" i="1"/>
  <c r="AH2331" i="1"/>
  <c r="AH2330" i="1"/>
  <c r="AH2328" i="1"/>
  <c r="AH2327" i="1"/>
  <c r="AH2326" i="1"/>
  <c r="AH2325" i="1"/>
  <c r="AH2323" i="1"/>
  <c r="AH2322" i="1"/>
  <c r="AH2320" i="1"/>
  <c r="AH2315" i="1"/>
  <c r="AH2313" i="1"/>
  <c r="AH2312" i="1"/>
  <c r="AH2310" i="1"/>
  <c r="AH2309" i="1"/>
  <c r="AH2307" i="1"/>
  <c r="AH2306" i="1"/>
  <c r="AH2305" i="1"/>
  <c r="AH2304" i="1"/>
  <c r="AH2303" i="1"/>
  <c r="AH2302" i="1"/>
  <c r="AH2301" i="1"/>
  <c r="AH2300" i="1"/>
  <c r="AH2299" i="1"/>
  <c r="AH2298" i="1"/>
  <c r="AH2297" i="1"/>
  <c r="AH2296" i="1"/>
  <c r="AH2293" i="1"/>
  <c r="AH2292" i="1"/>
  <c r="AH2291" i="1"/>
  <c r="AH2290" i="1"/>
  <c r="AH2289" i="1"/>
  <c r="AH2288" i="1"/>
  <c r="AH2287" i="1"/>
  <c r="AH2286" i="1"/>
  <c r="AH2285" i="1"/>
  <c r="AH2284" i="1"/>
  <c r="AH2283" i="1"/>
  <c r="AH2282" i="1"/>
  <c r="AH2281" i="1"/>
  <c r="AH2279" i="1"/>
  <c r="AH2280" i="1"/>
  <c r="AH2277" i="1"/>
  <c r="AH2276" i="1"/>
  <c r="AH2275" i="1"/>
  <c r="AH2274" i="1"/>
  <c r="AH2273" i="1"/>
  <c r="AH2272" i="1"/>
  <c r="AH2271" i="1"/>
  <c r="AH2270" i="1"/>
  <c r="AH2269" i="1"/>
  <c r="AH2268" i="1"/>
  <c r="AH2267" i="1"/>
  <c r="AH2266" i="1"/>
  <c r="AH2265" i="1"/>
  <c r="AH2264" i="1"/>
  <c r="AH2263" i="1"/>
  <c r="AH2262" i="1"/>
  <c r="AH2261" i="1"/>
  <c r="AH2260" i="1"/>
  <c r="AH2258" i="1"/>
  <c r="AH2257" i="1"/>
  <c r="AH2256" i="1"/>
  <c r="AH2255" i="1"/>
  <c r="AH2254" i="1"/>
  <c r="AH2253" i="1"/>
  <c r="AH2252" i="1"/>
  <c r="AH2251" i="1"/>
  <c r="AH2250" i="1"/>
  <c r="AH2249" i="1"/>
  <c r="AH2248" i="1"/>
  <c r="AH2247" i="1"/>
  <c r="AH2246" i="1"/>
  <c r="AH2245" i="1"/>
  <c r="AH2244" i="1"/>
  <c r="AH2243" i="1"/>
  <c r="AH2242" i="1"/>
  <c r="AH2241" i="1"/>
  <c r="AH2240" i="1"/>
  <c r="AH2239" i="1"/>
  <c r="AH2238" i="1"/>
  <c r="AH2237" i="1"/>
  <c r="AH2236" i="1"/>
  <c r="AH2235" i="1"/>
  <c r="AH2234" i="1"/>
  <c r="AH2233" i="1"/>
  <c r="AH2232" i="1"/>
  <c r="AH2230" i="1"/>
  <c r="AH2231" i="1"/>
  <c r="AH2229" i="1"/>
  <c r="AH2227" i="1"/>
  <c r="AH2226" i="1"/>
  <c r="AH2224" i="1"/>
  <c r="AH2225" i="1"/>
  <c r="AH2223" i="1"/>
  <c r="AH2222" i="1"/>
  <c r="AH2221" i="1"/>
  <c r="AH2220" i="1"/>
  <c r="AH2218" i="1"/>
  <c r="AH2217" i="1"/>
  <c r="AH2215" i="1"/>
  <c r="AH2214" i="1"/>
  <c r="AH2213" i="1"/>
  <c r="AH2212" i="1"/>
  <c r="AH2211" i="1"/>
  <c r="AH2210" i="1"/>
  <c r="AH2209" i="1"/>
  <c r="AH2207" i="1"/>
  <c r="AH2206" i="1"/>
  <c r="AH2205" i="1"/>
  <c r="AH2204" i="1"/>
  <c r="AH2203" i="1"/>
  <c r="AH2201" i="1"/>
  <c r="AH2202" i="1"/>
  <c r="AH2200" i="1"/>
  <c r="AH2199" i="1"/>
  <c r="AH2198" i="1"/>
  <c r="AH2197" i="1"/>
  <c r="AH2195" i="1"/>
  <c r="AH2194" i="1"/>
  <c r="AH2193" i="1"/>
  <c r="AH2192" i="1"/>
  <c r="AH2191" i="1"/>
  <c r="AH2190" i="1"/>
  <c r="AH2189" i="1"/>
  <c r="AH2188" i="1"/>
  <c r="AH2186" i="1"/>
  <c r="AH2187" i="1"/>
  <c r="AH2182" i="1"/>
  <c r="AH2175" i="1"/>
  <c r="AH2171" i="1"/>
  <c r="AH2170" i="1"/>
  <c r="AH2168" i="1"/>
  <c r="AH2166" i="1"/>
  <c r="AH2165" i="1"/>
  <c r="AH2164" i="1"/>
  <c r="AH2161" i="1"/>
  <c r="AH2160" i="1"/>
  <c r="AH2159" i="1"/>
  <c r="AH2157" i="1"/>
  <c r="AH2158" i="1"/>
  <c r="AH2156" i="1"/>
  <c r="AH2151" i="1"/>
  <c r="AH2150" i="1"/>
  <c r="AH2149" i="1"/>
  <c r="AH2148" i="1"/>
  <c r="AH2146" i="1"/>
  <c r="AH2147" i="1"/>
  <c r="AH2145" i="1"/>
  <c r="AH2144" i="1"/>
  <c r="AH2142" i="1"/>
  <c r="AH2143" i="1"/>
  <c r="AH2141" i="1"/>
  <c r="AH2140" i="1"/>
  <c r="AH2138" i="1"/>
  <c r="AH2136" i="1"/>
  <c r="AH2132" i="1"/>
  <c r="AH2130" i="1"/>
  <c r="AH2121" i="1"/>
  <c r="AH2123" i="1"/>
  <c r="AH2122" i="1"/>
  <c r="AH2118" i="1"/>
  <c r="AH2117" i="1"/>
  <c r="AH2116" i="1"/>
  <c r="AH2115" i="1"/>
  <c r="AH2114" i="1"/>
  <c r="AH2105" i="1"/>
  <c r="AH2103" i="1"/>
  <c r="AH2102" i="1"/>
  <c r="AH2101" i="1"/>
  <c r="AH2100" i="1"/>
  <c r="AH2099" i="1"/>
  <c r="AH2098" i="1"/>
  <c r="AH2097" i="1"/>
  <c r="AH2095" i="1"/>
  <c r="AH2096" i="1"/>
  <c r="AH2094" i="1"/>
  <c r="AH2084" i="1"/>
  <c r="AH2082" i="1"/>
  <c r="AH2083" i="1"/>
  <c r="AH2081" i="1"/>
  <c r="AH2079" i="1"/>
  <c r="AH2080" i="1"/>
  <c r="AH2076" i="1"/>
  <c r="AH2078" i="1"/>
  <c r="AH2077" i="1"/>
  <c r="AH2075" i="1"/>
  <c r="AH2074" i="1"/>
  <c r="AH2072" i="1"/>
  <c r="AH2073" i="1"/>
  <c r="AH2071" i="1"/>
  <c r="AH2058" i="1"/>
  <c r="AH2057" i="1"/>
  <c r="AH2055" i="1"/>
  <c r="AH2056" i="1"/>
  <c r="AH2053" i="1"/>
  <c r="AH2052" i="1"/>
  <c r="AH2050" i="1"/>
  <c r="AH2051" i="1"/>
  <c r="AH2049" i="1"/>
  <c r="AH2048" i="1"/>
  <c r="AH2047" i="1"/>
  <c r="AH2046" i="1"/>
  <c r="AH2045" i="1"/>
  <c r="AH2041" i="1"/>
  <c r="AH2039" i="1"/>
  <c r="AH2031" i="1"/>
  <c r="AH2027" i="1"/>
  <c r="AH2024" i="1"/>
  <c r="AH2023" i="1"/>
  <c r="AH2022" i="1"/>
  <c r="AH2019" i="1"/>
  <c r="AH2021" i="1"/>
  <c r="AH2020" i="1"/>
  <c r="AH2017" i="1"/>
  <c r="AH2016" i="1"/>
  <c r="AH2015" i="1"/>
  <c r="AH2013" i="1"/>
  <c r="AH2008" i="1"/>
  <c r="AH2001" i="1"/>
  <c r="AH2007" i="1"/>
  <c r="AH2006" i="1"/>
  <c r="AH2005" i="1"/>
  <c r="AH2004" i="1"/>
  <c r="AH2003" i="1"/>
  <c r="AH2002" i="1"/>
  <c r="AH1997" i="1"/>
  <c r="AH1998" i="1"/>
  <c r="AH1999" i="1"/>
  <c r="AH2000" i="1"/>
  <c r="AH1995" i="1"/>
  <c r="AH1994" i="1"/>
  <c r="AH1984" i="1"/>
  <c r="AH1983" i="1"/>
  <c r="AH1978" i="1"/>
  <c r="AH1977" i="1"/>
  <c r="AH1976" i="1"/>
  <c r="AH1975" i="1"/>
  <c r="AH1971" i="1"/>
  <c r="AH1970" i="1"/>
  <c r="AH1961" i="1"/>
  <c r="AH1960" i="1"/>
  <c r="AH1959" i="1"/>
  <c r="AH1957" i="1"/>
  <c r="AH1956" i="1"/>
  <c r="AH1955" i="1"/>
  <c r="AH1953" i="1"/>
  <c r="AH1954" i="1"/>
  <c r="AH1952" i="1"/>
  <c r="AH1951" i="1"/>
  <c r="AH1950" i="1"/>
  <c r="AH1949" i="1"/>
  <c r="AH1948" i="1"/>
  <c r="AH1947" i="1"/>
  <c r="AH1946" i="1"/>
  <c r="AH1945" i="1"/>
  <c r="AH1944" i="1"/>
  <c r="AH1943" i="1"/>
  <c r="AH1940" i="1"/>
  <c r="AH1939" i="1"/>
  <c r="AH1938" i="1"/>
  <c r="AH1937" i="1"/>
  <c r="AH1930" i="1"/>
  <c r="AH1931" i="1"/>
  <c r="AH1929" i="1"/>
  <c r="AH1927" i="1"/>
  <c r="AH1928" i="1"/>
  <c r="AH1925" i="1"/>
  <c r="AH1915" i="1"/>
  <c r="AH1914" i="1"/>
  <c r="AH1913" i="1"/>
  <c r="AH1912" i="1"/>
  <c r="AH1910" i="1"/>
  <c r="AH1879" i="1"/>
  <c r="AH1878" i="1"/>
  <c r="AH1875" i="1"/>
  <c r="AH1874" i="1"/>
  <c r="AH1873" i="1"/>
  <c r="AH1871" i="1"/>
  <c r="AH1863" i="1"/>
  <c r="AH1862" i="1"/>
  <c r="AH1860" i="1"/>
  <c r="AH1859" i="1"/>
  <c r="AH1856" i="1"/>
  <c r="AH1855" i="1"/>
  <c r="AH1854" i="1"/>
  <c r="AH1853" i="1"/>
  <c r="AH1851" i="1"/>
  <c r="AH1848" i="1"/>
  <c r="AH1846" i="1"/>
  <c r="AH1845" i="1"/>
  <c r="AH1844" i="1"/>
  <c r="AH1842" i="1"/>
  <c r="AH1841" i="1"/>
  <c r="AH1840" i="1"/>
  <c r="AH1839" i="1"/>
  <c r="AH1838" i="1"/>
  <c r="AH1837" i="1"/>
  <c r="AH1836" i="1"/>
  <c r="AH1835" i="1"/>
  <c r="AH1834" i="1"/>
  <c r="AH1832" i="1"/>
  <c r="AH1831" i="1"/>
  <c r="AH1830" i="1"/>
  <c r="AH1828" i="1"/>
  <c r="AH1826" i="1"/>
  <c r="AH1825" i="1"/>
  <c r="AH1824" i="1"/>
  <c r="AH1823" i="1"/>
  <c r="AH1822" i="1"/>
  <c r="AH1820" i="1"/>
  <c r="AH1819" i="1"/>
  <c r="AH1818" i="1"/>
  <c r="AH1817" i="1"/>
  <c r="AH1816" i="1"/>
  <c r="AH1815" i="1"/>
  <c r="AH1814" i="1"/>
  <c r="AH1812" i="1"/>
  <c r="AH1811" i="1"/>
  <c r="AH1810" i="1"/>
  <c r="AH1809" i="1"/>
  <c r="AH1808" i="1"/>
  <c r="AH1807" i="1"/>
  <c r="AH1806" i="1"/>
  <c r="AH1805" i="1"/>
  <c r="AH1801" i="1"/>
  <c r="AH1800" i="1"/>
  <c r="AH1798" i="1"/>
  <c r="AH1799" i="1"/>
  <c r="AH1797" i="1"/>
  <c r="AH1796" i="1"/>
  <c r="AH1795" i="1"/>
  <c r="AH1794" i="1"/>
  <c r="AH1788" i="1"/>
  <c r="AH1782" i="1"/>
  <c r="AH1781" i="1"/>
  <c r="AH1780" i="1"/>
  <c r="AH1778" i="1"/>
  <c r="AH1777" i="1"/>
  <c r="AH1776" i="1"/>
  <c r="AH1774" i="1"/>
  <c r="AH1772" i="1"/>
  <c r="AH1769" i="1"/>
  <c r="AH1768" i="1"/>
  <c r="AH1766" i="1"/>
  <c r="AH1765" i="1"/>
  <c r="AH1751" i="1"/>
  <c r="AH1750" i="1"/>
  <c r="AH1749" i="1"/>
  <c r="AH1744" i="1"/>
  <c r="AH1743" i="1"/>
  <c r="AH1742" i="1"/>
  <c r="AH1741" i="1"/>
  <c r="AH1740" i="1"/>
  <c r="AH1739" i="1"/>
  <c r="AH1738" i="1"/>
  <c r="AH1725" i="1"/>
  <c r="AH1724" i="1"/>
  <c r="AH1722" i="1"/>
  <c r="AH1721" i="1"/>
  <c r="AH1718" i="1"/>
  <c r="AH1717" i="1"/>
  <c r="AH1706" i="1"/>
  <c r="AH1705" i="1"/>
  <c r="AH1704" i="1"/>
  <c r="AH1703" i="1"/>
  <c r="AH1700" i="1"/>
  <c r="AH1698" i="1"/>
  <c r="AH1697" i="1"/>
  <c r="AH1696" i="1"/>
  <c r="AH1695" i="1"/>
  <c r="AH1693" i="1"/>
  <c r="AH1691" i="1"/>
  <c r="AH1688" i="1"/>
  <c r="AH1687" i="1"/>
  <c r="AH1686" i="1"/>
  <c r="AH1684" i="1"/>
  <c r="AH1683" i="1"/>
  <c r="AH1682" i="1"/>
  <c r="AH1674" i="1"/>
  <c r="AH1673" i="1"/>
  <c r="AH1672" i="1"/>
  <c r="AH1671" i="1"/>
  <c r="AH1670" i="1"/>
  <c r="AH1669" i="1"/>
  <c r="AH1668" i="1"/>
  <c r="AH1667" i="1"/>
  <c r="AH1666" i="1"/>
  <c r="AH1665" i="1"/>
  <c r="AH1664" i="1"/>
  <c r="AH1663" i="1"/>
  <c r="AH1661" i="1"/>
  <c r="AH1660" i="1"/>
  <c r="AH1658" i="1"/>
  <c r="AH1655" i="1"/>
  <c r="AH1654" i="1"/>
  <c r="AH1651" i="1"/>
  <c r="AH1650" i="1"/>
  <c r="AH1647" i="1"/>
  <c r="AH1646" i="1"/>
  <c r="AH1645" i="1"/>
  <c r="AH1640" i="1"/>
  <c r="AH1639" i="1"/>
  <c r="AH1634" i="1"/>
  <c r="AH1632" i="1"/>
  <c r="AH1633" i="1"/>
  <c r="AH1629" i="1"/>
  <c r="AH1627" i="1"/>
  <c r="AH1626" i="1"/>
  <c r="AH1624" i="1"/>
  <c r="AH1616" i="1"/>
  <c r="AH1620" i="1"/>
  <c r="AH1619" i="1"/>
  <c r="AH1615" i="1"/>
  <c r="AH1614" i="1"/>
  <c r="AH1613" i="1"/>
  <c r="AH1611" i="1"/>
  <c r="AH1609" i="1"/>
  <c r="AH1608" i="1"/>
  <c r="AH1607" i="1"/>
  <c r="AH1606" i="1"/>
  <c r="AH1601" i="1"/>
  <c r="AH1594" i="1"/>
  <c r="AH1593" i="1"/>
  <c r="AH1592" i="1"/>
  <c r="AH1591" i="1"/>
  <c r="AH1590" i="1"/>
  <c r="AH1589" i="1"/>
  <c r="AH1587" i="1"/>
  <c r="AH1588" i="1"/>
  <c r="AH1586" i="1"/>
  <c r="AH1584" i="1"/>
  <c r="AH1583" i="1"/>
  <c r="AH1582" i="1"/>
  <c r="AH1581" i="1"/>
  <c r="AH1579" i="1"/>
  <c r="AH1577" i="1"/>
  <c r="AH1576" i="1"/>
  <c r="AH1575" i="1"/>
  <c r="AH1574" i="1"/>
  <c r="AH1573" i="1"/>
  <c r="AH1572" i="1"/>
  <c r="AH1571" i="1"/>
  <c r="AH1570" i="1"/>
  <c r="AH1569" i="1"/>
  <c r="AH1568" i="1"/>
  <c r="AH1566" i="1"/>
  <c r="AH1565" i="1"/>
  <c r="AH1564" i="1"/>
  <c r="AH1563" i="1"/>
  <c r="AH1560" i="1"/>
  <c r="AH1559" i="1"/>
  <c r="AH1558" i="1"/>
  <c r="AH1547" i="1"/>
  <c r="AH1536" i="1"/>
  <c r="AH1533" i="1"/>
  <c r="AH1535" i="1"/>
  <c r="AH1534" i="1"/>
  <c r="AH1527" i="1"/>
  <c r="AH1524" i="1"/>
  <c r="AH1523" i="1"/>
  <c r="AH1522" i="1"/>
  <c r="AH1521" i="1"/>
  <c r="AH1520" i="1"/>
  <c r="AH1519" i="1"/>
  <c r="AH1518" i="1"/>
  <c r="AH1517" i="1"/>
  <c r="AH1507" i="1"/>
  <c r="AH1503" i="1"/>
  <c r="AH1501" i="1"/>
  <c r="AH1500" i="1"/>
  <c r="AH1499" i="1"/>
  <c r="AH1498" i="1"/>
  <c r="AH1497" i="1"/>
  <c r="AH1496" i="1"/>
  <c r="AH1495" i="1"/>
  <c r="AH1494" i="1"/>
  <c r="AH1493" i="1"/>
  <c r="AH1492" i="1"/>
  <c r="AH1491" i="1"/>
  <c r="AH1490" i="1"/>
  <c r="AH1489" i="1"/>
  <c r="AH1473" i="1"/>
  <c r="AH1471" i="1"/>
  <c r="AH1470" i="1"/>
  <c r="AH1469" i="1"/>
  <c r="AH1467" i="1"/>
  <c r="AH1464" i="1"/>
  <c r="AH1463" i="1"/>
  <c r="AH1462" i="1"/>
  <c r="AH1460" i="1"/>
  <c r="AH1457" i="1"/>
  <c r="AH1456" i="1"/>
  <c r="AH1453" i="1"/>
  <c r="AH1452" i="1"/>
  <c r="AH1451" i="1"/>
  <c r="AH1450" i="1"/>
  <c r="AH1445" i="1"/>
  <c r="AH1443" i="1"/>
  <c r="AH1444" i="1"/>
  <c r="AH1442" i="1"/>
  <c r="AH1439" i="1"/>
  <c r="AH1438" i="1"/>
  <c r="AH1437" i="1"/>
  <c r="AH1436" i="1"/>
  <c r="AH1429" i="1"/>
  <c r="AH1427" i="1"/>
  <c r="AH1426" i="1"/>
  <c r="AH1423" i="1"/>
  <c r="AH1424" i="1"/>
  <c r="AH1425" i="1"/>
  <c r="AH1422" i="1"/>
  <c r="AH1421" i="1"/>
  <c r="AH1419" i="1"/>
  <c r="AH1420" i="1"/>
  <c r="AH1418" i="1"/>
  <c r="AH1416" i="1"/>
  <c r="AH1417" i="1"/>
  <c r="AH1415" i="1"/>
  <c r="AH1414" i="1"/>
  <c r="AH1413" i="1"/>
  <c r="AH1412" i="1"/>
  <c r="AH1411" i="1"/>
  <c r="AH1410" i="1"/>
  <c r="AH1407" i="1"/>
  <c r="AH1406" i="1"/>
  <c r="AH1404" i="1"/>
  <c r="AH1403" i="1"/>
  <c r="AH1402" i="1"/>
  <c r="AH1401" i="1"/>
  <c r="AH1400" i="1"/>
  <c r="AH1398" i="1"/>
  <c r="AH1397" i="1"/>
  <c r="AH1394" i="1"/>
  <c r="AH1393" i="1"/>
  <c r="AH1392" i="1"/>
  <c r="AH1391" i="1"/>
  <c r="AH1390" i="1"/>
  <c r="AH1389" i="1"/>
  <c r="AH1378" i="1"/>
  <c r="AH1377" i="1"/>
  <c r="AH1373" i="1"/>
  <c r="AH1374" i="1"/>
  <c r="AH1372" i="1"/>
  <c r="AH1371" i="1"/>
  <c r="AH1369" i="1"/>
  <c r="AH1370" i="1"/>
  <c r="AH1368" i="1"/>
  <c r="AH1367" i="1"/>
  <c r="AH1366" i="1"/>
  <c r="AH1364" i="1"/>
  <c r="AH1365" i="1"/>
  <c r="AH1363" i="1"/>
  <c r="AH1362" i="1"/>
  <c r="AH1361" i="1"/>
  <c r="AH1360" i="1"/>
  <c r="AH1358" i="1"/>
  <c r="AH1359" i="1"/>
  <c r="AH1357" i="1"/>
  <c r="AH1356" i="1"/>
  <c r="AH1352" i="1"/>
  <c r="AH1349" i="1"/>
  <c r="AH1347" i="1"/>
  <c r="AH1348" i="1"/>
  <c r="AH1346" i="1"/>
  <c r="AH1345" i="1"/>
  <c r="AH1340" i="1"/>
  <c r="AH1344" i="1"/>
  <c r="AH1342" i="1"/>
  <c r="AH1343" i="1"/>
  <c r="AH1341" i="1"/>
  <c r="AH1337" i="1"/>
  <c r="AH1335" i="1"/>
  <c r="AH1334" i="1"/>
  <c r="AH1333" i="1"/>
  <c r="AH1332" i="1"/>
  <c r="AH1330" i="1"/>
  <c r="AH1331" i="1"/>
  <c r="AH1329" i="1"/>
  <c r="AH1328" i="1"/>
  <c r="AH1322" i="1"/>
  <c r="AH1323" i="1"/>
  <c r="AH1321" i="1"/>
  <c r="AH1326" i="1"/>
  <c r="AH1318" i="1"/>
  <c r="AH1319" i="1"/>
  <c r="AH1324" i="1"/>
  <c r="AH1325" i="1"/>
  <c r="AH1327" i="1"/>
  <c r="AH1316" i="1"/>
  <c r="AH1313" i="1"/>
  <c r="AH1312" i="1"/>
  <c r="AH1310" i="1"/>
  <c r="AH1309" i="1"/>
  <c r="AH1304" i="1"/>
  <c r="AH1303" i="1"/>
  <c r="AH1302" i="1"/>
  <c r="AH1300" i="1"/>
  <c r="AH1299" i="1"/>
  <c r="AH1298" i="1"/>
  <c r="AH1297" i="1"/>
  <c r="AH1290" i="1"/>
  <c r="AH1279" i="1"/>
  <c r="AH1277" i="1"/>
  <c r="AH1276" i="1"/>
  <c r="AH1275" i="1"/>
  <c r="AH1274" i="1"/>
  <c r="AH1273" i="1"/>
  <c r="AH1266" i="1"/>
  <c r="AH1265" i="1"/>
  <c r="AH1264" i="1"/>
  <c r="AH1263" i="1"/>
  <c r="AH1262" i="1"/>
  <c r="AH1260" i="1"/>
  <c r="AH1259" i="1"/>
  <c r="AH1239" i="1"/>
  <c r="AH1238" i="1"/>
  <c r="AH1237" i="1"/>
  <c r="AH1236" i="1"/>
  <c r="AH1235" i="1"/>
  <c r="AH1234" i="1"/>
  <c r="AH1233" i="1"/>
  <c r="AH1231" i="1"/>
  <c r="AH1227" i="1"/>
  <c r="AH1226" i="1"/>
  <c r="AH1228" i="1"/>
  <c r="AH1229" i="1"/>
  <c r="AH1225" i="1"/>
  <c r="AH1224" i="1"/>
  <c r="AH1223" i="1"/>
  <c r="AH1222" i="1"/>
  <c r="AH1220" i="1"/>
  <c r="AH1221" i="1"/>
  <c r="AH1219" i="1"/>
  <c r="AH1218" i="1"/>
  <c r="AH1217" i="1"/>
  <c r="AH1216" i="1"/>
  <c r="AH1215" i="1"/>
  <c r="AH1213" i="1"/>
  <c r="AH1214" i="1"/>
  <c r="AH1212" i="1"/>
  <c r="AH1208" i="1"/>
  <c r="AH1207" i="1"/>
  <c r="AH1206" i="1"/>
  <c r="AH1205" i="1"/>
  <c r="AH1203" i="1"/>
  <c r="AH1201" i="1"/>
  <c r="AH1199" i="1"/>
  <c r="AH1198" i="1"/>
  <c r="AH1197" i="1"/>
  <c r="AH1195" i="1"/>
  <c r="AH1194" i="1"/>
  <c r="AH1193" i="1"/>
  <c r="AH1191" i="1"/>
  <c r="AH1192" i="1"/>
  <c r="AH1190" i="1"/>
  <c r="AH1189" i="1"/>
  <c r="AH1188" i="1"/>
  <c r="AH1187" i="1"/>
  <c r="AH1181" i="1"/>
  <c r="AH1180" i="1"/>
  <c r="AH1176" i="1"/>
  <c r="AH1175" i="1"/>
  <c r="AH1174" i="1"/>
  <c r="AH1172" i="1"/>
  <c r="AH1171" i="1"/>
  <c r="AH1170" i="1"/>
  <c r="AH1168" i="1"/>
  <c r="AH1166" i="1"/>
  <c r="AH1164" i="1"/>
  <c r="AH1163" i="1"/>
  <c r="AH1162" i="1"/>
  <c r="AH1161" i="1"/>
  <c r="AH1159" i="1"/>
  <c r="AH1152" i="1"/>
  <c r="AH1151" i="1"/>
  <c r="AH1149" i="1"/>
  <c r="AH1148" i="1"/>
  <c r="AH1146" i="1"/>
  <c r="AH1145" i="1"/>
  <c r="AH1144" i="1"/>
  <c r="AH1143" i="1"/>
  <c r="AH1140" i="1"/>
  <c r="AH1139" i="1"/>
  <c r="AH1138" i="1"/>
  <c r="AH1137" i="1"/>
  <c r="AH1134" i="1"/>
  <c r="AH1133" i="1"/>
  <c r="AH1126" i="1"/>
  <c r="AH1125" i="1"/>
  <c r="AH1124" i="1"/>
  <c r="AH1123" i="1"/>
  <c r="AH1122" i="1"/>
  <c r="AH1121" i="1"/>
  <c r="AH1120" i="1"/>
  <c r="AH1119" i="1"/>
  <c r="AH1118" i="1"/>
  <c r="AH1117" i="1"/>
  <c r="AH1116" i="1"/>
  <c r="AH1114" i="1"/>
  <c r="AH1111" i="1"/>
  <c r="AH1110" i="1"/>
  <c r="AH1109" i="1"/>
  <c r="AH1108" i="1"/>
  <c r="AH1107" i="1"/>
  <c r="AH1106" i="1"/>
  <c r="AH1102" i="1"/>
  <c r="AH1100" i="1"/>
  <c r="AH1098" i="1"/>
  <c r="AH1096" i="1"/>
  <c r="AH1088" i="1"/>
  <c r="AH1087" i="1"/>
  <c r="AH1085" i="1"/>
  <c r="AH1084" i="1"/>
  <c r="AH1083" i="1"/>
  <c r="AH1082" i="1"/>
  <c r="AH1081" i="1"/>
  <c r="AH1080" i="1"/>
  <c r="AH1079" i="1"/>
  <c r="AH1078" i="1"/>
  <c r="AH1077" i="1"/>
  <c r="AH1076" i="1"/>
  <c r="AH1075" i="1"/>
  <c r="AH1074" i="1"/>
  <c r="AH1073" i="1"/>
  <c r="AH1071" i="1"/>
  <c r="AH1070" i="1"/>
  <c r="AH1069" i="1"/>
  <c r="AH1068" i="1"/>
  <c r="AH1067" i="1"/>
  <c r="AH1066" i="1"/>
  <c r="AH1065" i="1"/>
  <c r="AH1064" i="1"/>
  <c r="AH1063" i="1"/>
  <c r="AH1061" i="1"/>
  <c r="AH1062" i="1"/>
  <c r="AH1059" i="1"/>
  <c r="AH1058" i="1"/>
  <c r="AH1057" i="1"/>
  <c r="AH1052" i="1"/>
  <c r="AH1051" i="1"/>
  <c r="AH1048" i="1"/>
  <c r="AH1049" i="1"/>
  <c r="AH1045" i="1"/>
  <c r="AH1043" i="1"/>
  <c r="AH1040" i="1"/>
  <c r="AH1039" i="1"/>
  <c r="AH1036" i="1"/>
  <c r="AH1021" i="1"/>
  <c r="AH1018" i="1"/>
  <c r="AH1017" i="1"/>
  <c r="AH1014" i="1"/>
  <c r="AH1013" i="1"/>
  <c r="AH1012" i="1"/>
  <c r="AH1011" i="1"/>
  <c r="AH1009" i="1"/>
  <c r="AH1004" i="1"/>
  <c r="AH1001" i="1"/>
  <c r="AH1000" i="1"/>
  <c r="AH999" i="1"/>
  <c r="AH998" i="1"/>
  <c r="AH997" i="1"/>
  <c r="AH996" i="1"/>
  <c r="AH995" i="1"/>
  <c r="AH993" i="1"/>
  <c r="AH992" i="1"/>
  <c r="AH991" i="1"/>
  <c r="AH986" i="1"/>
  <c r="AH985" i="1"/>
  <c r="AH984" i="1"/>
  <c r="AH982" i="1"/>
  <c r="AH983" i="1"/>
  <c r="AH981" i="1"/>
  <c r="AH977" i="1"/>
  <c r="AH975" i="1"/>
  <c r="AH972" i="1"/>
  <c r="AH971" i="1"/>
  <c r="AH970" i="1"/>
  <c r="AH969" i="1"/>
  <c r="AH968" i="1"/>
  <c r="AH967" i="1"/>
  <c r="AH966" i="1"/>
  <c r="AH965" i="1"/>
  <c r="AH964" i="1"/>
  <c r="AH963" i="1"/>
  <c r="AH962" i="1"/>
  <c r="AH961" i="1"/>
  <c r="AH960" i="1"/>
  <c r="AH959" i="1"/>
  <c r="AH958" i="1"/>
  <c r="AH956" i="1"/>
  <c r="AH955" i="1"/>
  <c r="AH953" i="1"/>
  <c r="AH950" i="1"/>
  <c r="AH949" i="1"/>
  <c r="AH947" i="1"/>
  <c r="AH948" i="1"/>
  <c r="AH951" i="1"/>
  <c r="AH952" i="1"/>
  <c r="AH946" i="1"/>
  <c r="AH945" i="1"/>
  <c r="AH942" i="1"/>
  <c r="AH943" i="1"/>
  <c r="AH940" i="1"/>
  <c r="AH939" i="1"/>
  <c r="AH938" i="1"/>
  <c r="AH937" i="1"/>
  <c r="AH934" i="1"/>
  <c r="AH926" i="1"/>
  <c r="AH923" i="1"/>
  <c r="AH924" i="1"/>
  <c r="AH925" i="1"/>
  <c r="AH920" i="1"/>
  <c r="AH921" i="1"/>
  <c r="AH929" i="1"/>
  <c r="AH919" i="1"/>
  <c r="AH918" i="1"/>
  <c r="AH906" i="1"/>
  <c r="AH905" i="1"/>
  <c r="AH899" i="1"/>
  <c r="AH892" i="1"/>
  <c r="AH891" i="1"/>
  <c r="AH885" i="1"/>
  <c r="AH884" i="1"/>
  <c r="AH883" i="1"/>
  <c r="AH882" i="1"/>
  <c r="AH881" i="1"/>
  <c r="AH880" i="1"/>
  <c r="AH879" i="1"/>
  <c r="AH878" i="1"/>
  <c r="AH877" i="1"/>
  <c r="AH876" i="1"/>
  <c r="AH875" i="1"/>
  <c r="AH874" i="1"/>
  <c r="AH873" i="1"/>
  <c r="AH872" i="1"/>
  <c r="AH871" i="1"/>
  <c r="AH870" i="1"/>
  <c r="AH869" i="1"/>
  <c r="AH862" i="1"/>
  <c r="AH861" i="1"/>
  <c r="AH860" i="1"/>
  <c r="AH859" i="1"/>
  <c r="AH856" i="1"/>
  <c r="AH855" i="1"/>
  <c r="AH854" i="1"/>
  <c r="AH848" i="1"/>
  <c r="AH847" i="1"/>
  <c r="AH846" i="1"/>
  <c r="AH844" i="1"/>
  <c r="AH843" i="1"/>
  <c r="AH841" i="1"/>
  <c r="AH840" i="1"/>
  <c r="AH836" i="1"/>
  <c r="AH834" i="1"/>
  <c r="AH833" i="1"/>
  <c r="AH832" i="1"/>
  <c r="AH831" i="1"/>
  <c r="AH829" i="1"/>
  <c r="AH828" i="1"/>
  <c r="AH826" i="1"/>
  <c r="AH825" i="1"/>
  <c r="AH823" i="1"/>
  <c r="AH822" i="1"/>
  <c r="AH815" i="1"/>
  <c r="AH814" i="1"/>
  <c r="AH813" i="1"/>
  <c r="AH812" i="1"/>
  <c r="AH811" i="1"/>
  <c r="AH810" i="1"/>
  <c r="AH805" i="1"/>
  <c r="AH804" i="1"/>
  <c r="AH806" i="1"/>
  <c r="AH807" i="1"/>
  <c r="AH801" i="1"/>
  <c r="AH800" i="1"/>
  <c r="AH799" i="1"/>
  <c r="AH798" i="1"/>
  <c r="AH797" i="1"/>
  <c r="AH796" i="1"/>
  <c r="AH795" i="1"/>
  <c r="AH794" i="1"/>
  <c r="AH793" i="1"/>
  <c r="AH792" i="1"/>
  <c r="AH791" i="1"/>
  <c r="AH790" i="1"/>
  <c r="AH789" i="1"/>
  <c r="AH788" i="1"/>
  <c r="AH787" i="1"/>
  <c r="AH786" i="1"/>
  <c r="AH785" i="1"/>
  <c r="AH784" i="1"/>
  <c r="AH783" i="1"/>
  <c r="AH775" i="1"/>
  <c r="AH773" i="1"/>
  <c r="AH774" i="1"/>
  <c r="AH772" i="1"/>
  <c r="AH771" i="1"/>
  <c r="AH770" i="1"/>
  <c r="AH768" i="1"/>
  <c r="AH769" i="1"/>
  <c r="AH767" i="1"/>
  <c r="AH766" i="1"/>
  <c r="AH765" i="1"/>
  <c r="AH743" i="1"/>
  <c r="AH737" i="1"/>
  <c r="AH735" i="1"/>
  <c r="AH736" i="1"/>
  <c r="AH728" i="1"/>
  <c r="AH727" i="1"/>
  <c r="AH726" i="1"/>
  <c r="AH721" i="1"/>
  <c r="AH722" i="1"/>
  <c r="AH718" i="1"/>
  <c r="AH719" i="1"/>
  <c r="AH720" i="1"/>
  <c r="AH717" i="1"/>
  <c r="AH716" i="1"/>
  <c r="AH715" i="1"/>
  <c r="AH714" i="1"/>
  <c r="AH709" i="1"/>
  <c r="AH707" i="1"/>
  <c r="AH706" i="1"/>
  <c r="AH705" i="1"/>
  <c r="AH704" i="1"/>
  <c r="AH703" i="1"/>
  <c r="AH701" i="1"/>
  <c r="AH699" i="1"/>
  <c r="AH694" i="1"/>
  <c r="AH693" i="1"/>
  <c r="AH692" i="1"/>
  <c r="AH691" i="1"/>
  <c r="AH690" i="1"/>
  <c r="AH687" i="1"/>
  <c r="AH686" i="1"/>
  <c r="AH685" i="1"/>
  <c r="AH684" i="1"/>
  <c r="AH676" i="1"/>
  <c r="AH674" i="1"/>
  <c r="AH673" i="1"/>
  <c r="AH672" i="1"/>
  <c r="AH671" i="1"/>
  <c r="AH670" i="1"/>
  <c r="AH668" i="1"/>
  <c r="AH667" i="1"/>
  <c r="AH666" i="1"/>
  <c r="AH665" i="1"/>
  <c r="AH663" i="1"/>
  <c r="AH664" i="1"/>
  <c r="AH662" i="1"/>
  <c r="AH660" i="1"/>
  <c r="AH659" i="1"/>
  <c r="AH658" i="1"/>
  <c r="AH653" i="1"/>
  <c r="AH652" i="1"/>
  <c r="AH651" i="1"/>
  <c r="AH650" i="1"/>
  <c r="AH649" i="1"/>
  <c r="AH648" i="1"/>
  <c r="AH646" i="1"/>
  <c r="AH645" i="1"/>
  <c r="AH644" i="1"/>
  <c r="AH643" i="1"/>
  <c r="AH642" i="1"/>
  <c r="AH639" i="1"/>
  <c r="AH640" i="1"/>
  <c r="AH638" i="1"/>
  <c r="AH637" i="1"/>
  <c r="AH636" i="1"/>
  <c r="AH635" i="1"/>
  <c r="AH634" i="1"/>
  <c r="AH633" i="1"/>
  <c r="AH632" i="1"/>
  <c r="AH631" i="1"/>
  <c r="AH630" i="1"/>
  <c r="AH629" i="1"/>
  <c r="AH628" i="1"/>
  <c r="AH627" i="1"/>
  <c r="AH626" i="1"/>
  <c r="AH625" i="1"/>
  <c r="AH624" i="1"/>
  <c r="AH623" i="1"/>
  <c r="AH622" i="1"/>
  <c r="AH621" i="1"/>
  <c r="AH620" i="1"/>
  <c r="AH619" i="1"/>
  <c r="AH618" i="1"/>
  <c r="AH617" i="1"/>
  <c r="AH616" i="1"/>
  <c r="AH615" i="1"/>
  <c r="AH614" i="1"/>
  <c r="AH612" i="1"/>
  <c r="AH611" i="1"/>
  <c r="AH610" i="1"/>
  <c r="AH609" i="1"/>
  <c r="AH578" i="1"/>
  <c r="AH577" i="1"/>
  <c r="AH574" i="1"/>
  <c r="AH573" i="1"/>
  <c r="AH572" i="1"/>
  <c r="AH571" i="1"/>
  <c r="AH570" i="1"/>
  <c r="AH566" i="1"/>
  <c r="AH567" i="1"/>
  <c r="AH556" i="1"/>
  <c r="AH555" i="1"/>
  <c r="AH554" i="1"/>
  <c r="AH550" i="1"/>
  <c r="AH548" i="1"/>
  <c r="AH546" i="1"/>
  <c r="AH547" i="1"/>
  <c r="AH545" i="1"/>
  <c r="AH543" i="1"/>
  <c r="AH541" i="1"/>
  <c r="AH540" i="1"/>
  <c r="AH539" i="1"/>
  <c r="AH538" i="1"/>
  <c r="AH537" i="1"/>
  <c r="AH536" i="1"/>
  <c r="AH535" i="1"/>
  <c r="AH534" i="1"/>
  <c r="AH522" i="1"/>
  <c r="AH519" i="1"/>
  <c r="AH521" i="1"/>
  <c r="AH520" i="1"/>
  <c r="AH518" i="1"/>
  <c r="AH517" i="1"/>
  <c r="AH516" i="1"/>
  <c r="AH513" i="1"/>
  <c r="AH515" i="1"/>
  <c r="AH514" i="1"/>
  <c r="AH512" i="1"/>
  <c r="AH511" i="1"/>
  <c r="AH510" i="1"/>
  <c r="AH507" i="1"/>
  <c r="AH509" i="1"/>
  <c r="AH508" i="1"/>
  <c r="AH506" i="1"/>
  <c r="AH505" i="1"/>
  <c r="AH504" i="1"/>
  <c r="AH503" i="1"/>
  <c r="AH502" i="1"/>
  <c r="AH501" i="1"/>
  <c r="AH500" i="1"/>
  <c r="AH497" i="1"/>
  <c r="AH496" i="1"/>
  <c r="AH492" i="1"/>
  <c r="AH485" i="1"/>
  <c r="AH482" i="1"/>
  <c r="AH481" i="1"/>
  <c r="AH478" i="1"/>
  <c r="AH473" i="1"/>
  <c r="AH472" i="1"/>
  <c r="AH470" i="1"/>
  <c r="AH471" i="1"/>
  <c r="AH469" i="1"/>
  <c r="AH468" i="1"/>
  <c r="AH467" i="1"/>
  <c r="AH464" i="1"/>
  <c r="AH463" i="1"/>
  <c r="AH462" i="1"/>
  <c r="AH461" i="1"/>
  <c r="AH460" i="1"/>
  <c r="AH459" i="1"/>
  <c r="AH457" i="1"/>
  <c r="AH455" i="1"/>
  <c r="AH454" i="1"/>
  <c r="AH453" i="1"/>
  <c r="AH452" i="1"/>
  <c r="AH451" i="1"/>
  <c r="AH450" i="1"/>
  <c r="AH449" i="1"/>
  <c r="AH448" i="1"/>
  <c r="AH444" i="1"/>
  <c r="AH439" i="1"/>
  <c r="AH438" i="1"/>
  <c r="AH441" i="1"/>
  <c r="AH442" i="1"/>
  <c r="AH437" i="1"/>
  <c r="AH436" i="1"/>
  <c r="AH435" i="1"/>
  <c r="AH434" i="1"/>
  <c r="AH432" i="1"/>
  <c r="AH433" i="1"/>
  <c r="AH431" i="1"/>
  <c r="AH429" i="1"/>
  <c r="AH428" i="1"/>
  <c r="AH427" i="1"/>
  <c r="AH426" i="1"/>
  <c r="AH425" i="1"/>
  <c r="AH424" i="1"/>
  <c r="AH422" i="1"/>
  <c r="AH423" i="1"/>
  <c r="AH414" i="1"/>
  <c r="AH411" i="1"/>
  <c r="AH409" i="1"/>
  <c r="AH408" i="1"/>
  <c r="AH401" i="1"/>
  <c r="AH400" i="1"/>
  <c r="AH399" i="1"/>
  <c r="AH398" i="1"/>
  <c r="AH397" i="1"/>
  <c r="AH396" i="1"/>
  <c r="AH395" i="1"/>
  <c r="AH393" i="1"/>
  <c r="AH392" i="1"/>
  <c r="AH391" i="1"/>
  <c r="AH390" i="1"/>
  <c r="AH389" i="1"/>
  <c r="AH388" i="1"/>
  <c r="AH374" i="1"/>
  <c r="AH375" i="1"/>
  <c r="AH373" i="1"/>
  <c r="AH371" i="1"/>
  <c r="AH372" i="1"/>
  <c r="AH363" i="1"/>
  <c r="AH361" i="1"/>
  <c r="AH360" i="1"/>
  <c r="AH358" i="1"/>
  <c r="AH357" i="1"/>
  <c r="AH356" i="1"/>
  <c r="AH355" i="1"/>
  <c r="AH353" i="1"/>
  <c r="AH352" i="1"/>
  <c r="AH351" i="1"/>
  <c r="AH348" i="1"/>
  <c r="AH347" i="1"/>
  <c r="AH346" i="1"/>
  <c r="AH343" i="1"/>
  <c r="AH325" i="1"/>
  <c r="AH326" i="1"/>
  <c r="AH324" i="1"/>
  <c r="AH313" i="1"/>
  <c r="AH314" i="1"/>
  <c r="AH310" i="1"/>
  <c r="AH312" i="1"/>
  <c r="AH311" i="1"/>
  <c r="AH303" i="1"/>
  <c r="AH302" i="1"/>
  <c r="AH300" i="1"/>
  <c r="AH299" i="1"/>
  <c r="AH298" i="1"/>
  <c r="AH296" i="1"/>
  <c r="AH295" i="1"/>
  <c r="AH297" i="1"/>
  <c r="AH294" i="1"/>
  <c r="AH293" i="1"/>
  <c r="AH292" i="1"/>
  <c r="AH291" i="1"/>
  <c r="AH290" i="1"/>
  <c r="AH289" i="1"/>
  <c r="AH288" i="1"/>
  <c r="AH287" i="1"/>
  <c r="AH284" i="1"/>
  <c r="AH282" i="1"/>
  <c r="AH283" i="1"/>
  <c r="AH281" i="1"/>
  <c r="AH280" i="1"/>
  <c r="AH279" i="1"/>
  <c r="AH278" i="1"/>
  <c r="AH276" i="1"/>
  <c r="AH277" i="1"/>
  <c r="AH275" i="1"/>
  <c r="AH273" i="1"/>
  <c r="AH274" i="1"/>
  <c r="AH270" i="1"/>
  <c r="AH269" i="1"/>
  <c r="AH268" i="1"/>
  <c r="AH267" i="1"/>
  <c r="AH266" i="1"/>
  <c r="AH265" i="1"/>
  <c r="AH264" i="1"/>
  <c r="AH263" i="1"/>
  <c r="AH262" i="1"/>
  <c r="AH260" i="1"/>
  <c r="AH259" i="1"/>
  <c r="AH248" i="1"/>
  <c r="AH247" i="1"/>
  <c r="AH244" i="1"/>
  <c r="AH243" i="1"/>
  <c r="AH242" i="1"/>
  <c r="AH241" i="1"/>
  <c r="AH240" i="1"/>
  <c r="AH239" i="1"/>
  <c r="AH238" i="1"/>
  <c r="AH237" i="1"/>
  <c r="AH236" i="1"/>
  <c r="AH235" i="1"/>
  <c r="AH234" i="1"/>
  <c r="AH233" i="1"/>
  <c r="AH232" i="1"/>
  <c r="AH231" i="1"/>
  <c r="AH230" i="1"/>
  <c r="AH228" i="1"/>
  <c r="AH229" i="1"/>
  <c r="AH227" i="1"/>
  <c r="AH226" i="1"/>
  <c r="AH225" i="1"/>
  <c r="AH224" i="1"/>
  <c r="AH223" i="1"/>
  <c r="AH222" i="1"/>
  <c r="AH221" i="1"/>
  <c r="AH220" i="1"/>
  <c r="AH219" i="1"/>
  <c r="AH218" i="1"/>
  <c r="AH217" i="1"/>
  <c r="AH216" i="1"/>
  <c r="AH213" i="1"/>
  <c r="AH212" i="1"/>
  <c r="AH211" i="1"/>
  <c r="AH210" i="1"/>
  <c r="AH208" i="1"/>
  <c r="AH207" i="1"/>
  <c r="AH204" i="1"/>
  <c r="AH203" i="1"/>
  <c r="AH201" i="1"/>
  <c r="AH200" i="1"/>
  <c r="AH197" i="1"/>
  <c r="AH194" i="1"/>
  <c r="AH193" i="1"/>
  <c r="AH191" i="1"/>
  <c r="AH190" i="1"/>
  <c r="AH192" i="1"/>
  <c r="AH189" i="1"/>
  <c r="AH188" i="1"/>
  <c r="AH186" i="1"/>
  <c r="AH185" i="1"/>
  <c r="AH187" i="1"/>
  <c r="AH179" i="1"/>
  <c r="AH178" i="1"/>
  <c r="AH177" i="1"/>
  <c r="AH176" i="1"/>
  <c r="AH175" i="1"/>
  <c r="AH172" i="1"/>
  <c r="AH171" i="1"/>
  <c r="AH169" i="1"/>
  <c r="AH168" i="1"/>
  <c r="AH165" i="1"/>
  <c r="AH164" i="1"/>
  <c r="AH163" i="1"/>
  <c r="AH162" i="1"/>
  <c r="AH161" i="1"/>
  <c r="AH160" i="1"/>
  <c r="AH159" i="1"/>
  <c r="AH158" i="1"/>
  <c r="AH156" i="1"/>
  <c r="AH155" i="1"/>
  <c r="AH147" i="1"/>
  <c r="AH148" i="1"/>
  <c r="AH134" i="1"/>
  <c r="AH133" i="1"/>
  <c r="AH132" i="1"/>
  <c r="AH130" i="1"/>
  <c r="AH131" i="1"/>
  <c r="AH129" i="1"/>
  <c r="AH128" i="1"/>
  <c r="AH125" i="1"/>
  <c r="AH124" i="1"/>
  <c r="AH123" i="1"/>
  <c r="AH122" i="1"/>
  <c r="AH121" i="1"/>
  <c r="AH120" i="1"/>
  <c r="AH119" i="1"/>
  <c r="AH118" i="1"/>
  <c r="AH117" i="1"/>
  <c r="AH116" i="1"/>
  <c r="AH113" i="1"/>
  <c r="AH114" i="1"/>
  <c r="AH112" i="1"/>
  <c r="AH111" i="1"/>
  <c r="AH110" i="1"/>
  <c r="AH109" i="1"/>
  <c r="AH108" i="1"/>
  <c r="AH106" i="1"/>
  <c r="AH105" i="1"/>
  <c r="AH104" i="1"/>
  <c r="AH103" i="1"/>
  <c r="AH102" i="1"/>
  <c r="AH97" i="1"/>
  <c r="AH96" i="1"/>
  <c r="AH95" i="1"/>
  <c r="AH77" i="1"/>
  <c r="AH70" i="1"/>
  <c r="AH67" i="1"/>
  <c r="AH65" i="1"/>
  <c r="AH60" i="1"/>
  <c r="AH59" i="1"/>
  <c r="AH58" i="1"/>
  <c r="AH55" i="1"/>
  <c r="AH57" i="1"/>
  <c r="AH56" i="1"/>
  <c r="AH54" i="1"/>
  <c r="AH53" i="1"/>
  <c r="AH50" i="1"/>
  <c r="AH52" i="1"/>
  <c r="AH51" i="1"/>
  <c r="AH48" i="1"/>
  <c r="AH47" i="1"/>
  <c r="AH45" i="1"/>
  <c r="AH43" i="1"/>
  <c r="AH42" i="1"/>
  <c r="AH39" i="1"/>
  <c r="AH38" i="1"/>
  <c r="AH35" i="1"/>
  <c r="AH37" i="1"/>
  <c r="AH36" i="1"/>
  <c r="AH34" i="1"/>
  <c r="AH32" i="1"/>
  <c r="AH29" i="1"/>
  <c r="AH28" i="1"/>
  <c r="AH27" i="1"/>
  <c r="AH23" i="1"/>
  <c r="AH19" i="1"/>
  <c r="AH13" i="1"/>
  <c r="AH12" i="1"/>
  <c r="AH2" i="1"/>
  <c r="AK2574" i="1"/>
  <c r="AK2562" i="1"/>
  <c r="AK2563" i="1"/>
  <c r="AK2561" i="1"/>
  <c r="AK2544" i="1"/>
  <c r="AK2538" i="1"/>
  <c r="AK2537" i="1"/>
  <c r="AK2536" i="1"/>
  <c r="AK2433" i="1"/>
  <c r="AK2417" i="1"/>
  <c r="AK2389" i="1"/>
  <c r="AK2283" i="1"/>
  <c r="AK2276" i="1"/>
  <c r="AK2248" i="1"/>
  <c r="AK2241" i="1"/>
  <c r="AK2236" i="1"/>
  <c r="AK2235" i="1"/>
  <c r="AK2226" i="1"/>
  <c r="AK2224" i="1"/>
  <c r="AK2225" i="1"/>
  <c r="AK2182" i="1"/>
  <c r="AK2148" i="1"/>
  <c r="AK2146" i="1"/>
  <c r="AK2147" i="1"/>
  <c r="AK2144" i="1"/>
  <c r="AK2142" i="1"/>
  <c r="AK2143" i="1"/>
  <c r="AK2138" i="1"/>
  <c r="AK2084" i="1"/>
  <c r="AK2082" i="1"/>
  <c r="AK2083" i="1"/>
  <c r="AK1975" i="1"/>
  <c r="AK1819" i="1"/>
  <c r="AK1818" i="1"/>
  <c r="AK1814" i="1"/>
  <c r="AK1772" i="1"/>
  <c r="AK1744" i="1"/>
  <c r="AK1743" i="1"/>
  <c r="AK1739" i="1"/>
  <c r="AK1738" i="1"/>
  <c r="AK1688" i="1"/>
  <c r="AK1687" i="1"/>
  <c r="AK1682" i="1"/>
  <c r="AK1646" i="1"/>
  <c r="AK1434" i="1"/>
  <c r="AK1421" i="1"/>
  <c r="AK1420" i="1"/>
  <c r="AK1417" i="1"/>
  <c r="AK1415" i="1"/>
  <c r="AK1406" i="1"/>
  <c r="AK1351" i="1"/>
  <c r="AK1349" i="1"/>
  <c r="AK1347" i="1"/>
  <c r="AK1348" i="1"/>
  <c r="AK1346" i="1"/>
  <c r="AK1345" i="1"/>
  <c r="AK1344" i="1"/>
  <c r="AK1342" i="1"/>
  <c r="AK1343" i="1"/>
  <c r="AK1335" i="1"/>
  <c r="AK1334" i="1"/>
  <c r="AK1329" i="1"/>
  <c r="AK1277" i="1"/>
  <c r="AK1276" i="1"/>
  <c r="AK1228" i="1"/>
  <c r="AK1229" i="1"/>
  <c r="AK1222" i="1"/>
  <c r="AK1220" i="1"/>
  <c r="AK1221" i="1"/>
  <c r="AK1215" i="1"/>
  <c r="AK1213" i="1"/>
  <c r="AK1214" i="1"/>
  <c r="AK1133" i="1"/>
  <c r="AK998" i="1"/>
  <c r="AK997" i="1"/>
  <c r="AK939" i="1"/>
  <c r="AK881" i="1"/>
  <c r="AK859" i="1"/>
  <c r="AK785" i="1"/>
  <c r="AK775" i="1"/>
  <c r="AK773" i="1"/>
  <c r="AK774" i="1"/>
  <c r="AK770" i="1"/>
  <c r="AK768" i="1"/>
  <c r="AK769" i="1"/>
  <c r="AK740" i="1"/>
  <c r="AK687" i="1"/>
  <c r="AK685" i="1"/>
  <c r="AK639" i="1"/>
  <c r="AK640" i="1"/>
  <c r="AK638" i="1"/>
  <c r="AK492" i="1"/>
  <c r="AK482" i="1"/>
  <c r="AK481" i="1"/>
  <c r="AK478" i="1"/>
  <c r="AK470" i="1"/>
  <c r="AK471" i="1"/>
  <c r="AK469" i="1"/>
  <c r="AK438" i="1"/>
  <c r="AK437" i="1"/>
  <c r="AK432" i="1"/>
  <c r="AK433" i="1"/>
  <c r="AK431" i="1"/>
  <c r="AK390" i="1"/>
  <c r="AK373" i="1"/>
  <c r="AK289" i="1"/>
  <c r="AK128" i="1"/>
  <c r="AK113" i="1"/>
  <c r="AK114" i="1"/>
  <c r="AK112" i="1"/>
  <c r="AK70" i="1"/>
  <c r="AN2560" i="1"/>
  <c r="AM2560" i="1"/>
  <c r="AL2560" i="1" s="1"/>
  <c r="AN2395" i="1"/>
  <c r="AM2395" i="1"/>
  <c r="AL2395" i="1" s="1"/>
  <c r="AN2354" i="1"/>
  <c r="AM2354" i="1"/>
  <c r="AL2354" i="1" s="1"/>
  <c r="AN2161" i="1"/>
  <c r="AM2161" i="1"/>
  <c r="AL2161" i="1" s="1"/>
  <c r="AN2136" i="1"/>
  <c r="AM2136" i="1"/>
  <c r="AL2136" i="1" s="1"/>
  <c r="AN1851" i="1"/>
  <c r="AM1851" i="1"/>
  <c r="AL1851" i="1" s="1"/>
  <c r="AN1846" i="1"/>
  <c r="AM1846" i="1"/>
  <c r="AL1846" i="1" s="1"/>
  <c r="AN1765" i="1"/>
  <c r="AM1765" i="1"/>
  <c r="AL1765" i="1" s="1"/>
  <c r="AN1620" i="1"/>
  <c r="AM1620" i="1"/>
  <c r="AL1620" i="1" s="1"/>
  <c r="AN1619" i="1"/>
  <c r="AM1619" i="1"/>
  <c r="AL1619" i="1" s="1"/>
  <c r="AN1500" i="1"/>
  <c r="AM1500" i="1"/>
  <c r="AL1500" i="1" s="1"/>
  <c r="AN1201" i="1"/>
  <c r="AM1201" i="1"/>
  <c r="AL1201" i="1" s="1"/>
  <c r="AN1203" i="1"/>
  <c r="AM1203" i="1"/>
  <c r="AL1203" i="1" s="1"/>
  <c r="AN1199" i="1"/>
  <c r="AM1199" i="1"/>
  <c r="AL1199" i="1" s="1"/>
  <c r="AN1198" i="1"/>
  <c r="AM1198" i="1"/>
  <c r="AL1198" i="1" s="1"/>
  <c r="AN1197" i="1"/>
  <c r="AM1197" i="1"/>
  <c r="AL1197" i="1" s="1"/>
  <c r="AN1195" i="1"/>
  <c r="AM1195" i="1"/>
  <c r="AL1195" i="1" s="1"/>
  <c r="AN1145" i="1"/>
  <c r="AM1145" i="1"/>
  <c r="AL1145" i="1" s="1"/>
  <c r="AN1144" i="1"/>
  <c r="AM1144" i="1"/>
  <c r="AL1144" i="1" s="1"/>
  <c r="AN1072" i="1"/>
  <c r="AM1072" i="1"/>
  <c r="AN969" i="1"/>
  <c r="AM969" i="1"/>
  <c r="AL969" i="1" s="1"/>
  <c r="AN966" i="1"/>
  <c r="AM966" i="1"/>
  <c r="AL966" i="1" s="1"/>
  <c r="AN955" i="1"/>
  <c r="AM955" i="1"/>
  <c r="AL955" i="1" s="1"/>
  <c r="AN905" i="1"/>
  <c r="AM905" i="1"/>
  <c r="AL905" i="1" s="1"/>
  <c r="AN662" i="1"/>
  <c r="AM662" i="1"/>
  <c r="AL662" i="1" s="1"/>
  <c r="AN556" i="1"/>
  <c r="AM556" i="1"/>
  <c r="AL556" i="1" s="1"/>
  <c r="AN555" i="1"/>
  <c r="AM555" i="1"/>
  <c r="AL555" i="1" s="1"/>
  <c r="AN97" i="1"/>
  <c r="AM97" i="1"/>
  <c r="AL97" i="1" s="1"/>
  <c r="AN96" i="1"/>
  <c r="AM96" i="1"/>
  <c r="AL96" i="1" s="1"/>
  <c r="AE2560" i="1"/>
  <c r="AE2395" i="1"/>
  <c r="AE2161" i="1"/>
  <c r="AE1846" i="1"/>
  <c r="AE1620" i="1"/>
  <c r="AE1619" i="1"/>
  <c r="AE1500" i="1"/>
  <c r="AE1203" i="1"/>
  <c r="AE1201" i="1"/>
  <c r="AE1199" i="1"/>
  <c r="AE1198" i="1"/>
  <c r="AE1197" i="1"/>
  <c r="AE1195" i="1"/>
  <c r="AE1145" i="1"/>
  <c r="AE1144" i="1"/>
  <c r="AE969" i="1"/>
  <c r="AE966" i="1"/>
  <c r="AE955" i="1"/>
  <c r="AE662" i="1"/>
  <c r="AE556" i="1"/>
  <c r="AE555" i="1"/>
  <c r="AE97" i="1"/>
  <c r="AE96" i="1"/>
  <c r="V1318" i="1"/>
  <c r="V1203" i="1"/>
  <c r="V1201" i="1"/>
  <c r="W2560" i="1"/>
  <c r="W2395" i="1"/>
  <c r="W2354" i="1"/>
  <c r="W2161" i="1"/>
  <c r="W2136" i="1"/>
  <c r="W1851" i="1"/>
  <c r="W1846" i="1"/>
  <c r="W1765" i="1"/>
  <c r="W1620" i="1"/>
  <c r="W1619" i="1"/>
  <c r="W1500" i="1"/>
  <c r="W1337" i="1"/>
  <c r="W1328" i="1"/>
  <c r="W1318" i="1"/>
  <c r="W96" i="1"/>
  <c r="W97" i="1"/>
  <c r="W555" i="1"/>
  <c r="W556" i="1"/>
  <c r="W662" i="1"/>
  <c r="W905" i="1"/>
  <c r="W955" i="1"/>
  <c r="W966" i="1"/>
  <c r="W969" i="1"/>
  <c r="W1072" i="1"/>
  <c r="Z1072" i="1" s="1"/>
  <c r="W1144" i="1"/>
  <c r="W1145" i="1"/>
  <c r="W1195" i="1"/>
  <c r="W1197" i="1"/>
  <c r="W1198" i="1"/>
  <c r="W1199" i="1"/>
  <c r="W1201" i="1"/>
  <c r="W1203" i="1"/>
  <c r="W1316" i="1"/>
  <c r="V2560" i="1"/>
  <c r="V2395" i="1"/>
  <c r="V2354" i="1"/>
  <c r="V2161" i="1"/>
  <c r="V2136" i="1"/>
  <c r="V1851" i="1"/>
  <c r="V1846" i="1"/>
  <c r="V1765" i="1"/>
  <c r="V1620" i="1"/>
  <c r="V1619" i="1"/>
  <c r="V1500" i="1"/>
  <c r="V1199" i="1"/>
  <c r="V1198" i="1"/>
  <c r="V1197" i="1"/>
  <c r="V1195" i="1"/>
  <c r="V96" i="1"/>
  <c r="V97" i="1"/>
  <c r="V555" i="1"/>
  <c r="V556" i="1"/>
  <c r="V662" i="1"/>
  <c r="V905" i="1"/>
  <c r="V955" i="1"/>
  <c r="V966" i="1"/>
  <c r="V969" i="1"/>
  <c r="V1072" i="1"/>
  <c r="V1144" i="1"/>
  <c r="V1145" i="1"/>
  <c r="V1316" i="1"/>
  <c r="AE2349" i="1"/>
  <c r="AE1978" i="1"/>
  <c r="AE1547" i="1"/>
  <c r="AE1017" i="1"/>
  <c r="AE244" i="1"/>
  <c r="AE541" i="1"/>
  <c r="AN244" i="1"/>
  <c r="AM244" i="1"/>
  <c r="AL244" i="1" s="1"/>
  <c r="AN541" i="1"/>
  <c r="AM541" i="1"/>
  <c r="AL541" i="1" s="1"/>
  <c r="AF2480" i="1"/>
  <c r="AF2349" i="1"/>
  <c r="AF2175" i="1"/>
  <c r="AF2164" i="1"/>
  <c r="AF2031" i="1"/>
  <c r="AF244" i="1"/>
  <c r="AF541" i="1"/>
  <c r="AF1978" i="1"/>
  <c r="AF1665" i="1"/>
  <c r="AF1664" i="1"/>
  <c r="AF1663" i="1"/>
  <c r="AF1661" i="1"/>
  <c r="AF1660" i="1"/>
  <c r="AF1658" i="1"/>
  <c r="AF1629" i="1"/>
  <c r="AF1624" i="1"/>
  <c r="AF1547" i="1"/>
  <c r="K412" i="4"/>
  <c r="L412" i="4" s="1"/>
  <c r="AF1260" i="1"/>
  <c r="AF1194" i="1"/>
  <c r="AF1114" i="1"/>
  <c r="AF1017" i="1"/>
  <c r="AF999" i="1"/>
  <c r="AF945" i="1"/>
  <c r="AF934" i="1"/>
  <c r="AF843" i="1"/>
  <c r="AF701" i="1"/>
  <c r="AN2480" i="1"/>
  <c r="AM2480" i="1"/>
  <c r="AL2480" i="1" s="1"/>
  <c r="AN2349" i="1"/>
  <c r="AM2349" i="1"/>
  <c r="AL2349" i="1" s="1"/>
  <c r="AN2175" i="1"/>
  <c r="AM2175" i="1"/>
  <c r="AL2175" i="1" s="1"/>
  <c r="AN2164" i="1"/>
  <c r="AM2164" i="1"/>
  <c r="AL2164" i="1" s="1"/>
  <c r="AN2105" i="1"/>
  <c r="AM2105" i="1"/>
  <c r="AL2105" i="1" s="1"/>
  <c r="AN2031" i="1"/>
  <c r="AM2031" i="1"/>
  <c r="AL2031" i="1" s="1"/>
  <c r="AN1978" i="1"/>
  <c r="AM1978" i="1"/>
  <c r="AL1978" i="1" s="1"/>
  <c r="AN1665" i="1"/>
  <c r="AM1665" i="1"/>
  <c r="AL1665" i="1" s="1"/>
  <c r="AN1664" i="1"/>
  <c r="AM1664" i="1"/>
  <c r="AL1664" i="1" s="1"/>
  <c r="AN1663" i="1"/>
  <c r="AM1663" i="1"/>
  <c r="AL1663" i="1" s="1"/>
  <c r="AN1661" i="1"/>
  <c r="AM1661" i="1"/>
  <c r="AL1661" i="1" s="1"/>
  <c r="AN1660" i="1"/>
  <c r="AM1660" i="1"/>
  <c r="AL1660" i="1" s="1"/>
  <c r="AN1658" i="1"/>
  <c r="AM1658" i="1"/>
  <c r="AL1658" i="1" s="1"/>
  <c r="AN1650" i="1"/>
  <c r="AM1650" i="1"/>
  <c r="AL1650" i="1" s="1"/>
  <c r="AN1629" i="1"/>
  <c r="AM1629" i="1"/>
  <c r="AL1629" i="1" s="1"/>
  <c r="AN1624" i="1"/>
  <c r="AM1624" i="1"/>
  <c r="AL1624" i="1" s="1"/>
  <c r="AN1547" i="1"/>
  <c r="AM1547" i="1"/>
  <c r="AL1547" i="1" s="1"/>
  <c r="AN1260" i="1"/>
  <c r="AM1260" i="1"/>
  <c r="AL1260" i="1" s="1"/>
  <c r="AN1194" i="1"/>
  <c r="AM1194" i="1"/>
  <c r="AL1194" i="1" s="1"/>
  <c r="AN1114" i="1"/>
  <c r="AM1114" i="1"/>
  <c r="AL1114" i="1" s="1"/>
  <c r="AN1017" i="1"/>
  <c r="AM1017" i="1"/>
  <c r="AL1017" i="1" s="1"/>
  <c r="AN999" i="1"/>
  <c r="AM999" i="1"/>
  <c r="AL999" i="1" s="1"/>
  <c r="AN945" i="1"/>
  <c r="AM945" i="1"/>
  <c r="AL945" i="1" s="1"/>
  <c r="AN934" i="1"/>
  <c r="AM934" i="1"/>
  <c r="AL934" i="1" s="1"/>
  <c r="AN843" i="1"/>
  <c r="AM843" i="1"/>
  <c r="AL843" i="1" s="1"/>
  <c r="AN709" i="1"/>
  <c r="AM709" i="1"/>
  <c r="AL709" i="1" s="1"/>
  <c r="AN701" i="1"/>
  <c r="AM701" i="1"/>
  <c r="AL701" i="1" s="1"/>
  <c r="W2480" i="1"/>
  <c r="V2480" i="1"/>
  <c r="W2349" i="1"/>
  <c r="V2349" i="1"/>
  <c r="W2175" i="1"/>
  <c r="V2175" i="1"/>
  <c r="W2164" i="1"/>
  <c r="V2164" i="1"/>
  <c r="W2105" i="1"/>
  <c r="V2105" i="1"/>
  <c r="W2031" i="1"/>
  <c r="V2031" i="1"/>
  <c r="W1978" i="1"/>
  <c r="V1978" i="1"/>
  <c r="W1665" i="1"/>
  <c r="V1665" i="1"/>
  <c r="W1664" i="1"/>
  <c r="V1664" i="1"/>
  <c r="W1663" i="1"/>
  <c r="V1663" i="1"/>
  <c r="W1661" i="1"/>
  <c r="V1661" i="1"/>
  <c r="W1660" i="1"/>
  <c r="V1660" i="1"/>
  <c r="W1658" i="1"/>
  <c r="V1658" i="1"/>
  <c r="W1650" i="1"/>
  <c r="V1650" i="1"/>
  <c r="W1629" i="1"/>
  <c r="V1629" i="1"/>
  <c r="W1624" i="1"/>
  <c r="V1624" i="1"/>
  <c r="W1547" i="1"/>
  <c r="V1547" i="1"/>
  <c r="W1260" i="1"/>
  <c r="V1260" i="1"/>
  <c r="W1194" i="1"/>
  <c r="V1194" i="1"/>
  <c r="W1114" i="1"/>
  <c r="V1114" i="1"/>
  <c r="W1017" i="1"/>
  <c r="V1017" i="1"/>
  <c r="W999" i="1"/>
  <c r="V999" i="1"/>
  <c r="W945" i="1"/>
  <c r="V945" i="1"/>
  <c r="W934" i="1"/>
  <c r="V934" i="1"/>
  <c r="W843" i="1"/>
  <c r="V843" i="1"/>
  <c r="W709" i="1"/>
  <c r="V709" i="1"/>
  <c r="W701" i="1"/>
  <c r="V701" i="1"/>
  <c r="W244" i="1"/>
  <c r="V244" i="1"/>
  <c r="W541" i="1"/>
  <c r="V541" i="1"/>
  <c r="AE2480" i="1"/>
  <c r="AE2175" i="1"/>
  <c r="AE2164" i="1"/>
  <c r="AE2105" i="1"/>
  <c r="AE2031" i="1"/>
  <c r="AE1665" i="1"/>
  <c r="AE1664" i="1"/>
  <c r="AE1663" i="1"/>
  <c r="AE1661" i="1"/>
  <c r="AE1660" i="1"/>
  <c r="AE1658" i="1"/>
  <c r="AE1650" i="1"/>
  <c r="AE1629" i="1"/>
  <c r="AE1624" i="1"/>
  <c r="AE1260" i="1"/>
  <c r="AE1194" i="1"/>
  <c r="AE1114" i="1"/>
  <c r="AE999" i="1"/>
  <c r="AE945" i="1"/>
  <c r="AE843" i="1"/>
  <c r="AE709" i="1"/>
  <c r="AE701" i="1"/>
  <c r="Y1072" i="1" l="1"/>
  <c r="AD1072" i="1"/>
  <c r="AB1072" i="1"/>
  <c r="AA905" i="1"/>
  <c r="AB905" i="1" s="1"/>
  <c r="AA1765" i="1"/>
  <c r="AA2354" i="1"/>
  <c r="AA2136" i="1"/>
  <c r="AA1851" i="1"/>
  <c r="AA1017" i="1"/>
  <c r="AA1547" i="1"/>
  <c r="AA2161" i="1"/>
  <c r="AD2161" i="1" s="1"/>
  <c r="AA969" i="1"/>
  <c r="AA662" i="1"/>
  <c r="AD662" i="1" s="1"/>
  <c r="AA96" i="1"/>
  <c r="AA1195" i="1"/>
  <c r="AD1195" i="1" s="1"/>
  <c r="AA1500" i="1"/>
  <c r="AD1500" i="1" s="1"/>
  <c r="AA1846" i="1"/>
  <c r="AD1846" i="1" s="1"/>
  <c r="AA1978" i="1"/>
  <c r="AB1978" i="1" s="1"/>
  <c r="AA97" i="1"/>
  <c r="AA1620" i="1"/>
  <c r="AD1620" i="1" s="1"/>
  <c r="AA2560" i="1"/>
  <c r="AA1619" i="1"/>
  <c r="AD1619" i="1" s="1"/>
  <c r="AA1144" i="1"/>
  <c r="AA1201" i="1"/>
  <c r="AA2395" i="1"/>
  <c r="AD2395" i="1" s="1"/>
  <c r="AA1663" i="1"/>
  <c r="AA1199" i="1"/>
  <c r="AD1199" i="1" s="1"/>
  <c r="AA1198" i="1"/>
  <c r="AA1145" i="1"/>
  <c r="AA966" i="1"/>
  <c r="AA556" i="1"/>
  <c r="AD556" i="1" s="1"/>
  <c r="AA955" i="1"/>
  <c r="AD955" i="1" s="1"/>
  <c r="AA555" i="1"/>
  <c r="AA1197" i="1"/>
  <c r="AD1197" i="1" s="1"/>
  <c r="AA1203" i="1"/>
  <c r="AA2031" i="1"/>
  <c r="AA244" i="1"/>
  <c r="AA709" i="1"/>
  <c r="AA934" i="1"/>
  <c r="AD934" i="1" s="1"/>
  <c r="AA999" i="1"/>
  <c r="AD999" i="1" s="1"/>
  <c r="AA1114" i="1"/>
  <c r="AD1114" i="1" s="1"/>
  <c r="AA1260" i="1"/>
  <c r="AD1260" i="1" s="1"/>
  <c r="AA1624" i="1"/>
  <c r="AD1624" i="1" s="1"/>
  <c r="AA1650" i="1"/>
  <c r="AD1650" i="1" s="1"/>
  <c r="AA1660" i="1"/>
  <c r="AD1660" i="1" s="1"/>
  <c r="AA1665" i="1"/>
  <c r="AA2164" i="1"/>
  <c r="AD2164" i="1" s="1"/>
  <c r="AA2349" i="1"/>
  <c r="AB2349" i="1" s="1"/>
  <c r="AA541" i="1"/>
  <c r="AA701" i="1"/>
  <c r="AD701" i="1" s="1"/>
  <c r="AA843" i="1"/>
  <c r="AA1194" i="1"/>
  <c r="AD1194" i="1" s="1"/>
  <c r="AA1629" i="1"/>
  <c r="AD1629" i="1" s="1"/>
  <c r="AA1658" i="1"/>
  <c r="AA1661" i="1"/>
  <c r="AA1664" i="1"/>
  <c r="AD1664" i="1" s="1"/>
  <c r="AA2105" i="1"/>
  <c r="AD2105" i="1" s="1"/>
  <c r="AA2175" i="1"/>
  <c r="AD2175" i="1" s="1"/>
  <c r="AA2480" i="1"/>
  <c r="AA945" i="1"/>
  <c r="AD945" i="1" s="1"/>
  <c r="AN674" i="1"/>
  <c r="AM674" i="1"/>
  <c r="AL674" i="1" s="1"/>
  <c r="AF674" i="1"/>
  <c r="AE674" i="1"/>
  <c r="W674" i="1"/>
  <c r="V674" i="1"/>
  <c r="AF538" i="1"/>
  <c r="AN644" i="1"/>
  <c r="AM644" i="1"/>
  <c r="AL644" i="1" s="1"/>
  <c r="AN538" i="1"/>
  <c r="AM538" i="1"/>
  <c r="AL538" i="1" s="1"/>
  <c r="AE644" i="1"/>
  <c r="AE538" i="1"/>
  <c r="W644" i="1"/>
  <c r="V644" i="1"/>
  <c r="W538" i="1"/>
  <c r="V538" i="1"/>
  <c r="AN496" i="1"/>
  <c r="AM496" i="1"/>
  <c r="AL496" i="1" s="1"/>
  <c r="AF496" i="1"/>
  <c r="AE496" i="1"/>
  <c r="W496" i="1"/>
  <c r="V496" i="1"/>
  <c r="AN414" i="1"/>
  <c r="AM414" i="1"/>
  <c r="AL414" i="1" s="1"/>
  <c r="AE414" i="1"/>
  <c r="W414" i="1"/>
  <c r="V414" i="1"/>
  <c r="AN411" i="1"/>
  <c r="AM411" i="1"/>
  <c r="AL411" i="1" s="1"/>
  <c r="AE411" i="1"/>
  <c r="W411" i="1"/>
  <c r="V411" i="1"/>
  <c r="AN213" i="1"/>
  <c r="AM213" i="1"/>
  <c r="AL213" i="1" s="1"/>
  <c r="AE213" i="1"/>
  <c r="W213" i="1"/>
  <c r="V213" i="1"/>
  <c r="AN156" i="1"/>
  <c r="AM156" i="1"/>
  <c r="AL156" i="1" s="1"/>
  <c r="AF156" i="1"/>
  <c r="AE156" i="1"/>
  <c r="W156" i="1"/>
  <c r="V156" i="1"/>
  <c r="AF125" i="1"/>
  <c r="AN125" i="1"/>
  <c r="AM125" i="1"/>
  <c r="AL125" i="1" s="1"/>
  <c r="AE125" i="1"/>
  <c r="W125" i="1"/>
  <c r="V125" i="1"/>
  <c r="AF77" i="1"/>
  <c r="AN77" i="1"/>
  <c r="AM77" i="1"/>
  <c r="AL77" i="1" s="1"/>
  <c r="AE77" i="1"/>
  <c r="W77" i="1"/>
  <c r="V77" i="1"/>
  <c r="AF19" i="1"/>
  <c r="AN19" i="1"/>
  <c r="AM19" i="1"/>
  <c r="AL19" i="1" s="1"/>
  <c r="AN13" i="1"/>
  <c r="AM13" i="1"/>
  <c r="AL13" i="1" s="1"/>
  <c r="AF13" i="1"/>
  <c r="AE19" i="1"/>
  <c r="AE13" i="1"/>
  <c r="W19" i="1"/>
  <c r="V19" i="1"/>
  <c r="W13" i="1"/>
  <c r="V13" i="1"/>
  <c r="AF2430" i="1"/>
  <c r="AN2430" i="1"/>
  <c r="AM2430" i="1"/>
  <c r="AL2430" i="1" s="1"/>
  <c r="AE2430" i="1"/>
  <c r="W2430" i="1"/>
  <c r="V2430" i="1"/>
  <c r="K174" i="4"/>
  <c r="L174" i="4" s="1"/>
  <c r="K204" i="4"/>
  <c r="L204" i="4" s="1"/>
  <c r="K178" i="4"/>
  <c r="L178" i="4" s="1"/>
  <c r="K176" i="4"/>
  <c r="L176" i="4" s="1"/>
  <c r="K177" i="4"/>
  <c r="L177" i="4" s="1"/>
  <c r="K175" i="4"/>
  <c r="L175" i="4" s="1"/>
  <c r="K531" i="4"/>
  <c r="L531" i="4" s="1"/>
  <c r="K530" i="4"/>
  <c r="L530" i="4" s="1"/>
  <c r="K529" i="4"/>
  <c r="L529" i="4" s="1"/>
  <c r="K528" i="4"/>
  <c r="L528" i="4" s="1"/>
  <c r="K527" i="4"/>
  <c r="L527" i="4" s="1"/>
  <c r="K526" i="4"/>
  <c r="L526" i="4" s="1"/>
  <c r="K525" i="4"/>
  <c r="L525" i="4" s="1"/>
  <c r="K163" i="4"/>
  <c r="L163" i="4" s="1"/>
  <c r="AA1072" i="1" l="1"/>
  <c r="AA125" i="1"/>
  <c r="AD125" i="1" s="1"/>
  <c r="AD244" i="1"/>
  <c r="AD1851" i="1"/>
  <c r="AB1765" i="1"/>
  <c r="AB2354" i="1"/>
  <c r="AB2136" i="1"/>
  <c r="AD969" i="1"/>
  <c r="AD97" i="1"/>
  <c r="AB1547" i="1"/>
  <c r="AD1144" i="1"/>
  <c r="AD1203" i="1"/>
  <c r="AB1017" i="1"/>
  <c r="AD1663" i="1"/>
  <c r="AD1201" i="1"/>
  <c r="AD96" i="1"/>
  <c r="AD1145" i="1"/>
  <c r="AD2560" i="1"/>
  <c r="AD1198" i="1"/>
  <c r="AD2031" i="1"/>
  <c r="AD966" i="1"/>
  <c r="AD1665" i="1"/>
  <c r="AD555" i="1"/>
  <c r="AD709" i="1"/>
  <c r="AB541" i="1"/>
  <c r="AD1658" i="1"/>
  <c r="AD843" i="1"/>
  <c r="AD1661" i="1"/>
  <c r="AD2480" i="1"/>
  <c r="AA644" i="1"/>
  <c r="AA674" i="1"/>
  <c r="AD674" i="1" s="1"/>
  <c r="AA213" i="1"/>
  <c r="AA538" i="1"/>
  <c r="AA411" i="1"/>
  <c r="AD411" i="1" s="1"/>
  <c r="AA414" i="1"/>
  <c r="AA156" i="1"/>
  <c r="AD156" i="1" s="1"/>
  <c r="AA77" i="1"/>
  <c r="AA496" i="1"/>
  <c r="AA13" i="1"/>
  <c r="AD13" i="1" s="1"/>
  <c r="AA19" i="1"/>
  <c r="AD19" i="1" s="1"/>
  <c r="AA2430" i="1"/>
  <c r="AD2430" i="1" s="1"/>
  <c r="K197" i="4"/>
  <c r="L197" i="4" s="1"/>
  <c r="K195" i="4"/>
  <c r="L195" i="4" s="1"/>
  <c r="K193" i="4"/>
  <c r="L193" i="4" s="1"/>
  <c r="K185" i="4"/>
  <c r="L185" i="4" s="1"/>
  <c r="K141" i="4"/>
  <c r="L141" i="4" s="1"/>
  <c r="AD644" i="1" l="1"/>
  <c r="AD213" i="1"/>
  <c r="AD538" i="1"/>
  <c r="AD77" i="1"/>
  <c r="AD496" i="1"/>
  <c r="AD414" i="1"/>
  <c r="K488" i="4"/>
  <c r="L488" i="4" s="1"/>
  <c r="K484" i="4"/>
  <c r="L484" i="4" s="1"/>
  <c r="K483" i="4"/>
  <c r="L483" i="4" s="1"/>
  <c r="K482" i="4"/>
  <c r="L482" i="4" s="1"/>
  <c r="K481" i="4"/>
  <c r="L481" i="4" s="1"/>
  <c r="K479" i="4"/>
  <c r="L479" i="4" s="1"/>
  <c r="K477" i="4"/>
  <c r="L477" i="4" s="1"/>
  <c r="K476" i="4"/>
  <c r="L476" i="4" s="1"/>
  <c r="K475" i="4"/>
  <c r="L475" i="4" s="1"/>
  <c r="K473" i="4"/>
  <c r="L473" i="4" s="1"/>
  <c r="K472" i="4"/>
  <c r="L472" i="4" s="1"/>
  <c r="K470" i="4"/>
  <c r="L470" i="4" s="1"/>
  <c r="K468" i="4"/>
  <c r="L468" i="4" s="1"/>
  <c r="K467" i="4"/>
  <c r="L467" i="4" s="1"/>
  <c r="K466" i="4"/>
  <c r="L466" i="4" s="1"/>
  <c r="K465" i="4"/>
  <c r="L465" i="4" s="1"/>
  <c r="K464" i="4"/>
  <c r="L464" i="4" s="1"/>
  <c r="K463" i="4"/>
  <c r="L463" i="4" s="1"/>
  <c r="K462" i="4"/>
  <c r="L462" i="4" s="1"/>
  <c r="K461" i="4"/>
  <c r="L461" i="4" s="1"/>
  <c r="K460" i="4"/>
  <c r="L460" i="4" s="1"/>
  <c r="K459" i="4"/>
  <c r="L459" i="4" s="1"/>
  <c r="K458" i="4"/>
  <c r="L458" i="4" s="1"/>
  <c r="K457" i="4"/>
  <c r="L457" i="4" s="1"/>
  <c r="K456" i="4"/>
  <c r="L456" i="4" s="1"/>
  <c r="K455" i="4"/>
  <c r="L455" i="4" s="1"/>
  <c r="K454" i="4"/>
  <c r="L454" i="4" s="1"/>
  <c r="K453" i="4"/>
  <c r="L453" i="4" s="1"/>
  <c r="K452" i="4"/>
  <c r="L452" i="4" s="1"/>
  <c r="K451" i="4"/>
  <c r="L451" i="4" s="1"/>
  <c r="K450" i="4"/>
  <c r="L450" i="4" s="1"/>
  <c r="K449" i="4"/>
  <c r="L449" i="4" s="1"/>
  <c r="K448" i="4"/>
  <c r="L448" i="4" s="1"/>
  <c r="K447" i="4"/>
  <c r="L447" i="4" s="1"/>
  <c r="K446" i="4"/>
  <c r="L446" i="4" s="1"/>
  <c r="K445" i="4"/>
  <c r="L445" i="4" s="1"/>
  <c r="K444" i="4"/>
  <c r="L444" i="4" s="1"/>
  <c r="K443" i="4"/>
  <c r="L443" i="4" s="1"/>
  <c r="K442" i="4"/>
  <c r="L442" i="4" s="1"/>
  <c r="K441" i="4"/>
  <c r="L441" i="4" s="1"/>
  <c r="K440" i="4"/>
  <c r="L440" i="4" s="1"/>
  <c r="K439" i="4"/>
  <c r="L439" i="4" s="1"/>
  <c r="K438" i="4"/>
  <c r="L438" i="4" s="1"/>
  <c r="K437" i="4"/>
  <c r="L437" i="4" s="1"/>
  <c r="K436" i="4"/>
  <c r="L436" i="4" s="1"/>
  <c r="K435" i="4"/>
  <c r="L435" i="4" s="1"/>
  <c r="K434" i="4"/>
  <c r="L434" i="4" s="1"/>
  <c r="K433" i="4"/>
  <c r="L433" i="4" s="1"/>
  <c r="K432" i="4"/>
  <c r="L432" i="4" s="1"/>
  <c r="K431" i="4"/>
  <c r="L431" i="4" s="1"/>
  <c r="K430" i="4"/>
  <c r="L430" i="4" s="1"/>
  <c r="K429" i="4"/>
  <c r="L429" i="4" s="1"/>
  <c r="K428" i="4"/>
  <c r="L428" i="4" s="1"/>
  <c r="K427" i="4"/>
  <c r="L427" i="4" s="1"/>
  <c r="K425" i="4"/>
  <c r="L425" i="4" s="1"/>
  <c r="K424" i="4"/>
  <c r="L424" i="4" s="1"/>
  <c r="K423" i="4"/>
  <c r="L423" i="4" s="1"/>
  <c r="K422" i="4"/>
  <c r="L422" i="4" s="1"/>
  <c r="K421" i="4"/>
  <c r="L421" i="4" s="1"/>
  <c r="K420" i="4"/>
  <c r="L420" i="4" s="1"/>
  <c r="K418" i="4"/>
  <c r="L418" i="4" s="1"/>
  <c r="K417" i="4"/>
  <c r="L417" i="4" s="1"/>
  <c r="K416" i="4"/>
  <c r="L416" i="4" s="1"/>
  <c r="K415" i="4"/>
  <c r="L415" i="4" s="1"/>
  <c r="K414" i="4"/>
  <c r="L414" i="4" s="1"/>
  <c r="K413" i="4"/>
  <c r="L413" i="4" s="1"/>
  <c r="K411" i="4"/>
  <c r="L411" i="4" s="1"/>
  <c r="K410" i="4"/>
  <c r="L410" i="4" s="1"/>
  <c r="K406" i="4"/>
  <c r="L406" i="4" s="1"/>
  <c r="K403" i="4"/>
  <c r="L403" i="4" s="1"/>
  <c r="K402" i="4"/>
  <c r="L402" i="4" s="1"/>
  <c r="K401" i="4"/>
  <c r="L401" i="4" s="1"/>
  <c r="K400" i="4"/>
  <c r="L400" i="4" s="1"/>
  <c r="K399" i="4"/>
  <c r="L399" i="4" s="1"/>
  <c r="K398" i="4"/>
  <c r="L398" i="4" s="1"/>
  <c r="K397" i="4"/>
  <c r="L397" i="4" s="1"/>
  <c r="K396" i="4"/>
  <c r="L396" i="4" s="1"/>
  <c r="K395" i="4"/>
  <c r="L395" i="4" s="1"/>
  <c r="K356" i="4"/>
  <c r="L356" i="4" s="1"/>
  <c r="K351" i="4"/>
  <c r="L351" i="4" s="1"/>
  <c r="K350" i="4"/>
  <c r="L350" i="4" s="1"/>
  <c r="K349" i="4"/>
  <c r="L349" i="4" s="1"/>
  <c r="K347" i="4"/>
  <c r="L347" i="4" s="1"/>
  <c r="K345" i="4"/>
  <c r="L345" i="4" s="1"/>
  <c r="K344" i="4"/>
  <c r="L344" i="4" s="1"/>
  <c r="K343" i="4"/>
  <c r="L343" i="4" s="1"/>
  <c r="K342" i="4"/>
  <c r="L342" i="4" s="1"/>
  <c r="K340" i="4"/>
  <c r="L340" i="4" s="1"/>
  <c r="K339" i="4"/>
  <c r="L339" i="4" s="1"/>
  <c r="K338" i="4"/>
  <c r="L338" i="4" s="1"/>
  <c r="K337" i="4"/>
  <c r="L337" i="4" s="1"/>
  <c r="K335" i="4"/>
  <c r="L335" i="4" s="1"/>
  <c r="K333" i="4"/>
  <c r="L333" i="4" s="1"/>
  <c r="K332" i="4"/>
  <c r="L332" i="4" s="1"/>
  <c r="K331" i="4"/>
  <c r="L331" i="4" s="1"/>
  <c r="K330" i="4"/>
  <c r="L330" i="4" s="1"/>
  <c r="K329" i="4"/>
  <c r="L329" i="4" s="1"/>
  <c r="K328" i="4"/>
  <c r="L328" i="4" s="1"/>
  <c r="K327" i="4"/>
  <c r="L327" i="4" s="1"/>
  <c r="K326" i="4"/>
  <c r="L326" i="4" s="1"/>
  <c r="K325" i="4"/>
  <c r="L325" i="4" s="1"/>
  <c r="K324" i="4"/>
  <c r="L324" i="4" s="1"/>
  <c r="K323" i="4"/>
  <c r="L323" i="4" s="1"/>
  <c r="K322" i="4"/>
  <c r="L322" i="4" s="1"/>
  <c r="K321" i="4"/>
  <c r="L321" i="4" s="1"/>
  <c r="K320" i="4"/>
  <c r="L320" i="4" s="1"/>
  <c r="K319" i="4"/>
  <c r="L319" i="4" s="1"/>
  <c r="K318" i="4"/>
  <c r="L318" i="4" s="1"/>
  <c r="K317" i="4"/>
  <c r="L317" i="4" s="1"/>
  <c r="K316" i="4"/>
  <c r="L316" i="4" s="1"/>
  <c r="K315" i="4"/>
  <c r="L315" i="4" s="1"/>
  <c r="K314" i="4"/>
  <c r="L314" i="4" s="1"/>
  <c r="K311" i="4"/>
  <c r="L311" i="4" s="1"/>
  <c r="K310" i="4"/>
  <c r="L310" i="4" s="1"/>
  <c r="K309" i="4"/>
  <c r="L309" i="4" s="1"/>
  <c r="K308" i="4"/>
  <c r="L308" i="4" s="1"/>
  <c r="K307" i="4"/>
  <c r="L307" i="4" s="1"/>
  <c r="K306" i="4"/>
  <c r="L306" i="4" s="1"/>
  <c r="K305" i="4"/>
  <c r="L305" i="4" s="1"/>
  <c r="K304" i="4"/>
  <c r="L304" i="4" s="1"/>
  <c r="K303" i="4"/>
  <c r="L303" i="4" s="1"/>
  <c r="K302" i="4"/>
  <c r="L302" i="4" s="1"/>
  <c r="K300" i="4"/>
  <c r="L300" i="4" s="1"/>
  <c r="K299" i="4"/>
  <c r="L299" i="4" s="1"/>
  <c r="K298" i="4"/>
  <c r="L298" i="4" s="1"/>
  <c r="K297" i="4"/>
  <c r="L297" i="4" s="1"/>
  <c r="K296" i="4"/>
  <c r="L296" i="4" s="1"/>
  <c r="K295" i="4"/>
  <c r="L295" i="4" s="1"/>
  <c r="K292" i="4"/>
  <c r="L292" i="4" s="1"/>
  <c r="K291" i="4"/>
  <c r="L291" i="4" s="1"/>
  <c r="K290" i="4"/>
  <c r="L290" i="4" s="1"/>
  <c r="K289" i="4"/>
  <c r="L289" i="4" s="1"/>
  <c r="K287" i="4"/>
  <c r="L287" i="4" s="1"/>
  <c r="K286" i="4"/>
  <c r="L286" i="4" s="1"/>
  <c r="K285" i="4"/>
  <c r="L285" i="4" s="1"/>
  <c r="K284" i="4"/>
  <c r="L284" i="4" s="1"/>
  <c r="K282" i="4"/>
  <c r="L282" i="4" s="1"/>
  <c r="K280" i="4"/>
  <c r="L280" i="4" s="1"/>
  <c r="K279" i="4"/>
  <c r="L279" i="4" s="1"/>
  <c r="K278" i="4"/>
  <c r="L278" i="4" s="1"/>
  <c r="K276" i="4"/>
  <c r="L276" i="4" s="1"/>
  <c r="K274" i="4"/>
  <c r="L274" i="4" s="1"/>
  <c r="K273" i="4"/>
  <c r="L273" i="4" s="1"/>
  <c r="K272" i="4"/>
  <c r="L272" i="4" s="1"/>
  <c r="K271" i="4"/>
  <c r="L271" i="4" s="1"/>
  <c r="K270" i="4"/>
  <c r="L270" i="4" s="1"/>
  <c r="K269" i="4"/>
  <c r="L269" i="4" s="1"/>
  <c r="K263" i="4"/>
  <c r="L263" i="4" s="1"/>
  <c r="K257" i="4"/>
  <c r="L257" i="4" s="1"/>
  <c r="K256" i="4"/>
  <c r="L256" i="4" s="1"/>
  <c r="K221" i="4"/>
  <c r="L221" i="4" s="1"/>
  <c r="K219" i="4"/>
  <c r="L219" i="4" s="1"/>
  <c r="K216" i="4"/>
  <c r="L216" i="4" s="1"/>
  <c r="K215" i="4"/>
  <c r="L215" i="4" s="1"/>
  <c r="K214" i="4"/>
  <c r="L214" i="4" s="1"/>
  <c r="K213" i="4"/>
  <c r="L213" i="4" s="1"/>
  <c r="K212" i="4"/>
  <c r="L212" i="4" s="1"/>
  <c r="K209" i="4"/>
  <c r="L209" i="4" s="1"/>
  <c r="K168" i="4"/>
  <c r="L168" i="4" s="1"/>
  <c r="K167" i="4"/>
  <c r="L167" i="4" s="1"/>
  <c r="K166" i="4"/>
  <c r="L166" i="4" s="1"/>
  <c r="K162" i="4"/>
  <c r="L162" i="4" s="1"/>
  <c r="K160" i="4"/>
  <c r="L160" i="4" s="1"/>
  <c r="K159" i="4"/>
  <c r="L159" i="4" s="1"/>
  <c r="K158" i="4"/>
  <c r="L158" i="4" s="1"/>
  <c r="K157" i="4"/>
  <c r="L157" i="4" s="1"/>
  <c r="K156" i="4"/>
  <c r="L156" i="4" s="1"/>
  <c r="K155" i="4"/>
  <c r="L155" i="4" s="1"/>
  <c r="K154" i="4"/>
  <c r="L154" i="4" s="1"/>
  <c r="K153" i="4"/>
  <c r="L153" i="4" s="1"/>
  <c r="K152" i="4"/>
  <c r="L152" i="4" s="1"/>
  <c r="K151" i="4"/>
  <c r="L151" i="4" s="1"/>
  <c r="K150" i="4"/>
  <c r="L150" i="4" s="1"/>
  <c r="K149" i="4"/>
  <c r="L149" i="4" s="1"/>
  <c r="K148" i="4"/>
  <c r="L148" i="4" s="1"/>
  <c r="K147" i="4"/>
  <c r="L147" i="4" s="1"/>
  <c r="K146" i="4"/>
  <c r="L146" i="4" s="1"/>
  <c r="K145" i="4"/>
  <c r="L145" i="4" s="1"/>
  <c r="K144" i="4"/>
  <c r="L144" i="4" s="1"/>
  <c r="K143" i="4"/>
  <c r="L143" i="4" s="1"/>
  <c r="K142" i="4"/>
  <c r="L142" i="4" s="1"/>
  <c r="K140" i="4"/>
  <c r="L140" i="4" s="1"/>
  <c r="K139" i="4"/>
  <c r="L139" i="4" s="1"/>
  <c r="K138" i="4"/>
  <c r="L138" i="4" s="1"/>
  <c r="K137" i="4"/>
  <c r="L137" i="4" s="1"/>
  <c r="K136" i="4"/>
  <c r="L136" i="4" s="1"/>
  <c r="K135" i="4"/>
  <c r="L135" i="4" s="1"/>
  <c r="K134" i="4"/>
  <c r="L134" i="4" s="1"/>
  <c r="K133" i="4"/>
  <c r="L133" i="4" s="1"/>
  <c r="K132" i="4"/>
  <c r="L132" i="4" s="1"/>
  <c r="K131" i="4"/>
  <c r="L131" i="4" s="1"/>
  <c r="K129" i="4"/>
  <c r="L129" i="4" s="1"/>
  <c r="K128" i="4"/>
  <c r="L128" i="4" s="1"/>
  <c r="K127" i="4"/>
  <c r="L127" i="4" s="1"/>
  <c r="K126" i="4"/>
  <c r="L126" i="4" s="1"/>
  <c r="K123" i="4"/>
  <c r="L123" i="4" s="1"/>
  <c r="K122" i="4"/>
  <c r="L122" i="4" s="1"/>
  <c r="K121" i="4"/>
  <c r="L121" i="4" s="1"/>
  <c r="K119" i="4"/>
  <c r="L119" i="4" s="1"/>
  <c r="K118" i="4"/>
  <c r="L118" i="4" s="1"/>
  <c r="K117" i="4"/>
  <c r="L117" i="4" s="1"/>
  <c r="K116" i="4"/>
  <c r="L116" i="4" s="1"/>
  <c r="K115" i="4"/>
  <c r="L115" i="4" s="1"/>
  <c r="K114" i="4"/>
  <c r="L114" i="4" s="1"/>
  <c r="K113" i="4"/>
  <c r="L113" i="4" s="1"/>
  <c r="K111" i="4"/>
  <c r="L111" i="4" s="1"/>
  <c r="K110" i="4"/>
  <c r="L110" i="4" s="1"/>
  <c r="K109" i="4"/>
  <c r="L109" i="4" s="1"/>
  <c r="K394" i="4" l="1"/>
  <c r="L394" i="4" s="1"/>
  <c r="K265" i="4"/>
  <c r="L265" i="4" s="1"/>
  <c r="K267" i="4"/>
  <c r="L267" i="4" s="1"/>
  <c r="K253" i="4"/>
  <c r="L253" i="4" s="1"/>
  <c r="K208" i="4"/>
  <c r="L208" i="4" s="1"/>
  <c r="K169" i="4"/>
  <c r="L169" i="4" s="1"/>
  <c r="K170" i="4"/>
  <c r="L170" i="4" s="1"/>
  <c r="K171" i="4"/>
  <c r="L171" i="4" s="1"/>
  <c r="K107" i="4"/>
  <c r="L107" i="4" s="1"/>
  <c r="K165" i="5" l="1"/>
  <c r="L165" i="5" s="1"/>
  <c r="K110" i="5"/>
  <c r="L110" i="5" s="1"/>
  <c r="K96" i="5"/>
  <c r="L96" i="5" s="1"/>
  <c r="K81" i="5"/>
  <c r="L81" i="5" s="1"/>
  <c r="K70" i="5"/>
  <c r="L70" i="5" s="1"/>
  <c r="K66" i="5"/>
  <c r="L66" i="5" s="1"/>
  <c r="K64" i="5"/>
  <c r="L64" i="5" s="1"/>
  <c r="K47" i="5"/>
  <c r="L47" i="5" s="1"/>
  <c r="K28" i="5"/>
  <c r="L28" i="5" s="1"/>
  <c r="K87" i="5" l="1"/>
  <c r="L87" i="5" s="1"/>
  <c r="K71" i="5"/>
  <c r="L71" i="5" s="1"/>
  <c r="K29" i="5"/>
  <c r="L29" i="5" s="1"/>
  <c r="K555" i="4" l="1"/>
  <c r="L555" i="4" s="1"/>
  <c r="K554" i="4"/>
  <c r="L554" i="4" s="1"/>
  <c r="K553" i="4"/>
  <c r="L553" i="4" s="1"/>
  <c r="K552" i="4"/>
  <c r="L552" i="4" s="1"/>
  <c r="K551" i="4"/>
  <c r="L551" i="4" s="1"/>
  <c r="K550" i="4"/>
  <c r="L550" i="4" s="1"/>
  <c r="K549" i="4"/>
  <c r="L549" i="4" s="1"/>
  <c r="K548" i="4"/>
  <c r="L548" i="4" s="1"/>
  <c r="K547" i="4"/>
  <c r="L547" i="4" s="1"/>
  <c r="K546" i="4"/>
  <c r="L546" i="4" s="1"/>
  <c r="K545" i="4"/>
  <c r="L545" i="4" s="1"/>
  <c r="K544" i="4"/>
  <c r="L544" i="4" s="1"/>
  <c r="K543" i="4"/>
  <c r="L543" i="4" s="1"/>
  <c r="K542" i="4"/>
  <c r="L542" i="4" s="1"/>
  <c r="K541" i="4"/>
  <c r="L541" i="4" s="1"/>
  <c r="K540" i="4"/>
  <c r="L540" i="4" s="1"/>
  <c r="K539" i="4"/>
  <c r="L539" i="4" s="1"/>
  <c r="K538" i="4"/>
  <c r="L538" i="4" s="1"/>
  <c r="K536" i="4"/>
  <c r="L536" i="4" s="1"/>
  <c r="K535" i="4"/>
  <c r="L535" i="4" s="1"/>
  <c r="K534" i="4"/>
  <c r="L534" i="4" s="1"/>
  <c r="K537" i="4"/>
  <c r="L537" i="4" s="1"/>
  <c r="K170" i="5"/>
  <c r="L170" i="5" s="1"/>
  <c r="K169" i="5"/>
  <c r="L169" i="5" s="1"/>
  <c r="K168" i="5"/>
  <c r="L168" i="5" s="1"/>
  <c r="K164" i="5"/>
  <c r="L164" i="5" s="1"/>
  <c r="K163" i="5"/>
  <c r="L163" i="5" s="1"/>
  <c r="K162" i="5"/>
  <c r="L162" i="5" s="1"/>
  <c r="K161" i="5"/>
  <c r="L161" i="5" s="1"/>
  <c r="K160" i="5"/>
  <c r="L160" i="5" s="1"/>
  <c r="K159" i="5"/>
  <c r="L159" i="5" s="1"/>
  <c r="K158" i="5"/>
  <c r="L158" i="5" s="1"/>
  <c r="K157" i="5"/>
  <c r="L157" i="5" s="1"/>
  <c r="K156" i="5"/>
  <c r="L156" i="5" s="1"/>
  <c r="K154" i="5"/>
  <c r="L154" i="5" s="1"/>
  <c r="K153" i="5"/>
  <c r="L153" i="5" s="1"/>
  <c r="K152" i="5"/>
  <c r="L152" i="5" s="1"/>
  <c r="K151" i="5"/>
  <c r="L151" i="5" s="1"/>
  <c r="K149" i="5"/>
  <c r="L149" i="5" s="1"/>
  <c r="K148" i="5"/>
  <c r="L148" i="5" s="1"/>
  <c r="K146" i="5"/>
  <c r="L146" i="5" s="1"/>
  <c r="K145" i="5"/>
  <c r="L145" i="5" s="1"/>
  <c r="K144" i="5"/>
  <c r="L144" i="5" s="1"/>
  <c r="K143" i="5"/>
  <c r="L143" i="5" s="1"/>
  <c r="K142" i="5"/>
  <c r="L142" i="5" s="1"/>
  <c r="K141" i="5"/>
  <c r="L141" i="5" s="1"/>
  <c r="K137" i="5"/>
  <c r="L137" i="5" s="1"/>
  <c r="K138" i="5"/>
  <c r="L138" i="5" s="1"/>
  <c r="K136" i="5"/>
  <c r="L136" i="5" s="1"/>
  <c r="K135" i="5"/>
  <c r="L135" i="5" s="1"/>
  <c r="K132" i="5"/>
  <c r="L132" i="5" s="1"/>
  <c r="K131" i="5"/>
  <c r="L131" i="5" s="1"/>
  <c r="K130" i="5"/>
  <c r="L130" i="5" s="1"/>
  <c r="K129" i="5"/>
  <c r="L129" i="5" s="1"/>
  <c r="K128" i="5"/>
  <c r="L128" i="5" s="1"/>
  <c r="K127" i="5"/>
  <c r="L127" i="5" s="1"/>
  <c r="K126" i="5"/>
  <c r="L126" i="5" s="1"/>
  <c r="K125" i="5"/>
  <c r="L125" i="5" s="1"/>
  <c r="K124" i="5"/>
  <c r="L124" i="5" s="1"/>
  <c r="K122" i="5"/>
  <c r="L122" i="5" s="1"/>
  <c r="K117" i="5"/>
  <c r="L117" i="5" s="1"/>
  <c r="K121" i="5"/>
  <c r="L121" i="5" s="1"/>
  <c r="K120" i="5"/>
  <c r="L120" i="5" s="1"/>
  <c r="K119" i="5"/>
  <c r="L119" i="5" s="1"/>
  <c r="K116" i="5"/>
  <c r="L116" i="5" s="1"/>
  <c r="K115" i="5"/>
  <c r="L115" i="5" s="1"/>
  <c r="K114" i="5"/>
  <c r="L114" i="5" s="1"/>
  <c r="K113" i="5"/>
  <c r="L113" i="5" s="1"/>
  <c r="K112" i="5"/>
  <c r="L112" i="5" s="1"/>
  <c r="K111" i="5"/>
  <c r="L111" i="5" s="1"/>
  <c r="K109" i="5"/>
  <c r="L109" i="5" s="1"/>
  <c r="K108" i="5"/>
  <c r="L108" i="5" s="1"/>
  <c r="K107" i="5"/>
  <c r="L107" i="5" s="1"/>
  <c r="K106" i="5"/>
  <c r="L106" i="5" s="1"/>
  <c r="K105" i="5"/>
  <c r="L105" i="5" s="1"/>
  <c r="K104" i="5"/>
  <c r="L104" i="5" s="1"/>
  <c r="K103" i="5"/>
  <c r="L103" i="5" s="1"/>
  <c r="K102" i="5"/>
  <c r="L102" i="5" s="1"/>
  <c r="K101" i="5"/>
  <c r="L101" i="5" s="1"/>
  <c r="K100" i="5"/>
  <c r="L100" i="5" s="1"/>
  <c r="K99" i="5"/>
  <c r="L99" i="5" s="1"/>
  <c r="K98" i="5"/>
  <c r="L98" i="5" s="1"/>
  <c r="K97" i="5"/>
  <c r="L97" i="5" s="1"/>
  <c r="K94" i="5"/>
  <c r="L94" i="5" s="1"/>
  <c r="K93" i="5"/>
  <c r="L93" i="5" s="1"/>
  <c r="K92" i="5"/>
  <c r="L92" i="5" s="1"/>
  <c r="K91" i="5"/>
  <c r="L91" i="5" s="1"/>
  <c r="K90" i="5"/>
  <c r="L90" i="5" s="1"/>
  <c r="K89" i="5"/>
  <c r="L89" i="5" s="1"/>
  <c r="K88" i="5"/>
  <c r="L88" i="5" s="1"/>
  <c r="K86" i="5"/>
  <c r="L86" i="5" s="1"/>
  <c r="K85" i="5"/>
  <c r="L85" i="5" s="1"/>
  <c r="K84" i="5"/>
  <c r="L84" i="5" s="1"/>
  <c r="K82" i="5"/>
  <c r="L82" i="5" s="1"/>
  <c r="K80" i="5"/>
  <c r="L80" i="5" s="1"/>
  <c r="K79" i="5"/>
  <c r="L79" i="5" s="1"/>
  <c r="K78" i="5"/>
  <c r="L78" i="5" s="1"/>
  <c r="K77" i="5"/>
  <c r="L77" i="5" s="1"/>
  <c r="K76" i="5"/>
  <c r="L76" i="5" s="1"/>
  <c r="K75" i="5"/>
  <c r="L75" i="5" s="1"/>
  <c r="K74" i="5"/>
  <c r="L74" i="5" s="1"/>
  <c r="K73" i="5"/>
  <c r="L73" i="5" s="1"/>
  <c r="K72" i="5"/>
  <c r="L72" i="5" s="1"/>
  <c r="K67" i="5"/>
  <c r="L67" i="5" s="1"/>
  <c r="K69" i="5"/>
  <c r="L69" i="5" s="1"/>
  <c r="K68" i="5"/>
  <c r="L68" i="5" s="1"/>
  <c r="K65" i="5"/>
  <c r="L65" i="5" s="1"/>
  <c r="K63" i="5"/>
  <c r="L63" i="5" s="1"/>
  <c r="K62" i="5"/>
  <c r="L62" i="5" s="1"/>
  <c r="K61" i="5"/>
  <c r="L61" i="5" s="1"/>
  <c r="K60" i="5"/>
  <c r="L60" i="5" s="1"/>
  <c r="K59" i="5"/>
  <c r="L59" i="5" s="1"/>
  <c r="K58" i="5"/>
  <c r="L58" i="5" s="1"/>
  <c r="K57" i="5"/>
  <c r="L57" i="5" s="1"/>
  <c r="K55" i="5"/>
  <c r="L55" i="5" s="1"/>
  <c r="K54" i="5"/>
  <c r="L54" i="5" s="1"/>
  <c r="K53" i="5"/>
  <c r="L53" i="5" s="1"/>
  <c r="K52" i="5"/>
  <c r="L52" i="5" s="1"/>
  <c r="K51" i="5"/>
  <c r="L51" i="5" s="1"/>
  <c r="K50" i="5"/>
  <c r="L50" i="5" s="1"/>
  <c r="K49" i="5"/>
  <c r="L49" i="5" s="1"/>
  <c r="K48" i="5"/>
  <c r="L48" i="5" s="1"/>
  <c r="K45" i="5"/>
  <c r="L45" i="5" s="1"/>
  <c r="K43" i="5"/>
  <c r="L43" i="5" s="1"/>
  <c r="K39" i="5"/>
  <c r="L39" i="5" s="1"/>
  <c r="K37" i="5"/>
  <c r="L37" i="5" s="1"/>
  <c r="K44" i="5"/>
  <c r="L44" i="5" s="1"/>
  <c r="K38" i="5"/>
  <c r="L38" i="5" s="1"/>
  <c r="K36" i="5"/>
  <c r="L36" i="5" s="1"/>
  <c r="K35" i="5"/>
  <c r="L35" i="5" s="1"/>
  <c r="K34" i="5"/>
  <c r="L34" i="5" s="1"/>
  <c r="K33" i="5"/>
  <c r="L33" i="5" s="1"/>
  <c r="K32" i="5"/>
  <c r="L32" i="5" s="1"/>
  <c r="K31" i="5"/>
  <c r="L31" i="5" s="1"/>
  <c r="K27" i="5"/>
  <c r="L27" i="5" s="1"/>
  <c r="K26" i="5"/>
  <c r="L26" i="5" s="1"/>
  <c r="K25" i="5"/>
  <c r="L25" i="5" s="1"/>
  <c r="K24" i="5"/>
  <c r="L24" i="5" s="1"/>
  <c r="K22" i="5"/>
  <c r="L22" i="5" s="1"/>
  <c r="K20" i="5"/>
  <c r="L20" i="5" s="1"/>
  <c r="K18" i="5"/>
  <c r="L18" i="5" s="1"/>
  <c r="K16" i="5"/>
  <c r="L16" i="5" s="1"/>
  <c r="K14" i="5"/>
  <c r="L14" i="5" s="1"/>
  <c r="K13" i="5"/>
  <c r="L13" i="5" s="1"/>
  <c r="K8" i="5"/>
  <c r="L8" i="5" s="1"/>
  <c r="K11" i="5"/>
  <c r="L11" i="5" s="1"/>
  <c r="AM2572" i="1"/>
  <c r="AL2572" i="1" s="1"/>
  <c r="AM2393" i="1"/>
  <c r="AL2393" i="1" s="1"/>
  <c r="AM2140" i="1"/>
  <c r="AL2140" i="1" s="1"/>
  <c r="AM1768" i="1"/>
  <c r="AL1768" i="1" s="1"/>
  <c r="AM1074" i="1"/>
  <c r="AL1074" i="1" s="1"/>
  <c r="AM1077" i="1"/>
  <c r="AL1077" i="1" s="1"/>
  <c r="AM1079" i="1"/>
  <c r="AL1079" i="1" s="1"/>
  <c r="AM1080" i="1"/>
  <c r="AL1080" i="1" s="1"/>
  <c r="AM929" i="1"/>
  <c r="AL929" i="1" s="1"/>
  <c r="AM971" i="1"/>
  <c r="AL971" i="1" s="1"/>
  <c r="AM390" i="1"/>
  <c r="AL390" i="1" s="1"/>
  <c r="AM391" i="1"/>
  <c r="AL391" i="1" s="1"/>
  <c r="K533" i="4" l="1"/>
  <c r="L533" i="4" s="1"/>
  <c r="AN1819" i="1"/>
  <c r="AN728" i="1" l="1"/>
  <c r="AM728" i="1"/>
  <c r="AL728" i="1" s="1"/>
  <c r="AF728" i="1"/>
  <c r="AE728" i="1"/>
  <c r="AC728" i="1"/>
  <c r="AA728" i="1" l="1"/>
  <c r="AF295" i="1"/>
  <c r="AM295" i="1"/>
  <c r="AL295" i="1" s="1"/>
  <c r="AN295" i="1"/>
  <c r="AO295" i="1"/>
  <c r="V295" i="1"/>
  <c r="W295" i="1"/>
  <c r="AE295" i="1"/>
  <c r="AA295" i="1" l="1"/>
  <c r="AD295" i="1" s="1"/>
  <c r="AF2206" i="1"/>
  <c r="AN2206" i="1"/>
  <c r="AE2206" i="1"/>
  <c r="W2206" i="1"/>
  <c r="V2206" i="1"/>
  <c r="AM2206" i="1"/>
  <c r="AL2206" i="1" s="1"/>
  <c r="AN1001" i="1"/>
  <c r="AE1001" i="1"/>
  <c r="W1001" i="1"/>
  <c r="V1001" i="1"/>
  <c r="AM1001" i="1"/>
  <c r="AL1001" i="1" s="1"/>
  <c r="AF1016" i="1"/>
  <c r="AO1016" i="1"/>
  <c r="AN1016" i="1"/>
  <c r="AM1016" i="1"/>
  <c r="AL1016" i="1" s="1"/>
  <c r="AE1016" i="1"/>
  <c r="AC1016" i="1"/>
  <c r="W1016" i="1"/>
  <c r="V1016" i="1"/>
  <c r="AA1001" i="1" l="1"/>
  <c r="AA2206" i="1"/>
  <c r="AA1016" i="1"/>
  <c r="AB1001" i="1" l="1"/>
  <c r="AD1016" i="1"/>
  <c r="AB2206" i="1"/>
  <c r="AJ1016" i="1" l="1"/>
  <c r="AK1016" i="1" s="1"/>
  <c r="AF299" i="1"/>
  <c r="AO299" i="1"/>
  <c r="AN299" i="1"/>
  <c r="AM299" i="1"/>
  <c r="AL299" i="1" s="1"/>
  <c r="AE299" i="1"/>
  <c r="W299" i="1"/>
  <c r="V299" i="1"/>
  <c r="AF1584" i="1"/>
  <c r="AN1584" i="1"/>
  <c r="AE1584" i="1"/>
  <c r="W1584" i="1"/>
  <c r="V1584" i="1"/>
  <c r="U1584" i="1"/>
  <c r="T1584" i="1"/>
  <c r="AN396" i="1"/>
  <c r="AF396" i="1"/>
  <c r="AE396" i="1"/>
  <c r="W396" i="1"/>
  <c r="V396" i="1"/>
  <c r="U396" i="1"/>
  <c r="T396" i="1"/>
  <c r="AF1337" i="1"/>
  <c r="AN1337" i="1"/>
  <c r="AM1337" i="1"/>
  <c r="AL1337" i="1" s="1"/>
  <c r="AE1337" i="1"/>
  <c r="AA1337" i="1"/>
  <c r="AD1337" i="1" s="1"/>
  <c r="AN1328" i="1"/>
  <c r="AM1328" i="1"/>
  <c r="AL1328" i="1" s="1"/>
  <c r="AF1328" i="1"/>
  <c r="AE1328" i="1"/>
  <c r="AA1328" i="1"/>
  <c r="AD1328" i="1" s="1"/>
  <c r="AF1318" i="1"/>
  <c r="AN1318" i="1"/>
  <c r="AM1318" i="1"/>
  <c r="AL1318" i="1" s="1"/>
  <c r="AE1318" i="1"/>
  <c r="AF1316" i="1"/>
  <c r="AN1316" i="1"/>
  <c r="AM1316" i="1"/>
  <c r="AL1316" i="1" s="1"/>
  <c r="AE1316" i="1"/>
  <c r="AF1929" i="1"/>
  <c r="AN1929" i="1"/>
  <c r="AE1929" i="1"/>
  <c r="AC1929" i="1"/>
  <c r="W1929" i="1"/>
  <c r="V1929" i="1"/>
  <c r="U1929" i="1"/>
  <c r="AM1929" i="1" s="1"/>
  <c r="AL1929" i="1" s="1"/>
  <c r="AF225" i="1"/>
  <c r="AM396" i="1" l="1"/>
  <c r="AL396" i="1" s="1"/>
  <c r="AM1584" i="1"/>
  <c r="AL1584" i="1" s="1"/>
  <c r="AA299" i="1"/>
  <c r="AA396" i="1"/>
  <c r="AD396" i="1" s="1"/>
  <c r="AA1584" i="1"/>
  <c r="AA1318" i="1"/>
  <c r="AD1318" i="1" s="1"/>
  <c r="AA1316" i="1"/>
  <c r="AD1316" i="1" s="1"/>
  <c r="AA1929" i="1"/>
  <c r="AN225" i="1"/>
  <c r="AE225" i="1"/>
  <c r="W225" i="1"/>
  <c r="V225" i="1"/>
  <c r="U225" i="1"/>
  <c r="T225" i="1"/>
  <c r="AF2326" i="1"/>
  <c r="AB396" i="1" l="1"/>
  <c r="AD299" i="1"/>
  <c r="AB1584" i="1"/>
  <c r="AM225" i="1"/>
  <c r="AL225" i="1" s="1"/>
  <c r="AA225" i="1"/>
  <c r="AF1984" i="1"/>
  <c r="AF1983" i="1"/>
  <c r="AN1836" i="1"/>
  <c r="AM1836" i="1"/>
  <c r="AL1836" i="1" s="1"/>
  <c r="AN1830" i="1"/>
  <c r="AM1830" i="1"/>
  <c r="AL1830" i="1" s="1"/>
  <c r="AN1835" i="1"/>
  <c r="AM1835" i="1"/>
  <c r="AL1835" i="1" s="1"/>
  <c r="AN1834" i="1"/>
  <c r="AM1834" i="1"/>
  <c r="AL1834" i="1" s="1"/>
  <c r="AN1832" i="1"/>
  <c r="AM1832" i="1"/>
  <c r="AL1832" i="1" s="1"/>
  <c r="AF1836" i="1"/>
  <c r="AF1830" i="1"/>
  <c r="AE1836" i="1"/>
  <c r="AE1830" i="1"/>
  <c r="AE1835" i="1"/>
  <c r="AE1834" i="1"/>
  <c r="AE1832" i="1"/>
  <c r="W1836" i="1"/>
  <c r="V1836" i="1"/>
  <c r="W1830" i="1"/>
  <c r="V1830" i="1"/>
  <c r="W1835" i="1"/>
  <c r="V1835" i="1"/>
  <c r="W1834" i="1"/>
  <c r="V1834" i="1"/>
  <c r="W1832" i="1"/>
  <c r="V1832" i="1"/>
  <c r="AB225" i="1" l="1"/>
  <c r="AA1830" i="1"/>
  <c r="AA1832" i="1"/>
  <c r="AA1835" i="1"/>
  <c r="AA1836" i="1"/>
  <c r="AA1834" i="1"/>
  <c r="AF1610" i="1" l="1"/>
  <c r="AF2299" i="1" l="1"/>
  <c r="AF2211" i="1"/>
  <c r="AF840" i="1" l="1"/>
  <c r="AF1445" i="1"/>
  <c r="AF1137" i="1"/>
  <c r="AO172" i="1" l="1"/>
  <c r="AN172" i="1"/>
  <c r="AM172" i="1"/>
  <c r="AL172" i="1" s="1"/>
  <c r="AE172" i="1"/>
  <c r="W172" i="1"/>
  <c r="V172" i="1"/>
  <c r="AA172" i="1" l="1"/>
  <c r="AB172" i="1" s="1"/>
  <c r="B45" i="12" l="1"/>
  <c r="B37" i="12"/>
  <c r="B28" i="12"/>
  <c r="D49" i="12"/>
  <c r="D48" i="12"/>
  <c r="D43" i="12"/>
  <c r="D42" i="12"/>
  <c r="D41" i="12"/>
  <c r="D35" i="12"/>
  <c r="M35" i="12" s="1"/>
  <c r="D34" i="12"/>
  <c r="M34" i="12" s="1"/>
  <c r="D12" i="12"/>
  <c r="D11" i="12"/>
  <c r="N11" i="12" s="1"/>
  <c r="D10" i="12"/>
  <c r="M10" i="12" s="1"/>
  <c r="N12" i="12" l="1"/>
  <c r="AF172" i="1"/>
  <c r="I48" i="12"/>
  <c r="J48" i="12" s="1"/>
  <c r="N35" i="12"/>
  <c r="N34" i="12"/>
  <c r="N10" i="12"/>
  <c r="M12" i="12"/>
  <c r="O12" i="12" s="1"/>
  <c r="M11" i="12"/>
  <c r="AF2360" i="1"/>
  <c r="AF2359" i="1"/>
  <c r="W2360" i="1"/>
  <c r="V2360" i="1"/>
  <c r="U2360" i="1"/>
  <c r="T2360" i="1"/>
  <c r="W2359" i="1"/>
  <c r="V2359" i="1"/>
  <c r="U2359" i="1"/>
  <c r="T2359" i="1"/>
  <c r="AF1842" i="1"/>
  <c r="AN1842" i="1"/>
  <c r="AM1842" i="1"/>
  <c r="AL1842" i="1" s="1"/>
  <c r="AE1842" i="1"/>
  <c r="AA1842" i="1"/>
  <c r="AN1840" i="1"/>
  <c r="AM1840" i="1"/>
  <c r="AL1840" i="1" s="1"/>
  <c r="AE1840" i="1"/>
  <c r="AA1840" i="1"/>
  <c r="AF1845" i="1"/>
  <c r="AN1845" i="1"/>
  <c r="AM1845" i="1"/>
  <c r="AL1845" i="1" s="1"/>
  <c r="AE1845" i="1"/>
  <c r="AA1845" i="1"/>
  <c r="AF1706" i="1"/>
  <c r="AN1706" i="1"/>
  <c r="AM1706" i="1"/>
  <c r="AL1706" i="1" s="1"/>
  <c r="AE1706" i="1"/>
  <c r="W1706" i="1"/>
  <c r="V1706" i="1"/>
  <c r="AF652" i="1"/>
  <c r="AN652" i="1"/>
  <c r="AM652" i="1"/>
  <c r="AL652" i="1" s="1"/>
  <c r="AE652" i="1"/>
  <c r="W652" i="1"/>
  <c r="V652" i="1"/>
  <c r="AF668" i="1"/>
  <c r="AN668" i="1"/>
  <c r="AM668" i="1"/>
  <c r="AL668" i="1" s="1"/>
  <c r="AE668" i="1"/>
  <c r="W668" i="1"/>
  <c r="V668" i="1"/>
  <c r="AM2359" i="1" l="1"/>
  <c r="AL2359" i="1" s="1"/>
  <c r="N8" i="12"/>
  <c r="D26" i="12" s="1"/>
  <c r="N30" i="12"/>
  <c r="D31" i="12" s="1"/>
  <c r="AA1706" i="1"/>
  <c r="AB1706" i="1" s="1"/>
  <c r="AA652" i="1"/>
  <c r="AB652" i="1" s="1"/>
  <c r="AB1842" i="1"/>
  <c r="AB1840" i="1"/>
  <c r="AB1845" i="1"/>
  <c r="AA668" i="1"/>
  <c r="D25" i="12" l="1"/>
  <c r="D18" i="12"/>
  <c r="D19" i="12"/>
  <c r="D24" i="12"/>
  <c r="D13" i="12"/>
  <c r="D9" i="12"/>
  <c r="D8" i="12"/>
  <c r="D14" i="12"/>
  <c r="D17" i="12"/>
  <c r="D21" i="12"/>
  <c r="D20" i="12"/>
  <c r="D22" i="12"/>
  <c r="D16" i="12"/>
  <c r="D32" i="12"/>
  <c r="D33" i="12"/>
  <c r="AB668" i="1"/>
  <c r="U1222" i="1" l="1"/>
  <c r="U1220" i="1"/>
  <c r="U1215" i="1"/>
  <c r="U1213" i="1"/>
  <c r="U1221" i="1"/>
  <c r="T1221" i="1"/>
  <c r="U1223" i="1"/>
  <c r="T1223" i="1"/>
  <c r="U1214" i="1"/>
  <c r="T1214" i="1"/>
  <c r="U1216" i="1"/>
  <c r="T1216" i="1"/>
  <c r="AM1216" i="1" l="1"/>
  <c r="AL1216" i="1" s="1"/>
  <c r="AM1223" i="1"/>
  <c r="AL1223" i="1" s="1"/>
  <c r="AE55" i="1"/>
  <c r="AE57" i="1"/>
  <c r="AE56" i="1"/>
  <c r="AN55" i="1"/>
  <c r="AM55" i="1"/>
  <c r="AL55" i="1" s="1"/>
  <c r="AN57" i="1"/>
  <c r="AM57" i="1"/>
  <c r="AL57" i="1" s="1"/>
  <c r="AF55" i="1"/>
  <c r="AF57" i="1"/>
  <c r="AF56" i="1"/>
  <c r="AN56" i="1"/>
  <c r="AM56" i="1"/>
  <c r="AL56" i="1" s="1"/>
  <c r="AN58" i="1"/>
  <c r="AM58" i="1"/>
  <c r="AL58" i="1" s="1"/>
  <c r="W58" i="1"/>
  <c r="V58" i="1"/>
  <c r="W55" i="1"/>
  <c r="V55" i="1"/>
  <c r="W57" i="1"/>
  <c r="V57" i="1"/>
  <c r="W56" i="1"/>
  <c r="V56" i="1"/>
  <c r="AF50" i="1"/>
  <c r="AF52" i="1"/>
  <c r="AF51" i="1"/>
  <c r="AN50" i="1"/>
  <c r="AM50" i="1"/>
  <c r="AL50" i="1" s="1"/>
  <c r="AN52" i="1"/>
  <c r="AM52" i="1"/>
  <c r="AL52" i="1" s="1"/>
  <c r="AN51" i="1"/>
  <c r="AM51" i="1"/>
  <c r="AL51" i="1" s="1"/>
  <c r="AN53" i="1"/>
  <c r="AM53" i="1"/>
  <c r="AL53" i="1" s="1"/>
  <c r="W53" i="1"/>
  <c r="V53" i="1"/>
  <c r="AE50" i="1"/>
  <c r="W50" i="1"/>
  <c r="V50" i="1"/>
  <c r="AE52" i="1"/>
  <c r="W52" i="1"/>
  <c r="V52" i="1"/>
  <c r="AE51" i="1"/>
  <c r="W51" i="1"/>
  <c r="V51" i="1"/>
  <c r="AN35" i="1"/>
  <c r="AM35" i="1"/>
  <c r="AL35" i="1" s="1"/>
  <c r="AN37" i="1"/>
  <c r="AM37" i="1"/>
  <c r="AL37" i="1" s="1"/>
  <c r="AN36" i="1"/>
  <c r="AM36" i="1"/>
  <c r="AL36" i="1" s="1"/>
  <c r="AE35" i="1"/>
  <c r="AE37" i="1"/>
  <c r="AE36" i="1"/>
  <c r="AA53" i="1" l="1"/>
  <c r="AA57" i="1"/>
  <c r="AA58" i="1"/>
  <c r="AB58" i="1" s="1"/>
  <c r="AD58" i="1" s="1"/>
  <c r="AA51" i="1"/>
  <c r="AA56" i="1"/>
  <c r="AA55" i="1"/>
  <c r="AA52" i="1"/>
  <c r="AA50" i="1"/>
  <c r="AD53" i="1" l="1"/>
  <c r="AB53" i="1"/>
  <c r="AD51" i="1"/>
  <c r="AD52" i="1"/>
  <c r="AD50" i="1"/>
  <c r="AF37" i="1" l="1"/>
  <c r="AF35" i="1"/>
  <c r="AF36" i="1"/>
  <c r="AN38" i="1"/>
  <c r="AM38" i="1"/>
  <c r="AL38" i="1" s="1"/>
  <c r="W38" i="1"/>
  <c r="V38" i="1"/>
  <c r="W35" i="1"/>
  <c r="V35" i="1"/>
  <c r="W37" i="1"/>
  <c r="V37" i="1"/>
  <c r="W36" i="1"/>
  <c r="V36" i="1"/>
  <c r="AF868" i="1"/>
  <c r="AC1902" i="1"/>
  <c r="AF323" i="1"/>
  <c r="AC1727" i="1"/>
  <c r="AA1727" i="1"/>
  <c r="AO1727" i="1"/>
  <c r="AN1727" i="1"/>
  <c r="AM1727" i="1"/>
  <c r="AL1727" i="1" s="1"/>
  <c r="AE1727" i="1"/>
  <c r="AO1610" i="1"/>
  <c r="AN1610" i="1"/>
  <c r="AM1610" i="1"/>
  <c r="AL1610" i="1" s="1"/>
  <c r="AE1610" i="1"/>
  <c r="W1610" i="1"/>
  <c r="V1610" i="1"/>
  <c r="AA37" i="1" l="1"/>
  <c r="AD37" i="1" s="1"/>
  <c r="AA38" i="1"/>
  <c r="AA36" i="1"/>
  <c r="AA35" i="1"/>
  <c r="AD1727" i="1"/>
  <c r="AJ1727" i="1" s="1"/>
  <c r="AK1727" i="1" s="1"/>
  <c r="AA1610" i="1"/>
  <c r="AB1610" i="1" s="1"/>
  <c r="AD38" i="1" l="1"/>
  <c r="AB38" i="1"/>
  <c r="AD36" i="1"/>
  <c r="AD35" i="1"/>
  <c r="AF1350" i="1" l="1"/>
  <c r="AO1350" i="1"/>
  <c r="AN1350" i="1"/>
  <c r="AM1350" i="1"/>
  <c r="AL1350" i="1" s="1"/>
  <c r="AE1350" i="1"/>
  <c r="AO323" i="1"/>
  <c r="AN323" i="1"/>
  <c r="AM323" i="1"/>
  <c r="AL323" i="1" s="1"/>
  <c r="AE323" i="1"/>
  <c r="W1350" i="1"/>
  <c r="V1350" i="1"/>
  <c r="W323" i="1"/>
  <c r="V323" i="1"/>
  <c r="AA1350" i="1" l="1"/>
  <c r="AA323" i="1"/>
  <c r="AD323" i="1" s="1"/>
  <c r="K38" i="4"/>
  <c r="L38" i="4" s="1"/>
  <c r="AB1350" i="1" l="1"/>
  <c r="AF1389" i="1"/>
  <c r="AF1362" i="1"/>
  <c r="AF1134" i="1"/>
  <c r="AF892" i="1" l="1"/>
  <c r="AE229" i="1"/>
  <c r="AN1233" i="1" l="1"/>
  <c r="AF1233" i="1"/>
  <c r="AE1233" i="1"/>
  <c r="W1233" i="1"/>
  <c r="V1233" i="1"/>
  <c r="U1233" i="1"/>
  <c r="T1233" i="1"/>
  <c r="AM1233" i="1" l="1"/>
  <c r="AL1233" i="1" s="1"/>
  <c r="AA1233" i="1"/>
  <c r="AO528" i="1" l="1"/>
  <c r="AF327" i="1"/>
  <c r="AF297" i="1"/>
  <c r="AF2415" i="1"/>
  <c r="AF2422" i="1"/>
  <c r="AE2124" i="1"/>
  <c r="AA740" i="1"/>
  <c r="AA1351" i="1"/>
  <c r="AF876" i="1" l="1"/>
  <c r="AF123" i="1"/>
  <c r="AN123" i="1"/>
  <c r="AM123" i="1"/>
  <c r="AL123" i="1" s="1"/>
  <c r="AN874" i="1"/>
  <c r="AM874" i="1"/>
  <c r="AL874" i="1" s="1"/>
  <c r="AN873" i="1"/>
  <c r="AM873" i="1"/>
  <c r="AL873" i="1" s="1"/>
  <c r="AN872" i="1"/>
  <c r="AM872" i="1"/>
  <c r="AL872" i="1" s="1"/>
  <c r="AN871" i="1"/>
  <c r="AM871" i="1"/>
  <c r="AL871" i="1" s="1"/>
  <c r="AN2388" i="1"/>
  <c r="AM2388" i="1"/>
  <c r="AL2388" i="1" s="1"/>
  <c r="AN2387" i="1"/>
  <c r="AM2387" i="1"/>
  <c r="AL2387" i="1" s="1"/>
  <c r="AN2334" i="1"/>
  <c r="AM2334" i="1"/>
  <c r="AL2334" i="1" s="1"/>
  <c r="AN2332" i="1"/>
  <c r="AM2332" i="1"/>
  <c r="AL2332" i="1" s="1"/>
  <c r="AN847" i="1"/>
  <c r="AM847" i="1"/>
  <c r="AL847" i="1" s="1"/>
  <c r="AN846" i="1"/>
  <c r="AM846" i="1"/>
  <c r="AL846" i="1" s="1"/>
  <c r="AN2326" i="1"/>
  <c r="AM2326" i="1"/>
  <c r="AL2326" i="1" s="1"/>
  <c r="AN848" i="1"/>
  <c r="AM848" i="1"/>
  <c r="AL848" i="1" s="1"/>
  <c r="AN2309" i="1"/>
  <c r="AM2309" i="1"/>
  <c r="AL2309" i="1" s="1"/>
  <c r="AN1984" i="1"/>
  <c r="AM1984" i="1"/>
  <c r="AL1984" i="1" s="1"/>
  <c r="AN1983" i="1"/>
  <c r="AM1983" i="1"/>
  <c r="AL1983" i="1" s="1"/>
  <c r="AN1844" i="1"/>
  <c r="AM1844" i="1"/>
  <c r="AL1844" i="1" s="1"/>
  <c r="AN1841" i="1"/>
  <c r="AM1841" i="1"/>
  <c r="AL1841" i="1" s="1"/>
  <c r="AN1839" i="1"/>
  <c r="AM1839" i="1"/>
  <c r="AL1839" i="1" s="1"/>
  <c r="AN1705" i="1"/>
  <c r="AM1705" i="1"/>
  <c r="AL1705" i="1" s="1"/>
  <c r="AN667" i="1"/>
  <c r="AM667" i="1"/>
  <c r="AL667" i="1" s="1"/>
  <c r="AN651" i="1"/>
  <c r="AM651" i="1"/>
  <c r="AL651" i="1" s="1"/>
  <c r="AN571" i="1"/>
  <c r="AM571" i="1"/>
  <c r="AL571" i="1" s="1"/>
  <c r="AN570" i="1"/>
  <c r="AM570" i="1"/>
  <c r="AL570" i="1" s="1"/>
  <c r="AN346" i="1"/>
  <c r="AM346" i="1"/>
  <c r="AL346" i="1" s="1"/>
  <c r="AN343" i="1"/>
  <c r="AM343" i="1"/>
  <c r="AL343" i="1" s="1"/>
  <c r="AF874" i="1"/>
  <c r="AF873" i="1"/>
  <c r="AF872" i="1"/>
  <c r="AF871" i="1"/>
  <c r="AF2388" i="1"/>
  <c r="AF2387" i="1"/>
  <c r="AF1844" i="1"/>
  <c r="AF1841" i="1"/>
  <c r="AF1839" i="1"/>
  <c r="AF1705" i="1"/>
  <c r="AF667" i="1"/>
  <c r="AF651" i="1"/>
  <c r="AF571" i="1"/>
  <c r="AF570" i="1"/>
  <c r="AF346" i="1"/>
  <c r="AF343" i="1"/>
  <c r="AE346" i="1"/>
  <c r="AE343" i="1"/>
  <c r="AE874" i="1"/>
  <c r="AE873" i="1"/>
  <c r="AE872" i="1"/>
  <c r="AE871" i="1"/>
  <c r="AE123" i="1"/>
  <c r="AE667" i="1"/>
  <c r="AE651" i="1"/>
  <c r="AE571" i="1"/>
  <c r="AE570" i="1"/>
  <c r="AE1984" i="1"/>
  <c r="AE1983" i="1"/>
  <c r="AE1844" i="1"/>
  <c r="AE1841" i="1"/>
  <c r="AE1839" i="1"/>
  <c r="AE1705" i="1"/>
  <c r="AE2388" i="1"/>
  <c r="AE2387" i="1"/>
  <c r="AF2334" i="1" l="1"/>
  <c r="AF2332" i="1"/>
  <c r="AF2309" i="1"/>
  <c r="K47" i="4" l="1"/>
  <c r="L47" i="4" s="1"/>
  <c r="K41" i="4"/>
  <c r="L41" i="4" s="1"/>
  <c r="AE2334" i="1"/>
  <c r="AE2332" i="1"/>
  <c r="AE847" i="1"/>
  <c r="AE846" i="1"/>
  <c r="AE2326" i="1"/>
  <c r="AE848" i="1"/>
  <c r="AE2309" i="1"/>
  <c r="AN1831" i="1"/>
  <c r="AM1831" i="1"/>
  <c r="AL1831" i="1" s="1"/>
  <c r="AN1828" i="1"/>
  <c r="AM1828" i="1"/>
  <c r="AL1828" i="1" s="1"/>
  <c r="AN1826" i="1"/>
  <c r="AM1826" i="1"/>
  <c r="AL1826" i="1" s="1"/>
  <c r="AN1825" i="1"/>
  <c r="AM1825" i="1"/>
  <c r="AL1825" i="1" s="1"/>
  <c r="AN1824" i="1"/>
  <c r="AM1824" i="1"/>
  <c r="AL1824" i="1" s="1"/>
  <c r="AE1831" i="1"/>
  <c r="AE1828" i="1"/>
  <c r="AE1826" i="1"/>
  <c r="AE1825" i="1"/>
  <c r="AE1824" i="1"/>
  <c r="U876" i="1"/>
  <c r="T876" i="1"/>
  <c r="W651" i="1"/>
  <c r="V651" i="1"/>
  <c r="AA651" i="1" l="1"/>
  <c r="AN878" i="1"/>
  <c r="AF878" i="1"/>
  <c r="AE878" i="1"/>
  <c r="W878" i="1"/>
  <c r="V878" i="1"/>
  <c r="U878" i="1"/>
  <c r="T878" i="1"/>
  <c r="AN877" i="1"/>
  <c r="AF877" i="1"/>
  <c r="AE877" i="1"/>
  <c r="W877" i="1"/>
  <c r="V877" i="1"/>
  <c r="U877" i="1"/>
  <c r="T877" i="1"/>
  <c r="AF875" i="1"/>
  <c r="AE876" i="1"/>
  <c r="AE875" i="1"/>
  <c r="AN876" i="1"/>
  <c r="AM876" i="1"/>
  <c r="AL876" i="1" s="1"/>
  <c r="AN875" i="1"/>
  <c r="W875" i="1"/>
  <c r="V875" i="1"/>
  <c r="U875" i="1"/>
  <c r="T875" i="1"/>
  <c r="W876" i="1"/>
  <c r="V876" i="1"/>
  <c r="W874" i="1"/>
  <c r="V874" i="1"/>
  <c r="W873" i="1"/>
  <c r="V873" i="1"/>
  <c r="W872" i="1"/>
  <c r="V872" i="1"/>
  <c r="W871" i="1"/>
  <c r="V871" i="1"/>
  <c r="W2388" i="1"/>
  <c r="V2388" i="1"/>
  <c r="W2387" i="1"/>
  <c r="V2387" i="1"/>
  <c r="W2334" i="1"/>
  <c r="V2334" i="1"/>
  <c r="W2332" i="1"/>
  <c r="V2332" i="1"/>
  <c r="W847" i="1"/>
  <c r="V847" i="1"/>
  <c r="W846" i="1"/>
  <c r="V846" i="1"/>
  <c r="W2326" i="1"/>
  <c r="V2326" i="1"/>
  <c r="W848" i="1"/>
  <c r="V848" i="1"/>
  <c r="W2309" i="1"/>
  <c r="V2309" i="1"/>
  <c r="W1984" i="1"/>
  <c r="V1984" i="1"/>
  <c r="W1983" i="1"/>
  <c r="V1983" i="1"/>
  <c r="W1844" i="1"/>
  <c r="V1844" i="1"/>
  <c r="W1841" i="1"/>
  <c r="V1841" i="1"/>
  <c r="W1839" i="1"/>
  <c r="V1839" i="1"/>
  <c r="W1705" i="1"/>
  <c r="V1705" i="1"/>
  <c r="W1831" i="1"/>
  <c r="V1831" i="1"/>
  <c r="W1828" i="1"/>
  <c r="V1828" i="1"/>
  <c r="W1826" i="1"/>
  <c r="V1826" i="1"/>
  <c r="W1825" i="1"/>
  <c r="V1825" i="1"/>
  <c r="W1824" i="1"/>
  <c r="V1824" i="1"/>
  <c r="W667" i="1"/>
  <c r="V667" i="1"/>
  <c r="W571" i="1"/>
  <c r="V571" i="1"/>
  <c r="W570" i="1"/>
  <c r="V570" i="1"/>
  <c r="W346" i="1"/>
  <c r="V346" i="1"/>
  <c r="W343" i="1"/>
  <c r="V343" i="1"/>
  <c r="W123" i="1"/>
  <c r="V123" i="1"/>
  <c r="AF2124" i="1"/>
  <c r="AA343" i="1" l="1"/>
  <c r="AA570" i="1"/>
  <c r="AA667" i="1"/>
  <c r="AA1825" i="1"/>
  <c r="AA1828" i="1"/>
  <c r="AA1839" i="1"/>
  <c r="AA1844" i="1"/>
  <c r="AA1984" i="1"/>
  <c r="AA848" i="1"/>
  <c r="AA846" i="1"/>
  <c r="AA2332" i="1"/>
  <c r="AA2387" i="1"/>
  <c r="AA871" i="1"/>
  <c r="AD871" i="1" s="1"/>
  <c r="AA873" i="1"/>
  <c r="AD873" i="1" s="1"/>
  <c r="AB651" i="1"/>
  <c r="AA877" i="1"/>
  <c r="AD877" i="1" s="1"/>
  <c r="AA878" i="1"/>
  <c r="AD878" i="1" s="1"/>
  <c r="AA123" i="1"/>
  <c r="AA346" i="1"/>
  <c r="AA571" i="1"/>
  <c r="AA1824" i="1"/>
  <c r="AA1826" i="1"/>
  <c r="AA1831" i="1"/>
  <c r="AA1705" i="1"/>
  <c r="AA1841" i="1"/>
  <c r="AA1983" i="1"/>
  <c r="AD1983" i="1" s="1"/>
  <c r="AA2309" i="1"/>
  <c r="AA2326" i="1"/>
  <c r="AA847" i="1"/>
  <c r="AA2334" i="1"/>
  <c r="AA2388" i="1"/>
  <c r="AA872" i="1"/>
  <c r="AD872" i="1" s="1"/>
  <c r="AA874" i="1"/>
  <c r="AD874" i="1" s="1"/>
  <c r="AM878" i="1"/>
  <c r="AL878" i="1" s="1"/>
  <c r="AA875" i="1"/>
  <c r="AM875" i="1"/>
  <c r="AL875" i="1" s="1"/>
  <c r="AM877" i="1"/>
  <c r="AL877" i="1" s="1"/>
  <c r="AA876" i="1"/>
  <c r="AF645" i="1"/>
  <c r="AO300" i="1"/>
  <c r="AN300" i="1"/>
  <c r="AM300" i="1"/>
  <c r="AL300" i="1" s="1"/>
  <c r="AF300" i="1"/>
  <c r="AE300" i="1"/>
  <c r="W300" i="1"/>
  <c r="V300" i="1"/>
  <c r="AD2326" i="1" l="1"/>
  <c r="AB346" i="1"/>
  <c r="AB343" i="1"/>
  <c r="AB570" i="1"/>
  <c r="AB667" i="1"/>
  <c r="AB1839" i="1"/>
  <c r="AB1844" i="1"/>
  <c r="AB1984" i="1"/>
  <c r="AB2387" i="1"/>
  <c r="AB1705" i="1"/>
  <c r="AB2388" i="1"/>
  <c r="AB571" i="1"/>
  <c r="AB1983" i="1"/>
  <c r="AB1841" i="1"/>
  <c r="AB123" i="1"/>
  <c r="AD876" i="1"/>
  <c r="AD875" i="1"/>
  <c r="AA300" i="1"/>
  <c r="AD300" i="1" l="1"/>
  <c r="AO2124" i="1"/>
  <c r="AN2124" i="1"/>
  <c r="AM2124" i="1"/>
  <c r="AL2124" i="1" s="1"/>
  <c r="W2124" i="1"/>
  <c r="V2124" i="1"/>
  <c r="AO1902" i="1"/>
  <c r="AN1902" i="1"/>
  <c r="AM1902" i="1"/>
  <c r="AL1902" i="1" s="1"/>
  <c r="W1902" i="1"/>
  <c r="V1902" i="1"/>
  <c r="AO868" i="1"/>
  <c r="AN868" i="1"/>
  <c r="AM868" i="1"/>
  <c r="AL868" i="1" s="1"/>
  <c r="AE868" i="1"/>
  <c r="W868" i="1"/>
  <c r="V868" i="1"/>
  <c r="AF2017" i="1"/>
  <c r="AF946" i="1"/>
  <c r="AF2416" i="1"/>
  <c r="AF2188" i="1"/>
  <c r="AF1941" i="1"/>
  <c r="AF1936" i="1"/>
  <c r="AO1941" i="1"/>
  <c r="AN1941" i="1"/>
  <c r="AM1941" i="1"/>
  <c r="AL1941" i="1" s="1"/>
  <c r="AO1936" i="1"/>
  <c r="AN1936" i="1"/>
  <c r="AM1936" i="1"/>
  <c r="AL1936" i="1" s="1"/>
  <c r="AE1941" i="1"/>
  <c r="AE1936" i="1"/>
  <c r="W1941" i="1"/>
  <c r="V1941" i="1"/>
  <c r="W1936" i="1"/>
  <c r="V1936" i="1"/>
  <c r="AF1933" i="1"/>
  <c r="AO1933" i="1"/>
  <c r="AN1933" i="1"/>
  <c r="AM1933" i="1"/>
  <c r="AL1933" i="1" s="1"/>
  <c r="AE1935" i="1"/>
  <c r="AE1933" i="1"/>
  <c r="W1935" i="1"/>
  <c r="V1935" i="1"/>
  <c r="W1933" i="1"/>
  <c r="V1933" i="1"/>
  <c r="AO1867" i="1"/>
  <c r="AN1867" i="1"/>
  <c r="AM1867" i="1"/>
  <c r="W1867" i="1"/>
  <c r="Z1867" i="1" s="1"/>
  <c r="V1867" i="1"/>
  <c r="AO1746" i="1"/>
  <c r="AN1746" i="1"/>
  <c r="AM1746" i="1"/>
  <c r="AF1746" i="1"/>
  <c r="W1746" i="1"/>
  <c r="Z1746" i="1" s="1"/>
  <c r="V1746" i="1"/>
  <c r="AF1159" i="1"/>
  <c r="AF1096" i="1"/>
  <c r="AF918" i="1"/>
  <c r="AO907" i="1"/>
  <c r="AN907" i="1"/>
  <c r="AM907" i="1"/>
  <c r="W907" i="1"/>
  <c r="Z907" i="1" s="1"/>
  <c r="V907" i="1"/>
  <c r="AF1408" i="1"/>
  <c r="K32" i="4"/>
  <c r="L32" i="4" s="1"/>
  <c r="AF1868" i="1"/>
  <c r="AO1868" i="1"/>
  <c r="AN1868" i="1"/>
  <c r="AM1868" i="1"/>
  <c r="W1868" i="1"/>
  <c r="Z1868" i="1" s="1"/>
  <c r="V1868" i="1"/>
  <c r="AF1499" i="1"/>
  <c r="AF1532" i="1"/>
  <c r="AO1532" i="1"/>
  <c r="AN1532" i="1"/>
  <c r="AM1532" i="1"/>
  <c r="AL1532" i="1" s="1"/>
  <c r="AE1532" i="1"/>
  <c r="W1532" i="1"/>
  <c r="V1532" i="1"/>
  <c r="AF528" i="1"/>
  <c r="W528" i="1"/>
  <c r="V528" i="1"/>
  <c r="AE528" i="1"/>
  <c r="AF526" i="1"/>
  <c r="AE526" i="1"/>
  <c r="AN528" i="1"/>
  <c r="AM528" i="1"/>
  <c r="AL528" i="1" s="1"/>
  <c r="AO526" i="1"/>
  <c r="AN526" i="1"/>
  <c r="AM526" i="1"/>
  <c r="AL526" i="1" s="1"/>
  <c r="W526" i="1"/>
  <c r="V526" i="1"/>
  <c r="AO229" i="1"/>
  <c r="AN229" i="1"/>
  <c r="AM229" i="1"/>
  <c r="AL229" i="1" s="1"/>
  <c r="AF229" i="1"/>
  <c r="AF171" i="1"/>
  <c r="W229" i="1"/>
  <c r="V229" i="1"/>
  <c r="AF1310" i="1"/>
  <c r="L611" i="4"/>
  <c r="L597" i="4"/>
  <c r="L589" i="4"/>
  <c r="L252" i="4"/>
  <c r="L70" i="4"/>
  <c r="L60" i="4"/>
  <c r="Y1868" i="1" l="1"/>
  <c r="AA1868" i="1" s="1"/>
  <c r="Y907" i="1"/>
  <c r="AA907" i="1" s="1"/>
  <c r="Y1746" i="1"/>
  <c r="AA1746" i="1" s="1"/>
  <c r="Y1867" i="1"/>
  <c r="AA1867" i="1" s="1"/>
  <c r="AA1902" i="1"/>
  <c r="AD1902" i="1" s="1"/>
  <c r="AA2124" i="1"/>
  <c r="AB2124" i="1" s="1"/>
  <c r="AA868" i="1"/>
  <c r="AA1933" i="1"/>
  <c r="AA1936" i="1"/>
  <c r="AA526" i="1"/>
  <c r="AA528" i="1"/>
  <c r="AA1941" i="1"/>
  <c r="AA1935" i="1"/>
  <c r="AA1532" i="1"/>
  <c r="AA229" i="1"/>
  <c r="AF257" i="1"/>
  <c r="K611" i="4"/>
  <c r="K606" i="4"/>
  <c r="L606" i="4" s="1"/>
  <c r="K605" i="4"/>
  <c r="L605" i="4" s="1"/>
  <c r="K604" i="4"/>
  <c r="L604" i="4" s="1"/>
  <c r="K603" i="4"/>
  <c r="L603" i="4" s="1"/>
  <c r="K602" i="4"/>
  <c r="L602" i="4" s="1"/>
  <c r="K601" i="4"/>
  <c r="L601" i="4" s="1"/>
  <c r="K597" i="4"/>
  <c r="K595" i="4"/>
  <c r="L595" i="4" s="1"/>
  <c r="K594" i="4"/>
  <c r="L594" i="4" s="1"/>
  <c r="K593" i="4"/>
  <c r="L593" i="4" s="1"/>
  <c r="K592" i="4"/>
  <c r="L592" i="4" s="1"/>
  <c r="K591" i="4"/>
  <c r="L591" i="4" s="1"/>
  <c r="K590" i="4"/>
  <c r="L590" i="4" s="1"/>
  <c r="K589" i="4"/>
  <c r="AB1902" i="1" l="1"/>
  <c r="AD868" i="1"/>
  <c r="AB229" i="1"/>
  <c r="AD2124" i="1"/>
  <c r="K60" i="4"/>
  <c r="AF228" i="1" l="1"/>
  <c r="AF296" i="1" l="1"/>
  <c r="K62" i="4"/>
  <c r="L62" i="4" s="1"/>
  <c r="K63" i="4"/>
  <c r="L63" i="4" s="1"/>
  <c r="K64" i="4"/>
  <c r="L64" i="4" s="1"/>
  <c r="K65" i="4"/>
  <c r="L65" i="4" s="1"/>
  <c r="K66" i="4"/>
  <c r="L66" i="4" s="1"/>
  <c r="K67" i="4"/>
  <c r="L67" i="4" s="1"/>
  <c r="K68" i="4"/>
  <c r="L68" i="4" s="1"/>
  <c r="K69" i="4"/>
  <c r="L69" i="4" s="1"/>
  <c r="K70" i="4"/>
  <c r="K99" i="4"/>
  <c r="L99" i="4" s="1"/>
  <c r="K100" i="4"/>
  <c r="L100" i="4" s="1"/>
  <c r="K101" i="4"/>
  <c r="L101" i="4" s="1"/>
  <c r="K102" i="4"/>
  <c r="L102" i="4" s="1"/>
  <c r="K103" i="4"/>
  <c r="L103" i="4" s="1"/>
  <c r="K252" i="4"/>
  <c r="K21" i="4"/>
  <c r="L21" i="4" s="1"/>
  <c r="K22" i="4"/>
  <c r="L22" i="4" s="1"/>
  <c r="K23" i="4"/>
  <c r="L23" i="4" s="1"/>
  <c r="K24" i="4"/>
  <c r="L24" i="4" s="1"/>
  <c r="K25" i="4"/>
  <c r="L25" i="4" s="1"/>
  <c r="K26" i="4"/>
  <c r="L26" i="4" s="1"/>
  <c r="K27" i="4"/>
  <c r="L27" i="4" s="1"/>
  <c r="K34" i="4"/>
  <c r="L34" i="4" s="1"/>
  <c r="K35" i="4"/>
  <c r="L35" i="4" s="1"/>
  <c r="K37" i="4"/>
  <c r="L37" i="4" s="1"/>
  <c r="K39" i="4"/>
  <c r="L39" i="4" s="1"/>
  <c r="K42" i="4"/>
  <c r="L42" i="4" s="1"/>
  <c r="K43" i="4"/>
  <c r="L43" i="4" s="1"/>
  <c r="K45" i="4"/>
  <c r="L45" i="4" s="1"/>
  <c r="K46" i="4"/>
  <c r="L46" i="4" s="1"/>
  <c r="K49" i="4"/>
  <c r="L49" i="4" s="1"/>
  <c r="K50" i="4"/>
  <c r="L50" i="4" s="1"/>
  <c r="K51" i="4"/>
  <c r="L51" i="4" s="1"/>
  <c r="K52" i="4"/>
  <c r="L52" i="4" s="1"/>
  <c r="K12" i="4"/>
  <c r="L12" i="4" s="1"/>
  <c r="AF2540" i="1" l="1"/>
  <c r="AN2540" i="1"/>
  <c r="AM2540" i="1"/>
  <c r="AL2540" i="1" s="1"/>
  <c r="AE2540" i="1"/>
  <c r="AC2540" i="1"/>
  <c r="AA2540" i="1"/>
  <c r="AD2540" i="1" l="1"/>
  <c r="AJ2540" i="1" s="1"/>
  <c r="AK2540" i="1" s="1"/>
  <c r="AF2533" i="1"/>
  <c r="AF2531" i="1"/>
  <c r="AF2532" i="1"/>
  <c r="AN2533" i="1"/>
  <c r="AM2533" i="1"/>
  <c r="AL2533" i="1" s="1"/>
  <c r="AN2531" i="1"/>
  <c r="AM2531" i="1"/>
  <c r="AL2531" i="1" s="1"/>
  <c r="AN2532" i="1"/>
  <c r="AM2532" i="1"/>
  <c r="AL2532" i="1" s="1"/>
  <c r="AE2533" i="1"/>
  <c r="AE2531" i="1"/>
  <c r="AE2532" i="1"/>
  <c r="W2533" i="1"/>
  <c r="V2533" i="1"/>
  <c r="W2531" i="1"/>
  <c r="V2531" i="1"/>
  <c r="W2532" i="1"/>
  <c r="V2532" i="1"/>
  <c r="AN2522" i="1"/>
  <c r="AM2522" i="1"/>
  <c r="AL2522" i="1" s="1"/>
  <c r="AN2520" i="1"/>
  <c r="AM2520" i="1"/>
  <c r="AL2520" i="1" s="1"/>
  <c r="AN2521" i="1"/>
  <c r="AM2521" i="1"/>
  <c r="AL2521" i="1" s="1"/>
  <c r="AF2522" i="1"/>
  <c r="AF2520" i="1"/>
  <c r="AF2521" i="1"/>
  <c r="AE2522" i="1"/>
  <c r="AE2520" i="1"/>
  <c r="AE2521" i="1"/>
  <c r="W2534" i="1"/>
  <c r="V2534" i="1"/>
  <c r="W2522" i="1"/>
  <c r="V2522" i="1"/>
  <c r="W2520" i="1"/>
  <c r="V2520" i="1"/>
  <c r="W2521" i="1"/>
  <c r="V2521" i="1"/>
  <c r="AN2428" i="1"/>
  <c r="AM2428" i="1"/>
  <c r="AL2428" i="1" s="1"/>
  <c r="AN2426" i="1"/>
  <c r="AM2426" i="1"/>
  <c r="AL2426" i="1" s="1"/>
  <c r="AN2427" i="1"/>
  <c r="AM2427" i="1"/>
  <c r="AL2427" i="1" s="1"/>
  <c r="AF2428" i="1"/>
  <c r="AF2426" i="1"/>
  <c r="AF2427" i="1"/>
  <c r="AE2428" i="1"/>
  <c r="AE2426" i="1"/>
  <c r="AE2427" i="1"/>
  <c r="W2428" i="1"/>
  <c r="V2428" i="1"/>
  <c r="W2426" i="1"/>
  <c r="V2426" i="1"/>
  <c r="W2427" i="1"/>
  <c r="V2427" i="1"/>
  <c r="W2429" i="1"/>
  <c r="V2429" i="1"/>
  <c r="AA2532" i="1" l="1"/>
  <c r="AD2532" i="1" s="1"/>
  <c r="AA2533" i="1"/>
  <c r="AD2533" i="1" s="1"/>
  <c r="AA2521" i="1"/>
  <c r="AD2521" i="1" s="1"/>
  <c r="AA2531" i="1"/>
  <c r="AD2531" i="1" s="1"/>
  <c r="AA2534" i="1"/>
  <c r="AA2522" i="1"/>
  <c r="AA2428" i="1"/>
  <c r="AD2428" i="1" s="1"/>
  <c r="AA2520" i="1"/>
  <c r="AA2426" i="1"/>
  <c r="AA2427" i="1"/>
  <c r="AD2534" i="1" l="1"/>
  <c r="AB2534" i="1"/>
  <c r="AD2520" i="1"/>
  <c r="AD2522" i="1"/>
  <c r="AD2426" i="1"/>
  <c r="AD2427" i="1"/>
  <c r="AF2420" i="1" l="1"/>
  <c r="AF2418" i="1"/>
  <c r="AF2419" i="1"/>
  <c r="AN2420" i="1"/>
  <c r="AM2420" i="1"/>
  <c r="AL2420" i="1" s="1"/>
  <c r="AN2418" i="1"/>
  <c r="AM2418" i="1"/>
  <c r="AL2418" i="1" s="1"/>
  <c r="AN2419" i="1"/>
  <c r="AM2419" i="1"/>
  <c r="AL2419" i="1" s="1"/>
  <c r="AE2420" i="1"/>
  <c r="AE2418" i="1"/>
  <c r="AE2419" i="1"/>
  <c r="W2420" i="1"/>
  <c r="V2420" i="1"/>
  <c r="W2418" i="1"/>
  <c r="V2418" i="1"/>
  <c r="W2419" i="1"/>
  <c r="V2419" i="1"/>
  <c r="W2421" i="1"/>
  <c r="V2421" i="1"/>
  <c r="AN2411" i="1"/>
  <c r="AM2411" i="1"/>
  <c r="AL2411" i="1" s="1"/>
  <c r="AN2412" i="1"/>
  <c r="AM2412" i="1"/>
  <c r="AL2412" i="1" s="1"/>
  <c r="AN2413" i="1"/>
  <c r="AM2413" i="1"/>
  <c r="AL2413" i="1" s="1"/>
  <c r="AF2411" i="1"/>
  <c r="AF2412" i="1"/>
  <c r="AF2413" i="1"/>
  <c r="AE2411" i="1"/>
  <c r="AE2412" i="1"/>
  <c r="AE2413" i="1"/>
  <c r="W2411" i="1"/>
  <c r="V2411" i="1"/>
  <c r="W2412" i="1"/>
  <c r="V2412" i="1"/>
  <c r="W2413" i="1"/>
  <c r="V2413" i="1"/>
  <c r="AA2411" i="1" l="1"/>
  <c r="AA2420" i="1"/>
  <c r="AB2420" i="1" s="1"/>
  <c r="AA2418" i="1"/>
  <c r="AA2419" i="1"/>
  <c r="AB2419" i="1" s="1"/>
  <c r="AA2413" i="1"/>
  <c r="AB2413" i="1" s="1"/>
  <c r="AA2412" i="1"/>
  <c r="AB2411" i="1" l="1"/>
  <c r="AB2418" i="1"/>
  <c r="AB2412" i="1"/>
  <c r="AM389" i="1"/>
  <c r="AL389" i="1" s="1"/>
  <c r="AM388" i="1"/>
  <c r="AL388" i="1" s="1"/>
  <c r="AF391" i="1"/>
  <c r="AF389" i="1"/>
  <c r="AF388" i="1"/>
  <c r="AE391" i="1"/>
  <c r="AE389" i="1"/>
  <c r="AE388" i="1"/>
  <c r="W391" i="1"/>
  <c r="V391" i="1"/>
  <c r="W389" i="1"/>
  <c r="V389" i="1"/>
  <c r="W388" i="1"/>
  <c r="V388" i="1"/>
  <c r="AA391" i="1" l="1"/>
  <c r="AA388" i="1"/>
  <c r="AA389" i="1"/>
  <c r="AC257" i="1"/>
  <c r="AO1655" i="1"/>
  <c r="AO1654" i="1"/>
  <c r="AO1651" i="1"/>
  <c r="AO444" i="1"/>
  <c r="AO351" i="1"/>
  <c r="AO1950" i="1"/>
  <c r="AO2190" i="1"/>
  <c r="AO1096" i="1"/>
  <c r="AO1413" i="1"/>
  <c r="AO854" i="1"/>
  <c r="AO1499" i="1"/>
  <c r="AO1445" i="1"/>
  <c r="AO171" i="1"/>
  <c r="AO918" i="1"/>
  <c r="AO2188" i="1"/>
  <c r="AO1159" i="1"/>
  <c r="AO1442" i="1"/>
  <c r="AO2017" i="1"/>
  <c r="AO2416" i="1"/>
  <c r="AO2422" i="1"/>
  <c r="AO2415" i="1"/>
  <c r="AO169" i="1"/>
  <c r="AO840" i="1"/>
  <c r="AO841" i="1"/>
  <c r="AO892" i="1"/>
  <c r="AO1820" i="1"/>
  <c r="AO1586" i="1"/>
  <c r="AO2559" i="1"/>
  <c r="AO297" i="1"/>
  <c r="AO1102" i="1"/>
  <c r="AO1647" i="1"/>
  <c r="AO1645" i="1"/>
  <c r="AO946" i="1"/>
  <c r="AO1362" i="1"/>
  <c r="AO1134" i="1"/>
  <c r="AO1389" i="1"/>
  <c r="AO1691" i="1"/>
  <c r="AO643" i="1"/>
  <c r="AO956" i="1"/>
  <c r="AO1137" i="1"/>
  <c r="AO361" i="1"/>
  <c r="AO228" i="1"/>
  <c r="AO1310" i="1"/>
  <c r="AO2191" i="1"/>
  <c r="AO653" i="1"/>
  <c r="AO1906" i="1"/>
  <c r="AO1408" i="1"/>
  <c r="AO2553" i="1"/>
  <c r="AO2551" i="1"/>
  <c r="AO2547" i="1"/>
  <c r="AO1801" i="1"/>
  <c r="AO1800" i="1"/>
  <c r="AO1797" i="1"/>
  <c r="AO727" i="1"/>
  <c r="AO1796" i="1"/>
  <c r="AO1432" i="1"/>
  <c r="AO726" i="1"/>
  <c r="AO1015" i="1"/>
  <c r="AO257" i="1"/>
  <c r="AO1089" i="1"/>
  <c r="AO1146" i="1"/>
  <c r="AO1426" i="1"/>
  <c r="AO1697" i="1"/>
  <c r="AO1190" i="1"/>
  <c r="AO645" i="1"/>
  <c r="AO212" i="1"/>
  <c r="AO2495" i="1"/>
  <c r="AO2543" i="1"/>
  <c r="AO1856" i="1"/>
  <c r="AO1259" i="1"/>
  <c r="AO327" i="1"/>
  <c r="AN1655" i="1"/>
  <c r="AN1654" i="1"/>
  <c r="AN1651" i="1"/>
  <c r="AN444" i="1"/>
  <c r="AN351" i="1"/>
  <c r="AN1950" i="1"/>
  <c r="AN2190" i="1"/>
  <c r="AN1096" i="1"/>
  <c r="AN1413" i="1"/>
  <c r="AN854" i="1"/>
  <c r="AN1499" i="1"/>
  <c r="AN1445" i="1"/>
  <c r="AN171" i="1"/>
  <c r="AN918" i="1"/>
  <c r="AN2188" i="1"/>
  <c r="AN1159" i="1"/>
  <c r="AN1442" i="1"/>
  <c r="AN2017" i="1"/>
  <c r="AN2416" i="1"/>
  <c r="AN2422" i="1"/>
  <c r="AN2415" i="1"/>
  <c r="AN169" i="1"/>
  <c r="AN840" i="1"/>
  <c r="AN841" i="1"/>
  <c r="AN892" i="1"/>
  <c r="AN1820" i="1"/>
  <c r="AN1586" i="1"/>
  <c r="AN2559" i="1"/>
  <c r="AN297" i="1"/>
  <c r="AN1102" i="1"/>
  <c r="AN1647" i="1"/>
  <c r="AN1645" i="1"/>
  <c r="AN946" i="1"/>
  <c r="AN1362" i="1"/>
  <c r="AN1134" i="1"/>
  <c r="AN1389" i="1"/>
  <c r="AN1691" i="1"/>
  <c r="AN643" i="1"/>
  <c r="AN956" i="1"/>
  <c r="AN1137" i="1"/>
  <c r="AN361" i="1"/>
  <c r="AN228" i="1"/>
  <c r="AN1310" i="1"/>
  <c r="AN2191" i="1"/>
  <c r="AN653" i="1"/>
  <c r="AN1906" i="1"/>
  <c r="AN1408" i="1"/>
  <c r="AN2553" i="1"/>
  <c r="AN2551" i="1"/>
  <c r="AN2547" i="1"/>
  <c r="AN1801" i="1"/>
  <c r="AN1800" i="1"/>
  <c r="AN1797" i="1"/>
  <c r="AN727" i="1"/>
  <c r="AN1796" i="1"/>
  <c r="AN1432" i="1"/>
  <c r="AN726" i="1"/>
  <c r="AN1015" i="1"/>
  <c r="AN257" i="1"/>
  <c r="AN1089" i="1"/>
  <c r="AN1146" i="1"/>
  <c r="AN1426" i="1"/>
  <c r="AN1697" i="1"/>
  <c r="AN1190" i="1"/>
  <c r="AN645" i="1"/>
  <c r="AN212" i="1"/>
  <c r="AN2495" i="1"/>
  <c r="AN2543" i="1"/>
  <c r="AN1856" i="1"/>
  <c r="AN1259" i="1"/>
  <c r="AN327" i="1"/>
  <c r="AF212" i="1"/>
  <c r="AE2188" i="1"/>
  <c r="AE2190" i="1"/>
  <c r="AE2191" i="1"/>
  <c r="AE1820" i="1"/>
  <c r="AE1950" i="1"/>
  <c r="AE1691" i="1"/>
  <c r="AE1310" i="1"/>
  <c r="AE1426" i="1"/>
  <c r="AE1445" i="1"/>
  <c r="AE1499" i="1"/>
  <c r="AE1159" i="1"/>
  <c r="AE1146" i="1"/>
  <c r="AE1096" i="1"/>
  <c r="AE956" i="1"/>
  <c r="AE918" i="1"/>
  <c r="AE854" i="1"/>
  <c r="AE212" i="1"/>
  <c r="AE171" i="1"/>
  <c r="AF2559" i="1"/>
  <c r="AF2543" i="1"/>
  <c r="AF1856" i="1"/>
  <c r="AF1259" i="1"/>
  <c r="AC1586" i="1"/>
  <c r="AC2559" i="1"/>
  <c r="AC1015" i="1"/>
  <c r="AC2543" i="1"/>
  <c r="AC1856" i="1"/>
  <c r="AC1089" i="1"/>
  <c r="AC1432" i="1"/>
  <c r="AC1906" i="1"/>
  <c r="AC327" i="1"/>
  <c r="AC1259" i="1"/>
  <c r="AC1102" i="1"/>
  <c r="AC297" i="1"/>
  <c r="AF2553" i="1"/>
  <c r="AF2551" i="1"/>
  <c r="AF2547" i="1"/>
  <c r="AF1801" i="1"/>
  <c r="AF1800" i="1"/>
  <c r="AF1797" i="1"/>
  <c r="AF1796" i="1"/>
  <c r="AF727" i="1"/>
  <c r="AF726" i="1"/>
  <c r="AB391" i="1" l="1"/>
  <c r="AD391" i="1" s="1"/>
  <c r="AB388" i="1"/>
  <c r="AD388" i="1" s="1"/>
  <c r="AB389" i="1"/>
  <c r="AD389" i="1" s="1"/>
  <c r="AE2017" i="1"/>
  <c r="AM2017" i="1"/>
  <c r="AL2017" i="1" s="1"/>
  <c r="W2017" i="1"/>
  <c r="V2017" i="1"/>
  <c r="AM946" i="1"/>
  <c r="AL946" i="1" s="1"/>
  <c r="AE946" i="1"/>
  <c r="W946" i="1"/>
  <c r="V946" i="1"/>
  <c r="AA2017" i="1" l="1"/>
  <c r="AA946" i="1"/>
  <c r="AF1586" i="1"/>
  <c r="AF1432" i="1"/>
  <c r="AF1089" i="1"/>
  <c r="AF1015" i="1"/>
  <c r="AF2191" i="1"/>
  <c r="AF2190" i="1"/>
  <c r="AF1950" i="1"/>
  <c r="AF1820" i="1"/>
  <c r="AF1697" i="1"/>
  <c r="AF1691" i="1"/>
  <c r="AF1655" i="1"/>
  <c r="AF1654" i="1"/>
  <c r="AF1651" i="1"/>
  <c r="AF1647" i="1"/>
  <c r="AF1645" i="1"/>
  <c r="AF1442" i="1"/>
  <c r="AF1426" i="1"/>
  <c r="AF1413" i="1"/>
  <c r="AF1190" i="1"/>
  <c r="AF956" i="1"/>
  <c r="AF854" i="1"/>
  <c r="AF841" i="1"/>
  <c r="AF653" i="1"/>
  <c r="AF643" i="1"/>
  <c r="AF444" i="1"/>
  <c r="AF361" i="1"/>
  <c r="AF351" i="1"/>
  <c r="AE727" i="1"/>
  <c r="AE726" i="1"/>
  <c r="AM2422" i="1"/>
  <c r="AL2422" i="1" s="1"/>
  <c r="AE2422" i="1"/>
  <c r="AM2416" i="1"/>
  <c r="AL2416" i="1" s="1"/>
  <c r="AE2416" i="1"/>
  <c r="AM2415" i="1"/>
  <c r="AL2415" i="1" s="1"/>
  <c r="AE2415" i="1"/>
  <c r="AM2559" i="1"/>
  <c r="AL2559" i="1" s="1"/>
  <c r="AM2553" i="1"/>
  <c r="AL2553" i="1" s="1"/>
  <c r="AM2551" i="1"/>
  <c r="AL2551" i="1" s="1"/>
  <c r="AM2547" i="1"/>
  <c r="AL2547" i="1" s="1"/>
  <c r="AM2543" i="1"/>
  <c r="AL2543" i="1" s="1"/>
  <c r="AM1906" i="1"/>
  <c r="AL1906" i="1" s="1"/>
  <c r="AM1856" i="1"/>
  <c r="AL1856" i="1" s="1"/>
  <c r="AM1801" i="1"/>
  <c r="AL1801" i="1" s="1"/>
  <c r="AM1800" i="1"/>
  <c r="AL1800" i="1" s="1"/>
  <c r="AM1797" i="1"/>
  <c r="AL1797" i="1" s="1"/>
  <c r="AM1796" i="1"/>
  <c r="AL1796" i="1" s="1"/>
  <c r="AM1697" i="1"/>
  <c r="AL1697" i="1" s="1"/>
  <c r="AM1655" i="1"/>
  <c r="AL1655" i="1" s="1"/>
  <c r="AM1654" i="1"/>
  <c r="AL1654" i="1" s="1"/>
  <c r="AM1651" i="1"/>
  <c r="AL1651" i="1" s="1"/>
  <c r="AM1647" i="1"/>
  <c r="AL1647" i="1" s="1"/>
  <c r="AM1645" i="1"/>
  <c r="AL1645" i="1" s="1"/>
  <c r="AM1586" i="1"/>
  <c r="AL1586" i="1" s="1"/>
  <c r="AM1442" i="1"/>
  <c r="AL1442" i="1" s="1"/>
  <c r="AM1432" i="1"/>
  <c r="AL1432" i="1" s="1"/>
  <c r="AM1413" i="1"/>
  <c r="AL1413" i="1" s="1"/>
  <c r="AM1362" i="1"/>
  <c r="AL1362" i="1" s="1"/>
  <c r="AM1389" i="1"/>
  <c r="AL1389" i="1" s="1"/>
  <c r="AM1259" i="1"/>
  <c r="AL1259" i="1" s="1"/>
  <c r="AM1190" i="1"/>
  <c r="AL1190" i="1" s="1"/>
  <c r="AM1137" i="1"/>
  <c r="AL1137" i="1" s="1"/>
  <c r="AM1134" i="1"/>
  <c r="AL1134" i="1" s="1"/>
  <c r="AM1102" i="1"/>
  <c r="AL1102" i="1" s="1"/>
  <c r="AM1089" i="1"/>
  <c r="AL1089" i="1" s="1"/>
  <c r="AM1015" i="1"/>
  <c r="AL1015" i="1" s="1"/>
  <c r="AM841" i="1"/>
  <c r="AL841" i="1" s="1"/>
  <c r="AM840" i="1"/>
  <c r="AL840" i="1" s="1"/>
  <c r="AM727" i="1"/>
  <c r="AL727" i="1" s="1"/>
  <c r="AM726" i="1"/>
  <c r="AL726" i="1" s="1"/>
  <c r="AM653" i="1"/>
  <c r="AL653" i="1" s="1"/>
  <c r="AM645" i="1"/>
  <c r="AL645" i="1" s="1"/>
  <c r="AM643" i="1"/>
  <c r="AL643" i="1" s="1"/>
  <c r="AM444" i="1"/>
  <c r="AL444" i="1" s="1"/>
  <c r="AM361" i="1"/>
  <c r="AL361" i="1" s="1"/>
  <c r="AM351" i="1"/>
  <c r="AL351" i="1" s="1"/>
  <c r="AM327" i="1"/>
  <c r="AL327" i="1" s="1"/>
  <c r="AM297" i="1"/>
  <c r="AL297" i="1" s="1"/>
  <c r="AM257" i="1"/>
  <c r="AL257" i="1" s="1"/>
  <c r="AM228" i="1"/>
  <c r="AL228" i="1" s="1"/>
  <c r="AM2191" i="1"/>
  <c r="AL2191" i="1" s="1"/>
  <c r="AM2190" i="1"/>
  <c r="AL2190" i="1" s="1"/>
  <c r="AM2188" i="1"/>
  <c r="AL2188" i="1" s="1"/>
  <c r="AM1950" i="1"/>
  <c r="AL1950" i="1" s="1"/>
  <c r="AM1820" i="1"/>
  <c r="AL1820" i="1" s="1"/>
  <c r="AM1691" i="1"/>
  <c r="AL1691" i="1" s="1"/>
  <c r="AM1499" i="1"/>
  <c r="AL1499" i="1" s="1"/>
  <c r="AM1445" i="1"/>
  <c r="AL1445" i="1" s="1"/>
  <c r="AM1426" i="1"/>
  <c r="AL1426" i="1" s="1"/>
  <c r="AM1408" i="1"/>
  <c r="AL1408" i="1" s="1"/>
  <c r="AM1310" i="1"/>
  <c r="AL1310" i="1" s="1"/>
  <c r="AM1159" i="1"/>
  <c r="AL1159" i="1" s="1"/>
  <c r="AM1146" i="1"/>
  <c r="AL1146" i="1" s="1"/>
  <c r="AM1096" i="1"/>
  <c r="AL1096" i="1" s="1"/>
  <c r="AM956" i="1"/>
  <c r="AL956" i="1" s="1"/>
  <c r="AM918" i="1"/>
  <c r="AL918" i="1" s="1"/>
  <c r="AM892" i="1"/>
  <c r="AL892" i="1" s="1"/>
  <c r="AM854" i="1"/>
  <c r="AL854" i="1" s="1"/>
  <c r="AM212" i="1"/>
  <c r="AL212" i="1" s="1"/>
  <c r="AE2559" i="1"/>
  <c r="AE2553" i="1"/>
  <c r="AE2551" i="1"/>
  <c r="AE2547" i="1"/>
  <c r="AE2543" i="1"/>
  <c r="AE1856" i="1"/>
  <c r="AE1801" i="1"/>
  <c r="AE1800" i="1"/>
  <c r="AE1797" i="1"/>
  <c r="AE1796" i="1"/>
  <c r="AE1697" i="1"/>
  <c r="AE1586" i="1"/>
  <c r="AE1442" i="1"/>
  <c r="AE1413" i="1"/>
  <c r="AE1362" i="1"/>
  <c r="AE1389" i="1"/>
  <c r="AE1259" i="1"/>
  <c r="AE1137" i="1"/>
  <c r="AE1134" i="1"/>
  <c r="AE1102" i="1"/>
  <c r="AE892" i="1"/>
  <c r="AE841" i="1"/>
  <c r="AE840" i="1"/>
  <c r="AE645" i="1"/>
  <c r="AE361" i="1"/>
  <c r="AE297" i="1"/>
  <c r="AE363" i="1"/>
  <c r="AF363" i="1"/>
  <c r="AE646" i="1"/>
  <c r="AF646" i="1"/>
  <c r="AF169" i="1"/>
  <c r="AM169" i="1"/>
  <c r="AL169" i="1" s="1"/>
  <c r="AE169" i="1"/>
  <c r="AB946" i="1" l="1"/>
  <c r="AB2017" i="1"/>
  <c r="AM171" i="1"/>
  <c r="AL171" i="1" s="1"/>
  <c r="AE1655" i="1"/>
  <c r="AE1654" i="1"/>
  <c r="AE1651" i="1"/>
  <c r="AE1647" i="1"/>
  <c r="AE1645" i="1"/>
  <c r="AE1089" i="1"/>
  <c r="AE1015" i="1"/>
  <c r="AE643" i="1"/>
  <c r="AE444" i="1"/>
  <c r="AE351" i="1"/>
  <c r="AE327" i="1"/>
  <c r="AE228" i="1"/>
  <c r="W297" i="1"/>
  <c r="V297" i="1"/>
  <c r="W2559" i="1"/>
  <c r="V2559" i="1"/>
  <c r="W2553" i="1"/>
  <c r="V2553" i="1"/>
  <c r="W2551" i="1"/>
  <c r="V2551" i="1"/>
  <c r="W2547" i="1"/>
  <c r="V2547" i="1"/>
  <c r="W2543" i="1"/>
  <c r="V2543" i="1"/>
  <c r="W2422" i="1"/>
  <c r="V2422" i="1"/>
  <c r="W2416" i="1"/>
  <c r="V2416" i="1"/>
  <c r="W2415" i="1"/>
  <c r="V2415" i="1"/>
  <c r="W2191" i="1"/>
  <c r="V2191" i="1"/>
  <c r="W2190" i="1"/>
  <c r="V2190" i="1"/>
  <c r="W2188" i="1"/>
  <c r="V2188" i="1"/>
  <c r="W1950" i="1"/>
  <c r="V1950" i="1"/>
  <c r="W1856" i="1"/>
  <c r="V1856" i="1"/>
  <c r="W1820" i="1"/>
  <c r="V1820" i="1"/>
  <c r="W1801" i="1"/>
  <c r="V1801" i="1"/>
  <c r="W1800" i="1"/>
  <c r="V1800" i="1"/>
  <c r="W1797" i="1"/>
  <c r="V1797" i="1"/>
  <c r="W1796" i="1"/>
  <c r="V1796" i="1"/>
  <c r="W1697" i="1"/>
  <c r="V1697" i="1"/>
  <c r="W1691" i="1"/>
  <c r="V1691" i="1"/>
  <c r="W1655" i="1"/>
  <c r="V1655" i="1"/>
  <c r="W1654" i="1"/>
  <c r="V1654" i="1"/>
  <c r="W1651" i="1"/>
  <c r="V1651" i="1"/>
  <c r="W1647" i="1"/>
  <c r="V1647" i="1"/>
  <c r="W1645" i="1"/>
  <c r="V1645" i="1"/>
  <c r="W1586" i="1"/>
  <c r="V1586" i="1"/>
  <c r="W1499" i="1"/>
  <c r="V1499" i="1"/>
  <c r="W1445" i="1"/>
  <c r="V1445" i="1"/>
  <c r="W1442" i="1"/>
  <c r="V1442" i="1"/>
  <c r="W1432" i="1"/>
  <c r="V1432" i="1"/>
  <c r="W1426" i="1"/>
  <c r="V1426" i="1"/>
  <c r="W1362" i="1"/>
  <c r="V1362" i="1"/>
  <c r="W1389" i="1"/>
  <c r="V1389" i="1"/>
  <c r="W1310" i="1"/>
  <c r="V1310" i="1"/>
  <c r="W1259" i="1"/>
  <c r="V1259" i="1"/>
  <c r="W1190" i="1"/>
  <c r="V1190" i="1"/>
  <c r="W1146" i="1"/>
  <c r="V1146" i="1"/>
  <c r="W1137" i="1"/>
  <c r="V1137" i="1"/>
  <c r="W1134" i="1"/>
  <c r="V1134" i="1"/>
  <c r="W1102" i="1"/>
  <c r="V1102" i="1"/>
  <c r="W1089" i="1"/>
  <c r="W1015" i="1"/>
  <c r="V1015" i="1"/>
  <c r="W956" i="1"/>
  <c r="V956" i="1"/>
  <c r="W918" i="1"/>
  <c r="V918" i="1"/>
  <c r="W892" i="1"/>
  <c r="V892" i="1"/>
  <c r="W854" i="1"/>
  <c r="V854" i="1"/>
  <c r="W841" i="1"/>
  <c r="V841" i="1"/>
  <c r="W840" i="1"/>
  <c r="V840" i="1"/>
  <c r="W727" i="1"/>
  <c r="V727" i="1"/>
  <c r="W726" i="1"/>
  <c r="V726" i="1"/>
  <c r="W645" i="1"/>
  <c r="V645" i="1"/>
  <c r="W643" i="1"/>
  <c r="V643" i="1"/>
  <c r="W444" i="1"/>
  <c r="V444" i="1"/>
  <c r="W361" i="1"/>
  <c r="V361" i="1"/>
  <c r="W351" i="1"/>
  <c r="V351" i="1"/>
  <c r="W327" i="1"/>
  <c r="V327" i="1"/>
  <c r="W228" i="1"/>
  <c r="V228" i="1"/>
  <c r="W212" i="1"/>
  <c r="V212" i="1"/>
  <c r="W171" i="1"/>
  <c r="V171" i="1"/>
  <c r="W169" i="1"/>
  <c r="V169" i="1"/>
  <c r="AA327" i="1" l="1"/>
  <c r="AD327" i="1" s="1"/>
  <c r="AA643" i="1"/>
  <c r="AA854" i="1"/>
  <c r="AA918" i="1"/>
  <c r="AA1015" i="1"/>
  <c r="AD1015" i="1" s="1"/>
  <c r="AA1310" i="1"/>
  <c r="AA1445" i="1"/>
  <c r="AA1691" i="1"/>
  <c r="AA1820" i="1"/>
  <c r="AA2415" i="1"/>
  <c r="AB2415" i="1" s="1"/>
  <c r="AA2422" i="1"/>
  <c r="AA726" i="1"/>
  <c r="AA727" i="1"/>
  <c r="AA2416" i="1"/>
  <c r="AA2190" i="1"/>
  <c r="AA171" i="1"/>
  <c r="AA228" i="1"/>
  <c r="AA351" i="1"/>
  <c r="AD351" i="1" s="1"/>
  <c r="AA444" i="1"/>
  <c r="AA645" i="1"/>
  <c r="AA841" i="1"/>
  <c r="AA892" i="1"/>
  <c r="AA956" i="1"/>
  <c r="AA1089" i="1"/>
  <c r="AD1089" i="1" s="1"/>
  <c r="AA1134" i="1"/>
  <c r="AA1146" i="1"/>
  <c r="AA1259" i="1"/>
  <c r="AA1389" i="1"/>
  <c r="AA1426" i="1"/>
  <c r="AB1426" i="1" s="1"/>
  <c r="AA1442" i="1"/>
  <c r="AA1499" i="1"/>
  <c r="AA1645" i="1"/>
  <c r="AA1651" i="1"/>
  <c r="AA1655" i="1"/>
  <c r="AA1697" i="1"/>
  <c r="AB1697" i="1" s="1"/>
  <c r="AA1797" i="1"/>
  <c r="AA1801" i="1"/>
  <c r="AA1856" i="1"/>
  <c r="AA2188" i="1"/>
  <c r="AA2191" i="1"/>
  <c r="AA2543" i="1"/>
  <c r="AA2551" i="1"/>
  <c r="AB2551" i="1" s="1"/>
  <c r="AA212" i="1"/>
  <c r="AA1654" i="1"/>
  <c r="AA2559" i="1"/>
  <c r="AA1647" i="1"/>
  <c r="AA1950" i="1"/>
  <c r="AA169" i="1"/>
  <c r="AA361" i="1"/>
  <c r="AA840" i="1"/>
  <c r="AA1102" i="1"/>
  <c r="AA1137" i="1"/>
  <c r="AA1190" i="1"/>
  <c r="AA1362" i="1"/>
  <c r="AA1586" i="1"/>
  <c r="AA1796" i="1"/>
  <c r="AA1800" i="1"/>
  <c r="AA2547" i="1"/>
  <c r="AA2553" i="1"/>
  <c r="AA297" i="1"/>
  <c r="AB726" i="1" l="1"/>
  <c r="AD726" i="1"/>
  <c r="AD727" i="1"/>
  <c r="AB727" i="1"/>
  <c r="AB1190" i="1"/>
  <c r="AD1190" i="1"/>
  <c r="AD1655" i="1"/>
  <c r="AD1651" i="1"/>
  <c r="AB361" i="1"/>
  <c r="AB171" i="1"/>
  <c r="AB918" i="1"/>
  <c r="AB212" i="1"/>
  <c r="AB2188" i="1"/>
  <c r="AB1499" i="1"/>
  <c r="AB2190" i="1"/>
  <c r="AB1445" i="1"/>
  <c r="AB854" i="1"/>
  <c r="AB1820" i="1"/>
  <c r="AB1310" i="1"/>
  <c r="AB2191" i="1"/>
  <c r="AB892" i="1"/>
  <c r="AB1146" i="1"/>
  <c r="AB1950" i="1"/>
  <c r="AB956" i="1"/>
  <c r="AB1691" i="1"/>
  <c r="AB841" i="1"/>
  <c r="AB1137" i="1"/>
  <c r="AD228" i="1"/>
  <c r="AD643" i="1"/>
  <c r="AB1442" i="1"/>
  <c r="AD1654" i="1"/>
  <c r="AD444" i="1"/>
  <c r="AB840" i="1"/>
  <c r="AB1856" i="1"/>
  <c r="AB2559" i="1"/>
  <c r="AB2543" i="1"/>
  <c r="AB1801" i="1"/>
  <c r="AB1797" i="1"/>
  <c r="AB2422" i="1"/>
  <c r="AB1259" i="1"/>
  <c r="AB1389" i="1"/>
  <c r="AJ1015" i="1"/>
  <c r="AK1015" i="1" s="1"/>
  <c r="AJ1089" i="1"/>
  <c r="AK1089" i="1" s="1"/>
  <c r="AJ327" i="1"/>
  <c r="AK327" i="1" s="1"/>
  <c r="AB2416" i="1"/>
  <c r="AB1134" i="1"/>
  <c r="AB1362" i="1"/>
  <c r="AB2547" i="1"/>
  <c r="AB1800" i="1"/>
  <c r="AB297" i="1"/>
  <c r="AB1796" i="1"/>
  <c r="AB2553" i="1"/>
  <c r="AB1586" i="1"/>
  <c r="AB1102" i="1"/>
  <c r="AB169" i="1"/>
  <c r="AF1906" i="1"/>
  <c r="AE1906" i="1"/>
  <c r="W1906" i="1"/>
  <c r="V1906" i="1"/>
  <c r="AM2495" i="1"/>
  <c r="AL2495" i="1" s="1"/>
  <c r="AF2495" i="1"/>
  <c r="AE2495" i="1"/>
  <c r="W2495" i="1"/>
  <c r="V2495" i="1"/>
  <c r="AA1906" i="1" l="1"/>
  <c r="AD1906" i="1" s="1"/>
  <c r="AA2495" i="1"/>
  <c r="AD2495" i="1" s="1"/>
  <c r="AJ1906" i="1" l="1"/>
  <c r="AK1906" i="1" s="1"/>
  <c r="AM1742" i="1" l="1"/>
  <c r="AL1742" i="1" s="1"/>
  <c r="AM1741" i="1"/>
  <c r="AL1741" i="1" s="1"/>
  <c r="AM1740" i="1"/>
  <c r="AL1740" i="1" s="1"/>
  <c r="AE1741" i="1"/>
  <c r="AE1740" i="1"/>
  <c r="W1742" i="1"/>
  <c r="V1742" i="1"/>
  <c r="AC1742" i="1" s="1"/>
  <c r="W1741" i="1"/>
  <c r="V1741" i="1"/>
  <c r="AC1741" i="1" s="1"/>
  <c r="W1740" i="1"/>
  <c r="V1740" i="1"/>
  <c r="AC1740" i="1" s="1"/>
  <c r="AA1741" i="1" l="1"/>
  <c r="AA1742" i="1"/>
  <c r="AA1740" i="1"/>
  <c r="AF2210" i="1" l="1"/>
  <c r="AF2209" i="1"/>
  <c r="AN2210" i="1"/>
  <c r="AM2210" i="1"/>
  <c r="AL2210" i="1" s="1"/>
  <c r="AE2210" i="1"/>
  <c r="AN2209" i="1"/>
  <c r="AM2209" i="1"/>
  <c r="AL2209" i="1" s="1"/>
  <c r="AE2209" i="1"/>
  <c r="W2210" i="1"/>
  <c r="V2210" i="1"/>
  <c r="W2209" i="1"/>
  <c r="V2209" i="1"/>
  <c r="AF2203" i="1"/>
  <c r="AF2202" i="1"/>
  <c r="AF2201" i="1"/>
  <c r="AN2203" i="1"/>
  <c r="AM2203" i="1"/>
  <c r="AL2203" i="1" s="1"/>
  <c r="AE2203" i="1"/>
  <c r="AN2202" i="1"/>
  <c r="AM2202" i="1"/>
  <c r="AL2202" i="1" s="1"/>
  <c r="AE2202" i="1"/>
  <c r="AN2201" i="1"/>
  <c r="AM2201" i="1"/>
  <c r="AL2201" i="1" s="1"/>
  <c r="AE2201" i="1"/>
  <c r="W2203" i="1"/>
  <c r="V2203" i="1"/>
  <c r="W2202" i="1"/>
  <c r="V2202" i="1"/>
  <c r="W2201" i="1"/>
  <c r="V2201" i="1"/>
  <c r="AN2159" i="1"/>
  <c r="AN2158" i="1"/>
  <c r="AN2157" i="1"/>
  <c r="AF2158" i="1"/>
  <c r="AF2159" i="1"/>
  <c r="AF2157" i="1"/>
  <c r="AE2159" i="1"/>
  <c r="AE2158" i="1"/>
  <c r="AE2157" i="1"/>
  <c r="W2159" i="1"/>
  <c r="V2159" i="1"/>
  <c r="W2158" i="1"/>
  <c r="V2158" i="1"/>
  <c r="W2157" i="1"/>
  <c r="V2157" i="1"/>
  <c r="U2159" i="1"/>
  <c r="T2159" i="1"/>
  <c r="U2158" i="1"/>
  <c r="T2158" i="1"/>
  <c r="U2157" i="1"/>
  <c r="T2157" i="1"/>
  <c r="U2160" i="1"/>
  <c r="T2160" i="1"/>
  <c r="AF2095" i="1"/>
  <c r="AF2096" i="1"/>
  <c r="AE2096" i="1"/>
  <c r="AE2095" i="1"/>
  <c r="W2095" i="1"/>
  <c r="V2095" i="1"/>
  <c r="AC2095" i="1" s="1"/>
  <c r="W2096" i="1"/>
  <c r="V2096" i="1"/>
  <c r="AC2096" i="1" s="1"/>
  <c r="U2095" i="1"/>
  <c r="T2095" i="1"/>
  <c r="U2096" i="1"/>
  <c r="T2096" i="1"/>
  <c r="AF2074" i="1"/>
  <c r="AF2073" i="1"/>
  <c r="AF2072" i="1"/>
  <c r="AE2074" i="1"/>
  <c r="AE2073" i="1"/>
  <c r="AE2072" i="1"/>
  <c r="W2074" i="1"/>
  <c r="V2074" i="1"/>
  <c r="W2073" i="1"/>
  <c r="V2073" i="1"/>
  <c r="W2072" i="1"/>
  <c r="V2072" i="1"/>
  <c r="U2074" i="1"/>
  <c r="T2074" i="1"/>
  <c r="U2073" i="1"/>
  <c r="T2073" i="1"/>
  <c r="U2072" i="1"/>
  <c r="T2072" i="1"/>
  <c r="U2075" i="1"/>
  <c r="T2075" i="1"/>
  <c r="AF2057" i="1"/>
  <c r="AF2056" i="1"/>
  <c r="AF2055" i="1"/>
  <c r="AE2057" i="1"/>
  <c r="AE2056" i="1"/>
  <c r="AE2055" i="1"/>
  <c r="W2057" i="1"/>
  <c r="V2057" i="1"/>
  <c r="U2057" i="1"/>
  <c r="T2057" i="1"/>
  <c r="W2056" i="1"/>
  <c r="V2056" i="1"/>
  <c r="U2056" i="1"/>
  <c r="T2056" i="1"/>
  <c r="W2055" i="1"/>
  <c r="V2055" i="1"/>
  <c r="U2055" i="1"/>
  <c r="T2055" i="1"/>
  <c r="U2058" i="1"/>
  <c r="T2058" i="1"/>
  <c r="AF2050" i="1"/>
  <c r="AF2052" i="1"/>
  <c r="AF2051" i="1"/>
  <c r="AM2052" i="1"/>
  <c r="AL2052" i="1" s="1"/>
  <c r="AE2052" i="1"/>
  <c r="AM2051" i="1"/>
  <c r="AL2051" i="1" s="1"/>
  <c r="AE2051" i="1"/>
  <c r="AM2050" i="1"/>
  <c r="AL2050" i="1" s="1"/>
  <c r="AE2050" i="1"/>
  <c r="AF2094" i="1"/>
  <c r="W2052" i="1"/>
  <c r="V2052" i="1"/>
  <c r="W2051" i="1"/>
  <c r="V2051" i="1"/>
  <c r="W2050" i="1"/>
  <c r="V2050" i="1"/>
  <c r="AF1593" i="1"/>
  <c r="AF1591" i="1"/>
  <c r="AF1592" i="1"/>
  <c r="AE1593" i="1"/>
  <c r="AE1591" i="1"/>
  <c r="AE1592" i="1"/>
  <c r="W1593" i="1"/>
  <c r="V1593" i="1"/>
  <c r="U1593" i="1"/>
  <c r="T1593" i="1"/>
  <c r="U1591" i="1"/>
  <c r="T1591" i="1"/>
  <c r="W1592" i="1"/>
  <c r="V1592" i="1"/>
  <c r="U1592" i="1"/>
  <c r="T1592" i="1"/>
  <c r="U1594" i="1"/>
  <c r="T1594" i="1"/>
  <c r="AF1489" i="1"/>
  <c r="AF1436" i="1"/>
  <c r="AM1433" i="1"/>
  <c r="AL1433" i="1" s="1"/>
  <c r="AF1433" i="1"/>
  <c r="AE1433" i="1"/>
  <c r="W1433" i="1"/>
  <c r="V1433" i="1"/>
  <c r="AN2279" i="1"/>
  <c r="AE2279" i="1"/>
  <c r="W2279" i="1"/>
  <c r="V2279" i="1"/>
  <c r="U2279" i="1"/>
  <c r="T2279" i="1"/>
  <c r="AN2230" i="1"/>
  <c r="AE2230" i="1"/>
  <c r="W2230" i="1"/>
  <c r="V2230" i="1"/>
  <c r="U2230" i="1"/>
  <c r="T2230" i="1"/>
  <c r="AF1371" i="1"/>
  <c r="AF1370" i="1"/>
  <c r="AF1369" i="1"/>
  <c r="AM1371" i="1"/>
  <c r="AL1371" i="1" s="1"/>
  <c r="AM1370" i="1"/>
  <c r="AL1370" i="1" s="1"/>
  <c r="AM1369" i="1"/>
  <c r="AL1369" i="1" s="1"/>
  <c r="AE1371" i="1"/>
  <c r="AE1370" i="1"/>
  <c r="AE1369" i="1"/>
  <c r="W1371" i="1"/>
  <c r="V1371" i="1"/>
  <c r="W1370" i="1"/>
  <c r="V1370" i="1"/>
  <c r="W1369" i="1"/>
  <c r="V1369" i="1"/>
  <c r="W1372" i="1"/>
  <c r="V1372" i="1"/>
  <c r="AM1366" i="1"/>
  <c r="AL1366" i="1" s="1"/>
  <c r="AM1365" i="1"/>
  <c r="AL1365" i="1" s="1"/>
  <c r="AM1364" i="1"/>
  <c r="AL1364" i="1" s="1"/>
  <c r="AF1366" i="1"/>
  <c r="AF1365" i="1"/>
  <c r="AF1364" i="1"/>
  <c r="AE1366" i="1"/>
  <c r="AE1365" i="1"/>
  <c r="AE1364" i="1"/>
  <c r="W1366" i="1"/>
  <c r="V1366" i="1"/>
  <c r="W1365" i="1"/>
  <c r="V1365" i="1"/>
  <c r="W1364" i="1"/>
  <c r="V1364" i="1"/>
  <c r="AM1360" i="1"/>
  <c r="AL1360" i="1" s="1"/>
  <c r="AM1359" i="1"/>
  <c r="AL1359" i="1" s="1"/>
  <c r="AM1358" i="1"/>
  <c r="AL1358" i="1" s="1"/>
  <c r="AF1360" i="1"/>
  <c r="AF1359" i="1"/>
  <c r="AF1358" i="1"/>
  <c r="AE1360" i="1"/>
  <c r="AE1359" i="1"/>
  <c r="AE1358" i="1"/>
  <c r="W1360" i="1"/>
  <c r="V1360" i="1"/>
  <c r="W1359" i="1"/>
  <c r="V1359" i="1"/>
  <c r="W1358" i="1"/>
  <c r="V1358" i="1"/>
  <c r="AM2096" i="1" l="1"/>
  <c r="AL2096" i="1" s="1"/>
  <c r="AM2159" i="1"/>
  <c r="AL2159" i="1" s="1"/>
  <c r="AA2203" i="1"/>
  <c r="AD2203" i="1" s="1"/>
  <c r="AM2095" i="1"/>
  <c r="AL2095" i="1" s="1"/>
  <c r="AM2158" i="1"/>
  <c r="AL2158" i="1" s="1"/>
  <c r="AA2159" i="1"/>
  <c r="AA2157" i="1"/>
  <c r="AM2157" i="1"/>
  <c r="AL2157" i="1" s="1"/>
  <c r="AA2158" i="1"/>
  <c r="AD2158" i="1" s="1"/>
  <c r="AA2201" i="1"/>
  <c r="AD2201" i="1" s="1"/>
  <c r="AA2209" i="1"/>
  <c r="AA2210" i="1"/>
  <c r="AA2202" i="1"/>
  <c r="AD2202" i="1" s="1"/>
  <c r="AA2095" i="1"/>
  <c r="AM2073" i="1"/>
  <c r="AL2073" i="1" s="1"/>
  <c r="AA2072" i="1"/>
  <c r="AB2072" i="1" s="1"/>
  <c r="AA2074" i="1"/>
  <c r="AM2074" i="1"/>
  <c r="AL2074" i="1" s="1"/>
  <c r="AA2096" i="1"/>
  <c r="AM2072" i="1"/>
  <c r="AL2072" i="1" s="1"/>
  <c r="AA2073" i="1"/>
  <c r="AA2057" i="1"/>
  <c r="AA2055" i="1"/>
  <c r="AB2055" i="1" s="1"/>
  <c r="AA2056" i="1"/>
  <c r="AA2051" i="1"/>
  <c r="AB2051" i="1" s="1"/>
  <c r="AM2055" i="1"/>
  <c r="AL2055" i="1" s="1"/>
  <c r="AM2056" i="1"/>
  <c r="AL2056" i="1" s="1"/>
  <c r="AM2057" i="1"/>
  <c r="AL2057" i="1" s="1"/>
  <c r="AA2050" i="1"/>
  <c r="AA2052" i="1"/>
  <c r="AA1592" i="1"/>
  <c r="AA1591" i="1"/>
  <c r="AA1593" i="1"/>
  <c r="AM1592" i="1"/>
  <c r="AL1592" i="1" s="1"/>
  <c r="AM1591" i="1"/>
  <c r="AL1591" i="1" s="1"/>
  <c r="AM1593" i="1"/>
  <c r="AL1593" i="1" s="1"/>
  <c r="AA1369" i="1"/>
  <c r="AA1371" i="1"/>
  <c r="AA2230" i="1"/>
  <c r="AD2230" i="1" s="1"/>
  <c r="AA1433" i="1"/>
  <c r="AA1364" i="1"/>
  <c r="AA2279" i="1"/>
  <c r="AD2279" i="1" s="1"/>
  <c r="AM2279" i="1"/>
  <c r="AL2279" i="1" s="1"/>
  <c r="AM2230" i="1"/>
  <c r="AL2230" i="1" s="1"/>
  <c r="AA1366" i="1"/>
  <c r="AA1358" i="1"/>
  <c r="AA1370" i="1"/>
  <c r="AA1360" i="1"/>
  <c r="AA1365" i="1"/>
  <c r="AA1359" i="1"/>
  <c r="AD2157" i="1" l="1"/>
  <c r="AD2159" i="1"/>
  <c r="AB2057" i="1"/>
  <c r="AB2073" i="1"/>
  <c r="AB2074" i="1"/>
  <c r="AB2052" i="1"/>
  <c r="AB2056" i="1"/>
  <c r="AB1592" i="1"/>
  <c r="AB1591" i="1"/>
  <c r="AB2050" i="1"/>
  <c r="AB1593" i="1"/>
  <c r="AF1332" i="1" l="1"/>
  <c r="AF1331" i="1"/>
  <c r="AF1330" i="1"/>
  <c r="AN1332" i="1"/>
  <c r="AM1332" i="1"/>
  <c r="AL1332" i="1" s="1"/>
  <c r="AN1331" i="1"/>
  <c r="AM1331" i="1"/>
  <c r="AL1331" i="1" s="1"/>
  <c r="AN1330" i="1"/>
  <c r="AM1330" i="1"/>
  <c r="AL1330" i="1" s="1"/>
  <c r="AE1332" i="1"/>
  <c r="AE1331" i="1"/>
  <c r="AE1330" i="1"/>
  <c r="W1332" i="1"/>
  <c r="V1332" i="1"/>
  <c r="W1331" i="1"/>
  <c r="V1331" i="1"/>
  <c r="W1330" i="1"/>
  <c r="V1330" i="1"/>
  <c r="AF1237" i="1"/>
  <c r="AF1234" i="1"/>
  <c r="AF1187" i="1"/>
  <c r="AF1076" i="1"/>
  <c r="AA1331" i="1" l="1"/>
  <c r="AD1331" i="1" s="1"/>
  <c r="AA1330" i="1"/>
  <c r="AA1332" i="1"/>
  <c r="AF2467" i="1"/>
  <c r="AF2461" i="1"/>
  <c r="AF2458" i="1"/>
  <c r="AF2453" i="1"/>
  <c r="AN2467" i="1"/>
  <c r="AN2461" i="1"/>
  <c r="AN2458" i="1"/>
  <c r="AE2467" i="1"/>
  <c r="AE2461" i="1"/>
  <c r="AE2458" i="1"/>
  <c r="W2467" i="1"/>
  <c r="V2467" i="1"/>
  <c r="U2467" i="1"/>
  <c r="T2467" i="1"/>
  <c r="W2461" i="1"/>
  <c r="V2461" i="1"/>
  <c r="U2461" i="1"/>
  <c r="T2461" i="1"/>
  <c r="W2458" i="1"/>
  <c r="V2458" i="1"/>
  <c r="U2458" i="1"/>
  <c r="T2458" i="1"/>
  <c r="AN2453" i="1"/>
  <c r="AE2453" i="1"/>
  <c r="W2453" i="1"/>
  <c r="V2453" i="1"/>
  <c r="U2453" i="1"/>
  <c r="T2453" i="1"/>
  <c r="AF949" i="1"/>
  <c r="AF947" i="1"/>
  <c r="AF948" i="1"/>
  <c r="AM884" i="1"/>
  <c r="AL884" i="1" s="1"/>
  <c r="AM882" i="1"/>
  <c r="AL882" i="1" s="1"/>
  <c r="AM883" i="1"/>
  <c r="AL883" i="1" s="1"/>
  <c r="AF884" i="1"/>
  <c r="AF882" i="1"/>
  <c r="AF883" i="1"/>
  <c r="AE884" i="1"/>
  <c r="AE882" i="1"/>
  <c r="AE883" i="1"/>
  <c r="W884" i="1"/>
  <c r="V884" i="1"/>
  <c r="W882" i="1"/>
  <c r="V882" i="1"/>
  <c r="W883" i="1"/>
  <c r="V883" i="1"/>
  <c r="AN1319" i="1"/>
  <c r="AM1319" i="1"/>
  <c r="AL1319" i="1" s="1"/>
  <c r="AF1319" i="1"/>
  <c r="AE1319" i="1"/>
  <c r="W1319" i="1"/>
  <c r="V1319" i="1"/>
  <c r="AN1313" i="1"/>
  <c r="AM1313" i="1"/>
  <c r="AL1313" i="1" s="1"/>
  <c r="AF1313" i="1"/>
  <c r="AE1313" i="1"/>
  <c r="W1313" i="1"/>
  <c r="V1313" i="1"/>
  <c r="AF800" i="1"/>
  <c r="AF796" i="1"/>
  <c r="AF792" i="1"/>
  <c r="AF798" i="1"/>
  <c r="AF794" i="1"/>
  <c r="AF790" i="1"/>
  <c r="AF799" i="1"/>
  <c r="AF795" i="1"/>
  <c r="AF791" i="1"/>
  <c r="AM800" i="1"/>
  <c r="AL800" i="1" s="1"/>
  <c r="AM798" i="1"/>
  <c r="AL798" i="1" s="1"/>
  <c r="AM799" i="1"/>
  <c r="AL799" i="1" s="1"/>
  <c r="AM801" i="1"/>
  <c r="AL801" i="1" s="1"/>
  <c r="AM796" i="1"/>
  <c r="AL796" i="1" s="1"/>
  <c r="AM794" i="1"/>
  <c r="AL794" i="1" s="1"/>
  <c r="AM795" i="1"/>
  <c r="AL795" i="1" s="1"/>
  <c r="AM797" i="1"/>
  <c r="AL797" i="1" s="1"/>
  <c r="AM792" i="1"/>
  <c r="AL792" i="1" s="1"/>
  <c r="AM790" i="1"/>
  <c r="AL790" i="1" s="1"/>
  <c r="AM791" i="1"/>
  <c r="AL791" i="1" s="1"/>
  <c r="AM793" i="1"/>
  <c r="AL793" i="1" s="1"/>
  <c r="AE800" i="1"/>
  <c r="AE798" i="1"/>
  <c r="AE799" i="1"/>
  <c r="AE796" i="1"/>
  <c r="AE794" i="1"/>
  <c r="AE795" i="1"/>
  <c r="AE792" i="1"/>
  <c r="AE790" i="1"/>
  <c r="AE791" i="1"/>
  <c r="W800" i="1"/>
  <c r="V800" i="1"/>
  <c r="W798" i="1"/>
  <c r="V798" i="1"/>
  <c r="W799" i="1"/>
  <c r="V799" i="1"/>
  <c r="W801" i="1"/>
  <c r="V801" i="1"/>
  <c r="W796" i="1"/>
  <c r="V796" i="1"/>
  <c r="W794" i="1"/>
  <c r="V794" i="1"/>
  <c r="W795" i="1"/>
  <c r="V795" i="1"/>
  <c r="W797" i="1"/>
  <c r="V797" i="1"/>
  <c r="W792" i="1"/>
  <c r="V792" i="1"/>
  <c r="W790" i="1"/>
  <c r="V790" i="1"/>
  <c r="W791" i="1"/>
  <c r="V791" i="1"/>
  <c r="W793" i="1"/>
  <c r="V793" i="1"/>
  <c r="AM788" i="1"/>
  <c r="AL788" i="1" s="1"/>
  <c r="AM786" i="1"/>
  <c r="AL786" i="1" s="1"/>
  <c r="AM787" i="1"/>
  <c r="AL787" i="1" s="1"/>
  <c r="AF788" i="1"/>
  <c r="AF786" i="1"/>
  <c r="AF787" i="1"/>
  <c r="AE788" i="1"/>
  <c r="AE786" i="1"/>
  <c r="AE787" i="1"/>
  <c r="W788" i="1"/>
  <c r="V788" i="1"/>
  <c r="W786" i="1"/>
  <c r="V786" i="1"/>
  <c r="W787" i="1"/>
  <c r="V787" i="1"/>
  <c r="AN737" i="1"/>
  <c r="AM737" i="1"/>
  <c r="AL737" i="1" s="1"/>
  <c r="AN736" i="1"/>
  <c r="AM736" i="1"/>
  <c r="AL736" i="1" s="1"/>
  <c r="AN735" i="1"/>
  <c r="AM735" i="1"/>
  <c r="AL735" i="1" s="1"/>
  <c r="AF736" i="1"/>
  <c r="AF735" i="1"/>
  <c r="AE737" i="1"/>
  <c r="AE736" i="1"/>
  <c r="AE735" i="1"/>
  <c r="W737" i="1"/>
  <c r="AC737" i="1" s="1"/>
  <c r="V737" i="1"/>
  <c r="W736" i="1"/>
  <c r="AC736" i="1" s="1"/>
  <c r="V736" i="1"/>
  <c r="W735" i="1"/>
  <c r="AC735" i="1" s="1"/>
  <c r="V735" i="1"/>
  <c r="AM692" i="1"/>
  <c r="AL692" i="1" s="1"/>
  <c r="AM690" i="1"/>
  <c r="AL690" i="1" s="1"/>
  <c r="AM691" i="1"/>
  <c r="AL691" i="1" s="1"/>
  <c r="AF692" i="1"/>
  <c r="AF690" i="1"/>
  <c r="AF691" i="1"/>
  <c r="AE692" i="1"/>
  <c r="AE690" i="1"/>
  <c r="AE691" i="1"/>
  <c r="W692" i="1"/>
  <c r="W690" i="1"/>
  <c r="W691" i="1"/>
  <c r="V692" i="1"/>
  <c r="V690" i="1"/>
  <c r="V691" i="1"/>
  <c r="AD1330" i="1" l="1"/>
  <c r="AD1332" i="1"/>
  <c r="AA2458" i="1"/>
  <c r="AA2461" i="1"/>
  <c r="AA2467" i="1"/>
  <c r="AM2458" i="1"/>
  <c r="AL2458" i="1" s="1"/>
  <c r="AM2461" i="1"/>
  <c r="AL2461" i="1" s="1"/>
  <c r="AM2467" i="1"/>
  <c r="AL2467" i="1" s="1"/>
  <c r="AM2453" i="1"/>
  <c r="AL2453" i="1" s="1"/>
  <c r="AA2453" i="1"/>
  <c r="AA883" i="1"/>
  <c r="AA884" i="1"/>
  <c r="AA1319" i="1"/>
  <c r="AA882" i="1"/>
  <c r="AA1313" i="1"/>
  <c r="AD1313" i="1" s="1"/>
  <c r="AA792" i="1"/>
  <c r="AA796" i="1"/>
  <c r="AA800" i="1"/>
  <c r="AA736" i="1"/>
  <c r="AA793" i="1"/>
  <c r="AA790" i="1"/>
  <c r="AA797" i="1"/>
  <c r="AA794" i="1"/>
  <c r="AA801" i="1"/>
  <c r="AA798" i="1"/>
  <c r="AA786" i="1"/>
  <c r="AA737" i="1"/>
  <c r="AA787" i="1"/>
  <c r="AA788" i="1"/>
  <c r="AA791" i="1"/>
  <c r="AA795" i="1"/>
  <c r="AA799" i="1"/>
  <c r="AA691" i="1"/>
  <c r="AB691" i="1" s="1"/>
  <c r="AA690" i="1"/>
  <c r="AB690" i="1" s="1"/>
  <c r="AA692" i="1"/>
  <c r="AB692" i="1" s="1"/>
  <c r="AA735" i="1"/>
  <c r="AB2467" i="1" l="1"/>
  <c r="AB2458" i="1"/>
  <c r="AB2461" i="1"/>
  <c r="AB2453" i="1"/>
  <c r="AD1319" i="1"/>
  <c r="AF658" i="1" l="1"/>
  <c r="AF521" i="1"/>
  <c r="AF519" i="1"/>
  <c r="AF520" i="1"/>
  <c r="AN521" i="1"/>
  <c r="AM521" i="1"/>
  <c r="AL521" i="1" s="1"/>
  <c r="AE521" i="1"/>
  <c r="AN519" i="1"/>
  <c r="AM519" i="1"/>
  <c r="AL519" i="1" s="1"/>
  <c r="AE519" i="1"/>
  <c r="AN520" i="1"/>
  <c r="AM520" i="1"/>
  <c r="AL520" i="1" s="1"/>
  <c r="AE520" i="1"/>
  <c r="AM522" i="1"/>
  <c r="AL522" i="1" s="1"/>
  <c r="W521" i="1"/>
  <c r="V521" i="1"/>
  <c r="W519" i="1"/>
  <c r="V519" i="1"/>
  <c r="W520" i="1"/>
  <c r="V520" i="1"/>
  <c r="W522" i="1"/>
  <c r="V522" i="1"/>
  <c r="AF515" i="1"/>
  <c r="AF513" i="1"/>
  <c r="AF514" i="1"/>
  <c r="AN515" i="1"/>
  <c r="AM515" i="1"/>
  <c r="AL515" i="1" s="1"/>
  <c r="AE515" i="1"/>
  <c r="AN513" i="1"/>
  <c r="AM513" i="1"/>
  <c r="AL513" i="1" s="1"/>
  <c r="AE513" i="1"/>
  <c r="AN514" i="1"/>
  <c r="AM514" i="1"/>
  <c r="AL514" i="1" s="1"/>
  <c r="AE514" i="1"/>
  <c r="W515" i="1"/>
  <c r="V515" i="1"/>
  <c r="W513" i="1"/>
  <c r="V513" i="1"/>
  <c r="W514" i="1"/>
  <c r="V514" i="1"/>
  <c r="W516" i="1"/>
  <c r="V516" i="1"/>
  <c r="AF509" i="1"/>
  <c r="AF507" i="1"/>
  <c r="AF508" i="1"/>
  <c r="AN509" i="1"/>
  <c r="AM509" i="1"/>
  <c r="AL509" i="1" s="1"/>
  <c r="AE509" i="1"/>
  <c r="AN507" i="1"/>
  <c r="AE507" i="1"/>
  <c r="AN508" i="1"/>
  <c r="AM508" i="1"/>
  <c r="AL508" i="1" s="1"/>
  <c r="AE508" i="1"/>
  <c r="W509" i="1"/>
  <c r="V509" i="1"/>
  <c r="W507" i="1"/>
  <c r="V507" i="1"/>
  <c r="W508" i="1"/>
  <c r="V508" i="1"/>
  <c r="U507" i="1"/>
  <c r="T507" i="1"/>
  <c r="AN1931" i="1"/>
  <c r="AF1931" i="1"/>
  <c r="AE1931" i="1"/>
  <c r="AC1931" i="1"/>
  <c r="W1931" i="1"/>
  <c r="V1931" i="1"/>
  <c r="U1931" i="1"/>
  <c r="AM1931" i="1" s="1"/>
  <c r="AL1931" i="1" s="1"/>
  <c r="AN1930" i="1"/>
  <c r="AF1930" i="1"/>
  <c r="AE1930" i="1"/>
  <c r="AC1930" i="1"/>
  <c r="W1930" i="1"/>
  <c r="V1930" i="1"/>
  <c r="U1930" i="1"/>
  <c r="AM1930" i="1" s="1"/>
  <c r="AL1930" i="1" s="1"/>
  <c r="AN1928" i="1"/>
  <c r="AF1928" i="1"/>
  <c r="AE1928" i="1"/>
  <c r="AC1928" i="1"/>
  <c r="W1928" i="1"/>
  <c r="V1928" i="1"/>
  <c r="U1928" i="1"/>
  <c r="AM1928" i="1" s="1"/>
  <c r="AL1928" i="1" s="1"/>
  <c r="AF311" i="1"/>
  <c r="AM311" i="1"/>
  <c r="AL311" i="1" s="1"/>
  <c r="AM310" i="1"/>
  <c r="AL310" i="1" s="1"/>
  <c r="AF310" i="1"/>
  <c r="AE311" i="1"/>
  <c r="AE310" i="1"/>
  <c r="AM312" i="1"/>
  <c r="AL312" i="1" s="1"/>
  <c r="AE312" i="1"/>
  <c r="W312" i="1"/>
  <c r="V312" i="1"/>
  <c r="W311" i="1"/>
  <c r="V311" i="1"/>
  <c r="W310" i="1"/>
  <c r="V310" i="1"/>
  <c r="T298" i="1"/>
  <c r="U298" i="1"/>
  <c r="AA508" i="1" l="1"/>
  <c r="AA509" i="1"/>
  <c r="AA514" i="1"/>
  <c r="AA515" i="1"/>
  <c r="AA522" i="1"/>
  <c r="AB522" i="1" s="1"/>
  <c r="AD522" i="1" s="1"/>
  <c r="AA519" i="1"/>
  <c r="AA520" i="1"/>
  <c r="AA521" i="1"/>
  <c r="AA513" i="1"/>
  <c r="AA310" i="1"/>
  <c r="AM507" i="1"/>
  <c r="AL507" i="1" s="1"/>
  <c r="AA311" i="1"/>
  <c r="AA507" i="1"/>
  <c r="AA1930" i="1"/>
  <c r="AA312" i="1"/>
  <c r="AA1928" i="1"/>
  <c r="AA1931" i="1"/>
  <c r="AN191" i="1"/>
  <c r="AF191" i="1"/>
  <c r="AE191" i="1"/>
  <c r="AB508" i="1" l="1"/>
  <c r="AB515" i="1"/>
  <c r="AB514" i="1"/>
  <c r="AB509" i="1"/>
  <c r="AB520" i="1"/>
  <c r="AB521" i="1"/>
  <c r="AB519" i="1"/>
  <c r="AB513" i="1"/>
  <c r="AB507" i="1"/>
  <c r="AM2573" i="1"/>
  <c r="AL2573" i="1" s="1"/>
  <c r="AM2564" i="1"/>
  <c r="AL2564" i="1" s="1"/>
  <c r="AM2541" i="1"/>
  <c r="AL2541" i="1" s="1"/>
  <c r="AM2534" i="1"/>
  <c r="AL2534" i="1" s="1"/>
  <c r="AM2523" i="1"/>
  <c r="AL2523" i="1" s="1"/>
  <c r="AM2429" i="1"/>
  <c r="AL2429" i="1" s="1"/>
  <c r="AM2421" i="1"/>
  <c r="AL2421" i="1" s="1"/>
  <c r="AM2414" i="1"/>
  <c r="AL2414" i="1" s="1"/>
  <c r="AM2338" i="1"/>
  <c r="AL2338" i="1" s="1"/>
  <c r="AM2204" i="1"/>
  <c r="AL2204" i="1" s="1"/>
  <c r="AM2160" i="1"/>
  <c r="AL2160" i="1" s="1"/>
  <c r="AM2075" i="1"/>
  <c r="AL2075" i="1" s="1"/>
  <c r="AM2058" i="1"/>
  <c r="AL2058" i="1" s="1"/>
  <c r="AM2053" i="1"/>
  <c r="AL2053" i="1" s="1"/>
  <c r="AM2047" i="1"/>
  <c r="AL2047" i="1" s="1"/>
  <c r="AM2022" i="1"/>
  <c r="AL2022" i="1" s="1"/>
  <c r="AM1957" i="1"/>
  <c r="AL1957" i="1" s="1"/>
  <c r="AM1947" i="1"/>
  <c r="AL1947" i="1" s="1"/>
  <c r="AM1594" i="1"/>
  <c r="AL1594" i="1" s="1"/>
  <c r="AM1491" i="1"/>
  <c r="AL1491" i="1" s="1"/>
  <c r="AM1438" i="1"/>
  <c r="AL1438" i="1" s="1"/>
  <c r="AM1435" i="1"/>
  <c r="AL1435" i="1" s="1"/>
  <c r="AM1372" i="1"/>
  <c r="AL1372" i="1" s="1"/>
  <c r="AM1367" i="1"/>
  <c r="AL1367" i="1" s="1"/>
  <c r="AM1361" i="1"/>
  <c r="AL1361" i="1" s="1"/>
  <c r="AM1333" i="1"/>
  <c r="AL1333" i="1" s="1"/>
  <c r="AM1239" i="1"/>
  <c r="AL1239" i="1" s="1"/>
  <c r="AM1236" i="1"/>
  <c r="AL1236" i="1" s="1"/>
  <c r="AM1189" i="1"/>
  <c r="AL1189" i="1" s="1"/>
  <c r="AM1078" i="1"/>
  <c r="AL1078" i="1" s="1"/>
  <c r="AM1068" i="1"/>
  <c r="AL1068" i="1" s="1"/>
  <c r="AM1059" i="1"/>
  <c r="AL1059" i="1" s="1"/>
  <c r="AM1013" i="1"/>
  <c r="AL1013" i="1" s="1"/>
  <c r="AM972" i="1"/>
  <c r="AL972" i="1" s="1"/>
  <c r="AM921" i="1"/>
  <c r="AL921" i="1" s="1"/>
  <c r="AM885" i="1"/>
  <c r="AL885" i="1" s="1"/>
  <c r="AM836" i="1"/>
  <c r="AL836" i="1" s="1"/>
  <c r="AM810" i="1"/>
  <c r="AL810" i="1" s="1"/>
  <c r="AM789" i="1"/>
  <c r="AL789" i="1" s="1"/>
  <c r="AM693" i="1"/>
  <c r="AL693" i="1" s="1"/>
  <c r="AM660" i="1"/>
  <c r="AL660" i="1" s="1"/>
  <c r="AM548" i="1"/>
  <c r="AL548" i="1" s="1"/>
  <c r="AM516" i="1"/>
  <c r="AL516" i="1" s="1"/>
  <c r="AM510" i="1"/>
  <c r="AL510" i="1" s="1"/>
  <c r="AM298" i="1"/>
  <c r="AL298" i="1" s="1"/>
  <c r="AM278" i="1"/>
  <c r="AL278" i="1" s="1"/>
  <c r="AM223" i="1"/>
  <c r="AL223" i="1" s="1"/>
  <c r="W2573" i="1"/>
  <c r="V2573" i="1"/>
  <c r="W2564" i="1"/>
  <c r="V2564" i="1"/>
  <c r="W2523" i="1"/>
  <c r="V2523" i="1"/>
  <c r="W2414" i="1"/>
  <c r="V2414" i="1"/>
  <c r="W2338" i="1"/>
  <c r="V2338" i="1"/>
  <c r="W2204" i="1"/>
  <c r="V2204" i="1"/>
  <c r="W2160" i="1"/>
  <c r="V2160" i="1"/>
  <c r="W2075" i="1"/>
  <c r="V2075" i="1"/>
  <c r="W2058" i="1"/>
  <c r="V2058" i="1"/>
  <c r="W2053" i="1"/>
  <c r="V2053" i="1"/>
  <c r="W2047" i="1"/>
  <c r="V2047" i="1"/>
  <c r="W2022" i="1"/>
  <c r="V2022" i="1"/>
  <c r="W1957" i="1"/>
  <c r="V1957" i="1"/>
  <c r="W1947" i="1"/>
  <c r="V1947" i="1"/>
  <c r="W1594" i="1"/>
  <c r="V1594" i="1"/>
  <c r="W1491" i="1"/>
  <c r="V1491" i="1"/>
  <c r="W1438" i="1"/>
  <c r="V1438" i="1"/>
  <c r="W1435" i="1"/>
  <c r="V1435" i="1"/>
  <c r="W1367" i="1"/>
  <c r="V1367" i="1"/>
  <c r="W1361" i="1"/>
  <c r="V1361" i="1"/>
  <c r="W1333" i="1"/>
  <c r="V1333" i="1"/>
  <c r="W1239" i="1"/>
  <c r="V1239" i="1"/>
  <c r="W1236" i="1"/>
  <c r="V1236" i="1"/>
  <c r="W1189" i="1"/>
  <c r="V1189" i="1"/>
  <c r="W1078" i="1"/>
  <c r="V1078" i="1"/>
  <c r="W1068" i="1"/>
  <c r="V1068" i="1"/>
  <c r="W1059" i="1"/>
  <c r="V1059" i="1"/>
  <c r="W1013" i="1"/>
  <c r="V1013" i="1"/>
  <c r="W972" i="1"/>
  <c r="V972" i="1"/>
  <c r="W921" i="1"/>
  <c r="V921" i="1"/>
  <c r="W885" i="1"/>
  <c r="V885" i="1"/>
  <c r="W836" i="1"/>
  <c r="V836" i="1"/>
  <c r="W789" i="1"/>
  <c r="V789" i="1"/>
  <c r="W693" i="1"/>
  <c r="V693" i="1"/>
  <c r="W660" i="1"/>
  <c r="V660" i="1"/>
  <c r="W548" i="1"/>
  <c r="V548" i="1"/>
  <c r="W510" i="1"/>
  <c r="V510" i="1"/>
  <c r="W298" i="1"/>
  <c r="V298" i="1"/>
  <c r="W278" i="1"/>
  <c r="V278" i="1"/>
  <c r="W223" i="1"/>
  <c r="V223" i="1"/>
  <c r="W177" i="1"/>
  <c r="V177" i="1"/>
  <c r="W133" i="1"/>
  <c r="V133" i="1"/>
  <c r="V103" i="1"/>
  <c r="W103" i="1"/>
  <c r="AD892" i="1" l="1"/>
  <c r="AA1491" i="1"/>
  <c r="AA177" i="1"/>
  <c r="AB177" i="1" s="1"/>
  <c r="AA278" i="1"/>
  <c r="AA510" i="1"/>
  <c r="AB510" i="1" s="1"/>
  <c r="AD510" i="1" s="1"/>
  <c r="AA1367" i="1"/>
  <c r="AA2053" i="1"/>
  <c r="AB2053" i="1" s="1"/>
  <c r="AD2053" i="1" s="1"/>
  <c r="AA2075" i="1"/>
  <c r="AB2075" i="1" s="1"/>
  <c r="AD2075" i="1" s="1"/>
  <c r="AA2204" i="1"/>
  <c r="AA2414" i="1"/>
  <c r="AA2429" i="1"/>
  <c r="AA2564" i="1"/>
  <c r="AA298" i="1"/>
  <c r="AB298" i="1" s="1"/>
  <c r="AD298" i="1" s="1"/>
  <c r="AA693" i="1"/>
  <c r="AB693" i="1" s="1"/>
  <c r="AD693" i="1" s="1"/>
  <c r="AA836" i="1"/>
  <c r="AA972" i="1"/>
  <c r="AA1059" i="1"/>
  <c r="AA1189" i="1"/>
  <c r="AA1239" i="1"/>
  <c r="AA1361" i="1"/>
  <c r="AA1372" i="1"/>
  <c r="AA1438" i="1"/>
  <c r="AA2047" i="1"/>
  <c r="AA2058" i="1"/>
  <c r="AB2058" i="1" s="1"/>
  <c r="AD2058" i="1" s="1"/>
  <c r="AA2160" i="1"/>
  <c r="AA2338" i="1"/>
  <c r="AA2421" i="1"/>
  <c r="AA2523" i="1"/>
  <c r="AA2541" i="1"/>
  <c r="AA2573" i="1"/>
  <c r="AA789" i="1"/>
  <c r="AA660" i="1"/>
  <c r="AA810" i="1"/>
  <c r="AA885" i="1"/>
  <c r="AA1013" i="1"/>
  <c r="AA1078" i="1"/>
  <c r="AA1236" i="1"/>
  <c r="AA1333" i="1"/>
  <c r="AA1435" i="1"/>
  <c r="AB1435" i="1" s="1"/>
  <c r="AA1947" i="1"/>
  <c r="AA516" i="1"/>
  <c r="AB516" i="1" s="1"/>
  <c r="AD516" i="1" s="1"/>
  <c r="AA1068" i="1"/>
  <c r="AA1594" i="1"/>
  <c r="AB1594" i="1" s="1"/>
  <c r="AD1594" i="1" s="1"/>
  <c r="AA1957" i="1"/>
  <c r="AA223" i="1"/>
  <c r="AA921" i="1"/>
  <c r="AN177" i="1"/>
  <c r="AM177" i="1"/>
  <c r="AL177" i="1" s="1"/>
  <c r="AD1957" i="1" l="1"/>
  <c r="AB1957" i="1"/>
  <c r="AD1947" i="1"/>
  <c r="AB1947" i="1"/>
  <c r="AD1078" i="1"/>
  <c r="AB1078" i="1"/>
  <c r="AD660" i="1"/>
  <c r="AB660" i="1"/>
  <c r="AD2523" i="1"/>
  <c r="AB2523" i="1"/>
  <c r="AD972" i="1"/>
  <c r="AB972" i="1"/>
  <c r="AD2047" i="1"/>
  <c r="AB2047" i="1"/>
  <c r="AD1239" i="1"/>
  <c r="AB1239" i="1"/>
  <c r="AD836" i="1"/>
  <c r="AD2429" i="1"/>
  <c r="AB2429" i="1"/>
  <c r="AD1013" i="1"/>
  <c r="AB1013" i="1"/>
  <c r="AD921" i="1"/>
  <c r="AB921" i="1"/>
  <c r="AD1068" i="1"/>
  <c r="AB1068" i="1"/>
  <c r="AD1333" i="1"/>
  <c r="AB1333" i="1"/>
  <c r="AD2573" i="1"/>
  <c r="AB2573" i="1"/>
  <c r="AD2338" i="1"/>
  <c r="AB2338" i="1"/>
  <c r="AD1438" i="1"/>
  <c r="AB1438" i="1"/>
  <c r="AD1189" i="1"/>
  <c r="AB1189" i="1"/>
  <c r="AD1491" i="1"/>
  <c r="AB1491" i="1"/>
  <c r="AD223" i="1"/>
  <c r="AB223" i="1"/>
  <c r="AD1236" i="1"/>
  <c r="AB1236" i="1"/>
  <c r="AD2541" i="1"/>
  <c r="AB2541" i="1"/>
  <c r="AD2160" i="1"/>
  <c r="AB2160" i="1"/>
  <c r="AD1059" i="1"/>
  <c r="AB1059" i="1"/>
  <c r="AD2204" i="1"/>
  <c r="AB2204" i="1"/>
  <c r="AB810" i="1"/>
  <c r="AN103" i="1"/>
  <c r="AM103" i="1"/>
  <c r="AL103" i="1" s="1"/>
  <c r="AF105" i="1"/>
  <c r="D19" i="3"/>
  <c r="E19" i="3" s="1"/>
  <c r="E74" i="3"/>
  <c r="D74" i="3"/>
  <c r="D76" i="3" s="1"/>
  <c r="G74" i="3"/>
  <c r="G76" i="3" s="1"/>
  <c r="F74" i="3"/>
  <c r="AE2564" i="1"/>
  <c r="AE2563" i="1"/>
  <c r="AE2538" i="1"/>
  <c r="AE2021" i="1"/>
  <c r="AE2020" i="1"/>
  <c r="AE2019" i="1"/>
  <c r="AE1742" i="1"/>
  <c r="AE1403" i="1"/>
  <c r="AE1402" i="1"/>
  <c r="AE1349" i="1"/>
  <c r="AE743" i="1"/>
  <c r="AE548" i="1"/>
  <c r="AE545" i="1"/>
  <c r="AE540" i="1"/>
  <c r="AE130" i="1"/>
  <c r="AF63" i="1"/>
  <c r="AF62" i="1"/>
  <c r="AE2571" i="1"/>
  <c r="AE2572" i="1"/>
  <c r="AE2556" i="1"/>
  <c r="AE2555" i="1"/>
  <c r="AE2554" i="1"/>
  <c r="AE2552" i="1"/>
  <c r="AE2550" i="1"/>
  <c r="AE2549" i="1"/>
  <c r="AE2548" i="1"/>
  <c r="AE2546" i="1"/>
  <c r="AE2539" i="1"/>
  <c r="AE2530" i="1"/>
  <c r="AE2526" i="1"/>
  <c r="AE2527" i="1"/>
  <c r="AE2525" i="1"/>
  <c r="AE2524" i="1"/>
  <c r="AE2519" i="1"/>
  <c r="AE2518" i="1"/>
  <c r="AE2517" i="1"/>
  <c r="AE2515" i="1"/>
  <c r="AE2516" i="1"/>
  <c r="AE2513" i="1"/>
  <c r="AE2514" i="1"/>
  <c r="AE2512" i="1"/>
  <c r="AE2511" i="1"/>
  <c r="AE2510" i="1"/>
  <c r="AE2509" i="1"/>
  <c r="AE2508" i="1"/>
  <c r="AE2507" i="1"/>
  <c r="AE2506" i="1"/>
  <c r="AE2505" i="1"/>
  <c r="AE2504" i="1"/>
  <c r="AE2503" i="1"/>
  <c r="AE257" i="1"/>
  <c r="AE2501" i="1"/>
  <c r="AE2500" i="1"/>
  <c r="AE2499" i="1"/>
  <c r="AE2494" i="1"/>
  <c r="AE2493" i="1"/>
  <c r="AE2491" i="1"/>
  <c r="AE2489" i="1"/>
  <c r="AE2487" i="1"/>
  <c r="AE2485" i="1"/>
  <c r="AE2484" i="1"/>
  <c r="AE2483" i="1"/>
  <c r="AE2473" i="1"/>
  <c r="AE2472" i="1"/>
  <c r="AE2471" i="1"/>
  <c r="AE2469" i="1"/>
  <c r="AE2470" i="1"/>
  <c r="AE2468" i="1"/>
  <c r="AE2466" i="1"/>
  <c r="AE2465" i="1"/>
  <c r="AE2463" i="1"/>
  <c r="AE2464" i="1"/>
  <c r="AE2462" i="1"/>
  <c r="AE2459" i="1"/>
  <c r="AE2460" i="1"/>
  <c r="AE2457" i="1"/>
  <c r="AE2455" i="1"/>
  <c r="AE2456" i="1"/>
  <c r="AE2454" i="1"/>
  <c r="AE2452" i="1"/>
  <c r="AE2451" i="1"/>
  <c r="AE2450" i="1"/>
  <c r="AE2449" i="1"/>
  <c r="AE2448" i="1"/>
  <c r="AE2447" i="1"/>
  <c r="AE2435" i="1"/>
  <c r="AE2434" i="1"/>
  <c r="AE2432" i="1"/>
  <c r="AE2424" i="1"/>
  <c r="AE2423" i="1"/>
  <c r="AE2407" i="1"/>
  <c r="AE2406" i="1"/>
  <c r="AE2405" i="1"/>
  <c r="AE2403" i="1"/>
  <c r="AE2402" i="1"/>
  <c r="AE2401" i="1"/>
  <c r="AE2400" i="1"/>
  <c r="AE2399" i="1"/>
  <c r="AE2398" i="1"/>
  <c r="AE2397" i="1"/>
  <c r="AE2396" i="1"/>
  <c r="AE2394" i="1"/>
  <c r="AE2393" i="1"/>
  <c r="AE2392" i="1"/>
  <c r="AE2391" i="1"/>
  <c r="AE2386" i="1"/>
  <c r="AE2385" i="1"/>
  <c r="AE2384" i="1"/>
  <c r="AE2383" i="1"/>
  <c r="AE2382" i="1"/>
  <c r="AE2381" i="1"/>
  <c r="AE2380" i="1"/>
  <c r="AE2369" i="1"/>
  <c r="AE2367" i="1"/>
  <c r="AE2371" i="1"/>
  <c r="AE2372" i="1"/>
  <c r="AE2370" i="1"/>
  <c r="AE2368" i="1"/>
  <c r="AE2373" i="1"/>
  <c r="AE2374" i="1"/>
  <c r="AE2361" i="1"/>
  <c r="AE2363" i="1"/>
  <c r="AE2365" i="1"/>
  <c r="AE2362" i="1"/>
  <c r="AE2366" i="1"/>
  <c r="AE2364" i="1"/>
  <c r="AE2360" i="1"/>
  <c r="AE2359" i="1"/>
  <c r="AE2353" i="1"/>
  <c r="AE2351" i="1"/>
  <c r="AE2350" i="1"/>
  <c r="AE2347" i="1"/>
  <c r="AE2348" i="1"/>
  <c r="AE2339" i="1"/>
  <c r="AE2336" i="1"/>
  <c r="AE2337" i="1"/>
  <c r="AE2331" i="1"/>
  <c r="AE2330" i="1"/>
  <c r="AE2328" i="1"/>
  <c r="AE2327" i="1"/>
  <c r="AE2280" i="1"/>
  <c r="AE2277" i="1"/>
  <c r="AE2231" i="1"/>
  <c r="AE2227" i="1"/>
  <c r="AE2198" i="1"/>
  <c r="AE2197" i="1"/>
  <c r="AE2195" i="1"/>
  <c r="AE2194" i="1"/>
  <c r="AE2325" i="1"/>
  <c r="AE2323" i="1"/>
  <c r="AE2322" i="1"/>
  <c r="AE2320" i="1"/>
  <c r="AE2315" i="1"/>
  <c r="AE2313" i="1"/>
  <c r="AE2312" i="1"/>
  <c r="AE2310" i="1"/>
  <c r="AE2303" i="1"/>
  <c r="AE2301" i="1"/>
  <c r="AE2300" i="1"/>
  <c r="AE2299" i="1"/>
  <c r="AE2298" i="1"/>
  <c r="AE2297" i="1"/>
  <c r="AE2296" i="1"/>
  <c r="AE2293" i="1"/>
  <c r="AE2292" i="1"/>
  <c r="AE2291" i="1"/>
  <c r="AE2290" i="1"/>
  <c r="AE2289" i="1"/>
  <c r="AE2288" i="1"/>
  <c r="AE2287" i="1"/>
  <c r="AE2286" i="1"/>
  <c r="AE2285" i="1"/>
  <c r="AE2284" i="1"/>
  <c r="AE2282" i="1"/>
  <c r="AE2281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8" i="1"/>
  <c r="AE2257" i="1"/>
  <c r="AE2256" i="1"/>
  <c r="AE2255" i="1"/>
  <c r="AE2254" i="1"/>
  <c r="AE2253" i="1"/>
  <c r="AE2252" i="1"/>
  <c r="AE2251" i="1"/>
  <c r="AE2250" i="1"/>
  <c r="AE2249" i="1"/>
  <c r="AE2247" i="1"/>
  <c r="AE2246" i="1"/>
  <c r="AE2245" i="1"/>
  <c r="AE2242" i="1"/>
  <c r="AE2240" i="1"/>
  <c r="AE2239" i="1"/>
  <c r="AE2238" i="1"/>
  <c r="AE2237" i="1"/>
  <c r="AE2234" i="1"/>
  <c r="AE2233" i="1"/>
  <c r="AE2223" i="1"/>
  <c r="AE2222" i="1"/>
  <c r="AE2221" i="1"/>
  <c r="AE2220" i="1"/>
  <c r="AE2218" i="1"/>
  <c r="AE2217" i="1"/>
  <c r="AE2216" i="1"/>
  <c r="AE2214" i="1"/>
  <c r="AE2213" i="1"/>
  <c r="AE2212" i="1"/>
  <c r="AE2211" i="1"/>
  <c r="AE2207" i="1"/>
  <c r="AE2205" i="1"/>
  <c r="AE2200" i="1"/>
  <c r="AE2193" i="1"/>
  <c r="AE2192" i="1"/>
  <c r="AE2189" i="1"/>
  <c r="AE2186" i="1"/>
  <c r="AE2187" i="1"/>
  <c r="AE2172" i="1"/>
  <c r="AE2168" i="1"/>
  <c r="AE2166" i="1"/>
  <c r="AE2165" i="1"/>
  <c r="AE2150" i="1"/>
  <c r="AE2149" i="1"/>
  <c r="AE2140" i="1"/>
  <c r="AE2141" i="1"/>
  <c r="AE2132" i="1"/>
  <c r="AE2130" i="1"/>
  <c r="AE2121" i="1"/>
  <c r="AE2123" i="1"/>
  <c r="AE2122" i="1"/>
  <c r="AE2118" i="1"/>
  <c r="AE2120" i="1"/>
  <c r="AE2119" i="1"/>
  <c r="AE2117" i="1"/>
  <c r="AE2116" i="1"/>
  <c r="AE2115" i="1"/>
  <c r="AE2114" i="1"/>
  <c r="AE2103" i="1"/>
  <c r="AE2102" i="1"/>
  <c r="AE2101" i="1"/>
  <c r="AE2100" i="1"/>
  <c r="AE2099" i="1"/>
  <c r="AE2098" i="1"/>
  <c r="AE2097" i="1"/>
  <c r="AE2094" i="1"/>
  <c r="AE2081" i="1"/>
  <c r="AE2080" i="1"/>
  <c r="AE2079" i="1"/>
  <c r="AE2076" i="1"/>
  <c r="AE2077" i="1"/>
  <c r="AE2078" i="1"/>
  <c r="AE2071" i="1"/>
  <c r="AE2049" i="1"/>
  <c r="AE2045" i="1"/>
  <c r="AE2046" i="1"/>
  <c r="AE2041" i="1"/>
  <c r="AE2039" i="1"/>
  <c r="AE2027" i="1"/>
  <c r="AE2029" i="1"/>
  <c r="AE2028" i="1"/>
  <c r="AE2024" i="1"/>
  <c r="AE2026" i="1"/>
  <c r="AE2025" i="1"/>
  <c r="AE2023" i="1"/>
  <c r="AE2016" i="1"/>
  <c r="AE2015" i="1"/>
  <c r="AE2013" i="1"/>
  <c r="AE2008" i="1"/>
  <c r="AE1995" i="1"/>
  <c r="AE1994" i="1"/>
  <c r="AE1971" i="1"/>
  <c r="AE1961" i="1"/>
  <c r="AE1960" i="1"/>
  <c r="AE1959" i="1"/>
  <c r="AE1955" i="1"/>
  <c r="AE1956" i="1"/>
  <c r="AE1954" i="1"/>
  <c r="AE1953" i="1"/>
  <c r="AE1952" i="1"/>
  <c r="AE1951" i="1"/>
  <c r="AE1945" i="1"/>
  <c r="AE1946" i="1"/>
  <c r="AE1944" i="1"/>
  <c r="AE1943" i="1"/>
  <c r="AE1940" i="1"/>
  <c r="AE1939" i="1"/>
  <c r="AE1938" i="1"/>
  <c r="AE1937" i="1"/>
  <c r="AE1927" i="1"/>
  <c r="AE1925" i="1"/>
  <c r="AE1915" i="1"/>
  <c r="AE1914" i="1"/>
  <c r="AE1913" i="1"/>
  <c r="AE1912" i="1"/>
  <c r="AE1910" i="1"/>
  <c r="AE1879" i="1"/>
  <c r="AE1878" i="1"/>
  <c r="AE1871" i="1"/>
  <c r="AE1863" i="1"/>
  <c r="AE1862" i="1"/>
  <c r="AE1860" i="1"/>
  <c r="AE1859" i="1"/>
  <c r="AE1855" i="1"/>
  <c r="AE1854" i="1"/>
  <c r="AE1853" i="1"/>
  <c r="AE1848" i="1"/>
  <c r="AE1838" i="1"/>
  <c r="AE1837" i="1"/>
  <c r="AE1823" i="1"/>
  <c r="AE1822" i="1"/>
  <c r="AE1817" i="1"/>
  <c r="AE1816" i="1"/>
  <c r="AE1815" i="1"/>
  <c r="AE1812" i="1"/>
  <c r="AE1811" i="1"/>
  <c r="AE1810" i="1"/>
  <c r="AE1809" i="1"/>
  <c r="AE1808" i="1"/>
  <c r="AE1807" i="1"/>
  <c r="AE1799" i="1"/>
  <c r="AE1798" i="1"/>
  <c r="AE1795" i="1"/>
  <c r="AE1794" i="1"/>
  <c r="AE1788" i="1"/>
  <c r="AE1782" i="1"/>
  <c r="AE1781" i="1"/>
  <c r="AE1780" i="1"/>
  <c r="AE1776" i="1"/>
  <c r="AE1774" i="1"/>
  <c r="AE1769" i="1"/>
  <c r="AE1768" i="1"/>
  <c r="AE1766" i="1"/>
  <c r="AE1751" i="1"/>
  <c r="AE1749" i="1"/>
  <c r="AE1750" i="1"/>
  <c r="AE1725" i="1"/>
  <c r="AE1724" i="1"/>
  <c r="AE1722" i="1"/>
  <c r="AE1721" i="1"/>
  <c r="AE1718" i="1"/>
  <c r="AE1717" i="1"/>
  <c r="AE1703" i="1"/>
  <c r="AE1704" i="1"/>
  <c r="AE1693" i="1"/>
  <c r="AE1640" i="1"/>
  <c r="AE1639" i="1"/>
  <c r="AE1611" i="1"/>
  <c r="AE1609" i="1"/>
  <c r="AE1608" i="1"/>
  <c r="AE1607" i="1"/>
  <c r="AE1606" i="1"/>
  <c r="AE1601" i="1"/>
  <c r="AE1590" i="1"/>
  <c r="AE1589" i="1"/>
  <c r="AE1583" i="1"/>
  <c r="AE1582" i="1"/>
  <c r="AE1581" i="1"/>
  <c r="AE1579" i="1"/>
  <c r="AE1577" i="1"/>
  <c r="AE1576" i="1"/>
  <c r="AE1575" i="1"/>
  <c r="AE1574" i="1"/>
  <c r="AE1573" i="1"/>
  <c r="AE1572" i="1"/>
  <c r="AE1571" i="1"/>
  <c r="AE1570" i="1"/>
  <c r="AE1569" i="1"/>
  <c r="AE1568" i="1"/>
  <c r="AE1566" i="1"/>
  <c r="AE1565" i="1"/>
  <c r="AE1564" i="1"/>
  <c r="AE1563" i="1"/>
  <c r="AE1560" i="1"/>
  <c r="AE1559" i="1"/>
  <c r="AE1558" i="1"/>
  <c r="AE1536" i="1"/>
  <c r="AE1535" i="1"/>
  <c r="AE1534" i="1"/>
  <c r="AE1533" i="1"/>
  <c r="AE1527" i="1"/>
  <c r="AE1529" i="1"/>
  <c r="AE1528" i="1"/>
  <c r="AE1524" i="1"/>
  <c r="AE1526" i="1"/>
  <c r="AE1525" i="1"/>
  <c r="AE1523" i="1"/>
  <c r="AE1522" i="1"/>
  <c r="AE1521" i="1"/>
  <c r="AE1520" i="1"/>
  <c r="AE1519" i="1"/>
  <c r="AE1518" i="1"/>
  <c r="AE1517" i="1"/>
  <c r="AE1507" i="1"/>
  <c r="AE1503" i="1"/>
  <c r="AE1501" i="1"/>
  <c r="AE1498" i="1"/>
  <c r="AE1497" i="1"/>
  <c r="AE1496" i="1"/>
  <c r="AE1495" i="1"/>
  <c r="AE1494" i="1"/>
  <c r="AE1493" i="1"/>
  <c r="AE1492" i="1"/>
  <c r="AE1489" i="1"/>
  <c r="AE1490" i="1"/>
  <c r="AE1473" i="1"/>
  <c r="AE1471" i="1"/>
  <c r="AE1470" i="1"/>
  <c r="AE1469" i="1"/>
  <c r="AE1467" i="1"/>
  <c r="AE1464" i="1"/>
  <c r="AE1463" i="1"/>
  <c r="AE1462" i="1"/>
  <c r="AE1460" i="1"/>
  <c r="AE1457" i="1"/>
  <c r="AE1456" i="1"/>
  <c r="AE1453" i="1"/>
  <c r="AE1452" i="1"/>
  <c r="AE1451" i="1"/>
  <c r="AE1450" i="1"/>
  <c r="AE1443" i="1"/>
  <c r="AE1439" i="1"/>
  <c r="AE1436" i="1"/>
  <c r="AE1437" i="1"/>
  <c r="AE1432" i="1"/>
  <c r="AE1427" i="1"/>
  <c r="AE1425" i="1"/>
  <c r="AE1424" i="1"/>
  <c r="AE1423" i="1"/>
  <c r="AE1422" i="1"/>
  <c r="AE1418" i="1"/>
  <c r="AE1404" i="1"/>
  <c r="AE1401" i="1"/>
  <c r="AE1400" i="1"/>
  <c r="AE1398" i="1"/>
  <c r="AE1397" i="1"/>
  <c r="AE1394" i="1"/>
  <c r="AE1392" i="1"/>
  <c r="AE1393" i="1"/>
  <c r="AE1378" i="1"/>
  <c r="AE1377" i="1"/>
  <c r="AE1374" i="1"/>
  <c r="AE1373" i="1"/>
  <c r="AE1368" i="1"/>
  <c r="AE1363" i="1"/>
  <c r="AE1357" i="1"/>
  <c r="AE1352" i="1"/>
  <c r="AE1340" i="1"/>
  <c r="AE1324" i="1"/>
  <c r="AE1322" i="1"/>
  <c r="AE1312" i="1"/>
  <c r="AE1309" i="1"/>
  <c r="AE1304" i="1"/>
  <c r="AE1302" i="1"/>
  <c r="AE1303" i="1"/>
  <c r="AE1300" i="1"/>
  <c r="AE1299" i="1"/>
  <c r="AE1298" i="1"/>
  <c r="AE1297" i="1"/>
  <c r="AE1289" i="1"/>
  <c r="AE1290" i="1"/>
  <c r="AE1279" i="1"/>
  <c r="AE1275" i="1"/>
  <c r="AE1274" i="1"/>
  <c r="AE1273" i="1"/>
  <c r="AE1266" i="1"/>
  <c r="AE1265" i="1"/>
  <c r="AE1264" i="1"/>
  <c r="AE1263" i="1"/>
  <c r="AE1262" i="1"/>
  <c r="AE1237" i="1"/>
  <c r="AE1238" i="1"/>
  <c r="AE1234" i="1"/>
  <c r="AE1235" i="1"/>
  <c r="AE1226" i="1"/>
  <c r="AE1225" i="1"/>
  <c r="AE1224" i="1"/>
  <c r="AE1218" i="1"/>
  <c r="AE1219" i="1"/>
  <c r="AE1217" i="1"/>
  <c r="AE1212" i="1"/>
  <c r="AE1193" i="1"/>
  <c r="AE1191" i="1"/>
  <c r="AE1192" i="1"/>
  <c r="AE1187" i="1"/>
  <c r="AE1188" i="1"/>
  <c r="AE1180" i="1"/>
  <c r="AE1181" i="1"/>
  <c r="AE1176" i="1"/>
  <c r="AE1175" i="1"/>
  <c r="AE1172" i="1"/>
  <c r="AE1174" i="1"/>
  <c r="AE1173" i="1"/>
  <c r="AE1171" i="1"/>
  <c r="AE1168" i="1"/>
  <c r="AE1170" i="1"/>
  <c r="AE1169" i="1"/>
  <c r="AE1167" i="1"/>
  <c r="AE1164" i="1"/>
  <c r="AE1166" i="1"/>
  <c r="AE1165" i="1"/>
  <c r="AE1163" i="1"/>
  <c r="AE1161" i="1"/>
  <c r="AE1162" i="1"/>
  <c r="AE1151" i="1"/>
  <c r="AE1152" i="1"/>
  <c r="AE1148" i="1"/>
  <c r="AE1149" i="1"/>
  <c r="AE1143" i="1"/>
  <c r="AE1139" i="1"/>
  <c r="AE1140" i="1"/>
  <c r="AE1138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1" i="1"/>
  <c r="AE1110" i="1"/>
  <c r="AE1108" i="1"/>
  <c r="AE1109" i="1"/>
  <c r="AE1106" i="1"/>
  <c r="AE1107" i="1"/>
  <c r="AE1098" i="1"/>
  <c r="AE1088" i="1"/>
  <c r="AE1087" i="1"/>
  <c r="AE1085" i="1"/>
  <c r="AE1084" i="1"/>
  <c r="AE1083" i="1"/>
  <c r="AE1082" i="1"/>
  <c r="AE1081" i="1"/>
  <c r="AE1080" i="1"/>
  <c r="AE1079" i="1"/>
  <c r="AE1076" i="1"/>
  <c r="AE1077" i="1"/>
  <c r="AE1075" i="1"/>
  <c r="AE1074" i="1"/>
  <c r="AE1073" i="1"/>
  <c r="AE1071" i="1"/>
  <c r="AE1069" i="1"/>
  <c r="AE1070" i="1"/>
  <c r="AE1066" i="1"/>
  <c r="AE1067" i="1"/>
  <c r="AE1062" i="1"/>
  <c r="AE1063" i="1"/>
  <c r="AE1061" i="1"/>
  <c r="AE1064" i="1"/>
  <c r="AE1057" i="1"/>
  <c r="AE1058" i="1"/>
  <c r="AE1052" i="1"/>
  <c r="AE1051" i="1"/>
  <c r="AE1049" i="1"/>
  <c r="AE1048" i="1"/>
  <c r="AE1043" i="1"/>
  <c r="AE1040" i="1"/>
  <c r="AE1039" i="1"/>
  <c r="AE1021" i="1"/>
  <c r="AE1018" i="1"/>
  <c r="AE1014" i="1"/>
  <c r="AE1011" i="1"/>
  <c r="AE1012" i="1"/>
  <c r="AE996" i="1"/>
  <c r="AE995" i="1"/>
  <c r="AE993" i="1"/>
  <c r="AE992" i="1"/>
  <c r="AE991" i="1"/>
  <c r="AE986" i="1"/>
  <c r="AE985" i="1"/>
  <c r="AE984" i="1"/>
  <c r="AE982" i="1"/>
  <c r="AE981" i="1"/>
  <c r="AE983" i="1"/>
  <c r="AE977" i="1"/>
  <c r="AE975" i="1"/>
  <c r="AE970" i="1"/>
  <c r="AE971" i="1"/>
  <c r="AE959" i="1"/>
  <c r="AE958" i="1"/>
  <c r="AE949" i="1"/>
  <c r="AE947" i="1"/>
  <c r="AE948" i="1"/>
  <c r="AE950" i="1"/>
  <c r="AE943" i="1"/>
  <c r="AE942" i="1"/>
  <c r="AE938" i="1"/>
  <c r="AE937" i="1"/>
  <c r="AE926" i="1"/>
  <c r="AE928" i="1"/>
  <c r="AE927" i="1"/>
  <c r="AE923" i="1"/>
  <c r="AE925" i="1"/>
  <c r="AE924" i="1"/>
  <c r="AE920" i="1"/>
  <c r="AE919" i="1"/>
  <c r="AE929" i="1"/>
  <c r="AE906" i="1"/>
  <c r="AE891" i="1"/>
  <c r="AE880" i="1"/>
  <c r="AE879" i="1"/>
  <c r="AE870" i="1"/>
  <c r="AE869" i="1"/>
  <c r="AE856" i="1"/>
  <c r="AE855" i="1"/>
  <c r="AE833" i="1"/>
  <c r="AE834" i="1"/>
  <c r="AE832" i="1"/>
  <c r="AE831" i="1"/>
  <c r="AE829" i="1"/>
  <c r="AE828" i="1"/>
  <c r="AE826" i="1"/>
  <c r="AE825" i="1"/>
  <c r="AE823" i="1"/>
  <c r="AE822" i="1"/>
  <c r="AE815" i="1"/>
  <c r="AE814" i="1"/>
  <c r="AE813" i="1"/>
  <c r="AE812" i="1"/>
  <c r="AE811" i="1"/>
  <c r="AE806" i="1"/>
  <c r="AE805" i="1"/>
  <c r="AE804" i="1"/>
  <c r="AE784" i="1"/>
  <c r="AE783" i="1"/>
  <c r="AE771" i="1"/>
  <c r="AE766" i="1"/>
  <c r="AE765" i="1"/>
  <c r="AE721" i="1"/>
  <c r="AE723" i="1"/>
  <c r="AE722" i="1"/>
  <c r="AE718" i="1"/>
  <c r="AE720" i="1"/>
  <c r="AE719" i="1"/>
  <c r="AE717" i="1"/>
  <c r="AE716" i="1"/>
  <c r="AE715" i="1"/>
  <c r="AE714" i="1"/>
  <c r="AE706" i="1"/>
  <c r="AE705" i="1"/>
  <c r="AE704" i="1"/>
  <c r="AE703" i="1"/>
  <c r="AE694" i="1"/>
  <c r="AE686" i="1"/>
  <c r="AE684" i="1"/>
  <c r="AE676" i="1"/>
  <c r="AE673" i="1"/>
  <c r="AE672" i="1"/>
  <c r="AE665" i="1"/>
  <c r="AE666" i="1"/>
  <c r="AE664" i="1"/>
  <c r="AE663" i="1"/>
  <c r="AE658" i="1"/>
  <c r="AE659" i="1"/>
  <c r="AE650" i="1"/>
  <c r="AE649" i="1"/>
  <c r="AE648" i="1"/>
  <c r="AE642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18" i="1"/>
  <c r="AE615" i="1"/>
  <c r="AE612" i="1"/>
  <c r="AE611" i="1"/>
  <c r="AE610" i="1"/>
  <c r="AE609" i="1"/>
  <c r="AE577" i="1"/>
  <c r="AE572" i="1"/>
  <c r="AE554" i="1"/>
  <c r="AE550" i="1"/>
  <c r="AE543" i="1"/>
  <c r="AE539" i="1"/>
  <c r="AE537" i="1"/>
  <c r="AE536" i="1"/>
  <c r="AE535" i="1"/>
  <c r="AE534" i="1"/>
  <c r="AE518" i="1"/>
  <c r="AE517" i="1"/>
  <c r="AE512" i="1"/>
  <c r="AE511" i="1"/>
  <c r="AE506" i="1"/>
  <c r="AE505" i="1"/>
  <c r="AE504" i="1"/>
  <c r="AE503" i="1"/>
  <c r="AE502" i="1"/>
  <c r="AE501" i="1"/>
  <c r="AE500" i="1"/>
  <c r="AE497" i="1"/>
  <c r="AE485" i="1"/>
  <c r="AE472" i="1"/>
  <c r="AE468" i="1"/>
  <c r="AE467" i="1"/>
  <c r="AE463" i="1"/>
  <c r="AE464" i="1"/>
  <c r="AE462" i="1"/>
  <c r="AE461" i="1"/>
  <c r="AE460" i="1"/>
  <c r="AE459" i="1"/>
  <c r="AE457" i="1"/>
  <c r="AE455" i="1"/>
  <c r="AE454" i="1"/>
  <c r="AE453" i="1"/>
  <c r="AE452" i="1"/>
  <c r="AE451" i="1"/>
  <c r="AE450" i="1"/>
  <c r="AE449" i="1"/>
  <c r="AE448" i="1"/>
  <c r="AE441" i="1"/>
  <c r="AE442" i="1"/>
  <c r="AE439" i="1"/>
  <c r="AE436" i="1"/>
  <c r="AE435" i="1"/>
  <c r="AE428" i="1"/>
  <c r="AE429" i="1"/>
  <c r="AE426" i="1"/>
  <c r="AE427" i="1"/>
  <c r="AE424" i="1"/>
  <c r="AE425" i="1"/>
  <c r="AE423" i="1"/>
  <c r="AE422" i="1"/>
  <c r="AE409" i="1"/>
  <c r="AE408" i="1"/>
  <c r="AE401" i="1"/>
  <c r="AE400" i="1"/>
  <c r="AE399" i="1"/>
  <c r="AE398" i="1"/>
  <c r="AE397" i="1"/>
  <c r="AE395" i="1"/>
  <c r="AE392" i="1"/>
  <c r="AE393" i="1"/>
  <c r="AE375" i="1"/>
  <c r="AE374" i="1"/>
  <c r="AE372" i="1"/>
  <c r="AE371" i="1"/>
  <c r="AE360" i="1"/>
  <c r="AE358" i="1"/>
  <c r="AE357" i="1"/>
  <c r="AE355" i="1"/>
  <c r="AE353" i="1"/>
  <c r="AE352" i="1"/>
  <c r="AE347" i="1"/>
  <c r="AE325" i="1"/>
  <c r="AE326" i="1"/>
  <c r="AE324" i="1"/>
  <c r="AE314" i="1"/>
  <c r="AE313" i="1"/>
  <c r="AE303" i="1"/>
  <c r="AE302" i="1"/>
  <c r="AE296" i="1"/>
  <c r="AE294" i="1"/>
  <c r="AE293" i="1"/>
  <c r="AE292" i="1"/>
  <c r="AE291" i="1"/>
  <c r="AE290" i="1"/>
  <c r="AE288" i="1"/>
  <c r="AE287" i="1"/>
  <c r="AE284" i="1"/>
  <c r="AE283" i="1"/>
  <c r="AE281" i="1"/>
  <c r="AE280" i="1"/>
  <c r="AE279" i="1"/>
  <c r="AE274" i="1"/>
  <c r="AE273" i="1"/>
  <c r="AE270" i="1"/>
  <c r="AE269" i="1"/>
  <c r="AE268" i="1"/>
  <c r="AE267" i="1"/>
  <c r="AE266" i="1"/>
  <c r="AE265" i="1"/>
  <c r="AE264" i="1"/>
  <c r="AE263" i="1"/>
  <c r="AE262" i="1"/>
  <c r="AE260" i="1"/>
  <c r="AE259" i="1"/>
  <c r="AE248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6" i="1"/>
  <c r="AE227" i="1"/>
  <c r="AE224" i="1"/>
  <c r="AE221" i="1"/>
  <c r="AE222" i="1"/>
  <c r="AE220" i="1"/>
  <c r="AE219" i="1"/>
  <c r="AE217" i="1"/>
  <c r="AE211" i="1"/>
  <c r="AE208" i="1"/>
  <c r="AE207" i="1"/>
  <c r="AE209" i="1"/>
  <c r="AE204" i="1"/>
  <c r="AE206" i="1"/>
  <c r="AE205" i="1"/>
  <c r="AE203" i="1"/>
  <c r="AE201" i="1"/>
  <c r="AE197" i="1"/>
  <c r="AE194" i="1"/>
  <c r="AE190" i="1"/>
  <c r="AE192" i="1"/>
  <c r="AE189" i="1"/>
  <c r="AE186" i="1"/>
  <c r="AE185" i="1"/>
  <c r="AE187" i="1"/>
  <c r="AE179" i="1"/>
  <c r="AE178" i="1"/>
  <c r="AE175" i="1"/>
  <c r="AE176" i="1"/>
  <c r="AE168" i="1"/>
  <c r="AE165" i="1"/>
  <c r="AE164" i="1"/>
  <c r="AE163" i="1"/>
  <c r="AE162" i="1"/>
  <c r="AE160" i="1"/>
  <c r="AE161" i="1"/>
  <c r="AE159" i="1"/>
  <c r="AE158" i="1"/>
  <c r="AE155" i="1"/>
  <c r="AE148" i="1"/>
  <c r="AE147" i="1"/>
  <c r="AE124" i="1"/>
  <c r="AE122" i="1"/>
  <c r="AE121" i="1"/>
  <c r="AE120" i="1"/>
  <c r="AE119" i="1"/>
  <c r="AE118" i="1"/>
  <c r="AE117" i="1"/>
  <c r="AE116" i="1"/>
  <c r="AE111" i="1"/>
  <c r="AE110" i="1"/>
  <c r="AE109" i="1"/>
  <c r="AE108" i="1"/>
  <c r="AE106" i="1"/>
  <c r="AE104" i="1"/>
  <c r="AE105" i="1"/>
  <c r="AE102" i="1"/>
  <c r="AE49" i="1"/>
  <c r="AE48" i="1"/>
  <c r="AE47" i="1"/>
  <c r="AE46" i="1"/>
  <c r="AE45" i="1"/>
  <c r="AE44" i="1"/>
  <c r="AE43" i="1"/>
  <c r="AE42" i="1"/>
  <c r="AE41" i="1"/>
  <c r="AE40" i="1"/>
  <c r="AE39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492" i="1"/>
  <c r="AE2379" i="1"/>
  <c r="AE2308" i="1"/>
  <c r="AE2305" i="1"/>
  <c r="AE2199" i="1"/>
  <c r="AE1976" i="1"/>
  <c r="AE1970" i="1"/>
  <c r="AE1874" i="1"/>
  <c r="AE1872" i="1"/>
  <c r="AE1695" i="1"/>
  <c r="AE1685" i="1"/>
  <c r="AE1683" i="1"/>
  <c r="AE1632" i="1"/>
  <c r="AE1634" i="1"/>
  <c r="AE1633" i="1"/>
  <c r="AE1626" i="1"/>
  <c r="AE1588" i="1"/>
  <c r="AE1587" i="1"/>
  <c r="AE1444" i="1"/>
  <c r="AE1429" i="1"/>
  <c r="AE1412" i="1"/>
  <c r="AE1410" i="1"/>
  <c r="AE1391" i="1"/>
  <c r="AE1227" i="1"/>
  <c r="AE1207" i="1"/>
  <c r="AE1206" i="1"/>
  <c r="AE1000" i="1"/>
  <c r="AE967" i="1"/>
  <c r="AE963" i="1"/>
  <c r="AE962" i="1"/>
  <c r="AE960" i="1"/>
  <c r="AE952" i="1"/>
  <c r="AE951" i="1"/>
  <c r="AE940" i="1"/>
  <c r="AE861" i="1"/>
  <c r="AE860" i="1"/>
  <c r="AE807" i="1"/>
  <c r="AE636" i="1"/>
  <c r="AE619" i="1"/>
  <c r="AE616" i="1"/>
  <c r="AE613" i="1"/>
  <c r="AE574" i="1"/>
  <c r="AE547" i="1"/>
  <c r="AE546" i="1"/>
  <c r="AE356" i="1"/>
  <c r="AE348" i="1"/>
  <c r="AE282" i="1"/>
  <c r="AE277" i="1"/>
  <c r="AE275" i="1"/>
  <c r="AE276" i="1"/>
  <c r="AE218" i="1"/>
  <c r="AE216" i="1"/>
  <c r="AE200" i="1"/>
  <c r="AE131" i="1"/>
  <c r="AE129" i="1"/>
  <c r="AE132" i="1"/>
  <c r="AE95" i="1"/>
  <c r="AE67" i="1"/>
  <c r="AE60" i="1"/>
  <c r="AE59" i="1"/>
  <c r="AE54" i="1"/>
  <c r="AE2" i="1"/>
  <c r="AE2378" i="1"/>
  <c r="AE2307" i="1"/>
  <c r="AE2048" i="1"/>
  <c r="AE1977" i="1"/>
  <c r="AE1875" i="1"/>
  <c r="AE1873" i="1"/>
  <c r="AE1686" i="1"/>
  <c r="AE1684" i="1"/>
  <c r="AE1627" i="1"/>
  <c r="AE1411" i="1"/>
  <c r="AE1390" i="1"/>
  <c r="AE1325" i="1"/>
  <c r="AE1323" i="1"/>
  <c r="AE1231" i="1"/>
  <c r="AE1208" i="1"/>
  <c r="AE1004" i="1"/>
  <c r="AE968" i="1"/>
  <c r="AE965" i="1"/>
  <c r="AE964" i="1"/>
  <c r="AE961" i="1"/>
  <c r="AE941" i="1"/>
  <c r="AE862" i="1"/>
  <c r="AE620" i="1"/>
  <c r="AE617" i="1"/>
  <c r="AE614" i="1"/>
  <c r="AE573" i="1"/>
  <c r="AE210" i="1"/>
  <c r="AE134" i="1"/>
  <c r="AE2306" i="1"/>
  <c r="AE2304" i="1"/>
  <c r="AE2302" i="1"/>
  <c r="AE2244" i="1"/>
  <c r="AE2243" i="1"/>
  <c r="AE2232" i="1"/>
  <c r="AE2215" i="1"/>
  <c r="AE1805" i="1"/>
  <c r="AE1700" i="1"/>
  <c r="AE1696" i="1"/>
  <c r="AE1674" i="1"/>
  <c r="AE1673" i="1"/>
  <c r="AE1672" i="1"/>
  <c r="AE1671" i="1"/>
  <c r="AE1670" i="1"/>
  <c r="AE1669" i="1"/>
  <c r="AE1668" i="1"/>
  <c r="AE1667" i="1"/>
  <c r="AE1666" i="1"/>
  <c r="AE1408" i="1"/>
  <c r="AE1321" i="1"/>
  <c r="AE1205" i="1"/>
  <c r="AE707" i="1"/>
  <c r="AE653" i="1"/>
  <c r="AE637" i="1"/>
  <c r="AE567" i="1"/>
  <c r="AE566" i="1"/>
  <c r="AE65" i="1"/>
  <c r="AE64" i="1"/>
  <c r="AE63" i="1"/>
  <c r="AE62" i="1"/>
  <c r="AE2007" i="1"/>
  <c r="AE1414" i="1"/>
  <c r="AE2005" i="1"/>
  <c r="AE2006" i="1"/>
  <c r="AE1327" i="1"/>
  <c r="AE1326" i="1"/>
  <c r="AE2004" i="1"/>
  <c r="AE2003" i="1"/>
  <c r="AE2002" i="1"/>
  <c r="AE2001" i="1"/>
  <c r="AE1999" i="1"/>
  <c r="AE1998" i="1"/>
  <c r="AE2000" i="1"/>
  <c r="AE1997" i="1"/>
  <c r="AE1698" i="1"/>
  <c r="AC286" i="1" l="1"/>
  <c r="AC1216" i="1"/>
  <c r="AC115" i="1"/>
  <c r="AC2145" i="1"/>
  <c r="AC443" i="1"/>
  <c r="AC641" i="1"/>
  <c r="AC1223" i="1"/>
  <c r="AC2085" i="1"/>
  <c r="AC2151" i="1"/>
  <c r="AC434" i="1"/>
  <c r="AC1230" i="1"/>
  <c r="AC767" i="1"/>
  <c r="AC1341" i="1"/>
  <c r="AC2229" i="1"/>
  <c r="AC473" i="1"/>
  <c r="AC772" i="1"/>
  <c r="AC53" i="1"/>
  <c r="AC38" i="1"/>
  <c r="AC2534" i="1"/>
  <c r="AC1491" i="1"/>
  <c r="AC2338" i="1"/>
  <c r="AC1013" i="1"/>
  <c r="AC1239" i="1"/>
  <c r="AC1059" i="1"/>
  <c r="AC1068" i="1"/>
  <c r="AC2523" i="1"/>
  <c r="AC1236" i="1"/>
  <c r="AC2429" i="1"/>
  <c r="AC2047" i="1"/>
  <c r="AC1947" i="1"/>
  <c r="AC1189" i="1"/>
  <c r="AC660" i="1"/>
  <c r="AC2160" i="1"/>
  <c r="AC2573" i="1"/>
  <c r="AC223" i="1"/>
  <c r="AC921" i="1"/>
  <c r="AC836" i="1"/>
  <c r="AC972" i="1"/>
  <c r="AC1957" i="1"/>
  <c r="AG2229" i="1"/>
  <c r="AG767" i="1"/>
  <c r="AG641" i="1"/>
  <c r="AG443" i="1"/>
  <c r="AG2145" i="1"/>
  <c r="AG2523" i="1"/>
  <c r="AG53" i="1"/>
  <c r="AG1947" i="1"/>
  <c r="AG2573" i="1"/>
  <c r="AG1239" i="1"/>
  <c r="AG1189" i="1"/>
  <c r="AG921" i="1"/>
  <c r="AG1341" i="1"/>
  <c r="AG2151" i="1"/>
  <c r="AG188" i="1"/>
  <c r="AG223" i="1"/>
  <c r="AG1223" i="1"/>
  <c r="AG1333" i="1"/>
  <c r="AG810" i="1"/>
  <c r="AG2085" i="1"/>
  <c r="AG2160" i="1"/>
  <c r="AG2204" i="1"/>
  <c r="AG38" i="1"/>
  <c r="AG1059" i="1"/>
  <c r="AG2541" i="1"/>
  <c r="AG1236" i="1"/>
  <c r="AG1078" i="1"/>
  <c r="AG836" i="1"/>
  <c r="AG1216" i="1"/>
  <c r="AG473" i="1"/>
  <c r="AG1438" i="1"/>
  <c r="AG772" i="1"/>
  <c r="AG1013" i="1"/>
  <c r="AG1230" i="1"/>
  <c r="AG115" i="1"/>
  <c r="AG103" i="1"/>
  <c r="AG193" i="1"/>
  <c r="AG2429" i="1"/>
  <c r="AG2338" i="1"/>
  <c r="AG2047" i="1"/>
  <c r="AG972" i="1"/>
  <c r="AG1068" i="1"/>
  <c r="AG660" i="1"/>
  <c r="AG1957" i="1"/>
  <c r="AG2534" i="1"/>
  <c r="AG1491" i="1"/>
  <c r="AG434" i="1"/>
  <c r="AC2204" i="1"/>
  <c r="AC1438" i="1"/>
  <c r="AC2541" i="1"/>
  <c r="AC1333" i="1"/>
  <c r="AC1078" i="1"/>
  <c r="AC810" i="1"/>
  <c r="AC58" i="1"/>
  <c r="AG58" i="1"/>
  <c r="AC2058" i="1"/>
  <c r="AC1361" i="1"/>
  <c r="AC2421" i="1"/>
  <c r="AC1372" i="1"/>
  <c r="AC1594" i="1"/>
  <c r="AG2563" i="1"/>
  <c r="AG797" i="1"/>
  <c r="AG793" i="1"/>
  <c r="AG801" i="1"/>
  <c r="AG522" i="1"/>
  <c r="AC793" i="1"/>
  <c r="AC801" i="1"/>
  <c r="AC797" i="1"/>
  <c r="AC311" i="1"/>
  <c r="AC310" i="1"/>
  <c r="AC522" i="1"/>
  <c r="AC312" i="1"/>
  <c r="AC885" i="1"/>
  <c r="AC1435" i="1"/>
  <c r="AC1367" i="1"/>
  <c r="AC177" i="1"/>
  <c r="AC516" i="1"/>
  <c r="AC510" i="1"/>
  <c r="AC693" i="1"/>
  <c r="AC789" i="1"/>
  <c r="AC2414" i="1"/>
  <c r="AC298" i="1"/>
  <c r="AC2053" i="1"/>
  <c r="AC2075" i="1"/>
  <c r="AC278" i="1"/>
  <c r="AC2564" i="1"/>
  <c r="AA103" i="1"/>
  <c r="AG789" i="1"/>
  <c r="AG2564" i="1"/>
  <c r="AG130" i="1"/>
  <c r="AG516" i="1"/>
  <c r="AG548" i="1"/>
  <c r="AG1361" i="1"/>
  <c r="AG2021" i="1"/>
  <c r="AG2421" i="1"/>
  <c r="AG1403" i="1"/>
  <c r="E76" i="3"/>
  <c r="AG133" i="1"/>
  <c r="AG298" i="1"/>
  <c r="AG737" i="1"/>
  <c r="AG953" i="1"/>
  <c r="AG1367" i="1"/>
  <c r="AG1435" i="1"/>
  <c r="AG2022" i="1"/>
  <c r="AG2075" i="1"/>
  <c r="AG2538" i="1"/>
  <c r="AG312" i="1"/>
  <c r="AG540" i="1"/>
  <c r="AG693" i="1"/>
  <c r="AG885" i="1"/>
  <c r="AG1372" i="1"/>
  <c r="AG1594" i="1"/>
  <c r="AG2019" i="1"/>
  <c r="AG2053" i="1"/>
  <c r="AG64" i="1"/>
  <c r="AG177" i="1"/>
  <c r="AG278" i="1"/>
  <c r="AG510" i="1"/>
  <c r="AG545" i="1"/>
  <c r="AG743" i="1"/>
  <c r="AG1065" i="1"/>
  <c r="AG1349" i="1"/>
  <c r="AG1402" i="1"/>
  <c r="AG1742" i="1"/>
  <c r="AG2020" i="1"/>
  <c r="AG2058" i="1"/>
  <c r="AG2414" i="1"/>
  <c r="AG2529" i="1"/>
  <c r="F76" i="3"/>
  <c r="AN2380" i="1"/>
  <c r="AM2380" i="1"/>
  <c r="AL2380" i="1" s="1"/>
  <c r="AF2380" i="1"/>
  <c r="W2380" i="1"/>
  <c r="V2380" i="1"/>
  <c r="AN2383" i="1"/>
  <c r="AM2383" i="1"/>
  <c r="AL2383" i="1" s="1"/>
  <c r="AF2383" i="1"/>
  <c r="W2383" i="1"/>
  <c r="V2383" i="1"/>
  <c r="AN2080" i="1"/>
  <c r="AF2080" i="1"/>
  <c r="AC2080" i="1"/>
  <c r="X2080" i="1"/>
  <c r="W2080" i="1"/>
  <c r="V2080" i="1"/>
  <c r="U2080" i="1"/>
  <c r="AM2080" i="1" s="1"/>
  <c r="AL2080" i="1" s="1"/>
  <c r="AJ2204" i="1" l="1"/>
  <c r="AK2204" i="1" s="1"/>
  <c r="AJ772" i="1"/>
  <c r="AK772" i="1" s="1"/>
  <c r="AJ2085" i="1"/>
  <c r="AK2085" i="1" s="1"/>
  <c r="AJ473" i="1"/>
  <c r="AK473" i="1" s="1"/>
  <c r="AJ1223" i="1"/>
  <c r="AK1223" i="1" s="1"/>
  <c r="AJ2229" i="1"/>
  <c r="AK2229" i="1" s="1"/>
  <c r="AJ641" i="1"/>
  <c r="AK641" i="1" s="1"/>
  <c r="AJ1341" i="1"/>
  <c r="AK1341" i="1" s="1"/>
  <c r="AJ443" i="1"/>
  <c r="AK443" i="1" s="1"/>
  <c r="AJ767" i="1"/>
  <c r="AK767" i="1" s="1"/>
  <c r="AJ2145" i="1"/>
  <c r="AK2145" i="1" s="1"/>
  <c r="AJ1230" i="1"/>
  <c r="AK1230" i="1" s="1"/>
  <c r="AJ115" i="1"/>
  <c r="AK115" i="1" s="1"/>
  <c r="AJ434" i="1"/>
  <c r="AK434" i="1" s="1"/>
  <c r="AJ1216" i="1"/>
  <c r="AK1216" i="1" s="1"/>
  <c r="AJ2151" i="1"/>
  <c r="AK2151" i="1" s="1"/>
  <c r="AD103" i="1"/>
  <c r="AB103" i="1"/>
  <c r="AC103" i="1"/>
  <c r="AJ58" i="1"/>
  <c r="AK58" i="1" s="1"/>
  <c r="AJ2058" i="1"/>
  <c r="AK2058" i="1" s="1"/>
  <c r="AJ2541" i="1"/>
  <c r="AK2541" i="1" s="1"/>
  <c r="AJ2053" i="1"/>
  <c r="AK2053" i="1" s="1"/>
  <c r="AJ2564" i="1"/>
  <c r="AK2564" i="1" s="1"/>
  <c r="AJ2075" i="1"/>
  <c r="AK2075" i="1" s="1"/>
  <c r="AA2380" i="1"/>
  <c r="AD2380" i="1" s="1"/>
  <c r="AA2383" i="1"/>
  <c r="AA2080" i="1"/>
  <c r="AD2080" i="1" s="1"/>
  <c r="AJ2080" i="1" s="1"/>
  <c r="AK2080" i="1" s="1"/>
  <c r="AD2383" i="1" l="1"/>
  <c r="AN1083" i="1" l="1"/>
  <c r="W1083" i="1"/>
  <c r="V1083" i="1"/>
  <c r="AM1083" i="1"/>
  <c r="AL1083" i="1" s="1"/>
  <c r="AF200" i="1"/>
  <c r="AF1970" i="1"/>
  <c r="AN1970" i="1"/>
  <c r="W1970" i="1"/>
  <c r="V1970" i="1"/>
  <c r="U1970" i="1"/>
  <c r="T1970" i="1"/>
  <c r="AN200" i="1"/>
  <c r="W200" i="1"/>
  <c r="V200" i="1"/>
  <c r="U200" i="1"/>
  <c r="T200" i="1"/>
  <c r="AN2573" i="1"/>
  <c r="AJ2573" i="1"/>
  <c r="AK2573" i="1" s="1"/>
  <c r="AF1176" i="1"/>
  <c r="AF1163" i="1"/>
  <c r="AF348" i="1"/>
  <c r="AN348" i="1"/>
  <c r="W348" i="1"/>
  <c r="V348" i="1"/>
  <c r="U348" i="1"/>
  <c r="T348" i="1"/>
  <c r="AF355" i="1"/>
  <c r="AF356" i="1"/>
  <c r="AN356" i="1"/>
  <c r="W356" i="1"/>
  <c r="V356" i="1"/>
  <c r="U356" i="1"/>
  <c r="T356" i="1"/>
  <c r="AF398" i="1"/>
  <c r="AN398" i="1"/>
  <c r="W398" i="1"/>
  <c r="V398" i="1"/>
  <c r="U398" i="1"/>
  <c r="T398" i="1"/>
  <c r="AF1075" i="1"/>
  <c r="AN1075" i="1"/>
  <c r="AM1075" i="1"/>
  <c r="AL1075" i="1" s="1"/>
  <c r="W1075" i="1"/>
  <c r="V1075" i="1"/>
  <c r="AA1083" i="1" l="1"/>
  <c r="AM1970" i="1"/>
  <c r="AL1970" i="1" s="1"/>
  <c r="AM348" i="1"/>
  <c r="AL348" i="1" s="1"/>
  <c r="AA1970" i="1"/>
  <c r="AA200" i="1"/>
  <c r="AM200" i="1"/>
  <c r="AL200" i="1" s="1"/>
  <c r="AA348" i="1"/>
  <c r="AM356" i="1"/>
  <c r="AL356" i="1" s="1"/>
  <c r="AM398" i="1"/>
  <c r="AL398" i="1" s="1"/>
  <c r="AA356" i="1"/>
  <c r="AA398" i="1"/>
  <c r="AD398" i="1" s="1"/>
  <c r="AA1075" i="1"/>
  <c r="AC296" i="1"/>
  <c r="AF277" i="1"/>
  <c r="AF275" i="1"/>
  <c r="AF276" i="1"/>
  <c r="W277" i="1"/>
  <c r="V277" i="1"/>
  <c r="W275" i="1"/>
  <c r="V275" i="1"/>
  <c r="W276" i="1"/>
  <c r="V276" i="1"/>
  <c r="AB1083" i="1" l="1"/>
  <c r="AB1970" i="1"/>
  <c r="AB200" i="1"/>
  <c r="AB398" i="1"/>
  <c r="AB348" i="1"/>
  <c r="AB1075" i="1"/>
  <c r="AB356" i="1"/>
  <c r="AA275" i="1"/>
  <c r="AA276" i="1"/>
  <c r="AB276" i="1" s="1"/>
  <c r="AA277" i="1"/>
  <c r="AB277" i="1" s="1"/>
  <c r="AB275" i="1" l="1"/>
  <c r="AN2571" i="1" l="1"/>
  <c r="AM2571" i="1"/>
  <c r="AL2571" i="1" s="1"/>
  <c r="AC2571" i="1"/>
  <c r="AA2571" i="1"/>
  <c r="AN2336" i="1"/>
  <c r="AM2336" i="1"/>
  <c r="AL2336" i="1" s="1"/>
  <c r="AF2336" i="1"/>
  <c r="AC2336" i="1"/>
  <c r="AA2336" i="1"/>
  <c r="AN2045" i="1"/>
  <c r="AM2045" i="1"/>
  <c r="AL2045" i="1" s="1"/>
  <c r="AF2045" i="1"/>
  <c r="AC2045" i="1"/>
  <c r="AA2045" i="1"/>
  <c r="AN1955" i="1"/>
  <c r="AM1955" i="1"/>
  <c r="AL1955" i="1" s="1"/>
  <c r="AF1955" i="1"/>
  <c r="AC1955" i="1"/>
  <c r="AA1955" i="1"/>
  <c r="AD1955" i="1" s="1"/>
  <c r="AN1945" i="1"/>
  <c r="AM1945" i="1"/>
  <c r="AL1945" i="1" s="1"/>
  <c r="AF1945" i="1"/>
  <c r="AC1945" i="1"/>
  <c r="AA1945" i="1"/>
  <c r="AN1738" i="1"/>
  <c r="AN1489" i="1"/>
  <c r="AM1489" i="1"/>
  <c r="AL1489" i="1" s="1"/>
  <c r="AC1489" i="1"/>
  <c r="AA1489" i="1"/>
  <c r="AN1436" i="1"/>
  <c r="AM1436" i="1"/>
  <c r="AL1436" i="1" s="1"/>
  <c r="AC1436" i="1"/>
  <c r="AA1436" i="1"/>
  <c r="AN1433" i="1"/>
  <c r="AN1345" i="1"/>
  <c r="AN1334" i="1"/>
  <c r="AN1237" i="1"/>
  <c r="AM1237" i="1"/>
  <c r="AL1237" i="1" s="1"/>
  <c r="AC1237" i="1"/>
  <c r="AA1237" i="1"/>
  <c r="AN1234" i="1"/>
  <c r="AM1234" i="1"/>
  <c r="AL1234" i="1" s="1"/>
  <c r="AC1234" i="1"/>
  <c r="AA1234" i="1"/>
  <c r="AN1187" i="1"/>
  <c r="AM1187" i="1"/>
  <c r="AL1187" i="1" s="1"/>
  <c r="AC1187" i="1"/>
  <c r="AA1187" i="1"/>
  <c r="AN1076" i="1"/>
  <c r="AM1076" i="1"/>
  <c r="AL1076" i="1" s="1"/>
  <c r="AC1076" i="1"/>
  <c r="AA1076" i="1"/>
  <c r="AN1069" i="1"/>
  <c r="AM1069" i="1"/>
  <c r="AL1069" i="1" s="1"/>
  <c r="AC1069" i="1"/>
  <c r="AA1069" i="1"/>
  <c r="AN1066" i="1"/>
  <c r="AM1066" i="1"/>
  <c r="AL1066" i="1" s="1"/>
  <c r="AF1066" i="1"/>
  <c r="AC1066" i="1"/>
  <c r="AA1066" i="1"/>
  <c r="AD1066" i="1" s="1"/>
  <c r="AN1057" i="1"/>
  <c r="AM1057" i="1"/>
  <c r="AL1057" i="1" s="1"/>
  <c r="AF1057" i="1"/>
  <c r="AC1057" i="1"/>
  <c r="AA1057" i="1"/>
  <c r="AN1011" i="1"/>
  <c r="AM1011" i="1"/>
  <c r="AL1011" i="1" s="1"/>
  <c r="AF1011" i="1"/>
  <c r="AC1011" i="1"/>
  <c r="AA1011" i="1"/>
  <c r="AN970" i="1"/>
  <c r="AM970" i="1"/>
  <c r="AL970" i="1" s="1"/>
  <c r="AF970" i="1"/>
  <c r="AC970" i="1"/>
  <c r="AA970" i="1"/>
  <c r="AN919" i="1"/>
  <c r="AM919" i="1"/>
  <c r="AL919" i="1" s="1"/>
  <c r="AF919" i="1"/>
  <c r="AC919" i="1"/>
  <c r="AA919" i="1"/>
  <c r="AN833" i="1"/>
  <c r="AM833" i="1"/>
  <c r="AL833" i="1" s="1"/>
  <c r="AF833" i="1"/>
  <c r="AC833" i="1"/>
  <c r="AA833" i="1"/>
  <c r="AN658" i="1"/>
  <c r="AM658" i="1"/>
  <c r="AL658" i="1" s="1"/>
  <c r="AC658" i="1"/>
  <c r="AA658" i="1"/>
  <c r="AN221" i="1"/>
  <c r="AM221" i="1"/>
  <c r="AL221" i="1" s="1"/>
  <c r="AF221" i="1"/>
  <c r="AC221" i="1"/>
  <c r="AA221" i="1"/>
  <c r="AN175" i="1"/>
  <c r="AM175" i="1"/>
  <c r="AL175" i="1" s="1"/>
  <c r="AF175" i="1"/>
  <c r="AC175" i="1"/>
  <c r="AA175" i="1"/>
  <c r="AF1698" i="1"/>
  <c r="AM1698" i="1"/>
  <c r="AL1698" i="1" s="1"/>
  <c r="W1698" i="1"/>
  <c r="V1698" i="1"/>
  <c r="AM1700" i="1"/>
  <c r="AL1700" i="1" s="1"/>
  <c r="W1700" i="1"/>
  <c r="V1700" i="1"/>
  <c r="AM1414" i="1"/>
  <c r="AL1414" i="1" s="1"/>
  <c r="AF1414" i="1"/>
  <c r="W1414" i="1"/>
  <c r="V1414" i="1"/>
  <c r="W1413" i="1"/>
  <c r="V1413" i="1"/>
  <c r="AN1414" i="1"/>
  <c r="AM1160" i="1"/>
  <c r="W1159" i="1"/>
  <c r="V1159" i="1"/>
  <c r="W1160" i="1"/>
  <c r="Z1160" i="1" s="1"/>
  <c r="V1160" i="1"/>
  <c r="AB1160" i="1" l="1"/>
  <c r="AD1160" i="1"/>
  <c r="Y1160" i="1"/>
  <c r="AA1413" i="1"/>
  <c r="AD2571" i="1"/>
  <c r="AJ2571" i="1" s="1"/>
  <c r="AK2571" i="1" s="1"/>
  <c r="AD2336" i="1"/>
  <c r="AJ2336" i="1" s="1"/>
  <c r="AK2336" i="1" s="1"/>
  <c r="AD2045" i="1"/>
  <c r="AJ2045" i="1" s="1"/>
  <c r="AK2045" i="1" s="1"/>
  <c r="AJ1955" i="1"/>
  <c r="AK1955" i="1" s="1"/>
  <c r="AD1945" i="1"/>
  <c r="AJ1945" i="1" s="1"/>
  <c r="AK1945" i="1" s="1"/>
  <c r="AD1489" i="1"/>
  <c r="AJ1489" i="1" s="1"/>
  <c r="AK1489" i="1" s="1"/>
  <c r="AD1436" i="1"/>
  <c r="AJ1436" i="1" s="1"/>
  <c r="AK1436" i="1" s="1"/>
  <c r="AD1234" i="1"/>
  <c r="AJ1234" i="1" s="1"/>
  <c r="AK1234" i="1" s="1"/>
  <c r="AD1237" i="1"/>
  <c r="AJ1237" i="1" s="1"/>
  <c r="AK1237" i="1" s="1"/>
  <c r="AD1187" i="1"/>
  <c r="AJ1187" i="1" s="1"/>
  <c r="AK1187" i="1" s="1"/>
  <c r="AD1076" i="1"/>
  <c r="AJ1076" i="1" s="1"/>
  <c r="AK1076" i="1" s="1"/>
  <c r="AD1069" i="1"/>
  <c r="AJ1069" i="1" s="1"/>
  <c r="AK1069" i="1" s="1"/>
  <c r="AJ1066" i="1"/>
  <c r="AK1066" i="1" s="1"/>
  <c r="AD1057" i="1"/>
  <c r="AJ1057" i="1" s="1"/>
  <c r="AK1057" i="1" s="1"/>
  <c r="AD1011" i="1"/>
  <c r="AJ1011" i="1" s="1"/>
  <c r="AK1011" i="1" s="1"/>
  <c r="AD970" i="1"/>
  <c r="AJ970" i="1" s="1"/>
  <c r="AK970" i="1" s="1"/>
  <c r="AD919" i="1"/>
  <c r="AJ919" i="1" s="1"/>
  <c r="AK919" i="1" s="1"/>
  <c r="AD833" i="1"/>
  <c r="AJ833" i="1" s="1"/>
  <c r="AK833" i="1" s="1"/>
  <c r="AD658" i="1"/>
  <c r="AJ658" i="1" s="1"/>
  <c r="AK658" i="1" s="1"/>
  <c r="AD221" i="1"/>
  <c r="AJ221" i="1" s="1"/>
  <c r="AK221" i="1" s="1"/>
  <c r="AD175" i="1"/>
  <c r="AJ175" i="1" s="1"/>
  <c r="AK175" i="1" s="1"/>
  <c r="AA1700" i="1"/>
  <c r="AB1700" i="1" s="1"/>
  <c r="AD1700" i="1" s="1"/>
  <c r="AA1159" i="1"/>
  <c r="AA1414" i="1"/>
  <c r="AA1698" i="1"/>
  <c r="AB1698" i="1" s="1"/>
  <c r="AD1698" i="1" s="1"/>
  <c r="AA1160" i="1" l="1"/>
  <c r="AB1159" i="1"/>
  <c r="AB1414" i="1"/>
  <c r="W653" i="1" l="1"/>
  <c r="V653" i="1"/>
  <c r="AN1321" i="1"/>
  <c r="W1321" i="1"/>
  <c r="V1321" i="1"/>
  <c r="U1321" i="1"/>
  <c r="AM1321" i="1" s="1"/>
  <c r="AL1321" i="1" s="1"/>
  <c r="AF1998" i="1"/>
  <c r="W1998" i="1"/>
  <c r="V1998" i="1"/>
  <c r="U1998" i="1"/>
  <c r="T1998" i="1"/>
  <c r="AA653" i="1" l="1"/>
  <c r="AM1998" i="1"/>
  <c r="AL1998" i="1" s="1"/>
  <c r="AA1321" i="1"/>
  <c r="AA1998" i="1"/>
  <c r="AB653" i="1" l="1"/>
  <c r="AB1998" i="1"/>
  <c r="AF1327" i="1" l="1"/>
  <c r="AF1326" i="1"/>
  <c r="AB1327" i="1"/>
  <c r="AB1326" i="1"/>
  <c r="W1327" i="1"/>
  <c r="V1327" i="1"/>
  <c r="W1326" i="1"/>
  <c r="V1326" i="1"/>
  <c r="AF2556" i="1" l="1"/>
  <c r="AN2556" i="1"/>
  <c r="W2556" i="1"/>
  <c r="V2556" i="1"/>
  <c r="U2556" i="1"/>
  <c r="T2556" i="1"/>
  <c r="AA2556" i="1" l="1"/>
  <c r="AB2556" i="1" s="1"/>
  <c r="AM2556" i="1"/>
  <c r="AL2556" i="1" s="1"/>
  <c r="AN2501" i="1" l="1"/>
  <c r="AC2501" i="1"/>
  <c r="X2501" i="1"/>
  <c r="W2501" i="1"/>
  <c r="V2501" i="1"/>
  <c r="U2501" i="1"/>
  <c r="AM2501" i="1" s="1"/>
  <c r="AL2501" i="1" s="1"/>
  <c r="AN2500" i="1"/>
  <c r="AC2500" i="1"/>
  <c r="X2500" i="1"/>
  <c r="W2500" i="1"/>
  <c r="V2500" i="1"/>
  <c r="U2500" i="1"/>
  <c r="AM2500" i="1" s="1"/>
  <c r="AL2500" i="1" s="1"/>
  <c r="AN1425" i="1"/>
  <c r="AC1425" i="1"/>
  <c r="X1425" i="1"/>
  <c r="W1425" i="1"/>
  <c r="V1425" i="1"/>
  <c r="U1425" i="1"/>
  <c r="AM1425" i="1" s="1"/>
  <c r="AL1425" i="1" s="1"/>
  <c r="AN1424" i="1"/>
  <c r="AC1424" i="1"/>
  <c r="X1424" i="1"/>
  <c r="W1424" i="1"/>
  <c r="V1424" i="1"/>
  <c r="U1424" i="1"/>
  <c r="AM1424" i="1" s="1"/>
  <c r="AL1424" i="1" s="1"/>
  <c r="AN441" i="1"/>
  <c r="AC441" i="1"/>
  <c r="X441" i="1"/>
  <c r="W441" i="1"/>
  <c r="V441" i="1"/>
  <c r="U441" i="1"/>
  <c r="AM441" i="1" s="1"/>
  <c r="AL441" i="1" s="1"/>
  <c r="AN442" i="1"/>
  <c r="AC442" i="1"/>
  <c r="X442" i="1"/>
  <c r="W442" i="1"/>
  <c r="V442" i="1"/>
  <c r="U442" i="1"/>
  <c r="AM442" i="1" s="1"/>
  <c r="AL442" i="1" s="1"/>
  <c r="AA441" i="1" l="1"/>
  <c r="AD441" i="1" s="1"/>
  <c r="AA1425" i="1"/>
  <c r="AD1425" i="1" s="1"/>
  <c r="AA2501" i="1"/>
  <c r="AA442" i="1"/>
  <c r="AA2500" i="1"/>
  <c r="AF2459" i="1"/>
  <c r="AF2455" i="1"/>
  <c r="AF2463" i="1"/>
  <c r="AA1424" i="1"/>
  <c r="AD2501" i="1" l="1"/>
  <c r="AD442" i="1"/>
  <c r="AD1424" i="1"/>
  <c r="AS1424" i="1" s="1"/>
  <c r="AT1424" i="1" s="1"/>
  <c r="AU1424" i="1" s="1"/>
  <c r="AD2500" i="1"/>
  <c r="AN2469" i="1"/>
  <c r="W2469" i="1"/>
  <c r="V2469" i="1"/>
  <c r="U2469" i="1"/>
  <c r="T2469" i="1"/>
  <c r="AN2463" i="1"/>
  <c r="W2463" i="1"/>
  <c r="V2463" i="1"/>
  <c r="U2463" i="1"/>
  <c r="T2463" i="1"/>
  <c r="AN2459" i="1"/>
  <c r="W2459" i="1"/>
  <c r="V2459" i="1"/>
  <c r="U2459" i="1"/>
  <c r="T2459" i="1"/>
  <c r="AN2455" i="1"/>
  <c r="W2455" i="1"/>
  <c r="V2455" i="1"/>
  <c r="U2455" i="1"/>
  <c r="T2455" i="1"/>
  <c r="AF1325" i="1"/>
  <c r="AF1324" i="1"/>
  <c r="AN1325" i="1"/>
  <c r="W1325" i="1"/>
  <c r="V1325" i="1"/>
  <c r="U1325" i="1"/>
  <c r="AM1325" i="1" s="1"/>
  <c r="AL1325" i="1" s="1"/>
  <c r="AN1327" i="1"/>
  <c r="U1327" i="1"/>
  <c r="AM1327" i="1" s="1"/>
  <c r="AL1327" i="1" s="1"/>
  <c r="AN1324" i="1"/>
  <c r="W1324" i="1"/>
  <c r="V1324" i="1"/>
  <c r="U1324" i="1"/>
  <c r="AM1324" i="1" s="1"/>
  <c r="AL1324" i="1" s="1"/>
  <c r="AJ2500" i="1" l="1"/>
  <c r="AA1327" i="1"/>
  <c r="AM2455" i="1"/>
  <c r="AL2455" i="1" s="1"/>
  <c r="AM2459" i="1"/>
  <c r="AL2459" i="1" s="1"/>
  <c r="AM2469" i="1"/>
  <c r="AL2469" i="1" s="1"/>
  <c r="AM2463" i="1"/>
  <c r="AL2463" i="1" s="1"/>
  <c r="AA1324" i="1"/>
  <c r="AA2463" i="1"/>
  <c r="AA2459" i="1"/>
  <c r="AD2459" i="1" s="1"/>
  <c r="AA2469" i="1"/>
  <c r="AA2455" i="1"/>
  <c r="AA1325" i="1"/>
  <c r="AD2463" i="1" l="1"/>
  <c r="AD1324" i="1"/>
  <c r="AD2469" i="1"/>
  <c r="AD2455" i="1"/>
  <c r="AB1325" i="1"/>
  <c r="AF1323" i="1" l="1"/>
  <c r="AN1323" i="1"/>
  <c r="W1323" i="1"/>
  <c r="V1323" i="1"/>
  <c r="U1323" i="1"/>
  <c r="AM1323" i="1" s="1"/>
  <c r="AL1323" i="1" s="1"/>
  <c r="AF1322" i="1"/>
  <c r="W1322" i="1"/>
  <c r="V1322" i="1"/>
  <c r="U1322" i="1"/>
  <c r="AM1322" i="1" s="1"/>
  <c r="AL1322" i="1" s="1"/>
  <c r="U1326" i="1"/>
  <c r="AM1326" i="1" s="1"/>
  <c r="AL1326" i="1" s="1"/>
  <c r="AN1326" i="1"/>
  <c r="AF2369" i="1"/>
  <c r="AF2371" i="1"/>
  <c r="AF2372" i="1"/>
  <c r="AF2361" i="1"/>
  <c r="AF2363" i="1"/>
  <c r="AF2365" i="1"/>
  <c r="AN2369" i="1"/>
  <c r="W2369" i="1"/>
  <c r="V2369" i="1"/>
  <c r="U2369" i="1"/>
  <c r="T2369" i="1"/>
  <c r="AN2367" i="1"/>
  <c r="AF2367" i="1"/>
  <c r="AC2367" i="1"/>
  <c r="W2367" i="1"/>
  <c r="V2367" i="1"/>
  <c r="U2367" i="1"/>
  <c r="AM2367" i="1" s="1"/>
  <c r="AL2367" i="1" s="1"/>
  <c r="AN2371" i="1"/>
  <c r="W2371" i="1"/>
  <c r="V2371" i="1"/>
  <c r="U2371" i="1"/>
  <c r="AM2371" i="1" s="1"/>
  <c r="AN2372" i="1"/>
  <c r="AM2372" i="1"/>
  <c r="W2372" i="1"/>
  <c r="V2372" i="1"/>
  <c r="M2372" i="1"/>
  <c r="AH2372" i="1" s="1"/>
  <c r="AN2361" i="1"/>
  <c r="W2361" i="1"/>
  <c r="V2361" i="1"/>
  <c r="U2361" i="1"/>
  <c r="T2361" i="1"/>
  <c r="AN2363" i="1"/>
  <c r="W2363" i="1"/>
  <c r="V2363" i="1"/>
  <c r="U2363" i="1"/>
  <c r="AM2363" i="1" s="1"/>
  <c r="M2363" i="1"/>
  <c r="AH2363" i="1" s="1"/>
  <c r="AN2365" i="1"/>
  <c r="W2365" i="1"/>
  <c r="V2365" i="1"/>
  <c r="U2365" i="1"/>
  <c r="AM2365" i="1" s="1"/>
  <c r="M2365" i="1"/>
  <c r="AH2365" i="1" s="1"/>
  <c r="AL2365" i="1" l="1"/>
  <c r="AL2372" i="1"/>
  <c r="AL2363" i="1"/>
  <c r="AA2371" i="1"/>
  <c r="AD2371" i="1" s="1"/>
  <c r="AA1326" i="1"/>
  <c r="AA2363" i="1"/>
  <c r="AM2361" i="1"/>
  <c r="AL2361" i="1" s="1"/>
  <c r="AA1323" i="1"/>
  <c r="AM2369" i="1"/>
  <c r="AL2369" i="1" s="1"/>
  <c r="AA2361" i="1"/>
  <c r="AA2367" i="1"/>
  <c r="AA1322" i="1"/>
  <c r="AD1322" i="1" s="1"/>
  <c r="AA2365" i="1"/>
  <c r="AA2372" i="1"/>
  <c r="AA2369" i="1"/>
  <c r="W1408" i="1"/>
  <c r="AC1408" i="1" s="1"/>
  <c r="V1408" i="1"/>
  <c r="AD2361" i="1" l="1"/>
  <c r="AD2363" i="1"/>
  <c r="AD2367" i="1"/>
  <c r="AB1323" i="1"/>
  <c r="AD2365" i="1"/>
  <c r="AD2372" i="1"/>
  <c r="AA1408" i="1"/>
  <c r="AJ2367" i="1" l="1"/>
  <c r="AK2367" i="1" s="1"/>
  <c r="AF1999" i="1"/>
  <c r="AF455" i="1"/>
  <c r="AF453" i="1"/>
  <c r="AF451" i="1"/>
  <c r="AF449" i="1"/>
  <c r="AF2007" i="1" l="1"/>
  <c r="W2007" i="1"/>
  <c r="V2007" i="1"/>
  <c r="U2007" i="1"/>
  <c r="T2007" i="1"/>
  <c r="AF2006" i="1"/>
  <c r="AM2006" i="1"/>
  <c r="AL2006" i="1" s="1"/>
  <c r="W2006" i="1"/>
  <c r="V2006" i="1"/>
  <c r="AF2005" i="1"/>
  <c r="AM2005" i="1"/>
  <c r="AL2005" i="1" s="1"/>
  <c r="W2005" i="1"/>
  <c r="V2005" i="1"/>
  <c r="AF2004" i="1"/>
  <c r="W2004" i="1"/>
  <c r="V2004" i="1"/>
  <c r="U2004" i="1"/>
  <c r="T2004" i="1"/>
  <c r="AF2003" i="1"/>
  <c r="AM2003" i="1"/>
  <c r="AL2003" i="1" s="1"/>
  <c r="W2003" i="1"/>
  <c r="V2003" i="1"/>
  <c r="AF2002" i="1"/>
  <c r="W2002" i="1"/>
  <c r="V2002" i="1"/>
  <c r="U2002" i="1"/>
  <c r="T2002" i="1"/>
  <c r="AM2007" i="1" l="1"/>
  <c r="AL2007" i="1" s="1"/>
  <c r="AA2007" i="1"/>
  <c r="AA2005" i="1"/>
  <c r="AM2004" i="1"/>
  <c r="AL2004" i="1" s="1"/>
  <c r="AA2006" i="1"/>
  <c r="AA2004" i="1"/>
  <c r="AA2002" i="1"/>
  <c r="AA2003" i="1"/>
  <c r="AM2002" i="1"/>
  <c r="AL2002" i="1" s="1"/>
  <c r="AB2003" i="1" l="1"/>
  <c r="AB2004" i="1"/>
  <c r="AB2007" i="1"/>
  <c r="AB2006" i="1"/>
  <c r="AB2005" i="1"/>
  <c r="AB2002" i="1"/>
  <c r="AF2001" i="1" l="1"/>
  <c r="W2001" i="1"/>
  <c r="V2001" i="1"/>
  <c r="U2001" i="1"/>
  <c r="T2001" i="1"/>
  <c r="W1999" i="1"/>
  <c r="V1999" i="1"/>
  <c r="U1999" i="1"/>
  <c r="T1999" i="1"/>
  <c r="AF2000" i="1"/>
  <c r="W2000" i="1"/>
  <c r="V2000" i="1"/>
  <c r="U2000" i="1"/>
  <c r="T2000" i="1"/>
  <c r="AF1997" i="1"/>
  <c r="W1997" i="1"/>
  <c r="V1997" i="1"/>
  <c r="U1997" i="1"/>
  <c r="T1997" i="1"/>
  <c r="AM1997" i="1" l="1"/>
  <c r="AL1997" i="1" s="1"/>
  <c r="AA2000" i="1"/>
  <c r="AM1999" i="1"/>
  <c r="AL1999" i="1" s="1"/>
  <c r="AA2001" i="1"/>
  <c r="AA1999" i="1"/>
  <c r="AM2001" i="1"/>
  <c r="AL2001" i="1" s="1"/>
  <c r="AA1997" i="1"/>
  <c r="AB2000" i="1" l="1"/>
  <c r="AB1997" i="1"/>
  <c r="AB1999" i="1"/>
  <c r="AB2001" i="1"/>
  <c r="W2470" i="1" l="1"/>
  <c r="V2470" i="1"/>
  <c r="W2464" i="1"/>
  <c r="V2464" i="1"/>
  <c r="W2460" i="1"/>
  <c r="V2460" i="1"/>
  <c r="W2456" i="1"/>
  <c r="V2456" i="1"/>
  <c r="AF2470" i="1" l="1"/>
  <c r="AF2460" i="1"/>
  <c r="AF2456" i="1"/>
  <c r="AN2470" i="1"/>
  <c r="U2470" i="1"/>
  <c r="T2470" i="1"/>
  <c r="AN2464" i="1"/>
  <c r="U2464" i="1"/>
  <c r="T2464" i="1"/>
  <c r="AN2460" i="1"/>
  <c r="U2460" i="1"/>
  <c r="T2460" i="1"/>
  <c r="AN2456" i="1"/>
  <c r="U2456" i="1"/>
  <c r="T2456" i="1"/>
  <c r="AM2464" i="1" l="1"/>
  <c r="AL2464" i="1" s="1"/>
  <c r="AM2456" i="1"/>
  <c r="AL2456" i="1" s="1"/>
  <c r="AM2470" i="1"/>
  <c r="AL2470" i="1" s="1"/>
  <c r="AA2470" i="1"/>
  <c r="AA2464" i="1"/>
  <c r="AA2460" i="1"/>
  <c r="AM2460" i="1"/>
  <c r="AL2460" i="1" s="1"/>
  <c r="AA2456" i="1"/>
  <c r="AD2464" i="1" l="1"/>
  <c r="AD2470" i="1"/>
  <c r="AD2456" i="1"/>
  <c r="AD2460" i="1"/>
  <c r="AN2020" i="1" l="1"/>
  <c r="AM2020" i="1"/>
  <c r="AL2020" i="1" s="1"/>
  <c r="W2020" i="1"/>
  <c r="AC2020" i="1" s="1"/>
  <c r="V2020" i="1"/>
  <c r="AN2019" i="1"/>
  <c r="AM2019" i="1"/>
  <c r="AL2019" i="1" s="1"/>
  <c r="W2019" i="1"/>
  <c r="AC2019" i="1" s="1"/>
  <c r="V2019" i="1"/>
  <c r="AN2022" i="1"/>
  <c r="AN548" i="1"/>
  <c r="AA548" i="1"/>
  <c r="AC548" i="1" s="1"/>
  <c r="AN545" i="1"/>
  <c r="AM545" i="1"/>
  <c r="AL545" i="1" s="1"/>
  <c r="W545" i="1"/>
  <c r="AC545" i="1" s="1"/>
  <c r="V545" i="1"/>
  <c r="AN547" i="1"/>
  <c r="AM547" i="1"/>
  <c r="AL547" i="1" s="1"/>
  <c r="W547" i="1"/>
  <c r="AC547" i="1" s="1"/>
  <c r="V547" i="1"/>
  <c r="W191" i="1"/>
  <c r="V191" i="1"/>
  <c r="U191" i="1"/>
  <c r="T191" i="1"/>
  <c r="W190" i="1"/>
  <c r="V190" i="1"/>
  <c r="U190" i="1"/>
  <c r="T190" i="1"/>
  <c r="W192" i="1"/>
  <c r="V192" i="1"/>
  <c r="U192" i="1"/>
  <c r="T192" i="1"/>
  <c r="W193" i="1"/>
  <c r="V193" i="1"/>
  <c r="U193" i="1"/>
  <c r="T193" i="1"/>
  <c r="AN186" i="1"/>
  <c r="AF186" i="1"/>
  <c r="W186" i="1"/>
  <c r="V186" i="1"/>
  <c r="U186" i="1"/>
  <c r="T186" i="1"/>
  <c r="AN133" i="1"/>
  <c r="U133" i="1"/>
  <c r="T133" i="1"/>
  <c r="AF131" i="1"/>
  <c r="AF129" i="1"/>
  <c r="AF132" i="1"/>
  <c r="AN130" i="1"/>
  <c r="W130" i="1"/>
  <c r="V130" i="1"/>
  <c r="U130" i="1"/>
  <c r="T130" i="1"/>
  <c r="AN131" i="1"/>
  <c r="W131" i="1"/>
  <c r="V131" i="1"/>
  <c r="U131" i="1"/>
  <c r="T131" i="1"/>
  <c r="AN129" i="1"/>
  <c r="W129" i="1"/>
  <c r="V129" i="1"/>
  <c r="U129" i="1"/>
  <c r="T129" i="1"/>
  <c r="AM191" i="1" l="1"/>
  <c r="AL191" i="1" s="1"/>
  <c r="AA191" i="1"/>
  <c r="AD191" i="1" s="1"/>
  <c r="AA133" i="1"/>
  <c r="AA2022" i="1"/>
  <c r="AC2022" i="1" s="1"/>
  <c r="AA2019" i="1"/>
  <c r="AA2020" i="1"/>
  <c r="AM129" i="1"/>
  <c r="AL129" i="1" s="1"/>
  <c r="AA131" i="1"/>
  <c r="AB131" i="1" s="1"/>
  <c r="AD131" i="1" s="1"/>
  <c r="AA545" i="1"/>
  <c r="AA547" i="1"/>
  <c r="AA186" i="1"/>
  <c r="AM186" i="1"/>
  <c r="AL186" i="1" s="1"/>
  <c r="AA129" i="1"/>
  <c r="AB129" i="1" s="1"/>
  <c r="AD129" i="1" s="1"/>
  <c r="AM131" i="1"/>
  <c r="AL131" i="1" s="1"/>
  <c r="AM133" i="1"/>
  <c r="AL133" i="1" s="1"/>
  <c r="AA130" i="1"/>
  <c r="AB130" i="1" s="1"/>
  <c r="AD130" i="1" s="1"/>
  <c r="AM130" i="1"/>
  <c r="AL130" i="1" s="1"/>
  <c r="AC133" i="1" l="1"/>
  <c r="AB133" i="1"/>
  <c r="AD133" i="1" s="1"/>
  <c r="AD186" i="1"/>
  <c r="V64" i="1" l="1"/>
  <c r="W64" i="1"/>
  <c r="AM64" i="1"/>
  <c r="AL64" i="1" s="1"/>
  <c r="AN64" i="1"/>
  <c r="AA64" i="1" l="1"/>
  <c r="AC64" i="1" s="1"/>
  <c r="AN63" i="1"/>
  <c r="AM63" i="1"/>
  <c r="AL63" i="1" s="1"/>
  <c r="W63" i="1"/>
  <c r="V63" i="1"/>
  <c r="AA63" i="1" l="1"/>
  <c r="AC63" i="1" s="1"/>
  <c r="AB64" i="1"/>
  <c r="AD64" i="1" s="1"/>
  <c r="AN2205" i="1"/>
  <c r="AM2205" i="1"/>
  <c r="AL2205" i="1" s="1"/>
  <c r="AF2386" i="1"/>
  <c r="AF2382" i="1"/>
  <c r="AF2078" i="1"/>
  <c r="AF981" i="1"/>
  <c r="AF2081" i="1"/>
  <c r="AF2076" i="1"/>
  <c r="AF2077" i="1"/>
  <c r="AF439" i="1"/>
  <c r="AC2499" i="1"/>
  <c r="AC2386" i="1"/>
  <c r="AC2382" i="1"/>
  <c r="AC2205" i="1"/>
  <c r="AC2149" i="1"/>
  <c r="AC2141" i="1"/>
  <c r="AC2081" i="1"/>
  <c r="AC2079" i="1"/>
  <c r="AC2076" i="1"/>
  <c r="AC2077" i="1"/>
  <c r="AC2078" i="1"/>
  <c r="AC1940" i="1"/>
  <c r="AC1939" i="1"/>
  <c r="AC1938" i="1"/>
  <c r="AC1937" i="1"/>
  <c r="AC1423" i="1"/>
  <c r="AC981" i="1"/>
  <c r="AC831" i="1"/>
  <c r="AC828" i="1"/>
  <c r="AC825" i="1"/>
  <c r="AC822" i="1"/>
  <c r="AC439" i="1"/>
  <c r="X2499" i="1"/>
  <c r="X2386" i="1"/>
  <c r="X2382" i="1"/>
  <c r="X2205" i="1"/>
  <c r="X2149" i="1"/>
  <c r="X2141" i="1"/>
  <c r="X2081" i="1"/>
  <c r="X2079" i="1"/>
  <c r="X2076" i="1"/>
  <c r="X2077" i="1"/>
  <c r="X2078" i="1"/>
  <c r="X1940" i="1"/>
  <c r="X1939" i="1"/>
  <c r="X1938" i="1"/>
  <c r="X1937" i="1"/>
  <c r="X1423" i="1"/>
  <c r="X981" i="1"/>
  <c r="X831" i="1"/>
  <c r="X828" i="1"/>
  <c r="X825" i="1"/>
  <c r="X822" i="1"/>
  <c r="W2499" i="1"/>
  <c r="W2386" i="1"/>
  <c r="W2382" i="1"/>
  <c r="W2205" i="1"/>
  <c r="W2149" i="1"/>
  <c r="W2141" i="1"/>
  <c r="W2081" i="1"/>
  <c r="W2079" i="1"/>
  <c r="W2076" i="1"/>
  <c r="W2077" i="1"/>
  <c r="W2078" i="1"/>
  <c r="W1940" i="1"/>
  <c r="W1939" i="1"/>
  <c r="W1938" i="1"/>
  <c r="W1937" i="1"/>
  <c r="W1423" i="1"/>
  <c r="W981" i="1"/>
  <c r="W831" i="1"/>
  <c r="W828" i="1"/>
  <c r="W825" i="1"/>
  <c r="W822" i="1"/>
  <c r="V2499" i="1"/>
  <c r="V2386" i="1"/>
  <c r="V2382" i="1"/>
  <c r="V2205" i="1"/>
  <c r="V2149" i="1"/>
  <c r="V2141" i="1"/>
  <c r="V2081" i="1"/>
  <c r="V2079" i="1"/>
  <c r="V2076" i="1"/>
  <c r="V2077" i="1"/>
  <c r="V2078" i="1"/>
  <c r="V1940" i="1"/>
  <c r="V1939" i="1"/>
  <c r="V1938" i="1"/>
  <c r="V1937" i="1"/>
  <c r="V1423" i="1"/>
  <c r="V981" i="1"/>
  <c r="V831" i="1"/>
  <c r="V828" i="1"/>
  <c r="V825" i="1"/>
  <c r="V822" i="1"/>
  <c r="AF982" i="1"/>
  <c r="AF823" i="1"/>
  <c r="AF347" i="1"/>
  <c r="W2385" i="1"/>
  <c r="W2384" i="1"/>
  <c r="W2381" i="1"/>
  <c r="W2150" i="1"/>
  <c r="W2140" i="1"/>
  <c r="W1471" i="1"/>
  <c r="W1470" i="1"/>
  <c r="W1014" i="1"/>
  <c r="W983" i="1"/>
  <c r="W982" i="1"/>
  <c r="W832" i="1"/>
  <c r="W829" i="1"/>
  <c r="V2385" i="1"/>
  <c r="V2384" i="1"/>
  <c r="V2381" i="1"/>
  <c r="V2150" i="1"/>
  <c r="V2140" i="1"/>
  <c r="V1471" i="1"/>
  <c r="V1470" i="1"/>
  <c r="V1014" i="1"/>
  <c r="V983" i="1"/>
  <c r="V982" i="1"/>
  <c r="V832" i="1"/>
  <c r="V829" i="1"/>
  <c r="V826" i="1"/>
  <c r="AB63" i="1" l="1"/>
  <c r="AD63" i="1" s="1"/>
  <c r="AF1266" i="1" l="1"/>
  <c r="AF1264" i="1"/>
  <c r="AN1266" i="1"/>
  <c r="W1266" i="1"/>
  <c r="V1266" i="1"/>
  <c r="U1266" i="1"/>
  <c r="T1266" i="1"/>
  <c r="AN1264" i="1"/>
  <c r="W1264" i="1"/>
  <c r="V1264" i="1"/>
  <c r="U1264" i="1"/>
  <c r="T1264" i="1"/>
  <c r="AF2322" i="1"/>
  <c r="AF2315" i="1"/>
  <c r="AF2312" i="1"/>
  <c r="AN2325" i="1"/>
  <c r="W2325" i="1"/>
  <c r="V2325" i="1"/>
  <c r="U2325" i="1"/>
  <c r="T2325" i="1"/>
  <c r="AN2322" i="1"/>
  <c r="W2322" i="1"/>
  <c r="V2322" i="1"/>
  <c r="U2322" i="1"/>
  <c r="T2322" i="1"/>
  <c r="AN2315" i="1"/>
  <c r="W2315" i="1"/>
  <c r="V2315" i="1"/>
  <c r="U2315" i="1"/>
  <c r="T2315" i="1"/>
  <c r="AN2312" i="1"/>
  <c r="W2312" i="1"/>
  <c r="V2312" i="1"/>
  <c r="U2312" i="1"/>
  <c r="T2312" i="1"/>
  <c r="AF1915" i="1"/>
  <c r="AF1913" i="1"/>
  <c r="AN1915" i="1"/>
  <c r="W1915" i="1"/>
  <c r="V1915" i="1"/>
  <c r="U1915" i="1"/>
  <c r="T1915" i="1"/>
  <c r="AN1913" i="1"/>
  <c r="W1913" i="1"/>
  <c r="V1913" i="1"/>
  <c r="U1913" i="1"/>
  <c r="T1913" i="1"/>
  <c r="AF1300" i="1"/>
  <c r="AF1298" i="1"/>
  <c r="AN1300" i="1"/>
  <c r="AM1300" i="1"/>
  <c r="AL1300" i="1" s="1"/>
  <c r="W1300" i="1"/>
  <c r="V1300" i="1"/>
  <c r="AN1298" i="1"/>
  <c r="W1298" i="1"/>
  <c r="V1298" i="1"/>
  <c r="U1298" i="1"/>
  <c r="T1298" i="1"/>
  <c r="AF2515" i="1"/>
  <c r="AF2513" i="1"/>
  <c r="AN2515" i="1"/>
  <c r="W2515" i="1"/>
  <c r="V2515" i="1"/>
  <c r="U2515" i="1"/>
  <c r="T2515" i="1"/>
  <c r="AN2513" i="1"/>
  <c r="W2513" i="1"/>
  <c r="V2513" i="1"/>
  <c r="U2513" i="1"/>
  <c r="T2513" i="1"/>
  <c r="AF1812" i="1"/>
  <c r="AF1810" i="1"/>
  <c r="AF1808" i="1"/>
  <c r="AN1812" i="1"/>
  <c r="W1812" i="1"/>
  <c r="V1812" i="1"/>
  <c r="U1812" i="1"/>
  <c r="T1812" i="1"/>
  <c r="AN1810" i="1"/>
  <c r="W1810" i="1"/>
  <c r="V1810" i="1"/>
  <c r="U1810" i="1"/>
  <c r="T1810" i="1"/>
  <c r="AN1808" i="1"/>
  <c r="W1808" i="1"/>
  <c r="V1808" i="1"/>
  <c r="U1808" i="1"/>
  <c r="T1808" i="1"/>
  <c r="AF1121" i="1"/>
  <c r="AF1119" i="1"/>
  <c r="AF1117" i="1"/>
  <c r="AN1121" i="1"/>
  <c r="W1121" i="1"/>
  <c r="V1121" i="1"/>
  <c r="U1121" i="1"/>
  <c r="T1121" i="1"/>
  <c r="AN1119" i="1"/>
  <c r="W1119" i="1"/>
  <c r="V1119" i="1"/>
  <c r="U1119" i="1"/>
  <c r="T1119" i="1"/>
  <c r="AN1117" i="1"/>
  <c r="W1117" i="1"/>
  <c r="V1117" i="1"/>
  <c r="U1117" i="1"/>
  <c r="T1117" i="1"/>
  <c r="AF717" i="1"/>
  <c r="AF715" i="1"/>
  <c r="AN717" i="1"/>
  <c r="W717" i="1"/>
  <c r="V717" i="1"/>
  <c r="U717" i="1"/>
  <c r="T717" i="1"/>
  <c r="AN715" i="1"/>
  <c r="W715" i="1"/>
  <c r="V715" i="1"/>
  <c r="U715" i="1"/>
  <c r="T715" i="1"/>
  <c r="AA1913" i="1" l="1"/>
  <c r="AD1913" i="1" s="1"/>
  <c r="AM1915" i="1"/>
  <c r="AL1915" i="1" s="1"/>
  <c r="AM1913" i="1"/>
  <c r="AL1913" i="1" s="1"/>
  <c r="AA2312" i="1"/>
  <c r="AM2315" i="1"/>
  <c r="AL2315" i="1" s="1"/>
  <c r="AA2322" i="1"/>
  <c r="AM2325" i="1"/>
  <c r="AL2325" i="1" s="1"/>
  <c r="AA1264" i="1"/>
  <c r="AD1264" i="1" s="1"/>
  <c r="AM1266" i="1"/>
  <c r="AL1266" i="1" s="1"/>
  <c r="AM2322" i="1"/>
  <c r="AL2322" i="1" s="1"/>
  <c r="AA1298" i="1"/>
  <c r="AD1298" i="1" s="1"/>
  <c r="AA2515" i="1"/>
  <c r="AM1264" i="1"/>
  <c r="AL1264" i="1" s="1"/>
  <c r="AA1266" i="1"/>
  <c r="AM2312" i="1"/>
  <c r="AL2312" i="1" s="1"/>
  <c r="AA2315" i="1"/>
  <c r="AA2325" i="1"/>
  <c r="AA2513" i="1"/>
  <c r="AM2515" i="1"/>
  <c r="AL2515" i="1" s="1"/>
  <c r="AM1298" i="1"/>
  <c r="AL1298" i="1" s="1"/>
  <c r="AA1915" i="1"/>
  <c r="AD1915" i="1" s="1"/>
  <c r="AA1300" i="1"/>
  <c r="AA715" i="1"/>
  <c r="AD715" i="1" s="1"/>
  <c r="AM717" i="1"/>
  <c r="AL717" i="1" s="1"/>
  <c r="AM2513" i="1"/>
  <c r="AL2513" i="1" s="1"/>
  <c r="AM1808" i="1"/>
  <c r="AL1808" i="1" s="1"/>
  <c r="AA1808" i="1"/>
  <c r="AM1810" i="1"/>
  <c r="AL1810" i="1" s="1"/>
  <c r="AA1812" i="1"/>
  <c r="AM1119" i="1"/>
  <c r="AL1119" i="1" s="1"/>
  <c r="AA1121" i="1"/>
  <c r="AD1121" i="1" s="1"/>
  <c r="AM1117" i="1"/>
  <c r="AL1117" i="1" s="1"/>
  <c r="AA1810" i="1"/>
  <c r="AM1812" i="1"/>
  <c r="AL1812" i="1" s="1"/>
  <c r="AA1117" i="1"/>
  <c r="AM715" i="1"/>
  <c r="AL715" i="1" s="1"/>
  <c r="AA1119" i="1"/>
  <c r="AM1121" i="1"/>
  <c r="AL1121" i="1" s="1"/>
  <c r="AA717" i="1"/>
  <c r="AD717" i="1" s="1"/>
  <c r="AD2312" i="1" l="1"/>
  <c r="AD2325" i="1"/>
  <c r="AD2322" i="1"/>
  <c r="AD2515" i="1"/>
  <c r="AD2315" i="1"/>
  <c r="AD1266" i="1"/>
  <c r="AD2513" i="1"/>
  <c r="AD1808" i="1"/>
  <c r="AD1300" i="1"/>
  <c r="AD1812" i="1"/>
  <c r="AD1117" i="1"/>
  <c r="AD1810" i="1"/>
  <c r="AD1119" i="1"/>
  <c r="AF1265" i="1" l="1"/>
  <c r="AF1263" i="1"/>
  <c r="AF1120" i="1"/>
  <c r="AF1118" i="1"/>
  <c r="AF1116" i="1"/>
  <c r="AF716" i="1"/>
  <c r="AF1874" i="1" l="1"/>
  <c r="AF1875" i="1"/>
  <c r="AF650" i="1"/>
  <c r="AF409" i="1"/>
  <c r="AF1279" i="1"/>
  <c r="AF1507" i="1"/>
  <c r="AF1404" i="1"/>
  <c r="AF2168" i="1"/>
  <c r="AF2378" i="1" l="1"/>
  <c r="AF1686" i="1"/>
  <c r="AF210" i="1"/>
  <c r="AF1231" i="1"/>
  <c r="AF573" i="1"/>
  <c r="AF1411" i="1"/>
  <c r="AF1390" i="1"/>
  <c r="AF1684" i="1"/>
  <c r="AF617" i="1"/>
  <c r="AF961" i="1"/>
  <c r="AF134" i="1"/>
  <c r="AF2244" i="1"/>
  <c r="AF1627" i="1"/>
  <c r="AF941" i="1"/>
  <c r="AF1977" i="1"/>
  <c r="AN1434" i="1"/>
  <c r="AN1407" i="1"/>
  <c r="AN1682" i="1"/>
  <c r="AN1975" i="1"/>
  <c r="AN859" i="1"/>
  <c r="AN939" i="1"/>
  <c r="AN128" i="1"/>
  <c r="AN1772" i="1"/>
  <c r="AN1335" i="1"/>
  <c r="AN1329" i="1"/>
  <c r="AN1322" i="1"/>
  <c r="AN785" i="1"/>
  <c r="AN881" i="1"/>
  <c r="AN2389" i="1"/>
  <c r="AN2182" i="1"/>
  <c r="AN2138" i="1"/>
  <c r="AN2544" i="1"/>
  <c r="AN1646" i="1"/>
  <c r="AN1818" i="1"/>
  <c r="AN1814" i="1"/>
  <c r="AN1739" i="1"/>
  <c r="AN1743" i="1"/>
  <c r="AN1744" i="1"/>
  <c r="AN1133" i="1"/>
  <c r="AN1346" i="1"/>
  <c r="AN1406" i="1"/>
  <c r="AN492" i="1"/>
  <c r="AN2283" i="1"/>
  <c r="AN2248" i="1"/>
  <c r="AN2235" i="1"/>
  <c r="AN2236" i="1"/>
  <c r="AN2241" i="1"/>
  <c r="AN2276" i="1"/>
  <c r="AN1688" i="1"/>
  <c r="AN1277" i="1"/>
  <c r="AN1276" i="1"/>
  <c r="AN1687" i="1"/>
  <c r="AN474" i="1"/>
  <c r="AN2474" i="1"/>
  <c r="AN1127" i="1"/>
  <c r="AN394" i="1"/>
  <c r="AN1561" i="1"/>
  <c r="AN1430" i="1"/>
  <c r="AN91" i="1"/>
  <c r="AN1690" i="1"/>
  <c r="AN1245" i="1"/>
  <c r="AN376" i="1"/>
  <c r="AN1160" i="1"/>
  <c r="AN2575" i="1"/>
  <c r="AN2572" i="1"/>
  <c r="AN2555" i="1"/>
  <c r="AN2433" i="1"/>
  <c r="AN2552" i="1"/>
  <c r="AN2550" i="1"/>
  <c r="AN1860" i="1"/>
  <c r="AN283" i="1"/>
  <c r="AN2546" i="1"/>
  <c r="AN2539" i="1"/>
  <c r="AN2530" i="1"/>
  <c r="AN2526" i="1"/>
  <c r="AN2527" i="1"/>
  <c r="AN2525" i="1"/>
  <c r="AN2524" i="1"/>
  <c r="AN2529" i="1"/>
  <c r="AN2528" i="1"/>
  <c r="AN2519" i="1"/>
  <c r="AN2518" i="1"/>
  <c r="AN2517" i="1"/>
  <c r="AN2516" i="1"/>
  <c r="AN2514" i="1"/>
  <c r="AN2512" i="1"/>
  <c r="AN2511" i="1"/>
  <c r="AN2510" i="1"/>
  <c r="AN2509" i="1"/>
  <c r="AN2508" i="1"/>
  <c r="AN2507" i="1"/>
  <c r="AN2506" i="1"/>
  <c r="AN2505" i="1"/>
  <c r="AN2504" i="1"/>
  <c r="AN2503" i="1"/>
  <c r="AN282" i="1"/>
  <c r="AN2502" i="1"/>
  <c r="AN2499" i="1"/>
  <c r="AN2494" i="1"/>
  <c r="AN2493" i="1"/>
  <c r="AN2492" i="1"/>
  <c r="AN2491" i="1"/>
  <c r="AN2489" i="1"/>
  <c r="AN2487" i="1"/>
  <c r="AN567" i="1"/>
  <c r="AN566" i="1"/>
  <c r="AN2483" i="1"/>
  <c r="AN2473" i="1"/>
  <c r="AN2472" i="1"/>
  <c r="AN2471" i="1"/>
  <c r="AN2468" i="1"/>
  <c r="AN2466" i="1"/>
  <c r="AN2465" i="1"/>
  <c r="AN2462" i="1"/>
  <c r="AN2457" i="1"/>
  <c r="AN2454" i="1"/>
  <c r="AN2452" i="1"/>
  <c r="AN2451" i="1"/>
  <c r="AN2450" i="1"/>
  <c r="AN2449" i="1"/>
  <c r="AN2448" i="1"/>
  <c r="AN2447" i="1"/>
  <c r="AN784" i="1"/>
  <c r="AN783" i="1"/>
  <c r="AN1357" i="1"/>
  <c r="AN2432" i="1"/>
  <c r="AN2424" i="1"/>
  <c r="AN2423" i="1"/>
  <c r="AN1356" i="1"/>
  <c r="AN2407" i="1"/>
  <c r="AN2406" i="1"/>
  <c r="AN2405" i="1"/>
  <c r="AN2404" i="1"/>
  <c r="AN2403" i="1"/>
  <c r="AN2402" i="1"/>
  <c r="AN2401" i="1"/>
  <c r="AN2400" i="1"/>
  <c r="AN2399" i="1"/>
  <c r="AN2398" i="1"/>
  <c r="AN2397" i="1"/>
  <c r="AN2396" i="1"/>
  <c r="AN2394" i="1"/>
  <c r="AN2393" i="1"/>
  <c r="AN2392" i="1"/>
  <c r="AN2391" i="1"/>
  <c r="AN2390" i="1"/>
  <c r="AN2386" i="1"/>
  <c r="AN2385" i="1"/>
  <c r="AN2384" i="1"/>
  <c r="AN2382" i="1"/>
  <c r="AN2381" i="1"/>
  <c r="AN2378" i="1"/>
  <c r="AN2379" i="1"/>
  <c r="AN2368" i="1"/>
  <c r="AN2373" i="1"/>
  <c r="AN2374" i="1"/>
  <c r="AN2370" i="1"/>
  <c r="AN2366" i="1"/>
  <c r="AN2364" i="1"/>
  <c r="AN2362" i="1"/>
  <c r="AN2360" i="1"/>
  <c r="AN2359" i="1"/>
  <c r="AN2353" i="1"/>
  <c r="AN2485" i="1"/>
  <c r="AN2484" i="1"/>
  <c r="AN2347" i="1"/>
  <c r="AN2348" i="1"/>
  <c r="AN2339" i="1"/>
  <c r="AN2337" i="1"/>
  <c r="AN2435" i="1"/>
  <c r="AN2434" i="1"/>
  <c r="AN1954" i="1"/>
  <c r="AN1953" i="1"/>
  <c r="AN2280" i="1"/>
  <c r="AN2277" i="1"/>
  <c r="AN2231" i="1"/>
  <c r="AN2227" i="1"/>
  <c r="AN2198" i="1"/>
  <c r="AN2197" i="1"/>
  <c r="AN2195" i="1"/>
  <c r="AN2194" i="1"/>
  <c r="AN2323" i="1"/>
  <c r="AN2320" i="1"/>
  <c r="AN2313" i="1"/>
  <c r="AN2310" i="1"/>
  <c r="AN2308" i="1"/>
  <c r="AN2307" i="1"/>
  <c r="AN2306" i="1"/>
  <c r="AN2305" i="1"/>
  <c r="AN2304" i="1"/>
  <c r="AN2303" i="1"/>
  <c r="AN2302" i="1"/>
  <c r="AN2301" i="1"/>
  <c r="AN2300" i="1"/>
  <c r="AN2299" i="1"/>
  <c r="AN2298" i="1"/>
  <c r="AN2297" i="1"/>
  <c r="AN2296" i="1"/>
  <c r="AN2293" i="1"/>
  <c r="AN2292" i="1"/>
  <c r="AN2291" i="1"/>
  <c r="AN2290" i="1"/>
  <c r="AN2289" i="1"/>
  <c r="AN2288" i="1"/>
  <c r="AN2287" i="1"/>
  <c r="AN2286" i="1"/>
  <c r="AN2285" i="1"/>
  <c r="AN2284" i="1"/>
  <c r="AN2282" i="1"/>
  <c r="AN2281" i="1"/>
  <c r="AN2275" i="1"/>
  <c r="AN2274" i="1"/>
  <c r="AN2273" i="1"/>
  <c r="AN2272" i="1"/>
  <c r="AN2271" i="1"/>
  <c r="AN2270" i="1"/>
  <c r="AN2269" i="1"/>
  <c r="AN2268" i="1"/>
  <c r="AN2267" i="1"/>
  <c r="AN2266" i="1"/>
  <c r="AN2265" i="1"/>
  <c r="AN2264" i="1"/>
  <c r="AN2263" i="1"/>
  <c r="AN2262" i="1"/>
  <c r="AN2261" i="1"/>
  <c r="AN2260" i="1"/>
  <c r="AN2258" i="1"/>
  <c r="AN2257" i="1"/>
  <c r="AN2256" i="1"/>
  <c r="AN2255" i="1"/>
  <c r="AN2254" i="1"/>
  <c r="AN2253" i="1"/>
  <c r="AN2252" i="1"/>
  <c r="AN2251" i="1"/>
  <c r="AN2250" i="1"/>
  <c r="AN2249" i="1"/>
  <c r="AN2247" i="1"/>
  <c r="AN2246" i="1"/>
  <c r="AN2245" i="1"/>
  <c r="AN2244" i="1"/>
  <c r="AN2243" i="1"/>
  <c r="AN2242" i="1"/>
  <c r="AN2240" i="1"/>
  <c r="AN2239" i="1"/>
  <c r="AN2238" i="1"/>
  <c r="AN2237" i="1"/>
  <c r="AN2234" i="1"/>
  <c r="AN2233" i="1"/>
  <c r="AN2232" i="1"/>
  <c r="AN2223" i="1"/>
  <c r="AN2222" i="1"/>
  <c r="AN2221" i="1"/>
  <c r="AN2220" i="1"/>
  <c r="AN2218" i="1"/>
  <c r="AN2217" i="1"/>
  <c r="AN2216" i="1"/>
  <c r="AN2215" i="1"/>
  <c r="AN2214" i="1"/>
  <c r="AN2213" i="1"/>
  <c r="AN2212" i="1"/>
  <c r="AN2211" i="1"/>
  <c r="AN2207" i="1"/>
  <c r="AN274" i="1"/>
  <c r="AN2200" i="1"/>
  <c r="AN2199" i="1"/>
  <c r="AN273" i="1"/>
  <c r="AN2189" i="1"/>
  <c r="AN2187" i="1"/>
  <c r="AN2186" i="1"/>
  <c r="AN2172" i="1"/>
  <c r="AN2171" i="1"/>
  <c r="AN2170" i="1"/>
  <c r="AN2168" i="1"/>
  <c r="AN2166" i="1"/>
  <c r="AN2165" i="1"/>
  <c r="AN2156" i="1"/>
  <c r="AN2150" i="1"/>
  <c r="AN2149" i="1"/>
  <c r="AN2140" i="1"/>
  <c r="AN2141" i="1"/>
  <c r="AN2132" i="1"/>
  <c r="AN2130" i="1"/>
  <c r="AN2123" i="1"/>
  <c r="AN2122" i="1"/>
  <c r="AN2121" i="1"/>
  <c r="AN2120" i="1"/>
  <c r="AN2119" i="1"/>
  <c r="AN2118" i="1"/>
  <c r="AN2117" i="1"/>
  <c r="AN2116" i="1"/>
  <c r="AN2115" i="1"/>
  <c r="AN2114" i="1"/>
  <c r="AN2103" i="1"/>
  <c r="AN2102" i="1"/>
  <c r="AN2101" i="1"/>
  <c r="AN2100" i="1"/>
  <c r="AN2099" i="1"/>
  <c r="AN2098" i="1"/>
  <c r="AN2097" i="1"/>
  <c r="AN2094" i="1"/>
  <c r="AN2081" i="1"/>
  <c r="AN2079" i="1"/>
  <c r="AN2076" i="1"/>
  <c r="AN2077" i="1"/>
  <c r="AN2078" i="1"/>
  <c r="AN2071" i="1"/>
  <c r="AN2049" i="1"/>
  <c r="AN2048" i="1"/>
  <c r="AN2046" i="1"/>
  <c r="AN2041" i="1"/>
  <c r="AN2039" i="1"/>
  <c r="AN2029" i="1"/>
  <c r="AN2028" i="1"/>
  <c r="AN2027" i="1"/>
  <c r="AN2026" i="1"/>
  <c r="AN2025" i="1"/>
  <c r="AN2024" i="1"/>
  <c r="AN2023" i="1"/>
  <c r="AN2021" i="1"/>
  <c r="AN2016" i="1"/>
  <c r="AN2015" i="1"/>
  <c r="AN2013" i="1"/>
  <c r="AN2008" i="1"/>
  <c r="AN1995" i="1"/>
  <c r="AN1994" i="1"/>
  <c r="AN1977" i="1"/>
  <c r="AN1976" i="1"/>
  <c r="AN1971" i="1"/>
  <c r="AN1961" i="1"/>
  <c r="AN1960" i="1"/>
  <c r="AN1959" i="1"/>
  <c r="AN1956" i="1"/>
  <c r="AN2554" i="1"/>
  <c r="AN1952" i="1"/>
  <c r="AN1951" i="1"/>
  <c r="AN1948" i="1"/>
  <c r="AN1949" i="1"/>
  <c r="AN1946" i="1"/>
  <c r="AN1944" i="1"/>
  <c r="AN1943" i="1"/>
  <c r="AN1940" i="1"/>
  <c r="AN1939" i="1"/>
  <c r="AN1938" i="1"/>
  <c r="AN1937" i="1"/>
  <c r="AN1927" i="1"/>
  <c r="AN1925" i="1"/>
  <c r="AN1914" i="1"/>
  <c r="AN1912" i="1"/>
  <c r="AN1910" i="1"/>
  <c r="AN1879" i="1"/>
  <c r="AN1878" i="1"/>
  <c r="AN1875" i="1"/>
  <c r="AN1874" i="1"/>
  <c r="AN1873" i="1"/>
  <c r="AN1872" i="1"/>
  <c r="AN1871" i="1"/>
  <c r="AN1863" i="1"/>
  <c r="AN1862" i="1"/>
  <c r="AN1859" i="1"/>
  <c r="AN1855" i="1"/>
  <c r="AN1854" i="1"/>
  <c r="AN1853" i="1"/>
  <c r="AN1848" i="1"/>
  <c r="AN1838" i="1"/>
  <c r="AN1837" i="1"/>
  <c r="AN1823" i="1"/>
  <c r="AN1822" i="1"/>
  <c r="AN1817" i="1"/>
  <c r="AN1815" i="1"/>
  <c r="AN1816" i="1"/>
  <c r="AN1811" i="1"/>
  <c r="AN1809" i="1"/>
  <c r="AN1807" i="1"/>
  <c r="AN1806" i="1"/>
  <c r="AN1805" i="1"/>
  <c r="AN1788" i="1"/>
  <c r="AN294" i="1"/>
  <c r="AN664" i="1"/>
  <c r="AN663" i="1"/>
  <c r="AN2331" i="1"/>
  <c r="AN1782" i="1"/>
  <c r="AN1781" i="1"/>
  <c r="AN1780" i="1"/>
  <c r="AN1778" i="1"/>
  <c r="AN1777" i="1"/>
  <c r="AN1776" i="1"/>
  <c r="AN1774" i="1"/>
  <c r="AN1769" i="1"/>
  <c r="AN1768" i="1"/>
  <c r="AN1766" i="1"/>
  <c r="AN1751" i="1"/>
  <c r="AN1749" i="1"/>
  <c r="AN1750" i="1"/>
  <c r="AN1725" i="1"/>
  <c r="AN1724" i="1"/>
  <c r="AN1722" i="1"/>
  <c r="AN1721" i="1"/>
  <c r="AN1718" i="1"/>
  <c r="AN1717" i="1"/>
  <c r="AN1703" i="1"/>
  <c r="AN1704" i="1"/>
  <c r="AN1696" i="1"/>
  <c r="AN1695" i="1"/>
  <c r="AN2330" i="1"/>
  <c r="AN1693" i="1"/>
  <c r="AN1686" i="1"/>
  <c r="AN1685" i="1"/>
  <c r="AN1684" i="1"/>
  <c r="AN1683" i="1"/>
  <c r="AN1674" i="1"/>
  <c r="AN1673" i="1"/>
  <c r="AN1672" i="1"/>
  <c r="AN1671" i="1"/>
  <c r="AN1670" i="1"/>
  <c r="AN1669" i="1"/>
  <c r="AN1668" i="1"/>
  <c r="AN1667" i="1"/>
  <c r="AN1666" i="1"/>
  <c r="AN1640" i="1"/>
  <c r="AN1639" i="1"/>
  <c r="AN1634" i="1"/>
  <c r="AN1633" i="1"/>
  <c r="AN1632" i="1"/>
  <c r="AN1627" i="1"/>
  <c r="AN1626" i="1"/>
  <c r="AN1616" i="1"/>
  <c r="AN1615" i="1"/>
  <c r="AN1614" i="1"/>
  <c r="AN1613" i="1"/>
  <c r="AN1611" i="1"/>
  <c r="AN1609" i="1"/>
  <c r="AN1608" i="1"/>
  <c r="AN1607" i="1"/>
  <c r="AN1606" i="1"/>
  <c r="AN1601" i="1"/>
  <c r="AN1070" i="1"/>
  <c r="AN1067" i="1"/>
  <c r="AN1588" i="1"/>
  <c r="AN1590" i="1"/>
  <c r="AN1589" i="1"/>
  <c r="AN1587" i="1"/>
  <c r="AN1583" i="1"/>
  <c r="AN1582" i="1"/>
  <c r="AN1581" i="1"/>
  <c r="AN1579" i="1"/>
  <c r="AN1577" i="1"/>
  <c r="AN1576" i="1"/>
  <c r="AN1575" i="1"/>
  <c r="AN1574" i="1"/>
  <c r="AN1573" i="1"/>
  <c r="AN1572" i="1"/>
  <c r="AN1571" i="1"/>
  <c r="AN1570" i="1"/>
  <c r="AN1569" i="1"/>
  <c r="AN1568" i="1"/>
  <c r="AN1566" i="1"/>
  <c r="AN1565" i="1"/>
  <c r="AN1564" i="1"/>
  <c r="AN1563" i="1"/>
  <c r="AN1560" i="1"/>
  <c r="AN1559" i="1"/>
  <c r="AN1558" i="1"/>
  <c r="AN1536" i="1"/>
  <c r="AN2328" i="1"/>
  <c r="AN2327" i="1"/>
  <c r="AN1529" i="1"/>
  <c r="AN1528" i="1"/>
  <c r="AN1527" i="1"/>
  <c r="AN1526" i="1"/>
  <c r="AN1525" i="1"/>
  <c r="AN1524" i="1"/>
  <c r="AN1523" i="1"/>
  <c r="AN1522" i="1"/>
  <c r="AN1521" i="1"/>
  <c r="AN1520" i="1"/>
  <c r="AN1519" i="1"/>
  <c r="AN1518" i="1"/>
  <c r="AN1517" i="1"/>
  <c r="AN1507" i="1"/>
  <c r="AN1506" i="1"/>
  <c r="AN1503" i="1"/>
  <c r="AN1501" i="1"/>
  <c r="AN1498" i="1"/>
  <c r="AN1497" i="1"/>
  <c r="AN1496" i="1"/>
  <c r="AN1495" i="1"/>
  <c r="AN1494" i="1"/>
  <c r="AN1493" i="1"/>
  <c r="AN1492" i="1"/>
  <c r="AN1490" i="1"/>
  <c r="AN1473" i="1"/>
  <c r="AN1471" i="1"/>
  <c r="AN1470" i="1"/>
  <c r="AN1469" i="1"/>
  <c r="AN1467" i="1"/>
  <c r="AN1464" i="1"/>
  <c r="AN1463" i="1"/>
  <c r="AN1462" i="1"/>
  <c r="AN1460" i="1"/>
  <c r="AN1457" i="1"/>
  <c r="AN1456" i="1"/>
  <c r="AN1453" i="1"/>
  <c r="AN1452" i="1"/>
  <c r="AN1451" i="1"/>
  <c r="AN1450" i="1"/>
  <c r="AN1443" i="1"/>
  <c r="AN1444" i="1"/>
  <c r="AN1439" i="1"/>
  <c r="AN1437" i="1"/>
  <c r="AN673" i="1"/>
  <c r="AN1429" i="1"/>
  <c r="AN1427" i="1"/>
  <c r="AN1423" i="1"/>
  <c r="AN1422" i="1"/>
  <c r="AN1419" i="1"/>
  <c r="AN1420" i="1"/>
  <c r="AN1418" i="1"/>
  <c r="AN1416" i="1"/>
  <c r="AN1417" i="1"/>
  <c r="AN1412" i="1"/>
  <c r="AN1411" i="1"/>
  <c r="AN1410" i="1"/>
  <c r="AN672" i="1"/>
  <c r="AN943" i="1"/>
  <c r="AN1404" i="1"/>
  <c r="AN1403" i="1"/>
  <c r="AN1402" i="1"/>
  <c r="AN1401" i="1"/>
  <c r="AN1400" i="1"/>
  <c r="AN1398" i="1"/>
  <c r="AN1397" i="1"/>
  <c r="AN1393" i="1"/>
  <c r="AN1394" i="1"/>
  <c r="AN1392" i="1"/>
  <c r="AN1391" i="1"/>
  <c r="AN1390" i="1"/>
  <c r="AN1378" i="1"/>
  <c r="AN1377" i="1"/>
  <c r="AN1374" i="1"/>
  <c r="AN1373" i="1"/>
  <c r="AN1368" i="1"/>
  <c r="AN1363" i="1"/>
  <c r="AN942" i="1"/>
  <c r="AN375" i="1"/>
  <c r="AN1352" i="1"/>
  <c r="AN1340" i="1"/>
  <c r="AN1312" i="1"/>
  <c r="AN1309" i="1"/>
  <c r="AN1304" i="1"/>
  <c r="AN1303" i="1"/>
  <c r="AN1302" i="1"/>
  <c r="AN1299" i="1"/>
  <c r="AN1297" i="1"/>
  <c r="AN1290" i="1"/>
  <c r="AN1279" i="1"/>
  <c r="AN1275" i="1"/>
  <c r="AN1274" i="1"/>
  <c r="AN1273" i="1"/>
  <c r="AN1265" i="1"/>
  <c r="AN1263" i="1"/>
  <c r="AN1262" i="1"/>
  <c r="AN1244" i="1"/>
  <c r="AN1243" i="1"/>
  <c r="AN1242" i="1"/>
  <c r="AN1241" i="1"/>
  <c r="AN1238" i="1"/>
  <c r="AN1235" i="1"/>
  <c r="AN1231" i="1"/>
  <c r="AN1226" i="1"/>
  <c r="AN1227" i="1"/>
  <c r="AN1225" i="1"/>
  <c r="AN1224" i="1"/>
  <c r="AN1218" i="1"/>
  <c r="AN1219" i="1"/>
  <c r="AN1217" i="1"/>
  <c r="AN1212" i="1"/>
  <c r="AN1208" i="1"/>
  <c r="AN1207" i="1"/>
  <c r="AN1206" i="1"/>
  <c r="AN1205" i="1"/>
  <c r="AN1193" i="1"/>
  <c r="AN1192" i="1"/>
  <c r="AN1191" i="1"/>
  <c r="AN1180" i="1"/>
  <c r="AN1181" i="1"/>
  <c r="AN1188" i="1"/>
  <c r="AN1176" i="1"/>
  <c r="AN1175" i="1"/>
  <c r="AN1174" i="1"/>
  <c r="AN1173" i="1"/>
  <c r="AN1172" i="1"/>
  <c r="AN1171" i="1"/>
  <c r="AN1170" i="1"/>
  <c r="AN1169" i="1"/>
  <c r="AN1168" i="1"/>
  <c r="AN1167" i="1"/>
  <c r="AN1166" i="1"/>
  <c r="AN1165" i="1"/>
  <c r="AN1164" i="1"/>
  <c r="AN1163" i="1"/>
  <c r="AN1162" i="1"/>
  <c r="AN1161" i="1"/>
  <c r="AN1152" i="1"/>
  <c r="AN1151" i="1"/>
  <c r="AN1149" i="1"/>
  <c r="AN1148" i="1"/>
  <c r="AN1143" i="1"/>
  <c r="AN1139" i="1"/>
  <c r="AN1140" i="1"/>
  <c r="AN1138" i="1"/>
  <c r="AN1126" i="1"/>
  <c r="AN1125" i="1"/>
  <c r="AN1124" i="1"/>
  <c r="AN1123" i="1"/>
  <c r="AN1122" i="1"/>
  <c r="AN1120" i="1"/>
  <c r="AN1118" i="1"/>
  <c r="AN1116" i="1"/>
  <c r="AN1111" i="1"/>
  <c r="AN1110" i="1"/>
  <c r="AN1109" i="1"/>
  <c r="AN1108" i="1"/>
  <c r="AN1107" i="1"/>
  <c r="AN1106" i="1"/>
  <c r="AN1100" i="1"/>
  <c r="AN1098" i="1"/>
  <c r="AN374" i="1"/>
  <c r="AN1088" i="1"/>
  <c r="AN1087" i="1"/>
  <c r="AN1085" i="1"/>
  <c r="AN1084" i="1"/>
  <c r="AN1082" i="1"/>
  <c r="AN1081" i="1"/>
  <c r="AN1080" i="1"/>
  <c r="AN1079" i="1"/>
  <c r="AN1077" i="1"/>
  <c r="AN1074" i="1"/>
  <c r="AN1073" i="1"/>
  <c r="AN1071" i="1"/>
  <c r="AN1063" i="1"/>
  <c r="AN1061" i="1"/>
  <c r="AN1062" i="1"/>
  <c r="AN1065" i="1"/>
  <c r="AN1064" i="1"/>
  <c r="AN1058" i="1"/>
  <c r="AN1052" i="1"/>
  <c r="AN1051" i="1"/>
  <c r="AN1049" i="1"/>
  <c r="AN1048" i="1"/>
  <c r="AN2193" i="1"/>
  <c r="AN1043" i="1"/>
  <c r="AN1040" i="1"/>
  <c r="AN1039" i="1"/>
  <c r="AN1021" i="1"/>
  <c r="AN1018" i="1"/>
  <c r="AN1014" i="1"/>
  <c r="AN1012" i="1"/>
  <c r="AN1009" i="1"/>
  <c r="AN1004" i="1"/>
  <c r="AN1000" i="1"/>
  <c r="AN2192" i="1"/>
  <c r="AN1535" i="1"/>
  <c r="AN996" i="1"/>
  <c r="AN995" i="1"/>
  <c r="AN993" i="1"/>
  <c r="AN991" i="1"/>
  <c r="AN992" i="1"/>
  <c r="AN986" i="1"/>
  <c r="AN985" i="1"/>
  <c r="AN984" i="1"/>
  <c r="AN981" i="1"/>
  <c r="AN983" i="1"/>
  <c r="AN982" i="1"/>
  <c r="AN977" i="1"/>
  <c r="AN975" i="1"/>
  <c r="AN971" i="1"/>
  <c r="AN968" i="1"/>
  <c r="AN967" i="1"/>
  <c r="AN965" i="1"/>
  <c r="AN964" i="1"/>
  <c r="AN963" i="1"/>
  <c r="AN962" i="1"/>
  <c r="AN961" i="1"/>
  <c r="AN960" i="1"/>
  <c r="AN959" i="1"/>
  <c r="AN958" i="1"/>
  <c r="AN952" i="1"/>
  <c r="AN949" i="1"/>
  <c r="AN947" i="1"/>
  <c r="AN948" i="1"/>
  <c r="AN953" i="1"/>
  <c r="AN950" i="1"/>
  <c r="AN951" i="1"/>
  <c r="AN1534" i="1"/>
  <c r="AN1533" i="1"/>
  <c r="AN941" i="1"/>
  <c r="AN940" i="1"/>
  <c r="AN938" i="1"/>
  <c r="AN937" i="1"/>
  <c r="AN928" i="1"/>
  <c r="AN927" i="1"/>
  <c r="AN926" i="1"/>
  <c r="AN925" i="1"/>
  <c r="AN924" i="1"/>
  <c r="AN923" i="1"/>
  <c r="AN920" i="1"/>
  <c r="AN929" i="1"/>
  <c r="AN906" i="1"/>
  <c r="AN899" i="1"/>
  <c r="AN891" i="1"/>
  <c r="AN880" i="1"/>
  <c r="AN879" i="1"/>
  <c r="AN870" i="1"/>
  <c r="AN869" i="1"/>
  <c r="AN862" i="1"/>
  <c r="AN861" i="1"/>
  <c r="AN860" i="1"/>
  <c r="AN856" i="1"/>
  <c r="AN855" i="1"/>
  <c r="AN844" i="1"/>
  <c r="AN834" i="1"/>
  <c r="AN832" i="1"/>
  <c r="AN831" i="1"/>
  <c r="AN829" i="1"/>
  <c r="AN828" i="1"/>
  <c r="AN826" i="1"/>
  <c r="AN825" i="1"/>
  <c r="AN823" i="1"/>
  <c r="AN822" i="1"/>
  <c r="AN815" i="1"/>
  <c r="AN814" i="1"/>
  <c r="AN813" i="1"/>
  <c r="AN812" i="1"/>
  <c r="AN811" i="1"/>
  <c r="AN805" i="1"/>
  <c r="AN804" i="1"/>
  <c r="AN807" i="1"/>
  <c r="AN806" i="1"/>
  <c r="AN2549" i="1"/>
  <c r="AN2548" i="1"/>
  <c r="AN771" i="1"/>
  <c r="AN766" i="1"/>
  <c r="AN765" i="1"/>
  <c r="AN743" i="1"/>
  <c r="AN723" i="1"/>
  <c r="AN722" i="1"/>
  <c r="AN721" i="1"/>
  <c r="AN720" i="1"/>
  <c r="AN719" i="1"/>
  <c r="AN718" i="1"/>
  <c r="AN716" i="1"/>
  <c r="AN714" i="1"/>
  <c r="AN707" i="1"/>
  <c r="AN706" i="1"/>
  <c r="AN705" i="1"/>
  <c r="AN704" i="1"/>
  <c r="AN703" i="1"/>
  <c r="AN699" i="1"/>
  <c r="AN694" i="1"/>
  <c r="AN686" i="1"/>
  <c r="AN687" i="1"/>
  <c r="AN684" i="1"/>
  <c r="AN685" i="1"/>
  <c r="AN676" i="1"/>
  <c r="AN314" i="1"/>
  <c r="AN313" i="1"/>
  <c r="AN671" i="1"/>
  <c r="AN670" i="1"/>
  <c r="AN666" i="1"/>
  <c r="AN665" i="1"/>
  <c r="AN578" i="1"/>
  <c r="AN577" i="1"/>
  <c r="AN659" i="1"/>
  <c r="AN650" i="1"/>
  <c r="AN649" i="1"/>
  <c r="AN648" i="1"/>
  <c r="AN646" i="1"/>
  <c r="AN642" i="1"/>
  <c r="AN637" i="1"/>
  <c r="AN635" i="1"/>
  <c r="AN636" i="1"/>
  <c r="AN634" i="1"/>
  <c r="AN633" i="1"/>
  <c r="AN632" i="1"/>
  <c r="AN631" i="1"/>
  <c r="AN630" i="1"/>
  <c r="AN629" i="1"/>
  <c r="AN628" i="1"/>
  <c r="AN627" i="1"/>
  <c r="AN626" i="1"/>
  <c r="AN625" i="1"/>
  <c r="AN624" i="1"/>
  <c r="AN623" i="1"/>
  <c r="AN622" i="1"/>
  <c r="AN621" i="1"/>
  <c r="AN620" i="1"/>
  <c r="AN618" i="1"/>
  <c r="AN619" i="1"/>
  <c r="AN617" i="1"/>
  <c r="AN615" i="1"/>
  <c r="AN616" i="1"/>
  <c r="AN614" i="1"/>
  <c r="AN612" i="1"/>
  <c r="AN613" i="1"/>
  <c r="AN611" i="1"/>
  <c r="AN610" i="1"/>
  <c r="AN609" i="1"/>
  <c r="AN1799" i="1"/>
  <c r="AN574" i="1"/>
  <c r="AN573" i="1"/>
  <c r="AN572" i="1"/>
  <c r="AN1798" i="1"/>
  <c r="AN1795" i="1"/>
  <c r="AN554" i="1"/>
  <c r="AN550" i="1"/>
  <c r="AN546" i="1"/>
  <c r="AN543" i="1"/>
  <c r="AN540" i="1"/>
  <c r="AN539" i="1"/>
  <c r="AN537" i="1"/>
  <c r="AN536" i="1"/>
  <c r="AN535" i="1"/>
  <c r="AN534" i="1"/>
  <c r="AN518" i="1"/>
  <c r="AN517" i="1"/>
  <c r="AN512" i="1"/>
  <c r="AN511" i="1"/>
  <c r="AN506" i="1"/>
  <c r="AN505" i="1"/>
  <c r="AN504" i="1"/>
  <c r="AN503" i="1"/>
  <c r="AN502" i="1"/>
  <c r="AN501" i="1"/>
  <c r="AN500" i="1"/>
  <c r="AN497" i="1"/>
  <c r="AN485" i="1"/>
  <c r="AN482" i="1"/>
  <c r="AN481" i="1"/>
  <c r="AN478" i="1"/>
  <c r="AN472" i="1"/>
  <c r="AN468" i="1"/>
  <c r="AN467" i="1"/>
  <c r="AN464" i="1"/>
  <c r="AN463" i="1"/>
  <c r="AN462" i="1"/>
  <c r="AN461" i="1"/>
  <c r="AN460" i="1"/>
  <c r="AN459" i="1"/>
  <c r="AN457" i="1"/>
  <c r="AN455" i="1"/>
  <c r="AN454" i="1"/>
  <c r="AN453" i="1"/>
  <c r="AN452" i="1"/>
  <c r="AN451" i="1"/>
  <c r="AN450" i="1"/>
  <c r="AN449" i="1"/>
  <c r="AN448" i="1"/>
  <c r="AN439" i="1"/>
  <c r="AN436" i="1"/>
  <c r="AN435" i="1"/>
  <c r="AN428" i="1"/>
  <c r="AN429" i="1"/>
  <c r="AN426" i="1"/>
  <c r="AN427" i="1"/>
  <c r="AN424" i="1"/>
  <c r="AN425" i="1"/>
  <c r="AN423" i="1"/>
  <c r="AN422" i="1"/>
  <c r="AN409" i="1"/>
  <c r="AN408" i="1"/>
  <c r="AN401" i="1"/>
  <c r="AN400" i="1"/>
  <c r="AN399" i="1"/>
  <c r="AN397" i="1"/>
  <c r="AN395" i="1"/>
  <c r="AN393" i="1"/>
  <c r="AN392" i="1"/>
  <c r="AN1794" i="1"/>
  <c r="AN148" i="1"/>
  <c r="AN373" i="1"/>
  <c r="AN147" i="1"/>
  <c r="AN2351" i="1"/>
  <c r="AN363" i="1"/>
  <c r="AN360" i="1"/>
  <c r="AN358" i="1"/>
  <c r="AN357" i="1"/>
  <c r="AN355" i="1"/>
  <c r="AN353" i="1"/>
  <c r="AN352" i="1"/>
  <c r="AN347" i="1"/>
  <c r="AN326" i="1"/>
  <c r="AN325" i="1"/>
  <c r="AN324" i="1"/>
  <c r="AN2350" i="1"/>
  <c r="AN372" i="1"/>
  <c r="AN303" i="1"/>
  <c r="AN302" i="1"/>
  <c r="AN296" i="1"/>
  <c r="AN371" i="1"/>
  <c r="AN293" i="1"/>
  <c r="AN292" i="1"/>
  <c r="AN291" i="1"/>
  <c r="AN290" i="1"/>
  <c r="AN289" i="1"/>
  <c r="AN288" i="1"/>
  <c r="AN287" i="1"/>
  <c r="AN284" i="1"/>
  <c r="AN1045" i="1"/>
  <c r="AN281" i="1"/>
  <c r="AN280" i="1"/>
  <c r="AN279" i="1"/>
  <c r="AN270" i="1"/>
  <c r="AN269" i="1"/>
  <c r="AN268" i="1"/>
  <c r="AN267" i="1"/>
  <c r="AN266" i="1"/>
  <c r="AN265" i="1"/>
  <c r="AN264" i="1"/>
  <c r="AN263" i="1"/>
  <c r="AN262" i="1"/>
  <c r="AN260" i="1"/>
  <c r="AN259" i="1"/>
  <c r="AN248" i="1"/>
  <c r="AN247" i="1"/>
  <c r="AN243" i="1"/>
  <c r="AN242" i="1"/>
  <c r="AN241" i="1"/>
  <c r="AN240" i="1"/>
  <c r="AN239" i="1"/>
  <c r="AN238" i="1"/>
  <c r="AN237" i="1"/>
  <c r="AN236" i="1"/>
  <c r="AN235" i="1"/>
  <c r="AN234" i="1"/>
  <c r="AN233" i="1"/>
  <c r="AN232" i="1"/>
  <c r="AN231" i="1"/>
  <c r="AN230" i="1"/>
  <c r="AN227" i="1"/>
  <c r="AN226" i="1"/>
  <c r="AN224" i="1"/>
  <c r="AN222" i="1"/>
  <c r="AN220" i="1"/>
  <c r="AN219" i="1"/>
  <c r="AN218" i="1"/>
  <c r="AN217" i="1"/>
  <c r="AN216" i="1"/>
  <c r="AN211" i="1"/>
  <c r="AN210" i="1"/>
  <c r="AN207" i="1"/>
  <c r="AN209" i="1"/>
  <c r="AN208" i="1"/>
  <c r="AN206" i="1"/>
  <c r="AN205" i="1"/>
  <c r="AN204" i="1"/>
  <c r="AN203" i="1"/>
  <c r="AN201" i="1"/>
  <c r="AN197" i="1"/>
  <c r="AN190" i="1"/>
  <c r="AN192" i="1"/>
  <c r="AN193" i="1"/>
  <c r="AN194" i="1"/>
  <c r="AN185" i="1"/>
  <c r="AN187" i="1"/>
  <c r="AN188" i="1"/>
  <c r="AN189" i="1"/>
  <c r="AN179" i="1"/>
  <c r="AN178" i="1"/>
  <c r="AN176" i="1"/>
  <c r="AN168" i="1"/>
  <c r="AN165" i="1"/>
  <c r="AN164" i="1"/>
  <c r="AN163" i="1"/>
  <c r="AN162" i="1"/>
  <c r="AN160" i="1"/>
  <c r="AN161" i="1"/>
  <c r="AN159" i="1"/>
  <c r="AN158" i="1"/>
  <c r="AN155" i="1"/>
  <c r="AN998" i="1"/>
  <c r="AN997" i="1"/>
  <c r="AN134" i="1"/>
  <c r="AN132" i="1"/>
  <c r="AN124" i="1"/>
  <c r="AN122" i="1"/>
  <c r="AN121" i="1"/>
  <c r="AN120" i="1"/>
  <c r="AN119" i="1"/>
  <c r="AN118" i="1"/>
  <c r="AN117" i="1"/>
  <c r="AN116" i="1"/>
  <c r="AN111" i="1"/>
  <c r="AN110" i="1"/>
  <c r="AN109" i="1"/>
  <c r="AN108" i="1"/>
  <c r="AN102" i="1"/>
  <c r="AN106" i="1"/>
  <c r="AN104" i="1"/>
  <c r="AN105" i="1"/>
  <c r="AN95" i="1"/>
  <c r="AN70" i="1"/>
  <c r="AN62" i="1"/>
  <c r="AN60" i="1"/>
  <c r="AN59" i="1"/>
  <c r="AN54" i="1"/>
  <c r="AN49" i="1"/>
  <c r="AN48" i="1"/>
  <c r="AN47" i="1"/>
  <c r="AN46" i="1"/>
  <c r="AN45" i="1"/>
  <c r="AN44" i="1"/>
  <c r="AN43" i="1"/>
  <c r="AN42" i="1"/>
  <c r="AN41" i="1"/>
  <c r="AN40" i="1"/>
  <c r="AN39" i="1"/>
  <c r="AN34" i="1"/>
  <c r="AN33" i="1"/>
  <c r="AN32" i="1"/>
  <c r="AN31" i="1"/>
  <c r="AN30" i="1"/>
  <c r="AN29" i="1"/>
  <c r="AN28" i="1"/>
  <c r="AN27" i="1"/>
  <c r="AN26" i="1"/>
  <c r="AN25" i="1"/>
  <c r="AN24" i="1"/>
  <c r="AN23" i="1"/>
  <c r="AN12" i="1"/>
  <c r="AN2" i="1"/>
  <c r="AF1398" i="1"/>
  <c r="AF1394" i="1"/>
  <c r="W1394" i="1"/>
  <c r="V1394" i="1"/>
  <c r="U1394" i="1"/>
  <c r="T1394" i="1"/>
  <c r="W1398" i="1"/>
  <c r="V1398" i="1"/>
  <c r="AM1398" i="1"/>
  <c r="AL1398" i="1" s="1"/>
  <c r="AA1398" i="1" l="1"/>
  <c r="AB1398" i="1" s="1"/>
  <c r="AM1394" i="1"/>
  <c r="AL1394" i="1" s="1"/>
  <c r="AA1394" i="1"/>
  <c r="AB1394" i="1" s="1"/>
  <c r="W303" i="1" l="1"/>
  <c r="V303" i="1"/>
  <c r="W302" i="1"/>
  <c r="V302" i="1"/>
  <c r="V313" i="1"/>
  <c r="W313" i="1"/>
  <c r="AF938" i="1"/>
  <c r="AF2099" i="1" l="1"/>
  <c r="W938" i="1"/>
  <c r="V938" i="1"/>
  <c r="U938" i="1"/>
  <c r="T938" i="1"/>
  <c r="AM938" i="1" l="1"/>
  <c r="AL938" i="1" s="1"/>
  <c r="AA938" i="1"/>
  <c r="AD938" i="1" s="1"/>
  <c r="AM2099" i="1" l="1"/>
  <c r="AL2099" i="1" s="1"/>
  <c r="AC2099" i="1"/>
  <c r="AA2099" i="1" l="1"/>
  <c r="AF294" i="1"/>
  <c r="AF2205" i="1"/>
  <c r="AA2205" i="1"/>
  <c r="AF2554" i="1"/>
  <c r="AF672" i="1"/>
  <c r="AF1788" i="1"/>
  <c r="AF1794" i="1"/>
  <c r="AF2548" i="1"/>
  <c r="AF1860" i="1"/>
  <c r="AF147" i="1"/>
  <c r="AF2331" i="1"/>
  <c r="AF2330" i="1"/>
  <c r="AF2328" i="1"/>
  <c r="AF2327" i="1"/>
  <c r="AF314" i="1"/>
  <c r="AF313" i="1"/>
  <c r="AF578" i="1"/>
  <c r="AF2351" i="1"/>
  <c r="AF2350" i="1"/>
  <c r="AF2193" i="1"/>
  <c r="AF2192" i="1"/>
  <c r="AF1534" i="1"/>
  <c r="AF1533" i="1"/>
  <c r="AF1954" i="1"/>
  <c r="AF1953" i="1"/>
  <c r="AF664" i="1"/>
  <c r="AF663" i="1"/>
  <c r="AF371" i="1"/>
  <c r="AF375" i="1"/>
  <c r="AF374" i="1"/>
  <c r="AF274" i="1"/>
  <c r="AF273" i="1"/>
  <c r="AF943" i="1"/>
  <c r="AF942" i="1"/>
  <c r="AF2485" i="1"/>
  <c r="AF2484" i="1"/>
  <c r="AF2435" i="1"/>
  <c r="AF2434" i="1"/>
  <c r="AF784" i="1"/>
  <c r="AF783" i="1"/>
  <c r="AF1357" i="1"/>
  <c r="AF1356" i="1"/>
  <c r="AF1535" i="1"/>
  <c r="W257" i="1"/>
  <c r="V257" i="1"/>
  <c r="W673" i="1"/>
  <c r="V673" i="1"/>
  <c r="W672" i="1"/>
  <c r="V672" i="1"/>
  <c r="W1535" i="1"/>
  <c r="V1535" i="1"/>
  <c r="W1096" i="1"/>
  <c r="V1096" i="1"/>
  <c r="W294" i="1"/>
  <c r="V294" i="1"/>
  <c r="W2554" i="1"/>
  <c r="V2554" i="1"/>
  <c r="W1788" i="1"/>
  <c r="V1788" i="1"/>
  <c r="W1860" i="1"/>
  <c r="V1860" i="1"/>
  <c r="W784" i="1"/>
  <c r="V784" i="1"/>
  <c r="W783" i="1"/>
  <c r="V783" i="1"/>
  <c r="W1357" i="1"/>
  <c r="V1357" i="1"/>
  <c r="W1356" i="1"/>
  <c r="V1356" i="1"/>
  <c r="W1799" i="1"/>
  <c r="V1799" i="1"/>
  <c r="W1798" i="1"/>
  <c r="V1798" i="1"/>
  <c r="W1795" i="1"/>
  <c r="V1795" i="1"/>
  <c r="W1794" i="1"/>
  <c r="V1794" i="1"/>
  <c r="W2549" i="1"/>
  <c r="V2549" i="1"/>
  <c r="W2548" i="1"/>
  <c r="V2548" i="1"/>
  <c r="W148" i="1"/>
  <c r="V148" i="1"/>
  <c r="W147" i="1"/>
  <c r="V147" i="1"/>
  <c r="W2331" i="1"/>
  <c r="V2331" i="1"/>
  <c r="W2330" i="1"/>
  <c r="V2330" i="1"/>
  <c r="W2328" i="1"/>
  <c r="V2328" i="1"/>
  <c r="W2327" i="1"/>
  <c r="V2327" i="1"/>
  <c r="W314" i="1"/>
  <c r="V314" i="1"/>
  <c r="AC313" i="1"/>
  <c r="W578" i="1"/>
  <c r="V578" i="1"/>
  <c r="W577" i="1"/>
  <c r="V577" i="1"/>
  <c r="W2351" i="1"/>
  <c r="V2351" i="1"/>
  <c r="W2350" i="1"/>
  <c r="V2350" i="1"/>
  <c r="W2193" i="1"/>
  <c r="V2193" i="1"/>
  <c r="W2192" i="1"/>
  <c r="V2192" i="1"/>
  <c r="W1534" i="1"/>
  <c r="V1534" i="1"/>
  <c r="W1533" i="1"/>
  <c r="V1533" i="1"/>
  <c r="W1954" i="1"/>
  <c r="V1954" i="1"/>
  <c r="W1953" i="1"/>
  <c r="V1953" i="1"/>
  <c r="W664" i="1"/>
  <c r="V664" i="1"/>
  <c r="W663" i="1"/>
  <c r="V663" i="1"/>
  <c r="W372" i="1"/>
  <c r="V372" i="1"/>
  <c r="W371" i="1"/>
  <c r="V371" i="1"/>
  <c r="W283" i="1"/>
  <c r="V283" i="1"/>
  <c r="W282" i="1"/>
  <c r="V282" i="1"/>
  <c r="W567" i="1"/>
  <c r="V567" i="1"/>
  <c r="W566" i="1"/>
  <c r="V566" i="1"/>
  <c r="W375" i="1"/>
  <c r="V375" i="1"/>
  <c r="W374" i="1"/>
  <c r="V374" i="1"/>
  <c r="W274" i="1"/>
  <c r="V274" i="1"/>
  <c r="W273" i="1"/>
  <c r="V273" i="1"/>
  <c r="W943" i="1"/>
  <c r="V943" i="1"/>
  <c r="W942" i="1"/>
  <c r="V942" i="1"/>
  <c r="W2485" i="1"/>
  <c r="V2485" i="1"/>
  <c r="W2484" i="1"/>
  <c r="V2484" i="1"/>
  <c r="W2435" i="1"/>
  <c r="V2435" i="1"/>
  <c r="W2434" i="1"/>
  <c r="V2434" i="1"/>
  <c r="AJ1045" i="1"/>
  <c r="AK1045" i="1" s="1"/>
  <c r="AA1356" i="1" l="1"/>
  <c r="AB1356" i="1" s="1"/>
  <c r="AA282" i="1"/>
  <c r="AD2205" i="1"/>
  <c r="AC2434" i="1"/>
  <c r="AA2484" i="1"/>
  <c r="AC942" i="1"/>
  <c r="AC374" i="1"/>
  <c r="AC663" i="1"/>
  <c r="AC1533" i="1"/>
  <c r="AC2192" i="1"/>
  <c r="AC2350" i="1"/>
  <c r="AC2485" i="1"/>
  <c r="AC274" i="1"/>
  <c r="AC567" i="1"/>
  <c r="AC372" i="1"/>
  <c r="AC1954" i="1"/>
  <c r="AC2327" i="1"/>
  <c r="AC2330" i="1"/>
  <c r="AC147" i="1"/>
  <c r="AC2548" i="1"/>
  <c r="AC1794" i="1"/>
  <c r="AC1798" i="1"/>
  <c r="AC1535" i="1"/>
  <c r="AA273" i="1"/>
  <c r="AA1788" i="1"/>
  <c r="AA566" i="1"/>
  <c r="AA371" i="1"/>
  <c r="AA1096" i="1"/>
  <c r="AA1953" i="1"/>
  <c r="AA783" i="1"/>
  <c r="AA1860" i="1"/>
  <c r="AA2435" i="1"/>
  <c r="AA943" i="1"/>
  <c r="AA375" i="1"/>
  <c r="AA283" i="1"/>
  <c r="AA664" i="1"/>
  <c r="AA1534" i="1"/>
  <c r="AA2193" i="1"/>
  <c r="AA2351" i="1"/>
  <c r="AA578" i="1"/>
  <c r="AA314" i="1"/>
  <c r="AA2328" i="1"/>
  <c r="AA2331" i="1"/>
  <c r="AA148" i="1"/>
  <c r="AA2549" i="1"/>
  <c r="AA1795" i="1"/>
  <c r="AA1799" i="1"/>
  <c r="AA1357" i="1"/>
  <c r="AA784" i="1"/>
  <c r="AA2554" i="1"/>
  <c r="AA294" i="1"/>
  <c r="AA673" i="1"/>
  <c r="AA1432" i="1"/>
  <c r="AA672" i="1"/>
  <c r="AA257" i="1"/>
  <c r="AD257" i="1" s="1"/>
  <c r="AA2434" i="1"/>
  <c r="AC2484" i="1"/>
  <c r="AA942" i="1"/>
  <c r="AC273" i="1"/>
  <c r="AA374" i="1"/>
  <c r="AC566" i="1"/>
  <c r="AC371" i="1"/>
  <c r="AA663" i="1"/>
  <c r="AC1953" i="1"/>
  <c r="AA1533" i="1"/>
  <c r="AC1534" i="1"/>
  <c r="AC2193" i="1"/>
  <c r="AC2351" i="1"/>
  <c r="AC314" i="1"/>
  <c r="AC2328" i="1"/>
  <c r="AC2331" i="1"/>
  <c r="AC148" i="1"/>
  <c r="AC2549" i="1"/>
  <c r="AC1795" i="1"/>
  <c r="AC1799" i="1"/>
  <c r="AC2435" i="1"/>
  <c r="AA2485" i="1"/>
  <c r="AC943" i="1"/>
  <c r="AA274" i="1"/>
  <c r="AC375" i="1"/>
  <c r="AA567" i="1"/>
  <c r="AC283" i="1"/>
  <c r="AA372" i="1"/>
  <c r="AC664" i="1"/>
  <c r="AA1954" i="1"/>
  <c r="AA2192" i="1"/>
  <c r="AA2350" i="1"/>
  <c r="AA577" i="1"/>
  <c r="AA313" i="1"/>
  <c r="AA2327" i="1"/>
  <c r="AA2330" i="1"/>
  <c r="AA147" i="1"/>
  <c r="AA2548" i="1"/>
  <c r="AA1794" i="1"/>
  <c r="AA1798" i="1"/>
  <c r="AA1535" i="1"/>
  <c r="AJ2205" i="1" l="1"/>
  <c r="AK2205" i="1" s="1"/>
  <c r="AB577" i="1"/>
  <c r="AB578" i="1"/>
  <c r="AD1432" i="1"/>
  <c r="AB1096" i="1"/>
  <c r="AJ257" i="1"/>
  <c r="AK257" i="1" s="1"/>
  <c r="AB282" i="1"/>
  <c r="AF1667" i="1"/>
  <c r="AF1668" i="1"/>
  <c r="AF1669" i="1"/>
  <c r="AF1670" i="1"/>
  <c r="AF1671" i="1"/>
  <c r="AF1672" i="1"/>
  <c r="AF1673" i="1"/>
  <c r="AF1674" i="1"/>
  <c r="AF1666" i="1"/>
  <c r="AC1070" i="1" l="1"/>
  <c r="AF1816" i="1"/>
  <c r="AM2021" i="1" l="1"/>
  <c r="AL2021" i="1" s="1"/>
  <c r="AM1403" i="1"/>
  <c r="AL1403" i="1" s="1"/>
  <c r="AM1402" i="1"/>
  <c r="AL1402" i="1" s="1"/>
  <c r="AM743" i="1"/>
  <c r="AL743" i="1" s="1"/>
  <c r="AM546" i="1"/>
  <c r="AL546" i="1" s="1"/>
  <c r="AM540" i="1"/>
  <c r="AL540" i="1" s="1"/>
  <c r="AM62" i="1"/>
  <c r="AL62" i="1" s="1"/>
  <c r="W2021" i="1"/>
  <c r="AC2021" i="1" s="1"/>
  <c r="V2021" i="1"/>
  <c r="W1403" i="1"/>
  <c r="V1403" i="1"/>
  <c r="W1402" i="1"/>
  <c r="AC1402" i="1" s="1"/>
  <c r="V1402" i="1"/>
  <c r="W743" i="1"/>
  <c r="AC743" i="1" s="1"/>
  <c r="V743" i="1"/>
  <c r="W546" i="1"/>
  <c r="AC546" i="1" s="1"/>
  <c r="V546" i="1"/>
  <c r="W540" i="1"/>
  <c r="V540" i="1"/>
  <c r="W62" i="1"/>
  <c r="V62" i="1"/>
  <c r="V2575" i="1"/>
  <c r="W2575" i="1"/>
  <c r="AA743" i="1" l="1"/>
  <c r="AA540" i="1"/>
  <c r="AA1403" i="1"/>
  <c r="AC540" i="1"/>
  <c r="AA62" i="1"/>
  <c r="AC62" i="1" s="1"/>
  <c r="AA546" i="1"/>
  <c r="AA1402" i="1"/>
  <c r="AA2021" i="1"/>
  <c r="AC1403" i="1"/>
  <c r="AB62" i="1" l="1"/>
  <c r="AD62" i="1" s="1"/>
  <c r="W455" i="1"/>
  <c r="V455" i="1"/>
  <c r="U455" i="1"/>
  <c r="AM455" i="1" s="1"/>
  <c r="AL455" i="1" s="1"/>
  <c r="W453" i="1"/>
  <c r="V453" i="1"/>
  <c r="U453" i="1"/>
  <c r="AM453" i="1" s="1"/>
  <c r="AL453" i="1" s="1"/>
  <c r="W451" i="1"/>
  <c r="V451" i="1"/>
  <c r="U451" i="1"/>
  <c r="AM451" i="1" s="1"/>
  <c r="AL451" i="1" s="1"/>
  <c r="W449" i="1"/>
  <c r="V449" i="1"/>
  <c r="U449" i="1"/>
  <c r="AM449" i="1" s="1"/>
  <c r="AL449" i="1" s="1"/>
  <c r="AM1070" i="1"/>
  <c r="AL1070" i="1" s="1"/>
  <c r="AM1490" i="1"/>
  <c r="AL1490" i="1" s="1"/>
  <c r="AM1188" i="1"/>
  <c r="AL1188" i="1" s="1"/>
  <c r="AM1067" i="1"/>
  <c r="AL1067" i="1" s="1"/>
  <c r="AM1956" i="1"/>
  <c r="AL1956" i="1" s="1"/>
  <c r="AM2337" i="1"/>
  <c r="AL2337" i="1" s="1"/>
  <c r="AM1437" i="1"/>
  <c r="AL1437" i="1" s="1"/>
  <c r="AM1058" i="1"/>
  <c r="AL1058" i="1" s="1"/>
  <c r="AM2539" i="1"/>
  <c r="AL2539" i="1" s="1"/>
  <c r="AM176" i="1"/>
  <c r="AL176" i="1" s="1"/>
  <c r="AM1012" i="1"/>
  <c r="AL1012" i="1" s="1"/>
  <c r="AM222" i="1"/>
  <c r="AL222" i="1" s="1"/>
  <c r="AM659" i="1"/>
  <c r="AL659" i="1" s="1"/>
  <c r="AM1238" i="1"/>
  <c r="AL1238" i="1" s="1"/>
  <c r="AM834" i="1"/>
  <c r="AL834" i="1" s="1"/>
  <c r="AM2046" i="1"/>
  <c r="AL2046" i="1" s="1"/>
  <c r="AM1235" i="1"/>
  <c r="AL1235" i="1" s="1"/>
  <c r="AM1946" i="1"/>
  <c r="AL1946" i="1" s="1"/>
  <c r="AF1490" i="1"/>
  <c r="AF1188" i="1"/>
  <c r="AF1070" i="1"/>
  <c r="AF1067" i="1"/>
  <c r="AF929" i="1"/>
  <c r="AF1077" i="1"/>
  <c r="AF1956" i="1"/>
  <c r="AF2337" i="1"/>
  <c r="AF1437" i="1"/>
  <c r="AF1058" i="1"/>
  <c r="AF971" i="1"/>
  <c r="AF2539" i="1"/>
  <c r="AF176" i="1"/>
  <c r="AF1012" i="1"/>
  <c r="AF222" i="1"/>
  <c r="AF659" i="1"/>
  <c r="AF1238" i="1"/>
  <c r="AF834" i="1"/>
  <c r="AF2046" i="1"/>
  <c r="AF1235" i="1"/>
  <c r="AF2572" i="1"/>
  <c r="AF1946" i="1"/>
  <c r="AC1058" i="1"/>
  <c r="AC2337" i="1"/>
  <c r="AC1437" i="1"/>
  <c r="AC1490" i="1"/>
  <c r="AC1188" i="1"/>
  <c r="AC1067" i="1"/>
  <c r="AC929" i="1"/>
  <c r="AC1077" i="1"/>
  <c r="AC2539" i="1"/>
  <c r="AC176" i="1"/>
  <c r="AC1012" i="1"/>
  <c r="AC222" i="1"/>
  <c r="AC659" i="1"/>
  <c r="AC834" i="1"/>
  <c r="AC1956" i="1"/>
  <c r="AC971" i="1"/>
  <c r="AC1238" i="1"/>
  <c r="AC2046" i="1"/>
  <c r="AC1235" i="1"/>
  <c r="AC2572" i="1"/>
  <c r="AA1490" i="1"/>
  <c r="AA1188" i="1"/>
  <c r="AD1188" i="1" s="1"/>
  <c r="AA1070" i="1"/>
  <c r="AD1070" i="1" s="1"/>
  <c r="AA1067" i="1"/>
  <c r="AA929" i="1"/>
  <c r="AA1077" i="1"/>
  <c r="AD1077" i="1" s="1"/>
  <c r="AA1956" i="1"/>
  <c r="AD1956" i="1" s="1"/>
  <c r="AA2337" i="1"/>
  <c r="AA1437" i="1"/>
  <c r="AA1058" i="1"/>
  <c r="AD1058" i="1" s="1"/>
  <c r="AA971" i="1"/>
  <c r="AD971" i="1" s="1"/>
  <c r="AA2539" i="1"/>
  <c r="AA176" i="1"/>
  <c r="AA1012" i="1"/>
  <c r="AD1012" i="1" s="1"/>
  <c r="AA222" i="1"/>
  <c r="AD222" i="1" s="1"/>
  <c r="AA659" i="1"/>
  <c r="AA1238" i="1"/>
  <c r="AA834" i="1"/>
  <c r="AD834" i="1" s="1"/>
  <c r="AA2046" i="1"/>
  <c r="AD2046" i="1" s="1"/>
  <c r="AA1235" i="1"/>
  <c r="AA2572" i="1"/>
  <c r="AC1946" i="1"/>
  <c r="AA1946" i="1"/>
  <c r="W1768" i="1"/>
  <c r="V1768" i="1"/>
  <c r="W1769" i="1"/>
  <c r="V1769" i="1"/>
  <c r="AF1768" i="1"/>
  <c r="AF302" i="1"/>
  <c r="U302" i="1"/>
  <c r="T302" i="1"/>
  <c r="U303" i="1"/>
  <c r="T303" i="1"/>
  <c r="AF219" i="1"/>
  <c r="W219" i="1"/>
  <c r="V219" i="1"/>
  <c r="U219" i="1"/>
  <c r="T219" i="1"/>
  <c r="AF1854" i="1"/>
  <c r="W1854" i="1"/>
  <c r="V1854" i="1"/>
  <c r="U1854" i="1"/>
  <c r="T1854" i="1"/>
  <c r="AF2117" i="1"/>
  <c r="W2117" i="1"/>
  <c r="V2117" i="1"/>
  <c r="U2117" i="1"/>
  <c r="T2117" i="1"/>
  <c r="AF2115" i="1"/>
  <c r="W2115" i="1"/>
  <c r="V2115" i="1"/>
  <c r="AM2115" i="1"/>
  <c r="AL2115" i="1" s="1"/>
  <c r="AF2041" i="1"/>
  <c r="W2041" i="1"/>
  <c r="V2041" i="1"/>
  <c r="U2041" i="1"/>
  <c r="T2041" i="1"/>
  <c r="AF2015" i="1"/>
  <c r="W2015" i="1"/>
  <c r="V2015" i="1"/>
  <c r="U2015" i="1"/>
  <c r="T2015" i="1"/>
  <c r="AF1614" i="1"/>
  <c r="W1614" i="1"/>
  <c r="V1614" i="1"/>
  <c r="U1614" i="1"/>
  <c r="T1614" i="1"/>
  <c r="W650" i="1"/>
  <c r="V650" i="1"/>
  <c r="U650" i="1"/>
  <c r="T650" i="1"/>
  <c r="W409" i="1"/>
  <c r="V409" i="1"/>
  <c r="U409" i="1"/>
  <c r="T409" i="1"/>
  <c r="AF399" i="1"/>
  <c r="W399" i="1"/>
  <c r="V399" i="1"/>
  <c r="U399" i="1"/>
  <c r="T399" i="1"/>
  <c r="AF401" i="1"/>
  <c r="W401" i="1"/>
  <c r="V401" i="1"/>
  <c r="U401" i="1"/>
  <c r="T401" i="1"/>
  <c r="AM1816" i="1"/>
  <c r="AL1816" i="1" s="1"/>
  <c r="AF1590" i="1"/>
  <c r="W1590" i="1"/>
  <c r="V1590" i="1"/>
  <c r="U1590" i="1"/>
  <c r="T1590" i="1"/>
  <c r="AF766" i="1"/>
  <c r="W766" i="1"/>
  <c r="V766" i="1"/>
  <c r="U766" i="1"/>
  <c r="T766" i="1"/>
  <c r="AF2348" i="1"/>
  <c r="W2348" i="1"/>
  <c r="V2348" i="1"/>
  <c r="U2348" i="1"/>
  <c r="T2348" i="1"/>
  <c r="AF358" i="1"/>
  <c r="W358" i="1"/>
  <c r="V358" i="1"/>
  <c r="U358" i="1"/>
  <c r="T358" i="1"/>
  <c r="AF1123" i="1"/>
  <c r="W1123" i="1"/>
  <c r="V1123" i="1"/>
  <c r="U1123" i="1"/>
  <c r="T1123" i="1"/>
  <c r="AF2404" i="1"/>
  <c r="AF2390" i="1"/>
  <c r="AF703" i="1"/>
  <c r="AF1611" i="1"/>
  <c r="AF1100" i="1"/>
  <c r="AF906" i="1"/>
  <c r="AF2502" i="1"/>
  <c r="AF1778" i="1"/>
  <c r="AF1939" i="1"/>
  <c r="AF1469" i="1"/>
  <c r="AF1467" i="1"/>
  <c r="AF1464" i="1"/>
  <c r="AF1463" i="1"/>
  <c r="AF991" i="1"/>
  <c r="AF670" i="1"/>
  <c r="AF247" i="1"/>
  <c r="AF1039" i="1"/>
  <c r="AF1312" i="1"/>
  <c r="AF1303" i="1"/>
  <c r="AF806" i="1"/>
  <c r="AF2101" i="1"/>
  <c r="AF2097" i="1"/>
  <c r="AF2100" i="1"/>
  <c r="AF2098" i="1"/>
  <c r="AF2103" i="1"/>
  <c r="AF2102" i="1"/>
  <c r="AF2499" i="1"/>
  <c r="AF2079" i="1"/>
  <c r="AF1423" i="1"/>
  <c r="AF1910" i="1"/>
  <c r="AF207" i="1"/>
  <c r="AF2149" i="1"/>
  <c r="AF2141" i="1"/>
  <c r="AF831" i="1"/>
  <c r="AF828" i="1"/>
  <c r="AF825" i="1"/>
  <c r="AF822" i="1"/>
  <c r="AF1693" i="1"/>
  <c r="AF2385" i="1"/>
  <c r="AF2381" i="1"/>
  <c r="AF1309" i="1"/>
  <c r="AF983" i="1"/>
  <c r="AF1169" i="1"/>
  <c r="AF1167" i="1"/>
  <c r="AF2374" i="1"/>
  <c r="AF2368" i="1"/>
  <c r="AF1811" i="1"/>
  <c r="AF1809" i="1"/>
  <c r="AF1807" i="1"/>
  <c r="AF2187" i="1"/>
  <c r="AF2407" i="1"/>
  <c r="AF2405" i="1"/>
  <c r="AF2392" i="1"/>
  <c r="AF2391" i="1"/>
  <c r="AF2150" i="1"/>
  <c r="AF2140" i="1"/>
  <c r="AF2320" i="1"/>
  <c r="AF1299" i="1"/>
  <c r="AF1297" i="1"/>
  <c r="AF714" i="1"/>
  <c r="AF2310" i="1"/>
  <c r="AF2313" i="1"/>
  <c r="AF832" i="1"/>
  <c r="AF829" i="1"/>
  <c r="AF826" i="1"/>
  <c r="AF1914" i="1"/>
  <c r="AF1912" i="1"/>
  <c r="AF1859" i="1"/>
  <c r="AF464" i="1"/>
  <c r="AF1871" i="1"/>
  <c r="AF1049" i="1"/>
  <c r="AF1021" i="1"/>
  <c r="AF1640" i="1"/>
  <c r="AF1506" i="1"/>
  <c r="AF1378" i="1"/>
  <c r="AF1374" i="1"/>
  <c r="AF805" i="1"/>
  <c r="AF1639" i="1"/>
  <c r="AF1048" i="1"/>
  <c r="AF1018" i="1"/>
  <c r="AF1503" i="1"/>
  <c r="AF1377" i="1"/>
  <c r="AF324" i="1"/>
  <c r="AF1949" i="1"/>
  <c r="AF1948" i="1"/>
  <c r="AF2394" i="1"/>
  <c r="AF2393" i="1"/>
  <c r="AF1082" i="1"/>
  <c r="AF1081" i="1"/>
  <c r="AF1080" i="1"/>
  <c r="AF1079" i="1"/>
  <c r="AF2424" i="1"/>
  <c r="AF2423" i="1"/>
  <c r="AF1995" i="1"/>
  <c r="AF1994" i="1"/>
  <c r="AF1582" i="1"/>
  <c r="AF1566" i="1"/>
  <c r="AF1074" i="1"/>
  <c r="AF1073" i="1"/>
  <c r="AF268" i="1"/>
  <c r="AF241" i="1"/>
  <c r="AF238" i="1"/>
  <c r="AF1564" i="1"/>
  <c r="AF1563" i="1"/>
  <c r="AF326" i="1"/>
  <c r="AF1363" i="1"/>
  <c r="AF1368" i="1"/>
  <c r="AF518" i="1"/>
  <c r="AF512" i="1"/>
  <c r="AF504" i="1"/>
  <c r="AF502" i="1"/>
  <c r="AF267" i="1"/>
  <c r="AF265" i="1"/>
  <c r="AF263" i="1"/>
  <c r="AF236" i="1"/>
  <c r="AF233" i="1"/>
  <c r="AF671" i="1"/>
  <c r="AF231" i="1"/>
  <c r="AF1616" i="1"/>
  <c r="AF899" i="1"/>
  <c r="AF1193" i="1"/>
  <c r="AF1192" i="1"/>
  <c r="AF270" i="1"/>
  <c r="AF269" i="1"/>
  <c r="AF1777" i="1"/>
  <c r="AF686" i="1"/>
  <c r="AF684" i="1"/>
  <c r="AF248" i="1"/>
  <c r="AF239" i="1"/>
  <c r="AF234" i="1"/>
  <c r="AF1009" i="1"/>
  <c r="AF517" i="1"/>
  <c r="AF511" i="1"/>
  <c r="AF503" i="1"/>
  <c r="AF501" i="1"/>
  <c r="AF266" i="1"/>
  <c r="AF264" i="1"/>
  <c r="AF262" i="1"/>
  <c r="AF235" i="1"/>
  <c r="AF232" i="1"/>
  <c r="AF230" i="1"/>
  <c r="AF1419" i="1"/>
  <c r="AF1927" i="1"/>
  <c r="AF1416" i="1"/>
  <c r="AF240" i="1"/>
  <c r="AF237" i="1"/>
  <c r="AF506" i="1"/>
  <c r="AF505" i="1"/>
  <c r="AF500" i="1"/>
  <c r="AF1750" i="1"/>
  <c r="AF1749" i="1"/>
  <c r="AF1704" i="1"/>
  <c r="AF1703" i="1"/>
  <c r="AF1181" i="1"/>
  <c r="AF1180" i="1"/>
  <c r="AF1140" i="1"/>
  <c r="AF1139" i="1"/>
  <c r="AF2397" i="1"/>
  <c r="AF2398" i="1"/>
  <c r="AF2399" i="1"/>
  <c r="AF2400" i="1"/>
  <c r="AF2401" i="1"/>
  <c r="AF2402" i="1"/>
  <c r="AF2403" i="1"/>
  <c r="AF2396" i="1"/>
  <c r="AF1940" i="1"/>
  <c r="AF1938" i="1"/>
  <c r="AF1937" i="1"/>
  <c r="AF1817" i="1"/>
  <c r="AF1815" i="1"/>
  <c r="AF1581" i="1"/>
  <c r="AF1579" i="1"/>
  <c r="AF1462" i="1"/>
  <c r="AF1460" i="1"/>
  <c r="AF1457" i="1"/>
  <c r="AF1456" i="1"/>
  <c r="AF1577" i="1"/>
  <c r="AF1576" i="1"/>
  <c r="AF1575" i="1"/>
  <c r="AF1574" i="1"/>
  <c r="AF1573" i="1"/>
  <c r="AF1572" i="1"/>
  <c r="AF1571" i="1"/>
  <c r="AF1570" i="1"/>
  <c r="AF1569" i="1"/>
  <c r="AF1568" i="1"/>
  <c r="AF1565" i="1"/>
  <c r="AF454" i="1"/>
  <c r="AF452" i="1"/>
  <c r="AF450" i="1"/>
  <c r="AF448" i="1"/>
  <c r="AF428" i="1"/>
  <c r="AF429" i="1"/>
  <c r="AF426" i="1"/>
  <c r="AF427" i="1"/>
  <c r="AF424" i="1"/>
  <c r="AF425" i="1"/>
  <c r="AF423" i="1"/>
  <c r="AF422" i="1"/>
  <c r="AF227" i="1"/>
  <c r="AF1143" i="1"/>
  <c r="AF977" i="1"/>
  <c r="AF550" i="1"/>
  <c r="AF1776" i="1"/>
  <c r="AF1774" i="1"/>
  <c r="AF1043" i="1"/>
  <c r="AF959" i="1"/>
  <c r="AF958" i="1"/>
  <c r="AF1040" i="1"/>
  <c r="AF1170" i="1"/>
  <c r="AF1162" i="1"/>
  <c r="AF666" i="1"/>
  <c r="AF920" i="1"/>
  <c r="AF1152" i="1"/>
  <c r="AF1290" i="1"/>
  <c r="AF1149" i="1"/>
  <c r="AF1088" i="1"/>
  <c r="AF1536" i="1"/>
  <c r="AF1087" i="1"/>
  <c r="AF209" i="1"/>
  <c r="AF287" i="1"/>
  <c r="AF2016" i="1"/>
  <c r="AF1084" i="1"/>
  <c r="AF975" i="1"/>
  <c r="AF1397" i="1"/>
  <c r="AF1393" i="1"/>
  <c r="AF1109" i="1"/>
  <c r="AF1107" i="1"/>
  <c r="AF393" i="1"/>
  <c r="AF2171" i="1"/>
  <c r="AF2170" i="1"/>
  <c r="AF260" i="1"/>
  <c r="AF279" i="1"/>
  <c r="AF280" i="1"/>
  <c r="AF259" i="1"/>
  <c r="AF2297" i="1"/>
  <c r="AF2293" i="1"/>
  <c r="AF2291" i="1"/>
  <c r="AF2289" i="1"/>
  <c r="AF2287" i="1"/>
  <c r="AF2285" i="1"/>
  <c r="AF2282" i="1"/>
  <c r="AF2275" i="1"/>
  <c r="AF2273" i="1"/>
  <c r="AF2271" i="1"/>
  <c r="AF2269" i="1"/>
  <c r="AF2267" i="1"/>
  <c r="AF2265" i="1"/>
  <c r="AF2263" i="1"/>
  <c r="AF2261" i="1"/>
  <c r="AF2258" i="1"/>
  <c r="AF2256" i="1"/>
  <c r="AF2254" i="1"/>
  <c r="AF2252" i="1"/>
  <c r="AF2250" i="1"/>
  <c r="AF2247" i="1"/>
  <c r="AF2245" i="1"/>
  <c r="AF2240" i="1"/>
  <c r="AF2238" i="1"/>
  <c r="AF2223" i="1"/>
  <c r="AF2221" i="1"/>
  <c r="AF2218" i="1"/>
  <c r="AF2214" i="1"/>
  <c r="AF2262" i="1"/>
  <c r="AF2260" i="1"/>
  <c r="AF2257" i="1"/>
  <c r="AF2255" i="1"/>
  <c r="AF2253" i="1"/>
  <c r="AF2251" i="1"/>
  <c r="AF2249" i="1"/>
  <c r="AF2246" i="1"/>
  <c r="AF2242" i="1"/>
  <c r="AF2239" i="1"/>
  <c r="AF2237" i="1"/>
  <c r="AF2222" i="1"/>
  <c r="AF2220" i="1"/>
  <c r="AF2217" i="1"/>
  <c r="AF2213" i="1"/>
  <c r="AF2264" i="1"/>
  <c r="AF2266" i="1"/>
  <c r="AF2268" i="1"/>
  <c r="AF2270" i="1"/>
  <c r="AF2272" i="1"/>
  <c r="AF2274" i="1"/>
  <c r="AF2281" i="1"/>
  <c r="AF2284" i="1"/>
  <c r="AF2286" i="1"/>
  <c r="AF2288" i="1"/>
  <c r="AF2290" i="1"/>
  <c r="AF2292" i="1"/>
  <c r="AF2296" i="1"/>
  <c r="AF2298" i="1"/>
  <c r="AJ834" i="1" l="1"/>
  <c r="AK834" i="1" s="1"/>
  <c r="AA449" i="1"/>
  <c r="AD449" i="1" s="1"/>
  <c r="AA455" i="1"/>
  <c r="AD455" i="1" s="1"/>
  <c r="AA453" i="1"/>
  <c r="AA451" i="1"/>
  <c r="AA1768" i="1"/>
  <c r="AB1768" i="1" s="1"/>
  <c r="AM2117" i="1"/>
  <c r="AL2117" i="1" s="1"/>
  <c r="AA1854" i="1"/>
  <c r="AB1854" i="1" s="1"/>
  <c r="AM219" i="1"/>
  <c r="AL219" i="1" s="1"/>
  <c r="AD1946" i="1"/>
  <c r="AJ1946" i="1" s="1"/>
  <c r="AK1946" i="1" s="1"/>
  <c r="AJ971" i="1"/>
  <c r="AK971" i="1" s="1"/>
  <c r="AD2572" i="1"/>
  <c r="AJ2572" i="1" s="1"/>
  <c r="AK2572" i="1" s="1"/>
  <c r="AD1238" i="1"/>
  <c r="AJ1238" i="1" s="1"/>
  <c r="AK1238" i="1" s="1"/>
  <c r="AD176" i="1"/>
  <c r="AJ176" i="1" s="1"/>
  <c r="AK176" i="1" s="1"/>
  <c r="AD1437" i="1"/>
  <c r="AJ1437" i="1" s="1"/>
  <c r="AK1437" i="1" s="1"/>
  <c r="AD929" i="1"/>
  <c r="AJ929" i="1" s="1"/>
  <c r="AK929" i="1" s="1"/>
  <c r="AD1490" i="1"/>
  <c r="AJ1490" i="1" s="1"/>
  <c r="AK1490" i="1" s="1"/>
  <c r="AJ2046" i="1"/>
  <c r="AK2046" i="1" s="1"/>
  <c r="AJ222" i="1"/>
  <c r="AK222" i="1" s="1"/>
  <c r="AJ1956" i="1"/>
  <c r="AK1956" i="1" s="1"/>
  <c r="AJ1070" i="1"/>
  <c r="AK1070" i="1" s="1"/>
  <c r="AD1235" i="1"/>
  <c r="AJ1235" i="1" s="1"/>
  <c r="AK1235" i="1" s="1"/>
  <c r="AD659" i="1"/>
  <c r="AJ659" i="1" s="1"/>
  <c r="AK659" i="1" s="1"/>
  <c r="AD2539" i="1"/>
  <c r="AJ2539" i="1" s="1"/>
  <c r="AK2539" i="1" s="1"/>
  <c r="AD2337" i="1"/>
  <c r="AJ2337" i="1" s="1"/>
  <c r="AK2337" i="1" s="1"/>
  <c r="AD1067" i="1"/>
  <c r="AJ1067" i="1" s="1"/>
  <c r="AK1067" i="1" s="1"/>
  <c r="AJ1012" i="1"/>
  <c r="AK1012" i="1" s="1"/>
  <c r="AJ1058" i="1"/>
  <c r="AK1058" i="1" s="1"/>
  <c r="AJ1077" i="1"/>
  <c r="AK1077" i="1" s="1"/>
  <c r="AJ1188" i="1"/>
  <c r="AK1188" i="1" s="1"/>
  <c r="AM302" i="1"/>
  <c r="AL302" i="1" s="1"/>
  <c r="AA2117" i="1"/>
  <c r="AA219" i="1"/>
  <c r="AA302" i="1"/>
  <c r="AM401" i="1"/>
  <c r="AL401" i="1" s="1"/>
  <c r="AA399" i="1"/>
  <c r="AB399" i="1" s="1"/>
  <c r="AM1854" i="1"/>
  <c r="AL1854" i="1" s="1"/>
  <c r="AM409" i="1"/>
  <c r="AL409" i="1" s="1"/>
  <c r="AA650" i="1"/>
  <c r="AM1614" i="1"/>
  <c r="AL1614" i="1" s="1"/>
  <c r="AA2115" i="1"/>
  <c r="AB2115" i="1" s="1"/>
  <c r="AM2015" i="1"/>
  <c r="AL2015" i="1" s="1"/>
  <c r="AA2041" i="1"/>
  <c r="AM2041" i="1"/>
  <c r="AL2041" i="1" s="1"/>
  <c r="AM1123" i="1"/>
  <c r="AL1123" i="1" s="1"/>
  <c r="AA358" i="1"/>
  <c r="AM2348" i="1"/>
  <c r="AL2348" i="1" s="1"/>
  <c r="AA766" i="1"/>
  <c r="AA2015" i="1"/>
  <c r="AA1123" i="1"/>
  <c r="AM358" i="1"/>
  <c r="AL358" i="1" s="1"/>
  <c r="AA2348" i="1"/>
  <c r="AA1590" i="1"/>
  <c r="AB1590" i="1" s="1"/>
  <c r="AM399" i="1"/>
  <c r="AL399" i="1" s="1"/>
  <c r="AA409" i="1"/>
  <c r="AA1614" i="1"/>
  <c r="AM650" i="1"/>
  <c r="AL650" i="1" s="1"/>
  <c r="AA401" i="1"/>
  <c r="AM1590" i="1"/>
  <c r="AL1590" i="1" s="1"/>
  <c r="AA1816" i="1"/>
  <c r="AM766" i="1"/>
  <c r="AL766" i="1" s="1"/>
  <c r="AB1614" i="1" l="1"/>
  <c r="AB766" i="1"/>
  <c r="AB650" i="1"/>
  <c r="AD302" i="1"/>
  <c r="AD453" i="1"/>
  <c r="AD451" i="1"/>
  <c r="AB2117" i="1"/>
  <c r="AB219" i="1"/>
  <c r="AB2015" i="1"/>
  <c r="AB401" i="1"/>
  <c r="AB2041" i="1"/>
  <c r="AB1123" i="1"/>
  <c r="AB358" i="1"/>
  <c r="AB2348" i="1"/>
  <c r="AB409" i="1"/>
  <c r="AB1816" i="1"/>
  <c r="AF1961" i="1"/>
  <c r="AF1960" i="1"/>
  <c r="AF993" i="1"/>
  <c r="AF992" i="1"/>
  <c r="AF1959" i="1"/>
  <c r="AK2500" i="1" l="1"/>
  <c r="AF442" i="1"/>
  <c r="AJ2501" i="1"/>
  <c r="AK2501" i="1" s="1"/>
  <c r="AF1425" i="1"/>
  <c r="AF441" i="1"/>
  <c r="AM70" i="1"/>
  <c r="AL70" i="1" s="1"/>
  <c r="AM1429" i="1"/>
  <c r="AL1429" i="1" s="1"/>
  <c r="AM707" i="1"/>
  <c r="AL707" i="1" s="1"/>
  <c r="AM1873" i="1"/>
  <c r="AL1873" i="1" s="1"/>
  <c r="AM807" i="1"/>
  <c r="AL807" i="1" s="1"/>
  <c r="AM613" i="1"/>
  <c r="AM619" i="1"/>
  <c r="AL619" i="1" s="1"/>
  <c r="AM1632" i="1"/>
  <c r="AL1632" i="1" s="1"/>
  <c r="AM614" i="1"/>
  <c r="AL614" i="1" s="1"/>
  <c r="AM163" i="1"/>
  <c r="AL163" i="1" s="1"/>
  <c r="AM164" i="1"/>
  <c r="AL164" i="1" s="1"/>
  <c r="AM165" i="1"/>
  <c r="AL165" i="1" s="1"/>
  <c r="AM179" i="1"/>
  <c r="AL179" i="1" s="1"/>
  <c r="AM2048" i="1"/>
  <c r="AL2048" i="1" s="1"/>
  <c r="AM216" i="1"/>
  <c r="AL216" i="1" s="1"/>
  <c r="AM2379" i="1"/>
  <c r="AM812" i="1"/>
  <c r="AL812" i="1" s="1"/>
  <c r="AM813" i="1"/>
  <c r="AL813" i="1" s="1"/>
  <c r="AM209" i="1"/>
  <c r="AM814" i="1"/>
  <c r="AL814" i="1" s="1"/>
  <c r="AM815" i="1"/>
  <c r="AL815" i="1" s="1"/>
  <c r="AM2378" i="1"/>
  <c r="AL2378" i="1" s="1"/>
  <c r="AM230" i="1"/>
  <c r="AL230" i="1" s="1"/>
  <c r="AM231" i="1"/>
  <c r="AL231" i="1" s="1"/>
  <c r="AM232" i="1"/>
  <c r="AL232" i="1" s="1"/>
  <c r="AM233" i="1"/>
  <c r="AL233" i="1" s="1"/>
  <c r="AM234" i="1"/>
  <c r="AL234" i="1" s="1"/>
  <c r="AM235" i="1"/>
  <c r="AL235" i="1" s="1"/>
  <c r="AM236" i="1"/>
  <c r="AL236" i="1" s="1"/>
  <c r="AM237" i="1"/>
  <c r="AL237" i="1" s="1"/>
  <c r="AM238" i="1"/>
  <c r="AL238" i="1" s="1"/>
  <c r="AM239" i="1"/>
  <c r="AL239" i="1" s="1"/>
  <c r="AM240" i="1"/>
  <c r="AL240" i="1" s="1"/>
  <c r="AM241" i="1"/>
  <c r="AL241" i="1" s="1"/>
  <c r="AM259" i="1"/>
  <c r="AL259" i="1" s="1"/>
  <c r="AM260" i="1"/>
  <c r="AL260" i="1" s="1"/>
  <c r="AM262" i="1"/>
  <c r="AL262" i="1" s="1"/>
  <c r="AM263" i="1"/>
  <c r="AL263" i="1" s="1"/>
  <c r="AM264" i="1"/>
  <c r="AL264" i="1" s="1"/>
  <c r="AM265" i="1"/>
  <c r="AL265" i="1" s="1"/>
  <c r="AM266" i="1"/>
  <c r="AL266" i="1" s="1"/>
  <c r="AM267" i="1"/>
  <c r="AL267" i="1" s="1"/>
  <c r="AM268" i="1"/>
  <c r="AL268" i="1" s="1"/>
  <c r="AM269" i="1"/>
  <c r="AL269" i="1" s="1"/>
  <c r="AM270" i="1"/>
  <c r="AL270" i="1" s="1"/>
  <c r="AM279" i="1"/>
  <c r="AL279" i="1" s="1"/>
  <c r="AM280" i="1"/>
  <c r="AL280" i="1" s="1"/>
  <c r="AM1717" i="1"/>
  <c r="AL1717" i="1" s="1"/>
  <c r="AM573" i="1"/>
  <c r="AL573" i="1" s="1"/>
  <c r="AM1231" i="1"/>
  <c r="AL1231" i="1" s="1"/>
  <c r="AM289" i="1"/>
  <c r="AL289" i="1" s="1"/>
  <c r="AM324" i="1"/>
  <c r="AL324" i="1" s="1"/>
  <c r="AM1411" i="1"/>
  <c r="AL1411" i="1" s="1"/>
  <c r="AM637" i="1"/>
  <c r="AL637" i="1" s="1"/>
  <c r="AM373" i="1"/>
  <c r="AL373" i="1" s="1"/>
  <c r="AM1390" i="1"/>
  <c r="AL1390" i="1" s="1"/>
  <c r="AM705" i="1"/>
  <c r="AL705" i="1" s="1"/>
  <c r="AM574" i="1"/>
  <c r="AL574" i="1" s="1"/>
  <c r="AM1227" i="1"/>
  <c r="AL1227" i="1" s="1"/>
  <c r="AM1412" i="1"/>
  <c r="AL1412" i="1" s="1"/>
  <c r="AM1444" i="1"/>
  <c r="AL1444" i="1" s="1"/>
  <c r="AM636" i="1"/>
  <c r="AL636" i="1" s="1"/>
  <c r="AM617" i="1"/>
  <c r="AL617" i="1" s="1"/>
  <c r="AM1391" i="1"/>
  <c r="AL1391" i="1" s="1"/>
  <c r="AM478" i="1"/>
  <c r="AL478" i="1" s="1"/>
  <c r="AM481" i="1"/>
  <c r="AL481" i="1" s="1"/>
  <c r="AM482" i="1"/>
  <c r="AL482" i="1" s="1"/>
  <c r="AM500" i="1"/>
  <c r="AL500" i="1" s="1"/>
  <c r="AM501" i="1"/>
  <c r="AL501" i="1" s="1"/>
  <c r="AM502" i="1"/>
  <c r="AL502" i="1" s="1"/>
  <c r="AM503" i="1"/>
  <c r="AL503" i="1" s="1"/>
  <c r="AM504" i="1"/>
  <c r="AL504" i="1" s="1"/>
  <c r="AM505" i="1"/>
  <c r="AL505" i="1" s="1"/>
  <c r="AM506" i="1"/>
  <c r="AL506" i="1" s="1"/>
  <c r="AM511" i="1"/>
  <c r="AL511" i="1" s="1"/>
  <c r="AM512" i="1"/>
  <c r="AL512" i="1" s="1"/>
  <c r="AM517" i="1"/>
  <c r="AL517" i="1" s="1"/>
  <c r="AM518" i="1"/>
  <c r="AL518" i="1" s="1"/>
  <c r="AM1862" i="1"/>
  <c r="AL1862" i="1" s="1"/>
  <c r="AM1875" i="1"/>
  <c r="AL1875" i="1" s="1"/>
  <c r="AM616" i="1"/>
  <c r="AL616" i="1" s="1"/>
  <c r="AM685" i="1"/>
  <c r="AL685" i="1" s="1"/>
  <c r="AM687" i="1"/>
  <c r="AL687" i="1" s="1"/>
  <c r="AM2233" i="1"/>
  <c r="AL2233" i="1" s="1"/>
  <c r="AM1874" i="1"/>
  <c r="AL1874" i="1" s="1"/>
  <c r="AM805" i="1"/>
  <c r="AL805" i="1" s="1"/>
  <c r="AM804" i="1"/>
  <c r="AL804" i="1" s="1"/>
  <c r="AM806" i="1"/>
  <c r="AL806" i="1" s="1"/>
  <c r="AM2300" i="1"/>
  <c r="AL2300" i="1" s="1"/>
  <c r="AM823" i="1"/>
  <c r="AL823" i="1" s="1"/>
  <c r="AM826" i="1"/>
  <c r="AL826" i="1" s="1"/>
  <c r="AM829" i="1"/>
  <c r="AL829" i="1" s="1"/>
  <c r="AM832" i="1"/>
  <c r="AL832" i="1" s="1"/>
  <c r="AM844" i="1"/>
  <c r="AL844" i="1" s="1"/>
  <c r="AM242" i="1"/>
  <c r="AL242" i="1" s="1"/>
  <c r="AM906" i="1"/>
  <c r="AL906" i="1" s="1"/>
  <c r="AM1273" i="1"/>
  <c r="AL1273" i="1" s="1"/>
  <c r="AM210" i="1"/>
  <c r="AL210" i="1" s="1"/>
  <c r="AM870" i="1"/>
  <c r="AL870" i="1" s="1"/>
  <c r="AM211" i="1"/>
  <c r="AL211" i="1" s="1"/>
  <c r="AM2244" i="1"/>
  <c r="AL2244" i="1" s="1"/>
  <c r="AM983" i="1"/>
  <c r="AL983" i="1" s="1"/>
  <c r="AM869" i="1"/>
  <c r="AL869" i="1" s="1"/>
  <c r="AM992" i="1"/>
  <c r="AL992" i="1" s="1"/>
  <c r="AM993" i="1"/>
  <c r="AL993" i="1" s="1"/>
  <c r="AM360" i="1"/>
  <c r="AL360" i="1" s="1"/>
  <c r="AM457" i="1"/>
  <c r="AL457" i="1" s="1"/>
  <c r="AM1943" i="1"/>
  <c r="AL1943" i="1" s="1"/>
  <c r="AM1944" i="1"/>
  <c r="AL1944" i="1" s="1"/>
  <c r="AM1081" i="1"/>
  <c r="AL1081" i="1" s="1"/>
  <c r="AM1082" i="1"/>
  <c r="AL1082" i="1" s="1"/>
  <c r="AM1241" i="1"/>
  <c r="AM1242" i="1"/>
  <c r="AM1243" i="1"/>
  <c r="AM1244" i="1"/>
  <c r="AM1140" i="1"/>
  <c r="AL1140" i="1" s="1"/>
  <c r="AM1167" i="1"/>
  <c r="AM1169" i="1"/>
  <c r="AM1181" i="1"/>
  <c r="AL1181" i="1" s="1"/>
  <c r="AM1192" i="1"/>
  <c r="AL1192" i="1" s="1"/>
  <c r="AM1517" i="1"/>
  <c r="AL1517" i="1" s="1"/>
  <c r="AM1518" i="1"/>
  <c r="AL1518" i="1" s="1"/>
  <c r="AM1519" i="1"/>
  <c r="AL1519" i="1" s="1"/>
  <c r="AM2528" i="1"/>
  <c r="AL2528" i="1" s="1"/>
  <c r="AM1299" i="1"/>
  <c r="AL1299" i="1" s="1"/>
  <c r="AM1363" i="1"/>
  <c r="AL1363" i="1" s="1"/>
  <c r="AM1368" i="1"/>
  <c r="AL1368" i="1" s="1"/>
  <c r="AM2529" i="1"/>
  <c r="AL2529" i="1" s="1"/>
  <c r="AM1417" i="1"/>
  <c r="AL1417" i="1" s="1"/>
  <c r="AM1420" i="1"/>
  <c r="AL1420" i="1" s="1"/>
  <c r="AM1457" i="1"/>
  <c r="AL1457" i="1" s="1"/>
  <c r="AM1462" i="1"/>
  <c r="AL1462" i="1" s="1"/>
  <c r="AM1464" i="1"/>
  <c r="AL1464" i="1" s="1"/>
  <c r="AM1469" i="1"/>
  <c r="AL1469" i="1" s="1"/>
  <c r="AM627" i="1"/>
  <c r="AL627" i="1" s="1"/>
  <c r="AM1563" i="1"/>
  <c r="AL1563" i="1" s="1"/>
  <c r="AM1564" i="1"/>
  <c r="AL1564" i="1" s="1"/>
  <c r="AM1566" i="1"/>
  <c r="AL1566" i="1" s="1"/>
  <c r="AM1569" i="1"/>
  <c r="AL1569" i="1" s="1"/>
  <c r="AM1571" i="1"/>
  <c r="AL1571" i="1" s="1"/>
  <c r="AM1573" i="1"/>
  <c r="AL1573" i="1" s="1"/>
  <c r="AM1575" i="1"/>
  <c r="AL1575" i="1" s="1"/>
  <c r="AM1577" i="1"/>
  <c r="AL1577" i="1" s="1"/>
  <c r="AM1579" i="1"/>
  <c r="AL1579" i="1" s="1"/>
  <c r="AM1581" i="1"/>
  <c r="AL1581" i="1" s="1"/>
  <c r="AM1582" i="1"/>
  <c r="AL1582" i="1" s="1"/>
  <c r="AM1611" i="1"/>
  <c r="AL1611" i="1" s="1"/>
  <c r="AM1634" i="1"/>
  <c r="AL1634" i="1" s="1"/>
  <c r="AM1633" i="1"/>
  <c r="AL1633" i="1" s="1"/>
  <c r="AM1666" i="1"/>
  <c r="AL1666" i="1" s="1"/>
  <c r="AM1667" i="1"/>
  <c r="AL1667" i="1" s="1"/>
  <c r="AM1668" i="1"/>
  <c r="AL1668" i="1" s="1"/>
  <c r="AM1669" i="1"/>
  <c r="AL1669" i="1" s="1"/>
  <c r="AM1670" i="1"/>
  <c r="AL1670" i="1" s="1"/>
  <c r="AM1671" i="1"/>
  <c r="AL1671" i="1" s="1"/>
  <c r="AM1672" i="1"/>
  <c r="AL1672" i="1" s="1"/>
  <c r="AM1673" i="1"/>
  <c r="AL1673" i="1" s="1"/>
  <c r="AM1674" i="1"/>
  <c r="AL1674" i="1" s="1"/>
  <c r="AM1704" i="1"/>
  <c r="AL1704" i="1" s="1"/>
  <c r="AM1750" i="1"/>
  <c r="AL1750" i="1" s="1"/>
  <c r="AM1815" i="1"/>
  <c r="AL1815" i="1" s="1"/>
  <c r="AM1817" i="1"/>
  <c r="AL1817" i="1" s="1"/>
  <c r="AM855" i="1"/>
  <c r="AL855" i="1" s="1"/>
  <c r="AM1871" i="1"/>
  <c r="AL1871" i="1" s="1"/>
  <c r="AM1948" i="1"/>
  <c r="AL1948" i="1" s="1"/>
  <c r="AM1949" i="1"/>
  <c r="AL1949" i="1" s="1"/>
  <c r="AM1960" i="1"/>
  <c r="AL1960" i="1" s="1"/>
  <c r="AM1961" i="1"/>
  <c r="AL1961" i="1" s="1"/>
  <c r="AM1995" i="1"/>
  <c r="AL1995" i="1" s="1"/>
  <c r="AM1401" i="1"/>
  <c r="AL1401" i="1" s="1"/>
  <c r="AM2078" i="1"/>
  <c r="AL2078" i="1" s="1"/>
  <c r="AM2077" i="1"/>
  <c r="AL2077" i="1" s="1"/>
  <c r="AM2097" i="1"/>
  <c r="AL2097" i="1" s="1"/>
  <c r="AM2098" i="1"/>
  <c r="AL2098" i="1" s="1"/>
  <c r="AM2100" i="1"/>
  <c r="AL2100" i="1" s="1"/>
  <c r="AM2102" i="1"/>
  <c r="AL2102" i="1" s="1"/>
  <c r="AM2103" i="1"/>
  <c r="AL2103" i="1" s="1"/>
  <c r="AM303" i="1"/>
  <c r="AL303" i="1" s="1"/>
  <c r="AM2120" i="1"/>
  <c r="AM2150" i="1"/>
  <c r="AL2150" i="1" s="1"/>
  <c r="AM2168" i="1"/>
  <c r="AL2168" i="1" s="1"/>
  <c r="AM2172" i="1"/>
  <c r="AM2243" i="1"/>
  <c r="AL2243" i="1" s="1"/>
  <c r="AM1769" i="1"/>
  <c r="AL1769" i="1" s="1"/>
  <c r="AM2374" i="1"/>
  <c r="AM2381" i="1"/>
  <c r="AL2381" i="1" s="1"/>
  <c r="AM2385" i="1"/>
  <c r="AL2385" i="1" s="1"/>
  <c r="AM2390" i="1"/>
  <c r="AL2390" i="1" s="1"/>
  <c r="AM2391" i="1"/>
  <c r="AL2391" i="1" s="1"/>
  <c r="AM2397" i="1"/>
  <c r="AL2397" i="1" s="1"/>
  <c r="AM2399" i="1"/>
  <c r="AL2399" i="1" s="1"/>
  <c r="AM2401" i="1"/>
  <c r="AL2401" i="1" s="1"/>
  <c r="AM2402" i="1"/>
  <c r="AL2402" i="1" s="1"/>
  <c r="AM2404" i="1"/>
  <c r="AL2404" i="1" s="1"/>
  <c r="AM2405" i="1"/>
  <c r="AL2405" i="1" s="1"/>
  <c r="AM2423" i="1"/>
  <c r="AL2423" i="1" s="1"/>
  <c r="AM2424" i="1"/>
  <c r="AL2424" i="1" s="1"/>
  <c r="AM2502" i="1"/>
  <c r="AL2502" i="1" s="1"/>
  <c r="AM2517" i="1"/>
  <c r="AL2517" i="1" s="1"/>
  <c r="AM2518" i="1"/>
  <c r="AL2518" i="1" s="1"/>
  <c r="AM2519" i="1"/>
  <c r="AL2519" i="1" s="1"/>
  <c r="AM2524" i="1"/>
  <c r="AL2524" i="1" s="1"/>
  <c r="AM2525" i="1"/>
  <c r="AL2525" i="1" s="1"/>
  <c r="AM2527" i="1"/>
  <c r="AL2527" i="1" s="1"/>
  <c r="AM2526" i="1"/>
  <c r="AL2526" i="1" s="1"/>
  <c r="AM2530" i="1"/>
  <c r="AL2530" i="1" s="1"/>
  <c r="AM2546" i="1"/>
  <c r="AL2546" i="1" s="1"/>
  <c r="AM2550" i="1"/>
  <c r="AL2550" i="1" s="1"/>
  <c r="AM2552" i="1"/>
  <c r="AL2552" i="1" s="1"/>
  <c r="AJ442" i="1" l="1"/>
  <c r="AK442" i="1" s="1"/>
  <c r="AJ441" i="1"/>
  <c r="AK441" i="1" s="1"/>
  <c r="AJ1424" i="1"/>
  <c r="AK1424" i="1" s="1"/>
  <c r="AJ1425" i="1"/>
  <c r="AK1425" i="1" s="1"/>
  <c r="D170" i="5"/>
  <c r="F170" i="5" s="1"/>
  <c r="E170" i="5" l="1"/>
  <c r="W1588" i="1" l="1"/>
  <c r="V1588" i="1"/>
  <c r="U1588" i="1"/>
  <c r="T1588" i="1"/>
  <c r="W952" i="1"/>
  <c r="V952" i="1"/>
  <c r="U952" i="1"/>
  <c r="T952" i="1"/>
  <c r="W1065" i="1"/>
  <c r="V1065" i="1"/>
  <c r="U1065" i="1"/>
  <c r="T1065" i="1"/>
  <c r="W953" i="1"/>
  <c r="V953" i="1"/>
  <c r="U953" i="1"/>
  <c r="T953" i="1"/>
  <c r="AF192" i="1"/>
  <c r="AF190" i="1"/>
  <c r="AF187" i="1"/>
  <c r="AF185" i="1"/>
  <c r="W2529" i="1"/>
  <c r="V2529" i="1"/>
  <c r="AF2527" i="1"/>
  <c r="W2527" i="1"/>
  <c r="V2527" i="1"/>
  <c r="AF2525" i="1"/>
  <c r="W2525" i="1"/>
  <c r="V2525" i="1"/>
  <c r="AF1063" i="1"/>
  <c r="W1063" i="1"/>
  <c r="V1063" i="1"/>
  <c r="U1063" i="1"/>
  <c r="T1063" i="1"/>
  <c r="AF1061" i="1"/>
  <c r="W1061" i="1"/>
  <c r="V1061" i="1"/>
  <c r="U1061" i="1"/>
  <c r="T1061" i="1"/>
  <c r="W949" i="1"/>
  <c r="V949" i="1"/>
  <c r="U949" i="1"/>
  <c r="T949" i="1"/>
  <c r="W947" i="1"/>
  <c r="V947" i="1"/>
  <c r="U947" i="1"/>
  <c r="T947" i="1"/>
  <c r="AM193" i="1" l="1"/>
  <c r="AL193" i="1" s="1"/>
  <c r="AM953" i="1"/>
  <c r="AL953" i="1" s="1"/>
  <c r="AM1065" i="1"/>
  <c r="AL1065" i="1" s="1"/>
  <c r="AM952" i="1"/>
  <c r="AL952" i="1" s="1"/>
  <c r="AM1588" i="1"/>
  <c r="AL1588" i="1" s="1"/>
  <c r="AM947" i="1"/>
  <c r="AL947" i="1" s="1"/>
  <c r="AM1061" i="1"/>
  <c r="AL1061" i="1" s="1"/>
  <c r="AM1063" i="1"/>
  <c r="AL1063" i="1" s="1"/>
  <c r="AM949" i="1"/>
  <c r="AL949" i="1" s="1"/>
  <c r="AA1588" i="1"/>
  <c r="AA952" i="1"/>
  <c r="AA193" i="1"/>
  <c r="AA953" i="1"/>
  <c r="AB953" i="1" s="1"/>
  <c r="AD953" i="1" s="1"/>
  <c r="AA1065" i="1"/>
  <c r="AB1065" i="1" s="1"/>
  <c r="AD1065" i="1" s="1"/>
  <c r="AA2529" i="1"/>
  <c r="AA2525" i="1"/>
  <c r="AD2525" i="1" s="1"/>
  <c r="AA2527" i="1"/>
  <c r="AD2527" i="1" s="1"/>
  <c r="AA947" i="1"/>
  <c r="AB947" i="1" s="1"/>
  <c r="AD947" i="1" s="1"/>
  <c r="AA1061" i="1"/>
  <c r="AA1063" i="1"/>
  <c r="AA949" i="1"/>
  <c r="AB949" i="1" s="1"/>
  <c r="AD949" i="1" s="1"/>
  <c r="AD193" i="1" l="1"/>
  <c r="AB193" i="1"/>
  <c r="AC193" i="1"/>
  <c r="AB1063" i="1"/>
  <c r="AB1061" i="1"/>
  <c r="AM190" i="1" l="1"/>
  <c r="AL190" i="1" s="1"/>
  <c r="AM192" i="1"/>
  <c r="AL192" i="1" s="1"/>
  <c r="AA190" i="1"/>
  <c r="AD190" i="1" s="1"/>
  <c r="AA192" i="1"/>
  <c r="AD192" i="1" s="1"/>
  <c r="W188" i="1" l="1"/>
  <c r="V188" i="1"/>
  <c r="U188" i="1"/>
  <c r="T188" i="1"/>
  <c r="W187" i="1"/>
  <c r="V187" i="1"/>
  <c r="U187" i="1"/>
  <c r="T187" i="1"/>
  <c r="W185" i="1"/>
  <c r="V185" i="1"/>
  <c r="U185" i="1"/>
  <c r="T185" i="1"/>
  <c r="AF106" i="1"/>
  <c r="AF104" i="1"/>
  <c r="W106" i="1"/>
  <c r="V106" i="1"/>
  <c r="U106" i="1"/>
  <c r="AM106" i="1" s="1"/>
  <c r="AL106" i="1" s="1"/>
  <c r="W104" i="1"/>
  <c r="V104" i="1"/>
  <c r="U104" i="1"/>
  <c r="AM104" i="1" s="1"/>
  <c r="AL104" i="1" s="1"/>
  <c r="AM185" i="1" l="1"/>
  <c r="AL185" i="1" s="1"/>
  <c r="AM187" i="1"/>
  <c r="AL187" i="1" s="1"/>
  <c r="AM188" i="1"/>
  <c r="AL188" i="1" s="1"/>
  <c r="AA187" i="1"/>
  <c r="AD187" i="1" s="1"/>
  <c r="AA188" i="1"/>
  <c r="AA185" i="1"/>
  <c r="AD185" i="1" s="1"/>
  <c r="AA106" i="1"/>
  <c r="AD106" i="1" s="1"/>
  <c r="AA104" i="1"/>
  <c r="AD188" i="1" l="1"/>
  <c r="AC188" i="1"/>
  <c r="AB188" i="1"/>
  <c r="AD104" i="1"/>
  <c r="W296" i="1" l="1"/>
  <c r="V296" i="1"/>
  <c r="U296" i="1"/>
  <c r="T296" i="1"/>
  <c r="W2528" i="1"/>
  <c r="V2528" i="1"/>
  <c r="AF2526" i="1"/>
  <c r="W2526" i="1"/>
  <c r="V2526" i="1"/>
  <c r="AF2199" i="1"/>
  <c r="W2199" i="1"/>
  <c r="V2199" i="1"/>
  <c r="U2199" i="1"/>
  <c r="T2199" i="1"/>
  <c r="W1587" i="1"/>
  <c r="V1587" i="1"/>
  <c r="U1587" i="1"/>
  <c r="T1587" i="1"/>
  <c r="AF1062" i="1"/>
  <c r="W1062" i="1"/>
  <c r="V1062" i="1"/>
  <c r="U1062" i="1"/>
  <c r="T1062" i="1"/>
  <c r="W951" i="1"/>
  <c r="V951" i="1"/>
  <c r="U951" i="1"/>
  <c r="T951" i="1"/>
  <c r="W948" i="1"/>
  <c r="V948" i="1"/>
  <c r="U948" i="1"/>
  <c r="T948" i="1"/>
  <c r="AF807" i="1"/>
  <c r="AC807" i="1"/>
  <c r="W807" i="1"/>
  <c r="V807" i="1"/>
  <c r="AC806" i="1"/>
  <c r="W806" i="1"/>
  <c r="V806" i="1"/>
  <c r="AA296" i="1" l="1"/>
  <c r="AB296" i="1" s="1"/>
  <c r="AM951" i="1"/>
  <c r="AL951" i="1" s="1"/>
  <c r="AM1062" i="1"/>
  <c r="AL1062" i="1" s="1"/>
  <c r="AM1587" i="1"/>
  <c r="AL1587" i="1" s="1"/>
  <c r="AM296" i="1"/>
  <c r="AL296" i="1" s="1"/>
  <c r="AM948" i="1"/>
  <c r="AL948" i="1" s="1"/>
  <c r="AM2199" i="1"/>
  <c r="AL2199" i="1" s="1"/>
  <c r="AA2199" i="1"/>
  <c r="AA2528" i="1"/>
  <c r="AA2526" i="1"/>
  <c r="AA1587" i="1"/>
  <c r="AA951" i="1"/>
  <c r="AA948" i="1"/>
  <c r="AB948" i="1" s="1"/>
  <c r="AD948" i="1" s="1"/>
  <c r="AA1062" i="1"/>
  <c r="AA807" i="1"/>
  <c r="AD807" i="1" s="1"/>
  <c r="AJ807" i="1" s="1"/>
  <c r="AK807" i="1" s="1"/>
  <c r="AA806" i="1"/>
  <c r="W105" i="1"/>
  <c r="V105" i="1"/>
  <c r="AM105" i="1"/>
  <c r="AL105" i="1" s="1"/>
  <c r="AF707" i="1"/>
  <c r="AF706" i="1"/>
  <c r="AF1632" i="1"/>
  <c r="AF161" i="1"/>
  <c r="AF2303" i="1"/>
  <c r="AF2302" i="1"/>
  <c r="AF218" i="1"/>
  <c r="AF2216" i="1"/>
  <c r="AF2215" i="1"/>
  <c r="AF620" i="1"/>
  <c r="AF619" i="1"/>
  <c r="AF614" i="1"/>
  <c r="AF613" i="1"/>
  <c r="AF2232" i="1"/>
  <c r="AF2306" i="1"/>
  <c r="AF2305" i="1"/>
  <c r="AF2308" i="1"/>
  <c r="AF2307" i="1"/>
  <c r="AF1873" i="1"/>
  <c r="AF1872" i="1"/>
  <c r="AF179" i="1"/>
  <c r="AF2304" i="1"/>
  <c r="AF2492" i="1"/>
  <c r="AF2379" i="1"/>
  <c r="AF216" i="1"/>
  <c r="AF1219" i="1"/>
  <c r="AF2048" i="1"/>
  <c r="AF968" i="1"/>
  <c r="AF965" i="1"/>
  <c r="AF964" i="1"/>
  <c r="AF862" i="1"/>
  <c r="AF861" i="1"/>
  <c r="AF1410" i="1"/>
  <c r="AF1004" i="1"/>
  <c r="AF1806" i="1"/>
  <c r="AF1805" i="1"/>
  <c r="AF1429" i="1"/>
  <c r="AF1206" i="1"/>
  <c r="AF1205" i="1"/>
  <c r="AF67" i="1"/>
  <c r="AF65" i="1"/>
  <c r="AF1696" i="1"/>
  <c r="AF1695" i="1"/>
  <c r="AF1769" i="1"/>
  <c r="AF303" i="1"/>
  <c r="AF1952" i="1"/>
  <c r="W1952" i="1"/>
  <c r="V1952" i="1"/>
  <c r="U1952" i="1"/>
  <c r="T1952" i="1"/>
  <c r="U2516" i="1"/>
  <c r="T2516" i="1"/>
  <c r="U2514" i="1"/>
  <c r="T2514" i="1"/>
  <c r="U2323" i="1"/>
  <c r="T2323" i="1"/>
  <c r="U2320" i="1"/>
  <c r="T2320" i="1"/>
  <c r="U2310" i="1"/>
  <c r="T2310" i="1"/>
  <c r="U2313" i="1"/>
  <c r="T2313" i="1"/>
  <c r="U1914" i="1"/>
  <c r="T1914" i="1"/>
  <c r="U1912" i="1"/>
  <c r="T1912" i="1"/>
  <c r="U1811" i="1"/>
  <c r="T1811" i="1"/>
  <c r="U1809" i="1"/>
  <c r="T1809" i="1"/>
  <c r="U1807" i="1"/>
  <c r="T1807" i="1"/>
  <c r="U1297" i="1"/>
  <c r="T1297" i="1"/>
  <c r="U1265" i="1"/>
  <c r="T1265" i="1"/>
  <c r="U1263" i="1"/>
  <c r="T1263" i="1"/>
  <c r="U1120" i="1"/>
  <c r="T1120" i="1"/>
  <c r="U1118" i="1"/>
  <c r="T1118" i="1"/>
  <c r="U1116" i="1"/>
  <c r="T1116" i="1"/>
  <c r="U716" i="1"/>
  <c r="T716" i="1"/>
  <c r="U714" i="1"/>
  <c r="T714" i="1"/>
  <c r="AF1401" i="1"/>
  <c r="W1401" i="1"/>
  <c r="V1401" i="1"/>
  <c r="AF2116" i="1"/>
  <c r="AF2114" i="1"/>
  <c r="AF2039" i="1"/>
  <c r="AF2013" i="1"/>
  <c r="AF1855" i="1"/>
  <c r="AF1613" i="1"/>
  <c r="V1613" i="1"/>
  <c r="W1613" i="1"/>
  <c r="AF1275" i="1"/>
  <c r="AF996" i="1"/>
  <c r="V996" i="1"/>
  <c r="W996" i="1"/>
  <c r="AF649" i="1"/>
  <c r="AF408" i="1"/>
  <c r="AF400" i="1"/>
  <c r="AF397" i="1"/>
  <c r="AF395" i="1"/>
  <c r="AF220" i="1"/>
  <c r="V2116" i="1"/>
  <c r="W2116" i="1"/>
  <c r="V2114" i="1"/>
  <c r="W2114" i="1"/>
  <c r="V2039" i="1"/>
  <c r="W2039" i="1"/>
  <c r="V2013" i="1"/>
  <c r="W2013" i="1"/>
  <c r="V1855" i="1"/>
  <c r="W1855" i="1"/>
  <c r="V1275" i="1"/>
  <c r="W1275" i="1"/>
  <c r="V649" i="1"/>
  <c r="W649" i="1"/>
  <c r="V408" i="1"/>
  <c r="W408" i="1"/>
  <c r="V400" i="1"/>
  <c r="W400" i="1"/>
  <c r="V397" i="1"/>
  <c r="W397" i="1"/>
  <c r="V395" i="1"/>
  <c r="W395" i="1"/>
  <c r="V2516" i="1"/>
  <c r="W2516" i="1"/>
  <c r="V2514" i="1"/>
  <c r="W2514" i="1"/>
  <c r="V2323" i="1"/>
  <c r="W2323" i="1"/>
  <c r="V2320" i="1"/>
  <c r="W2320" i="1"/>
  <c r="V2310" i="1"/>
  <c r="W2310" i="1"/>
  <c r="V2313" i="1"/>
  <c r="W2313" i="1"/>
  <c r="V1914" i="1"/>
  <c r="W1914" i="1"/>
  <c r="V1912" i="1"/>
  <c r="W1912" i="1"/>
  <c r="V1811" i="1"/>
  <c r="W1811" i="1"/>
  <c r="V1809" i="1"/>
  <c r="W1809" i="1"/>
  <c r="V1807" i="1"/>
  <c r="W1807" i="1"/>
  <c r="V1299" i="1"/>
  <c r="W1299" i="1"/>
  <c r="V1297" i="1"/>
  <c r="W1297" i="1"/>
  <c r="V1265" i="1"/>
  <c r="W1265" i="1"/>
  <c r="V1263" i="1"/>
  <c r="W1263" i="1"/>
  <c r="V1120" i="1"/>
  <c r="W1120" i="1"/>
  <c r="V1118" i="1"/>
  <c r="W1118" i="1"/>
  <c r="V1116" i="1"/>
  <c r="W1116" i="1"/>
  <c r="V716" i="1"/>
  <c r="W716" i="1"/>
  <c r="V714" i="1"/>
  <c r="W714" i="1"/>
  <c r="T220" i="1"/>
  <c r="U220" i="1"/>
  <c r="T2116" i="1"/>
  <c r="U2116" i="1"/>
  <c r="T2114" i="1"/>
  <c r="U2114" i="1"/>
  <c r="T2039" i="1"/>
  <c r="U2039" i="1"/>
  <c r="T2013" i="1"/>
  <c r="U2013" i="1"/>
  <c r="T1855" i="1"/>
  <c r="U1855" i="1"/>
  <c r="T1613" i="1"/>
  <c r="U1613" i="1"/>
  <c r="T1275" i="1"/>
  <c r="U1275" i="1"/>
  <c r="T996" i="1"/>
  <c r="U996" i="1"/>
  <c r="T649" i="1"/>
  <c r="U649" i="1"/>
  <c r="T408" i="1"/>
  <c r="U408" i="1"/>
  <c r="T400" i="1"/>
  <c r="U400" i="1"/>
  <c r="T397" i="1"/>
  <c r="U397" i="1"/>
  <c r="T395" i="1"/>
  <c r="U395" i="1"/>
  <c r="AF2516" i="1"/>
  <c r="AF2514" i="1"/>
  <c r="V220" i="1"/>
  <c r="W220" i="1"/>
  <c r="U425" i="1"/>
  <c r="AM425" i="1" s="1"/>
  <c r="AL425" i="1" s="1"/>
  <c r="W428" i="1"/>
  <c r="V428" i="1"/>
  <c r="U428" i="1"/>
  <c r="AM428" i="1" s="1"/>
  <c r="AL428" i="1" s="1"/>
  <c r="W429" i="1"/>
  <c r="V429" i="1"/>
  <c r="U429" i="1"/>
  <c r="AM429" i="1" s="1"/>
  <c r="AL429" i="1" s="1"/>
  <c r="W426" i="1"/>
  <c r="V426" i="1"/>
  <c r="U426" i="1"/>
  <c r="AM426" i="1" s="1"/>
  <c r="AL426" i="1" s="1"/>
  <c r="W427" i="1"/>
  <c r="V427" i="1"/>
  <c r="U427" i="1"/>
  <c r="AM427" i="1" s="1"/>
  <c r="AL427" i="1" s="1"/>
  <c r="W424" i="1"/>
  <c r="V424" i="1"/>
  <c r="U424" i="1"/>
  <c r="AM424" i="1" s="1"/>
  <c r="AL424" i="1" s="1"/>
  <c r="W425" i="1"/>
  <c r="V425" i="1"/>
  <c r="W423" i="1"/>
  <c r="V423" i="1"/>
  <c r="U423" i="1"/>
  <c r="AM423" i="1" s="1"/>
  <c r="AL423" i="1" s="1"/>
  <c r="AF1863" i="1"/>
  <c r="W1171" i="1"/>
  <c r="V1171" i="1"/>
  <c r="U1171" i="1"/>
  <c r="T1171" i="1"/>
  <c r="W1219" i="1"/>
  <c r="V1219" i="1"/>
  <c r="U1219" i="1"/>
  <c r="T1219" i="1"/>
  <c r="W622" i="1"/>
  <c r="V622" i="1"/>
  <c r="U622" i="1"/>
  <c r="T622" i="1"/>
  <c r="W1163" i="1"/>
  <c r="V1163" i="1"/>
  <c r="U1163" i="1"/>
  <c r="T1163" i="1"/>
  <c r="W161" i="1"/>
  <c r="V161" i="1"/>
  <c r="U161" i="1"/>
  <c r="T161" i="1"/>
  <c r="W159" i="1"/>
  <c r="V159" i="1"/>
  <c r="W2048" i="1"/>
  <c r="V2048" i="1"/>
  <c r="AD2492" i="1"/>
  <c r="AD2491" i="1"/>
  <c r="W2103" i="1"/>
  <c r="V2103" i="1"/>
  <c r="AC2103" i="1" s="1"/>
  <c r="W2102" i="1"/>
  <c r="V2102" i="1"/>
  <c r="AC2102" i="1" s="1"/>
  <c r="W1422" i="1"/>
  <c r="V1422" i="1"/>
  <c r="W1418" i="1"/>
  <c r="V1418" i="1"/>
  <c r="U1422" i="1"/>
  <c r="AM1422" i="1" s="1"/>
  <c r="AL1422" i="1" s="1"/>
  <c r="U1418" i="1"/>
  <c r="AM1418" i="1" s="1"/>
  <c r="AL1418" i="1" s="1"/>
  <c r="W2244" i="1"/>
  <c r="V2244" i="1"/>
  <c r="AF46" i="1"/>
  <c r="AF40" i="1"/>
  <c r="AF39" i="1"/>
  <c r="W40" i="1"/>
  <c r="V40" i="1"/>
  <c r="U40" i="1"/>
  <c r="AM40" i="1" s="1"/>
  <c r="W39" i="1"/>
  <c r="V39" i="1"/>
  <c r="U39" i="1"/>
  <c r="T39" i="1"/>
  <c r="AF41" i="1"/>
  <c r="W41" i="1"/>
  <c r="V41" i="1"/>
  <c r="U41" i="1"/>
  <c r="AM41" i="1" s="1"/>
  <c r="M40" i="1"/>
  <c r="AH40" i="1" s="1"/>
  <c r="M41" i="1"/>
  <c r="AH41" i="1" s="1"/>
  <c r="AC1377" i="1"/>
  <c r="AC1373" i="1"/>
  <c r="T2492" i="1"/>
  <c r="U2492" i="1"/>
  <c r="W2492" i="1"/>
  <c r="V2492" i="1"/>
  <c r="W179" i="1"/>
  <c r="V179" i="1"/>
  <c r="W1633" i="1"/>
  <c r="V1633" i="1"/>
  <c r="W1444" i="1"/>
  <c r="V1444" i="1"/>
  <c r="W1634" i="1"/>
  <c r="V1634" i="1"/>
  <c r="W1632" i="1"/>
  <c r="V1632" i="1"/>
  <c r="AF855" i="1"/>
  <c r="AC855" i="1"/>
  <c r="W2243" i="1"/>
  <c r="AC2243" i="1" s="1"/>
  <c r="V2243" i="1"/>
  <c r="U1627" i="1"/>
  <c r="T1627" i="1"/>
  <c r="U1626" i="1"/>
  <c r="T1626" i="1"/>
  <c r="V1577" i="1"/>
  <c r="Z1577" i="1" s="1"/>
  <c r="V1575" i="1"/>
  <c r="Z1575" i="1" s="1"/>
  <c r="V1573" i="1"/>
  <c r="Z1573" i="1" s="1"/>
  <c r="V1571" i="1"/>
  <c r="Z1571" i="1" s="1"/>
  <c r="V1569" i="1"/>
  <c r="Z1569" i="1" s="1"/>
  <c r="V1523" i="1"/>
  <c r="Z1523" i="1" s="1"/>
  <c r="V1522" i="1"/>
  <c r="Z1522" i="1" s="1"/>
  <c r="V870" i="1"/>
  <c r="Z870" i="1" s="1"/>
  <c r="V869" i="1"/>
  <c r="Z869" i="1" s="1"/>
  <c r="V1498" i="1"/>
  <c r="V1497" i="1"/>
  <c r="Z1497" i="1" s="1"/>
  <c r="V1496" i="1"/>
  <c r="Z1496" i="1" s="1"/>
  <c r="W1879" i="1"/>
  <c r="Z1879" i="1" s="1"/>
  <c r="W1878" i="1"/>
  <c r="Z1878" i="1" s="1"/>
  <c r="V1207" i="1"/>
  <c r="W27" i="1"/>
  <c r="V2302" i="1"/>
  <c r="W2302" i="1"/>
  <c r="V2232" i="1"/>
  <c r="W2232" i="1"/>
  <c r="V2215" i="1"/>
  <c r="W2215" i="1"/>
  <c r="V2305" i="1"/>
  <c r="W2305" i="1"/>
  <c r="E36" i="3"/>
  <c r="AB895" i="1" s="1"/>
  <c r="V2194" i="1"/>
  <c r="W2194" i="1"/>
  <c r="V2303" i="1"/>
  <c r="W2303" i="1"/>
  <c r="V2300" i="1"/>
  <c r="W2300" i="1"/>
  <c r="V262" i="1"/>
  <c r="W262" i="1"/>
  <c r="V248" i="1"/>
  <c r="W248" i="1"/>
  <c r="V242" i="1"/>
  <c r="W242" i="1"/>
  <c r="V2530" i="1"/>
  <c r="W2530" i="1"/>
  <c r="D13" i="3"/>
  <c r="V2524" i="1"/>
  <c r="W2524" i="1"/>
  <c r="V2519" i="1"/>
  <c r="W2519" i="1"/>
  <c r="V2518" i="1"/>
  <c r="W2518" i="1"/>
  <c r="V2517" i="1"/>
  <c r="W2517" i="1"/>
  <c r="V2402" i="1"/>
  <c r="W2402" i="1"/>
  <c r="V2401" i="1"/>
  <c r="W2401" i="1"/>
  <c r="V2399" i="1"/>
  <c r="W2399" i="1"/>
  <c r="V2397" i="1"/>
  <c r="W2397" i="1"/>
  <c r="V2393" i="1"/>
  <c r="W2393" i="1"/>
  <c r="V2280" i="1"/>
  <c r="W2280" i="1"/>
  <c r="V2277" i="1"/>
  <c r="W2277" i="1"/>
  <c r="V2231" i="1"/>
  <c r="W2231" i="1"/>
  <c r="V2227" i="1"/>
  <c r="W2227" i="1"/>
  <c r="V2198" i="1"/>
  <c r="W2198" i="1"/>
  <c r="V2197" i="1"/>
  <c r="W2197" i="1"/>
  <c r="V2195" i="1"/>
  <c r="W2195" i="1"/>
  <c r="V2301" i="1"/>
  <c r="W2301" i="1"/>
  <c r="V2233" i="1"/>
  <c r="W2233" i="1"/>
  <c r="V2234" i="1"/>
  <c r="W2234" i="1"/>
  <c r="V2216" i="1"/>
  <c r="W2216" i="1"/>
  <c r="V2156" i="1"/>
  <c r="W2156" i="1"/>
  <c r="V2130" i="1"/>
  <c r="W2130" i="1"/>
  <c r="V1971" i="1"/>
  <c r="W1971" i="1"/>
  <c r="V1961" i="1"/>
  <c r="W1961" i="1"/>
  <c r="V1944" i="1"/>
  <c r="W1944" i="1"/>
  <c r="V1943" i="1"/>
  <c r="W1943" i="1"/>
  <c r="V1871" i="1"/>
  <c r="W1871" i="1"/>
  <c r="V1862" i="1"/>
  <c r="W1862" i="1"/>
  <c r="V1863" i="1"/>
  <c r="W1863" i="1"/>
  <c r="V1859" i="1"/>
  <c r="W1859" i="1"/>
  <c r="V1848" i="1"/>
  <c r="W1848" i="1"/>
  <c r="V1776" i="1"/>
  <c r="W1776" i="1"/>
  <c r="V1774" i="1"/>
  <c r="W1774" i="1"/>
  <c r="V1766" i="1"/>
  <c r="W1766" i="1"/>
  <c r="V1717" i="1"/>
  <c r="W1717" i="1"/>
  <c r="V1718" i="1"/>
  <c r="W1718" i="1"/>
  <c r="V1519" i="1"/>
  <c r="W1519" i="1"/>
  <c r="V1518" i="1"/>
  <c r="W1518" i="1"/>
  <c r="V1517" i="1"/>
  <c r="W1517" i="1"/>
  <c r="V1501" i="1"/>
  <c r="W1501" i="1"/>
  <c r="V1303" i="1"/>
  <c r="W1303" i="1"/>
  <c r="V1302" i="1"/>
  <c r="W1302" i="1"/>
  <c r="V1273" i="1"/>
  <c r="W1273" i="1"/>
  <c r="V1274" i="1"/>
  <c r="W1274" i="1"/>
  <c r="V1143" i="1"/>
  <c r="W1143" i="1"/>
  <c r="V1138" i="1"/>
  <c r="W1138" i="1"/>
  <c r="V1098" i="1"/>
  <c r="W1098" i="1"/>
  <c r="V1043" i="1"/>
  <c r="W1043" i="1"/>
  <c r="V1040" i="1"/>
  <c r="W1040" i="1"/>
  <c r="V993" i="1"/>
  <c r="W993" i="1"/>
  <c r="V959" i="1"/>
  <c r="W959" i="1"/>
  <c r="V958" i="1"/>
  <c r="W958" i="1"/>
  <c r="V937" i="1"/>
  <c r="W937" i="1"/>
  <c r="V706" i="1"/>
  <c r="W706" i="1"/>
  <c r="V676" i="1"/>
  <c r="W676" i="1"/>
  <c r="V537" i="1"/>
  <c r="W537" i="1"/>
  <c r="V536" i="1"/>
  <c r="W536" i="1"/>
  <c r="V535" i="1"/>
  <c r="W535" i="1"/>
  <c r="V534" i="1"/>
  <c r="W534" i="1"/>
  <c r="V464" i="1"/>
  <c r="W464" i="1"/>
  <c r="V463" i="1"/>
  <c r="W463" i="1"/>
  <c r="V363" i="1"/>
  <c r="W363" i="1"/>
  <c r="V293" i="1"/>
  <c r="W293" i="1"/>
  <c r="V291" i="1"/>
  <c r="W291" i="1"/>
  <c r="V284" i="1"/>
  <c r="W284" i="1"/>
  <c r="V270" i="1"/>
  <c r="W270" i="1"/>
  <c r="V269" i="1"/>
  <c r="W269" i="1"/>
  <c r="V268" i="1"/>
  <c r="W268" i="1"/>
  <c r="V267" i="1"/>
  <c r="W267" i="1"/>
  <c r="V266" i="1"/>
  <c r="W266" i="1"/>
  <c r="V265" i="1"/>
  <c r="W265" i="1"/>
  <c r="V264" i="1"/>
  <c r="W264" i="1"/>
  <c r="V263" i="1"/>
  <c r="W263" i="1"/>
  <c r="V243" i="1"/>
  <c r="W243" i="1"/>
  <c r="V241" i="1"/>
  <c r="W241" i="1"/>
  <c r="V240" i="1"/>
  <c r="W240" i="1"/>
  <c r="V239" i="1"/>
  <c r="W239" i="1"/>
  <c r="V238" i="1"/>
  <c r="W238" i="1"/>
  <c r="V237" i="1"/>
  <c r="W237" i="1"/>
  <c r="V236" i="1"/>
  <c r="W236" i="1"/>
  <c r="V235" i="1"/>
  <c r="W235" i="1"/>
  <c r="V234" i="1"/>
  <c r="W234" i="1"/>
  <c r="V233" i="1"/>
  <c r="W233" i="1"/>
  <c r="V232" i="1"/>
  <c r="W232" i="1"/>
  <c r="V231" i="1"/>
  <c r="W231" i="1"/>
  <c r="V230" i="1"/>
  <c r="W230" i="1"/>
  <c r="V217" i="1"/>
  <c r="W217" i="1"/>
  <c r="V201" i="1"/>
  <c r="W201" i="1"/>
  <c r="V194" i="1"/>
  <c r="W194" i="1"/>
  <c r="V189" i="1"/>
  <c r="W189" i="1"/>
  <c r="V164" i="1"/>
  <c r="W164" i="1"/>
  <c r="V163" i="1"/>
  <c r="W163" i="1"/>
  <c r="V165" i="1"/>
  <c r="W165" i="1"/>
  <c r="V162" i="1"/>
  <c r="W162" i="1"/>
  <c r="V122" i="1"/>
  <c r="W122" i="1"/>
  <c r="V121" i="1"/>
  <c r="W121" i="1"/>
  <c r="V120" i="1"/>
  <c r="W120" i="1"/>
  <c r="V119" i="1"/>
  <c r="W119" i="1"/>
  <c r="V118" i="1"/>
  <c r="W118" i="1"/>
  <c r="V117" i="1"/>
  <c r="W117" i="1"/>
  <c r="V116" i="1"/>
  <c r="W116" i="1"/>
  <c r="V111" i="1"/>
  <c r="W111" i="1"/>
  <c r="V110" i="1"/>
  <c r="W110" i="1"/>
  <c r="V109" i="1"/>
  <c r="W109" i="1"/>
  <c r="V108" i="1"/>
  <c r="W108" i="1"/>
  <c r="V23" i="1"/>
  <c r="W23" i="1"/>
  <c r="V24" i="1"/>
  <c r="W24" i="1"/>
  <c r="V26" i="1"/>
  <c r="W26" i="1"/>
  <c r="V27" i="1"/>
  <c r="V28" i="1"/>
  <c r="W28" i="1"/>
  <c r="V29" i="1"/>
  <c r="W29" i="1"/>
  <c r="V30" i="1"/>
  <c r="W30" i="1"/>
  <c r="V31" i="1"/>
  <c r="W31" i="1"/>
  <c r="V32" i="1"/>
  <c r="W32" i="1"/>
  <c r="V33" i="1"/>
  <c r="W33" i="1"/>
  <c r="V34" i="1"/>
  <c r="W34" i="1"/>
  <c r="V42" i="1"/>
  <c r="W42" i="1"/>
  <c r="V43" i="1"/>
  <c r="W43" i="1"/>
  <c r="V44" i="1"/>
  <c r="W44" i="1"/>
  <c r="V45" i="1"/>
  <c r="W45" i="1"/>
  <c r="V46" i="1"/>
  <c r="W46" i="1"/>
  <c r="V47" i="1"/>
  <c r="W47" i="1"/>
  <c r="V48" i="1"/>
  <c r="W48" i="1"/>
  <c r="V49" i="1"/>
  <c r="W49" i="1"/>
  <c r="V102" i="1"/>
  <c r="W102" i="1"/>
  <c r="V216" i="1"/>
  <c r="W216" i="1"/>
  <c r="AA218" i="1"/>
  <c r="AC422" i="1"/>
  <c r="AC425" i="1"/>
  <c r="AC427" i="1"/>
  <c r="AC429" i="1"/>
  <c r="V422" i="1"/>
  <c r="W422" i="1"/>
  <c r="D29" i="3"/>
  <c r="V2403" i="1"/>
  <c r="W2403" i="1"/>
  <c r="V2400" i="1"/>
  <c r="W2400" i="1"/>
  <c r="V2398" i="1"/>
  <c r="W2398" i="1"/>
  <c r="V2396" i="1"/>
  <c r="W2396" i="1"/>
  <c r="V2394" i="1"/>
  <c r="W2394" i="1"/>
  <c r="V1639" i="1"/>
  <c r="W1639" i="1"/>
  <c r="V1503" i="1"/>
  <c r="W1503" i="1"/>
  <c r="V1506" i="1"/>
  <c r="Y1506" i="1" s="1"/>
  <c r="W1506" i="1"/>
  <c r="Z1506" i="1" s="1"/>
  <c r="V1467" i="1"/>
  <c r="W1467" i="1"/>
  <c r="V1463" i="1"/>
  <c r="W1463" i="1"/>
  <c r="V1460" i="1"/>
  <c r="W1460" i="1"/>
  <c r="V1456" i="1"/>
  <c r="W1456" i="1"/>
  <c r="AC1456" i="1"/>
  <c r="V1377" i="1"/>
  <c r="W1377" i="1"/>
  <c r="V1378" i="1"/>
  <c r="W1378" i="1"/>
  <c r="AC1378" i="1"/>
  <c r="V1373" i="1"/>
  <c r="W1373" i="1"/>
  <c r="V1374" i="1"/>
  <c r="W1374" i="1"/>
  <c r="V1048" i="1"/>
  <c r="W1048" i="1"/>
  <c r="V1049" i="1"/>
  <c r="W1049" i="1"/>
  <c r="V1018" i="1"/>
  <c r="W1018" i="1"/>
  <c r="V1021" i="1"/>
  <c r="W1021" i="1"/>
  <c r="V804" i="1"/>
  <c r="W804" i="1"/>
  <c r="V805" i="1"/>
  <c r="W805" i="1"/>
  <c r="AC805" i="1"/>
  <c r="V454" i="1"/>
  <c r="W454" i="1"/>
  <c r="V452" i="1"/>
  <c r="W452" i="1"/>
  <c r="V450" i="1"/>
  <c r="W450" i="1"/>
  <c r="V448" i="1"/>
  <c r="W448" i="1"/>
  <c r="AF27" i="1"/>
  <c r="AF811" i="1"/>
  <c r="AF815" i="1"/>
  <c r="AF814" i="1"/>
  <c r="AF813" i="1"/>
  <c r="AF812" i="1"/>
  <c r="W815" i="1"/>
  <c r="V815" i="1"/>
  <c r="W814" i="1"/>
  <c r="V814" i="1"/>
  <c r="W813" i="1"/>
  <c r="V813" i="1"/>
  <c r="W812" i="1"/>
  <c r="V812" i="1"/>
  <c r="T352" i="1"/>
  <c r="U352" i="1"/>
  <c r="V352" i="1"/>
  <c r="W352" i="1"/>
  <c r="AF352" i="1"/>
  <c r="AF1273" i="1"/>
  <c r="AF242" i="1"/>
  <c r="AF1717" i="1"/>
  <c r="AF2300" i="1"/>
  <c r="AF2233" i="1"/>
  <c r="AF1862" i="1"/>
  <c r="W1611" i="1"/>
  <c r="V1611" i="1"/>
  <c r="T218" i="1"/>
  <c r="U218" i="1"/>
  <c r="AF164" i="1"/>
  <c r="AF163" i="1"/>
  <c r="AF162" i="1"/>
  <c r="V178" i="1"/>
  <c r="W178" i="1"/>
  <c r="V168" i="1"/>
  <c r="W168" i="1"/>
  <c r="V705" i="1"/>
  <c r="W705" i="1"/>
  <c r="V707" i="1"/>
  <c r="W707" i="1"/>
  <c r="T861" i="1"/>
  <c r="U861" i="1"/>
  <c r="V861" i="1"/>
  <c r="W861" i="1"/>
  <c r="V1429" i="1"/>
  <c r="W1429" i="1"/>
  <c r="T1176" i="1"/>
  <c r="U1176" i="1"/>
  <c r="V1176" i="1"/>
  <c r="W1176" i="1"/>
  <c r="V1410" i="1"/>
  <c r="W1410" i="1"/>
  <c r="AM1410" i="1"/>
  <c r="AL1410" i="1" s="1"/>
  <c r="V25" i="1"/>
  <c r="W25" i="1"/>
  <c r="AF28" i="1"/>
  <c r="U28" i="1"/>
  <c r="T28" i="1"/>
  <c r="AM27" i="1"/>
  <c r="AL27" i="1" s="1"/>
  <c r="AF26" i="1"/>
  <c r="U26" i="1"/>
  <c r="AM26" i="1" s="1"/>
  <c r="M26" i="1"/>
  <c r="AH26" i="1" s="1"/>
  <c r="AF24" i="1"/>
  <c r="U24" i="1"/>
  <c r="AM24" i="1" s="1"/>
  <c r="M24" i="1"/>
  <c r="AH24" i="1" s="1"/>
  <c r="AF23" i="1"/>
  <c r="U23" i="1"/>
  <c r="T23" i="1"/>
  <c r="AF25" i="1"/>
  <c r="U25" i="1"/>
  <c r="AM25" i="1" s="1"/>
  <c r="M25" i="1"/>
  <c r="AH25" i="1" s="1"/>
  <c r="AF165" i="1"/>
  <c r="AF2234" i="1"/>
  <c r="AF2301" i="1"/>
  <c r="AF1274" i="1"/>
  <c r="AF1823" i="1"/>
  <c r="AF1822" i="1"/>
  <c r="AF357" i="1"/>
  <c r="AF243" i="1"/>
  <c r="AF1718" i="1"/>
  <c r="AF353" i="1"/>
  <c r="AF2494" i="1"/>
  <c r="AF2493" i="1"/>
  <c r="AF1781" i="1"/>
  <c r="AF995" i="1"/>
  <c r="AF1751" i="1"/>
  <c r="V1751" i="1"/>
  <c r="W1751" i="1"/>
  <c r="AF1838" i="1"/>
  <c r="AF2008" i="1"/>
  <c r="AF1111" i="1"/>
  <c r="AF1470" i="1"/>
  <c r="AF1439" i="1"/>
  <c r="AF985" i="1"/>
  <c r="AF572" i="1"/>
  <c r="AF1471" i="1"/>
  <c r="AF2487" i="1"/>
  <c r="AF1400" i="1"/>
  <c r="AF1925" i="1"/>
  <c r="AF2555" i="1"/>
  <c r="AF2489" i="1"/>
  <c r="AF1721" i="1"/>
  <c r="AF288" i="1"/>
  <c r="AF281" i="1"/>
  <c r="AF2071" i="1"/>
  <c r="AF1589" i="1"/>
  <c r="AF1014" i="1"/>
  <c r="AF2473" i="1"/>
  <c r="V2473" i="1"/>
  <c r="W2473" i="1"/>
  <c r="AF2472" i="1"/>
  <c r="AF2471" i="1"/>
  <c r="AF2468" i="1"/>
  <c r="V2468" i="1"/>
  <c r="W2468" i="1"/>
  <c r="AF2466" i="1"/>
  <c r="AF2465" i="1"/>
  <c r="AF2462" i="1"/>
  <c r="AF2457" i="1"/>
  <c r="AF2454" i="1"/>
  <c r="AF2452" i="1"/>
  <c r="AF2451" i="1"/>
  <c r="AF2450" i="1"/>
  <c r="V2450" i="1"/>
  <c r="W2450" i="1"/>
  <c r="AF2449" i="1"/>
  <c r="AF2448" i="1"/>
  <c r="AF2447" i="1"/>
  <c r="AF2189" i="1"/>
  <c r="AF694" i="1"/>
  <c r="V694" i="1"/>
  <c r="W694" i="1"/>
  <c r="AF2186" i="1"/>
  <c r="AF1853" i="1"/>
  <c r="AF1782" i="1"/>
  <c r="AF1495" i="1"/>
  <c r="V1495" i="1"/>
  <c r="W1495" i="1"/>
  <c r="AF1494" i="1"/>
  <c r="AF1493" i="1"/>
  <c r="AF1492" i="1"/>
  <c r="V1492" i="1"/>
  <c r="W1492" i="1"/>
  <c r="AF178" i="1"/>
  <c r="AF497" i="1"/>
  <c r="AF1583" i="1"/>
  <c r="AF1052" i="1"/>
  <c r="AF1051" i="1"/>
  <c r="AF1262" i="1"/>
  <c r="AF1878" i="1"/>
  <c r="AF1427" i="1"/>
  <c r="V1427" i="1"/>
  <c r="W1427" i="1"/>
  <c r="AF1879" i="1"/>
  <c r="AF1951" i="1"/>
  <c r="AF2023" i="1"/>
  <c r="V2023" i="1"/>
  <c r="W2023" i="1"/>
  <c r="AF1608" i="1"/>
  <c r="V1608" i="1"/>
  <c r="W1608" i="1"/>
  <c r="AF1606" i="1"/>
  <c r="AF1453" i="1"/>
  <c r="V1453" i="1"/>
  <c r="W1453" i="1"/>
  <c r="AF1451" i="1"/>
  <c r="T1608" i="1"/>
  <c r="U1608" i="1"/>
  <c r="T1606" i="1"/>
  <c r="U1606" i="1"/>
  <c r="V1606" i="1"/>
  <c r="W1606" i="1"/>
  <c r="T1453" i="1"/>
  <c r="U1453" i="1"/>
  <c r="T1451" i="1"/>
  <c r="U1451" i="1"/>
  <c r="V1451" i="1"/>
  <c r="W1451" i="1"/>
  <c r="U2301" i="1"/>
  <c r="T2301" i="1"/>
  <c r="U436" i="1"/>
  <c r="T436" i="1"/>
  <c r="U2277" i="1"/>
  <c r="T2277" i="1"/>
  <c r="U2227" i="1"/>
  <c r="T2227" i="1"/>
  <c r="U537" i="1"/>
  <c r="T537" i="1"/>
  <c r="U536" i="1"/>
  <c r="T536" i="1"/>
  <c r="U535" i="1"/>
  <c r="T535" i="1"/>
  <c r="U534" i="1"/>
  <c r="T534" i="1"/>
  <c r="U1848" i="1"/>
  <c r="T1848" i="1"/>
  <c r="U2198" i="1"/>
  <c r="T2198" i="1"/>
  <c r="U2197" i="1"/>
  <c r="T2197" i="1"/>
  <c r="U2195" i="1"/>
  <c r="T2195" i="1"/>
  <c r="U2194" i="1"/>
  <c r="T2194" i="1"/>
  <c r="U1138" i="1"/>
  <c r="T1138" i="1"/>
  <c r="U2132" i="1"/>
  <c r="T2132" i="1"/>
  <c r="U2370" i="1"/>
  <c r="T2370" i="1"/>
  <c r="U1971" i="1"/>
  <c r="T1971" i="1"/>
  <c r="U1766" i="1"/>
  <c r="T1766" i="1"/>
  <c r="U937" i="1"/>
  <c r="T937" i="1"/>
  <c r="U293" i="1"/>
  <c r="T293" i="1"/>
  <c r="U291" i="1"/>
  <c r="T291" i="1"/>
  <c r="U201" i="1"/>
  <c r="T201" i="1"/>
  <c r="U194" i="1"/>
  <c r="T194" i="1"/>
  <c r="U189" i="1"/>
  <c r="T189" i="1"/>
  <c r="U1863" i="1"/>
  <c r="T1863" i="1"/>
  <c r="U2487" i="1"/>
  <c r="T2487" i="1"/>
  <c r="U284" i="1"/>
  <c r="T284" i="1"/>
  <c r="U1224" i="1"/>
  <c r="T1224" i="1"/>
  <c r="U1217" i="1"/>
  <c r="T1217" i="1"/>
  <c r="U226" i="1"/>
  <c r="T226" i="1"/>
  <c r="U2207" i="1"/>
  <c r="T2207" i="1"/>
  <c r="U2027" i="1"/>
  <c r="T2027" i="1"/>
  <c r="U1168" i="1"/>
  <c r="T1168" i="1"/>
  <c r="U1161" i="1"/>
  <c r="T1161" i="1"/>
  <c r="U665" i="1"/>
  <c r="T665" i="1"/>
  <c r="U116" i="1"/>
  <c r="T116" i="1"/>
  <c r="U110" i="1"/>
  <c r="T110" i="1"/>
  <c r="U108" i="1"/>
  <c r="T108" i="1"/>
  <c r="U632" i="1"/>
  <c r="T632" i="1"/>
  <c r="U610" i="1"/>
  <c r="T610" i="1"/>
  <c r="U1823" i="1"/>
  <c r="T1823" i="1"/>
  <c r="U243" i="1"/>
  <c r="T243" i="1"/>
  <c r="U2156" i="1"/>
  <c r="T2156" i="1"/>
  <c r="U353" i="1"/>
  <c r="T353" i="1"/>
  <c r="U217" i="1"/>
  <c r="T217" i="1"/>
  <c r="U208" i="1"/>
  <c r="T208" i="1"/>
  <c r="U1822" i="1"/>
  <c r="T1822" i="1"/>
  <c r="U1302" i="1"/>
  <c r="T1302" i="1"/>
  <c r="U325" i="1"/>
  <c r="T325" i="1"/>
  <c r="U357" i="1"/>
  <c r="T357" i="1"/>
  <c r="U355" i="1"/>
  <c r="T355" i="1"/>
  <c r="U2166" i="1"/>
  <c r="T2166" i="1"/>
  <c r="U2165" i="1"/>
  <c r="T2165" i="1"/>
  <c r="U2280" i="1"/>
  <c r="T2280" i="1"/>
  <c r="U2231" i="1"/>
  <c r="T2231" i="1"/>
  <c r="U1780" i="1"/>
  <c r="T1780" i="1"/>
  <c r="U1521" i="1"/>
  <c r="T1521" i="1"/>
  <c r="U1520" i="1"/>
  <c r="T1520" i="1"/>
  <c r="U1615" i="1"/>
  <c r="T1615" i="1"/>
  <c r="U47" i="1"/>
  <c r="T47" i="1"/>
  <c r="U42" i="1"/>
  <c r="T42" i="1"/>
  <c r="U32" i="1"/>
  <c r="T32" i="1"/>
  <c r="U926" i="1"/>
  <c r="T926" i="1"/>
  <c r="U1718" i="1"/>
  <c r="T1718" i="1"/>
  <c r="U435" i="1"/>
  <c r="T435" i="1"/>
  <c r="U1609" i="1"/>
  <c r="T1609" i="1"/>
  <c r="U1607" i="1"/>
  <c r="T1607" i="1"/>
  <c r="U1289" i="1"/>
  <c r="T1289" i="1"/>
  <c r="U1151" i="1"/>
  <c r="T1151" i="1"/>
  <c r="U1148" i="1"/>
  <c r="T1148" i="1"/>
  <c r="U160" i="1"/>
  <c r="T160" i="1"/>
  <c r="U880" i="1"/>
  <c r="T880" i="1"/>
  <c r="U879" i="1"/>
  <c r="T879" i="1"/>
  <c r="U642" i="1"/>
  <c r="T642" i="1"/>
  <c r="U2494" i="1"/>
  <c r="T2494" i="1"/>
  <c r="U2493" i="1"/>
  <c r="T2493" i="1"/>
  <c r="U2384" i="1"/>
  <c r="T2384" i="1"/>
  <c r="U2353" i="1"/>
  <c r="T2353" i="1"/>
  <c r="U2130" i="1"/>
  <c r="T2130" i="1"/>
  <c r="U2049" i="1"/>
  <c r="T2049" i="1"/>
  <c r="U1781" i="1"/>
  <c r="T1781" i="1"/>
  <c r="U1452" i="1"/>
  <c r="T1452" i="1"/>
  <c r="U1450" i="1"/>
  <c r="T1450" i="1"/>
  <c r="U1443" i="1"/>
  <c r="T1443" i="1"/>
  <c r="U1352" i="1"/>
  <c r="T1352" i="1"/>
  <c r="U1340" i="1"/>
  <c r="T1340" i="1"/>
  <c r="U1126" i="1"/>
  <c r="T1126" i="1"/>
  <c r="U1124" i="1"/>
  <c r="T1124" i="1"/>
  <c r="U1111" i="1"/>
  <c r="T1111" i="1"/>
  <c r="U995" i="1"/>
  <c r="T995" i="1"/>
  <c r="U982" i="1"/>
  <c r="T982" i="1"/>
  <c r="U950" i="1"/>
  <c r="T950" i="1"/>
  <c r="U721" i="1"/>
  <c r="T721" i="1"/>
  <c r="U699" i="1"/>
  <c r="T699" i="1"/>
  <c r="U648" i="1"/>
  <c r="T648" i="1"/>
  <c r="U625" i="1"/>
  <c r="T625" i="1"/>
  <c r="U618" i="1"/>
  <c r="T618" i="1"/>
  <c r="U612" i="1"/>
  <c r="T612" i="1"/>
  <c r="U543" i="1"/>
  <c r="T543" i="1"/>
  <c r="U485" i="1"/>
  <c r="T485" i="1"/>
  <c r="U472" i="1"/>
  <c r="T472" i="1"/>
  <c r="U467" i="1"/>
  <c r="T467" i="1"/>
  <c r="U363" i="1"/>
  <c r="T363" i="1"/>
  <c r="U155" i="1"/>
  <c r="T155" i="1"/>
  <c r="U986" i="1"/>
  <c r="T986" i="1"/>
  <c r="U2491" i="1"/>
  <c r="T2491" i="1"/>
  <c r="U2200" i="1"/>
  <c r="T2200" i="1"/>
  <c r="U1304" i="1"/>
  <c r="T1304" i="1"/>
  <c r="U2362" i="1"/>
  <c r="T2362" i="1"/>
  <c r="U2432" i="1"/>
  <c r="T2432" i="1"/>
  <c r="U1837" i="1"/>
  <c r="T1837" i="1"/>
  <c r="U539" i="1"/>
  <c r="T539" i="1"/>
  <c r="U121" i="1"/>
  <c r="T121" i="1"/>
  <c r="U119" i="1"/>
  <c r="T119" i="1"/>
  <c r="U2473" i="1"/>
  <c r="T2473" i="1"/>
  <c r="U2483" i="1"/>
  <c r="T2483" i="1"/>
  <c r="U1191" i="1"/>
  <c r="T1191" i="1"/>
  <c r="U203" i="1"/>
  <c r="T203" i="1"/>
  <c r="U1879" i="1"/>
  <c r="T1879" i="1"/>
  <c r="U2121" i="1"/>
  <c r="T2121" i="1"/>
  <c r="U2071" i="1"/>
  <c r="T2071" i="1"/>
  <c r="U1725" i="1"/>
  <c r="T1725" i="1"/>
  <c r="U1724" i="1"/>
  <c r="T1724" i="1"/>
  <c r="U1558" i="1"/>
  <c r="T1558" i="1"/>
  <c r="U1527" i="1"/>
  <c r="T1527" i="1"/>
  <c r="U1501" i="1"/>
  <c r="T1501" i="1"/>
  <c r="U1470" i="1"/>
  <c r="T1470" i="1"/>
  <c r="U1439" i="1"/>
  <c r="T1439" i="1"/>
  <c r="U1226" i="1"/>
  <c r="T1226" i="1"/>
  <c r="U1110" i="1"/>
  <c r="T1110" i="1"/>
  <c r="U1085" i="1"/>
  <c r="T1085" i="1"/>
  <c r="U1071" i="1"/>
  <c r="T1071" i="1"/>
  <c r="U985" i="1"/>
  <c r="T985" i="1"/>
  <c r="U984" i="1"/>
  <c r="T984" i="1"/>
  <c r="U634" i="1"/>
  <c r="T634" i="1"/>
  <c r="U630" i="1"/>
  <c r="T630" i="1"/>
  <c r="U628" i="1"/>
  <c r="T628" i="1"/>
  <c r="U623" i="1"/>
  <c r="T623" i="1"/>
  <c r="U572" i="1"/>
  <c r="T572" i="1"/>
  <c r="U463" i="1"/>
  <c r="T463" i="1"/>
  <c r="U347" i="1"/>
  <c r="T347" i="1"/>
  <c r="U124" i="1"/>
  <c r="T124" i="1"/>
  <c r="U1400" i="1"/>
  <c r="T1400" i="1"/>
  <c r="U1274" i="1"/>
  <c r="T1274" i="1"/>
  <c r="U2489" i="1"/>
  <c r="T2489" i="1"/>
  <c r="U1751" i="1"/>
  <c r="T1751" i="1"/>
  <c r="U1559" i="1"/>
  <c r="T1559" i="1"/>
  <c r="U162" i="1"/>
  <c r="T162" i="1"/>
  <c r="U59" i="1"/>
  <c r="T59" i="1"/>
  <c r="U554" i="1"/>
  <c r="T554" i="1"/>
  <c r="U2008" i="1"/>
  <c r="T2008" i="1"/>
  <c r="U646" i="1"/>
  <c r="T646" i="1"/>
  <c r="U1175" i="1"/>
  <c r="T1175" i="1"/>
  <c r="U704" i="1"/>
  <c r="T704" i="1"/>
  <c r="U1925" i="1"/>
  <c r="T1925" i="1"/>
  <c r="U1125" i="1"/>
  <c r="T1125" i="1"/>
  <c r="U1601" i="1"/>
  <c r="T1601" i="1"/>
  <c r="U1098" i="1"/>
  <c r="T1098" i="1"/>
  <c r="U891" i="1"/>
  <c r="T891" i="1"/>
  <c r="U676" i="1"/>
  <c r="T676" i="1"/>
  <c r="U631" i="1"/>
  <c r="T631" i="1"/>
  <c r="U204" i="1"/>
  <c r="T204" i="1"/>
  <c r="U45" i="1"/>
  <c r="T45" i="1"/>
  <c r="U29" i="1"/>
  <c r="T29" i="1"/>
  <c r="U2234" i="1"/>
  <c r="T2234" i="1"/>
  <c r="U2555" i="1"/>
  <c r="T2555" i="1"/>
  <c r="U1122" i="1"/>
  <c r="T1122" i="1"/>
  <c r="U615" i="1"/>
  <c r="T615" i="1"/>
  <c r="U611" i="1"/>
  <c r="T611" i="1"/>
  <c r="U771" i="1"/>
  <c r="T771" i="1"/>
  <c r="U765" i="1"/>
  <c r="T765" i="1"/>
  <c r="U1721" i="1"/>
  <c r="T1721" i="1"/>
  <c r="U1722" i="1"/>
  <c r="T1722" i="1"/>
  <c r="U1560" i="1"/>
  <c r="T1560" i="1"/>
  <c r="U281" i="1"/>
  <c r="T281" i="1"/>
  <c r="U2347" i="1"/>
  <c r="T2347" i="1"/>
  <c r="U2024" i="1"/>
  <c r="T2024" i="1"/>
  <c r="U1838" i="1"/>
  <c r="T1838" i="1"/>
  <c r="U1589" i="1"/>
  <c r="T1589" i="1"/>
  <c r="U1392" i="1"/>
  <c r="T1392" i="1"/>
  <c r="U1172" i="1"/>
  <c r="T1172" i="1"/>
  <c r="U1164" i="1"/>
  <c r="T1164" i="1"/>
  <c r="U1108" i="1"/>
  <c r="T1108" i="1"/>
  <c r="U1106" i="1"/>
  <c r="T1106" i="1"/>
  <c r="U1064" i="1"/>
  <c r="T1064" i="1"/>
  <c r="U1014" i="1"/>
  <c r="T1014" i="1"/>
  <c r="U856" i="1"/>
  <c r="T856" i="1"/>
  <c r="U392" i="1"/>
  <c r="T392" i="1"/>
  <c r="U292" i="1"/>
  <c r="T292" i="1"/>
  <c r="U290" i="1"/>
  <c r="T290" i="1"/>
  <c r="U224" i="1"/>
  <c r="T224" i="1"/>
  <c r="U811" i="1"/>
  <c r="T811" i="1"/>
  <c r="U923" i="1"/>
  <c r="T923" i="1"/>
  <c r="U718" i="1"/>
  <c r="T718" i="1"/>
  <c r="U624" i="1"/>
  <c r="T624" i="1"/>
  <c r="U468" i="1"/>
  <c r="T468" i="1"/>
  <c r="U609" i="1"/>
  <c r="T609" i="1"/>
  <c r="U1471" i="1"/>
  <c r="T1471" i="1"/>
  <c r="U2472" i="1"/>
  <c r="T2472" i="1"/>
  <c r="U2471" i="1"/>
  <c r="T2471" i="1"/>
  <c r="U2468" i="1"/>
  <c r="T2468" i="1"/>
  <c r="U2466" i="1"/>
  <c r="T2466" i="1"/>
  <c r="U2465" i="1"/>
  <c r="T2465" i="1"/>
  <c r="U2462" i="1"/>
  <c r="T2462" i="1"/>
  <c r="U2457" i="1"/>
  <c r="T2457" i="1"/>
  <c r="U2454" i="1"/>
  <c r="T2454" i="1"/>
  <c r="U2452" i="1"/>
  <c r="T2452" i="1"/>
  <c r="U2451" i="1"/>
  <c r="T2451" i="1"/>
  <c r="U2450" i="1"/>
  <c r="T2450" i="1"/>
  <c r="U2449" i="1"/>
  <c r="T2449" i="1"/>
  <c r="U2448" i="1"/>
  <c r="T2448" i="1"/>
  <c r="U2447" i="1"/>
  <c r="T2447" i="1"/>
  <c r="U2339" i="1"/>
  <c r="T2339" i="1"/>
  <c r="U1473" i="1"/>
  <c r="T1473" i="1"/>
  <c r="U2406" i="1"/>
  <c r="T2406" i="1"/>
  <c r="U1218" i="1"/>
  <c r="T1218" i="1"/>
  <c r="U1212" i="1"/>
  <c r="T1212" i="1"/>
  <c r="U288" i="1"/>
  <c r="T288" i="1"/>
  <c r="U2510" i="1"/>
  <c r="T2510" i="1"/>
  <c r="U2509" i="1"/>
  <c r="T2509" i="1"/>
  <c r="U2508" i="1"/>
  <c r="T2508" i="1"/>
  <c r="U2507" i="1"/>
  <c r="T2507" i="1"/>
  <c r="U2118" i="1"/>
  <c r="T2118" i="1"/>
  <c r="U1524" i="1"/>
  <c r="T1524" i="1"/>
  <c r="U1225" i="1"/>
  <c r="T1225" i="1"/>
  <c r="U635" i="1"/>
  <c r="T635" i="1"/>
  <c r="U633" i="1"/>
  <c r="T633" i="1"/>
  <c r="U629" i="1"/>
  <c r="T629" i="1"/>
  <c r="U626" i="1"/>
  <c r="T626" i="1"/>
  <c r="U621" i="1"/>
  <c r="T621" i="1"/>
  <c r="U2189" i="1"/>
  <c r="T2189" i="1"/>
  <c r="U694" i="1"/>
  <c r="T694" i="1"/>
  <c r="U2186" i="1"/>
  <c r="T2186" i="1"/>
  <c r="U2023" i="1"/>
  <c r="T2023" i="1"/>
  <c r="U1853" i="1"/>
  <c r="T1853" i="1"/>
  <c r="U1782" i="1"/>
  <c r="T1782" i="1"/>
  <c r="U1495" i="1"/>
  <c r="T1495" i="1"/>
  <c r="U1494" i="1"/>
  <c r="T1494" i="1"/>
  <c r="U1493" i="1"/>
  <c r="T1493" i="1"/>
  <c r="U1492" i="1"/>
  <c r="T1492" i="1"/>
  <c r="U178" i="1"/>
  <c r="T178" i="1"/>
  <c r="U497" i="1"/>
  <c r="T497" i="1"/>
  <c r="U1583" i="1"/>
  <c r="T1583" i="1"/>
  <c r="U1052" i="1"/>
  <c r="T1052" i="1"/>
  <c r="U1051" i="1"/>
  <c r="T1051" i="1"/>
  <c r="U1951" i="1"/>
  <c r="T1951" i="1"/>
  <c r="U1427" i="1"/>
  <c r="T1427" i="1"/>
  <c r="U462" i="1"/>
  <c r="T462" i="1"/>
  <c r="U461" i="1"/>
  <c r="T461" i="1"/>
  <c r="U460" i="1"/>
  <c r="T460" i="1"/>
  <c r="U459" i="1"/>
  <c r="T459" i="1"/>
  <c r="U1262" i="1"/>
  <c r="T1262" i="1"/>
  <c r="U1878" i="1"/>
  <c r="T1878" i="1"/>
  <c r="U1523" i="1"/>
  <c r="T1523" i="1"/>
  <c r="U1522" i="1"/>
  <c r="T1522" i="1"/>
  <c r="U1498" i="1"/>
  <c r="T1498" i="1"/>
  <c r="U1497" i="1"/>
  <c r="T1497" i="1"/>
  <c r="U1496" i="1"/>
  <c r="T1496" i="1"/>
  <c r="U1404" i="1"/>
  <c r="T1404" i="1"/>
  <c r="U2506" i="1"/>
  <c r="T2506" i="1"/>
  <c r="U2505" i="1"/>
  <c r="T2505" i="1"/>
  <c r="U2504" i="1"/>
  <c r="T2504" i="1"/>
  <c r="U2503" i="1"/>
  <c r="T2503" i="1"/>
  <c r="V844" i="1"/>
  <c r="W844" i="1"/>
  <c r="V1627" i="1"/>
  <c r="W1627" i="1"/>
  <c r="V1626" i="1"/>
  <c r="W1626" i="1"/>
  <c r="U2101" i="1"/>
  <c r="AM2101" i="1" s="1"/>
  <c r="AL2101" i="1" s="1"/>
  <c r="V2101" i="1"/>
  <c r="AC2101" i="1" s="1"/>
  <c r="W2101" i="1"/>
  <c r="T1205" i="1"/>
  <c r="U1205" i="1"/>
  <c r="V1205" i="1"/>
  <c r="W1205" i="1"/>
  <c r="T1805" i="1"/>
  <c r="U1805" i="1"/>
  <c r="V1805" i="1"/>
  <c r="W1805" i="1"/>
  <c r="T1206" i="1"/>
  <c r="U1206" i="1"/>
  <c r="W1206" i="1"/>
  <c r="AA1206" i="1" s="1"/>
  <c r="T1806" i="1"/>
  <c r="U1806" i="1"/>
  <c r="V1806" i="1"/>
  <c r="W1806" i="1"/>
  <c r="M2216" i="1"/>
  <c r="M1872" i="1"/>
  <c r="M613" i="1"/>
  <c r="M2308" i="1"/>
  <c r="M2379" i="1"/>
  <c r="M1685" i="1"/>
  <c r="AM2303" i="1"/>
  <c r="AL2303" i="1" s="1"/>
  <c r="AM1872" i="1"/>
  <c r="V2379" i="1"/>
  <c r="W2379" i="1"/>
  <c r="V2308" i="1"/>
  <c r="W2308" i="1"/>
  <c r="V1976" i="1"/>
  <c r="W1976" i="1"/>
  <c r="V1874" i="1"/>
  <c r="W1874" i="1"/>
  <c r="W1872" i="1"/>
  <c r="V1695" i="1"/>
  <c r="W1695" i="1"/>
  <c r="V1685" i="1"/>
  <c r="W1685" i="1"/>
  <c r="V1683" i="1"/>
  <c r="W1683" i="1"/>
  <c r="V1412" i="1"/>
  <c r="W1412" i="1"/>
  <c r="V1391" i="1"/>
  <c r="W1391" i="1"/>
  <c r="V1227" i="1"/>
  <c r="W1227" i="1"/>
  <c r="W1207" i="1"/>
  <c r="AA1207" i="1" s="1"/>
  <c r="V1000" i="1"/>
  <c r="W1000" i="1"/>
  <c r="V967" i="1"/>
  <c r="W967" i="1"/>
  <c r="V963" i="1"/>
  <c r="W963" i="1"/>
  <c r="V962" i="1"/>
  <c r="W962" i="1"/>
  <c r="W960" i="1"/>
  <c r="V1039" i="1"/>
  <c r="V1817" i="1"/>
  <c r="V940" i="1"/>
  <c r="W940" i="1"/>
  <c r="V860" i="1"/>
  <c r="W860" i="1"/>
  <c r="V636" i="1"/>
  <c r="W636" i="1"/>
  <c r="V619" i="1"/>
  <c r="W619" i="1"/>
  <c r="V616" i="1"/>
  <c r="W616" i="1"/>
  <c r="V613" i="1"/>
  <c r="W613" i="1"/>
  <c r="V574" i="1"/>
  <c r="W574" i="1"/>
  <c r="V211" i="1"/>
  <c r="W211" i="1"/>
  <c r="V132" i="1"/>
  <c r="W132" i="1"/>
  <c r="V67" i="1"/>
  <c r="W67" i="1"/>
  <c r="AM706" i="1"/>
  <c r="AL706" i="1" s="1"/>
  <c r="T968" i="1"/>
  <c r="U968" i="1"/>
  <c r="V968" i="1"/>
  <c r="W968" i="1"/>
  <c r="U967" i="1"/>
  <c r="T967" i="1"/>
  <c r="T965" i="1"/>
  <c r="U965" i="1"/>
  <c r="V965" i="1"/>
  <c r="W965" i="1"/>
  <c r="U963" i="1"/>
  <c r="T963" i="1"/>
  <c r="U2308" i="1"/>
  <c r="T2308" i="1"/>
  <c r="U2216" i="1"/>
  <c r="T2216" i="1"/>
  <c r="U1976" i="1"/>
  <c r="T1976" i="1"/>
  <c r="V1872" i="1"/>
  <c r="U1695" i="1"/>
  <c r="T1695" i="1"/>
  <c r="U1683" i="1"/>
  <c r="T1683" i="1"/>
  <c r="U1207" i="1"/>
  <c r="T1207" i="1"/>
  <c r="U962" i="1"/>
  <c r="T962" i="1"/>
  <c r="U960" i="1"/>
  <c r="T960" i="1"/>
  <c r="U132" i="1"/>
  <c r="T132" i="1"/>
  <c r="U67" i="1"/>
  <c r="T67" i="1"/>
  <c r="T1685" i="1"/>
  <c r="U1685" i="1"/>
  <c r="T940" i="1"/>
  <c r="U940" i="1"/>
  <c r="T1000" i="1"/>
  <c r="U1000" i="1"/>
  <c r="V2378" i="1"/>
  <c r="W2378" i="1"/>
  <c r="V2307" i="1"/>
  <c r="W2307" i="1"/>
  <c r="V2306" i="1"/>
  <c r="W2306" i="1"/>
  <c r="V2304" i="1"/>
  <c r="W2304" i="1"/>
  <c r="V1977" i="1"/>
  <c r="W1977" i="1"/>
  <c r="V1875" i="1"/>
  <c r="W1875" i="1"/>
  <c r="W1873" i="1"/>
  <c r="V1696" i="1"/>
  <c r="W1696" i="1"/>
  <c r="V1686" i="1"/>
  <c r="W1686" i="1"/>
  <c r="V1684" i="1"/>
  <c r="W1684" i="1"/>
  <c r="V1411" i="1"/>
  <c r="W1411" i="1"/>
  <c r="V1390" i="1"/>
  <c r="W1390" i="1"/>
  <c r="V1231" i="1"/>
  <c r="W1231" i="1"/>
  <c r="V1004" i="1"/>
  <c r="W1004" i="1"/>
  <c r="V964" i="1"/>
  <c r="W964" i="1"/>
  <c r="W961" i="1"/>
  <c r="V941" i="1"/>
  <c r="W941" i="1"/>
  <c r="Z941" i="1" s="1"/>
  <c r="V862" i="1"/>
  <c r="W862" i="1"/>
  <c r="V637" i="1"/>
  <c r="W637" i="1"/>
  <c r="V620" i="1"/>
  <c r="W620" i="1"/>
  <c r="V617" i="1"/>
  <c r="W617" i="1"/>
  <c r="V614" i="1"/>
  <c r="W614" i="1"/>
  <c r="V573" i="1"/>
  <c r="W573" i="1"/>
  <c r="V210" i="1"/>
  <c r="W210" i="1"/>
  <c r="V134" i="1"/>
  <c r="W134" i="1"/>
  <c r="V65" i="1"/>
  <c r="W65" i="1"/>
  <c r="V2299" i="1"/>
  <c r="W2299" i="1"/>
  <c r="AC2299" i="1" s="1"/>
  <c r="V2298" i="1"/>
  <c r="W2298" i="1"/>
  <c r="AC2298" i="1" s="1"/>
  <c r="V2297" i="1"/>
  <c r="W2297" i="1"/>
  <c r="V2296" i="1"/>
  <c r="W2296" i="1"/>
  <c r="AC2296" i="1" s="1"/>
  <c r="V2293" i="1"/>
  <c r="W2293" i="1"/>
  <c r="V2292" i="1"/>
  <c r="W2292" i="1"/>
  <c r="V2291" i="1"/>
  <c r="W2291" i="1"/>
  <c r="V2290" i="1"/>
  <c r="W2290" i="1"/>
  <c r="AC2290" i="1" s="1"/>
  <c r="V2289" i="1"/>
  <c r="W2289" i="1"/>
  <c r="V2288" i="1"/>
  <c r="W2288" i="1"/>
  <c r="V2287" i="1"/>
  <c r="W2287" i="1"/>
  <c r="V2286" i="1"/>
  <c r="W2286" i="1"/>
  <c r="V2285" i="1"/>
  <c r="W2285" i="1"/>
  <c r="AC2285" i="1" s="1"/>
  <c r="V2284" i="1"/>
  <c r="W2284" i="1"/>
  <c r="V2282" i="1"/>
  <c r="W2282" i="1"/>
  <c r="V2281" i="1"/>
  <c r="W2281" i="1"/>
  <c r="AC2281" i="1" s="1"/>
  <c r="V2275" i="1"/>
  <c r="W2275" i="1"/>
  <c r="V2274" i="1"/>
  <c r="W2274" i="1"/>
  <c r="AC2274" i="1" s="1"/>
  <c r="V2273" i="1"/>
  <c r="W2273" i="1"/>
  <c r="V2272" i="1"/>
  <c r="W2272" i="1"/>
  <c r="AC2272" i="1" s="1"/>
  <c r="V2271" i="1"/>
  <c r="W2271" i="1"/>
  <c r="V2270" i="1"/>
  <c r="W2270" i="1"/>
  <c r="V2269" i="1"/>
  <c r="W2269" i="1"/>
  <c r="V2268" i="1"/>
  <c r="W2268" i="1"/>
  <c r="AC2268" i="1" s="1"/>
  <c r="V2267" i="1"/>
  <c r="W2267" i="1"/>
  <c r="AC2267" i="1" s="1"/>
  <c r="V2266" i="1"/>
  <c r="W2266" i="1"/>
  <c r="V2265" i="1"/>
  <c r="W2265" i="1"/>
  <c r="V2264" i="1"/>
  <c r="W2264" i="1"/>
  <c r="AC2264" i="1" s="1"/>
  <c r="V2263" i="1"/>
  <c r="W2263" i="1"/>
  <c r="V2262" i="1"/>
  <c r="W2262" i="1"/>
  <c r="V2261" i="1"/>
  <c r="W2261" i="1"/>
  <c r="V2260" i="1"/>
  <c r="W2260" i="1"/>
  <c r="V2258" i="1"/>
  <c r="W2258" i="1"/>
  <c r="V2257" i="1"/>
  <c r="W2257" i="1"/>
  <c r="AC2257" i="1" s="1"/>
  <c r="V2256" i="1"/>
  <c r="W2256" i="1"/>
  <c r="V2255" i="1"/>
  <c r="W2255" i="1"/>
  <c r="V2254" i="1"/>
  <c r="W2254" i="1"/>
  <c r="V2253" i="1"/>
  <c r="W2253" i="1"/>
  <c r="V2252" i="1"/>
  <c r="W2252" i="1"/>
  <c r="V2251" i="1"/>
  <c r="W2251" i="1"/>
  <c r="V2250" i="1"/>
  <c r="W2250" i="1"/>
  <c r="V2249" i="1"/>
  <c r="W2249" i="1"/>
  <c r="V2247" i="1"/>
  <c r="W2247" i="1"/>
  <c r="V2246" i="1"/>
  <c r="W2246" i="1"/>
  <c r="AC2246" i="1" s="1"/>
  <c r="V2245" i="1"/>
  <c r="W2245" i="1"/>
  <c r="V2242" i="1"/>
  <c r="W2242" i="1"/>
  <c r="V2240" i="1"/>
  <c r="W2240" i="1"/>
  <c r="V2239" i="1"/>
  <c r="W2239" i="1"/>
  <c r="AC2239" i="1" s="1"/>
  <c r="V2238" i="1"/>
  <c r="W2238" i="1"/>
  <c r="V2237" i="1"/>
  <c r="W2237" i="1"/>
  <c r="AC2237" i="1" s="1"/>
  <c r="V2223" i="1"/>
  <c r="W2223" i="1"/>
  <c r="V2222" i="1"/>
  <c r="W2222" i="1"/>
  <c r="AC2222" i="1" s="1"/>
  <c r="V2221" i="1"/>
  <c r="W2221" i="1"/>
  <c r="V2220" i="1"/>
  <c r="W2220" i="1"/>
  <c r="V2218" i="1"/>
  <c r="W2218" i="1"/>
  <c r="V2217" i="1"/>
  <c r="W2217" i="1"/>
  <c r="AC2217" i="1" s="1"/>
  <c r="V2214" i="1"/>
  <c r="W2214" i="1"/>
  <c r="V2213" i="1"/>
  <c r="W2213" i="1"/>
  <c r="V2212" i="1"/>
  <c r="W2212" i="1"/>
  <c r="V2211" i="1"/>
  <c r="W2211" i="1"/>
  <c r="V2094" i="1"/>
  <c r="AC2094" i="1" s="1"/>
  <c r="W2094" i="1"/>
  <c r="V2100" i="1"/>
  <c r="AC2100" i="1" s="1"/>
  <c r="W2100" i="1"/>
  <c r="V2098" i="1"/>
  <c r="AC2098" i="1" s="1"/>
  <c r="W2098" i="1"/>
  <c r="V2097" i="1"/>
  <c r="AC2097" i="1" s="1"/>
  <c r="W2097" i="1"/>
  <c r="C54" i="3"/>
  <c r="V2472" i="1"/>
  <c r="W2472" i="1"/>
  <c r="V2471" i="1"/>
  <c r="W2471" i="1"/>
  <c r="V2466" i="1"/>
  <c r="W2466" i="1"/>
  <c r="V2465" i="1"/>
  <c r="W2465" i="1"/>
  <c r="V2451" i="1"/>
  <c r="W2451" i="1"/>
  <c r="V2462" i="1"/>
  <c r="W2462" i="1"/>
  <c r="V2457" i="1"/>
  <c r="W2457" i="1"/>
  <c r="V2454" i="1"/>
  <c r="W2454" i="1"/>
  <c r="V2452" i="1"/>
  <c r="W2452" i="1"/>
  <c r="V2449" i="1"/>
  <c r="W2449" i="1"/>
  <c r="V2448" i="1"/>
  <c r="W2448" i="1"/>
  <c r="V2447" i="1"/>
  <c r="W2447" i="1"/>
  <c r="V347" i="1"/>
  <c r="W347" i="1"/>
  <c r="V2494" i="1"/>
  <c r="W2494" i="1"/>
  <c r="V2493" i="1"/>
  <c r="W2493" i="1"/>
  <c r="V2189" i="1"/>
  <c r="W2189" i="1"/>
  <c r="V2008" i="1"/>
  <c r="W2008" i="1"/>
  <c r="V1951" i="1"/>
  <c r="W1951" i="1"/>
  <c r="V1262" i="1"/>
  <c r="W1262" i="1"/>
  <c r="V1925" i="1"/>
  <c r="W1925" i="1"/>
  <c r="V1400" i="1"/>
  <c r="W1400" i="1"/>
  <c r="V646" i="1"/>
  <c r="W646" i="1"/>
  <c r="V1879" i="1"/>
  <c r="V1878" i="1"/>
  <c r="V355" i="1"/>
  <c r="W355" i="1"/>
  <c r="V357" i="1"/>
  <c r="W357" i="1"/>
  <c r="V1823" i="1"/>
  <c r="W1823" i="1"/>
  <c r="V1822" i="1"/>
  <c r="W1822" i="1"/>
  <c r="W572" i="1"/>
  <c r="V1052" i="1"/>
  <c r="W1052" i="1"/>
  <c r="V1051" i="1"/>
  <c r="W1051" i="1"/>
  <c r="V288" i="1"/>
  <c r="W288" i="1"/>
  <c r="V1721" i="1"/>
  <c r="W1721" i="1"/>
  <c r="V1111" i="1"/>
  <c r="W1111" i="1"/>
  <c r="V1439" i="1"/>
  <c r="W1439" i="1"/>
  <c r="V985" i="1"/>
  <c r="W985" i="1"/>
  <c r="V1838" i="1"/>
  <c r="W1838" i="1"/>
  <c r="V2489" i="1"/>
  <c r="W2489" i="1"/>
  <c r="V353" i="1"/>
  <c r="W353" i="1"/>
  <c r="V2071" i="1"/>
  <c r="W2071" i="1"/>
  <c r="V1589" i="1"/>
  <c r="W1589" i="1"/>
  <c r="V995" i="1"/>
  <c r="W995" i="1"/>
  <c r="V1404" i="1"/>
  <c r="W1404" i="1"/>
  <c r="V1583" i="1"/>
  <c r="W1583" i="1"/>
  <c r="V497" i="1"/>
  <c r="W497" i="1"/>
  <c r="V2487" i="1"/>
  <c r="W2487" i="1"/>
  <c r="V1781" i="1"/>
  <c r="W1781" i="1"/>
  <c r="V811" i="1"/>
  <c r="W811" i="1"/>
  <c r="E46" i="3"/>
  <c r="F41" i="3"/>
  <c r="V1873" i="1"/>
  <c r="V961" i="1"/>
  <c r="AA1208" i="1"/>
  <c r="AB1208" i="1" s="1"/>
  <c r="V2406" i="1"/>
  <c r="W2406" i="1"/>
  <c r="M2374" i="1"/>
  <c r="U2368" i="1"/>
  <c r="AM2368" i="1" s="1"/>
  <c r="AL2368" i="1" s="1"/>
  <c r="U2373" i="1"/>
  <c r="AM2373" i="1" s="1"/>
  <c r="U2394" i="1"/>
  <c r="AM2394" i="1" s="1"/>
  <c r="AL2394" i="1" s="1"/>
  <c r="U2029" i="1"/>
  <c r="AM2029" i="1" s="1"/>
  <c r="M2029" i="1"/>
  <c r="AH2029" i="1" s="1"/>
  <c r="M1169" i="1"/>
  <c r="U2512" i="1"/>
  <c r="AM2512" i="1" s="1"/>
  <c r="AL2512" i="1" s="1"/>
  <c r="U2511" i="1"/>
  <c r="AM2511" i="1" s="1"/>
  <c r="AL2511" i="1" s="1"/>
  <c r="M1167" i="1"/>
  <c r="U2499" i="1"/>
  <c r="AM2499" i="1" s="1"/>
  <c r="AL2499" i="1" s="1"/>
  <c r="U2028" i="1"/>
  <c r="AM2028" i="1" s="1"/>
  <c r="M2028" i="1"/>
  <c r="AH2028" i="1" s="1"/>
  <c r="T2094" i="1"/>
  <c r="U2094" i="1"/>
  <c r="U207" i="1"/>
  <c r="AM207" i="1" s="1"/>
  <c r="AL207" i="1" s="1"/>
  <c r="U1693" i="1"/>
  <c r="AM1693" i="1" s="1"/>
  <c r="AL1693" i="1" s="1"/>
  <c r="AM326" i="1"/>
  <c r="AL326" i="1" s="1"/>
  <c r="U1959" i="1"/>
  <c r="AM1959" i="1" s="1"/>
  <c r="AL1959" i="1" s="1"/>
  <c r="U991" i="1"/>
  <c r="AM991" i="1" s="1"/>
  <c r="AL991" i="1" s="1"/>
  <c r="AM49" i="1"/>
  <c r="M49" i="1"/>
  <c r="AH49" i="1" s="1"/>
  <c r="AM33" i="1"/>
  <c r="M33" i="1"/>
  <c r="AH33" i="1" s="1"/>
  <c r="U928" i="1"/>
  <c r="AM928" i="1" s="1"/>
  <c r="M928" i="1"/>
  <c r="AH928" i="1" s="1"/>
  <c r="U927" i="1"/>
  <c r="AM927" i="1" s="1"/>
  <c r="M927" i="1"/>
  <c r="AH927" i="1" s="1"/>
  <c r="T2223" i="1"/>
  <c r="U2223" i="1"/>
  <c r="T2221" i="1"/>
  <c r="U2221" i="1"/>
  <c r="T2258" i="1"/>
  <c r="U2258" i="1"/>
  <c r="T2256" i="1"/>
  <c r="U2256" i="1"/>
  <c r="T2254" i="1"/>
  <c r="U2254" i="1"/>
  <c r="T2275" i="1"/>
  <c r="U2275" i="1"/>
  <c r="T2273" i="1"/>
  <c r="U2273" i="1"/>
  <c r="T2261" i="1"/>
  <c r="U2261" i="1"/>
  <c r="T2247" i="1"/>
  <c r="U2247" i="1"/>
  <c r="T2245" i="1"/>
  <c r="U2245" i="1"/>
  <c r="T2267" i="1"/>
  <c r="U2267" i="1"/>
  <c r="T2265" i="1"/>
  <c r="U2265" i="1"/>
  <c r="T2293" i="1"/>
  <c r="U2293" i="1"/>
  <c r="T2282" i="1"/>
  <c r="U2282" i="1"/>
  <c r="T2299" i="1"/>
  <c r="U2299" i="1"/>
  <c r="T2297" i="1"/>
  <c r="U2297" i="1"/>
  <c r="T2240" i="1"/>
  <c r="U2240" i="1"/>
  <c r="T2238" i="1"/>
  <c r="U2238" i="1"/>
  <c r="T2218" i="1"/>
  <c r="U2218" i="1"/>
  <c r="T2263" i="1"/>
  <c r="U2263" i="1"/>
  <c r="T2271" i="1"/>
  <c r="U2271" i="1"/>
  <c r="T2269" i="1"/>
  <c r="U2269" i="1"/>
  <c r="T2291" i="1"/>
  <c r="U2291" i="1"/>
  <c r="T2289" i="1"/>
  <c r="U2289" i="1"/>
  <c r="T2252" i="1"/>
  <c r="U2252" i="1"/>
  <c r="T2250" i="1"/>
  <c r="U2250" i="1"/>
  <c r="T2287" i="1"/>
  <c r="U2287" i="1"/>
  <c r="T2285" i="1"/>
  <c r="U2285" i="1"/>
  <c r="T2214" i="1"/>
  <c r="U2214" i="1"/>
  <c r="T2212" i="1"/>
  <c r="U2212" i="1"/>
  <c r="U981" i="1"/>
  <c r="AM981" i="1" s="1"/>
  <c r="AL981" i="1" s="1"/>
  <c r="U1309" i="1"/>
  <c r="AM1309" i="1" s="1"/>
  <c r="AL1309" i="1" s="1"/>
  <c r="U723" i="1"/>
  <c r="AM723" i="1" s="1"/>
  <c r="M723" i="1"/>
  <c r="AH723" i="1" s="1"/>
  <c r="U2386" i="1"/>
  <c r="AM2386" i="1" s="1"/>
  <c r="AL2386" i="1" s="1"/>
  <c r="U2382" i="1"/>
  <c r="AM2382" i="1" s="1"/>
  <c r="AL2382" i="1" s="1"/>
  <c r="U2081" i="1"/>
  <c r="AM2081" i="1" s="1"/>
  <c r="AL2081" i="1" s="1"/>
  <c r="U722" i="1"/>
  <c r="AM722" i="1" s="1"/>
  <c r="AL722" i="1" s="1"/>
  <c r="V722" i="1"/>
  <c r="W722" i="1"/>
  <c r="U2364" i="1"/>
  <c r="AM2364" i="1" s="1"/>
  <c r="M2364" i="1"/>
  <c r="AH2364" i="1" s="1"/>
  <c r="U2366" i="1"/>
  <c r="AM2366" i="1" s="1"/>
  <c r="M2366" i="1"/>
  <c r="AH2366" i="1" s="1"/>
  <c r="U1994" i="1"/>
  <c r="AM1994" i="1" s="1"/>
  <c r="AL1994" i="1" s="1"/>
  <c r="U1193" i="1"/>
  <c r="AM1193" i="1" s="1"/>
  <c r="AL1193" i="1" s="1"/>
  <c r="U1073" i="1"/>
  <c r="AM1073" i="1" s="1"/>
  <c r="AL1073" i="1" s="1"/>
  <c r="T2307" i="1"/>
  <c r="U2307" i="1"/>
  <c r="T2306" i="1"/>
  <c r="U2306" i="1"/>
  <c r="T2305" i="1"/>
  <c r="U2305" i="1"/>
  <c r="T2304" i="1"/>
  <c r="U2304" i="1"/>
  <c r="AM2302" i="1"/>
  <c r="AL2302" i="1" s="1"/>
  <c r="T2232" i="1"/>
  <c r="U2232" i="1"/>
  <c r="T2215" i="1"/>
  <c r="U2215" i="1"/>
  <c r="U2123" i="1"/>
  <c r="AM2123" i="1" s="1"/>
  <c r="AL2123" i="1" s="1"/>
  <c r="M2172" i="1"/>
  <c r="U2171" i="1"/>
  <c r="AM2171" i="1" s="1"/>
  <c r="AL2171" i="1" s="1"/>
  <c r="U2170" i="1"/>
  <c r="AM2170" i="1" s="1"/>
  <c r="AL2170" i="1" s="1"/>
  <c r="U1529" i="1"/>
  <c r="AM1529" i="1" s="1"/>
  <c r="M1529" i="1"/>
  <c r="AH1529" i="1" s="1"/>
  <c r="T2122" i="1"/>
  <c r="U2122" i="1"/>
  <c r="U1528" i="1"/>
  <c r="AM1528" i="1" s="1"/>
  <c r="M1528" i="1"/>
  <c r="AH1528" i="1" s="1"/>
  <c r="U703" i="1"/>
  <c r="AM703" i="1" s="1"/>
  <c r="AL703" i="1" s="1"/>
  <c r="U205" i="1"/>
  <c r="AM205" i="1" s="1"/>
  <c r="M205" i="1"/>
  <c r="AH205" i="1" s="1"/>
  <c r="U46" i="1"/>
  <c r="AM46" i="1" s="1"/>
  <c r="M46" i="1"/>
  <c r="AH46" i="1" s="1"/>
  <c r="U30" i="1"/>
  <c r="AM30" i="1" s="1"/>
  <c r="M30" i="1"/>
  <c r="AH30" i="1" s="1"/>
  <c r="U2079" i="1"/>
  <c r="AM2079" i="1" s="1"/>
  <c r="AL2079" i="1" s="1"/>
  <c r="U1100" i="1"/>
  <c r="AM1100" i="1" s="1"/>
  <c r="AL1100" i="1" s="1"/>
  <c r="U2575" i="1"/>
  <c r="AM2575" i="1" s="1"/>
  <c r="AL2575" i="1" s="1"/>
  <c r="T2076" i="1"/>
  <c r="U2076" i="1"/>
  <c r="U1616" i="1"/>
  <c r="AM1616" i="1" s="1"/>
  <c r="AL1616" i="1" s="1"/>
  <c r="U899" i="1"/>
  <c r="AM899" i="1" s="1"/>
  <c r="AL899" i="1" s="1"/>
  <c r="U671" i="1"/>
  <c r="AM671" i="1" s="1"/>
  <c r="AL671" i="1" s="1"/>
  <c r="U670" i="1"/>
  <c r="AM670" i="1" s="1"/>
  <c r="AL670" i="1" s="1"/>
  <c r="U2016" i="1"/>
  <c r="AM2016" i="1" s="1"/>
  <c r="AL2016" i="1" s="1"/>
  <c r="T1977" i="1"/>
  <c r="U1977" i="1"/>
  <c r="U2026" i="1"/>
  <c r="AM2026" i="1" s="1"/>
  <c r="M2026" i="1"/>
  <c r="AH2026" i="1" s="1"/>
  <c r="U1173" i="1"/>
  <c r="AM1173" i="1" s="1"/>
  <c r="M1173" i="1"/>
  <c r="AH1173" i="1" s="1"/>
  <c r="U1165" i="1"/>
  <c r="AM1165" i="1" s="1"/>
  <c r="M1165" i="1"/>
  <c r="AH1165" i="1" s="1"/>
  <c r="U2149" i="1"/>
  <c r="AM2149" i="1" s="1"/>
  <c r="AL2149" i="1" s="1"/>
  <c r="U2141" i="1"/>
  <c r="AM2141" i="1" s="1"/>
  <c r="AL2141" i="1" s="1"/>
  <c r="U925" i="1"/>
  <c r="AM925" i="1" s="1"/>
  <c r="AL925" i="1" s="1"/>
  <c r="U1910" i="1"/>
  <c r="AM1910" i="1" s="1"/>
  <c r="AL1910" i="1" s="1"/>
  <c r="U1859" i="1"/>
  <c r="AM1859" i="1" s="1"/>
  <c r="AL1859" i="1" s="1"/>
  <c r="U2025" i="1"/>
  <c r="AM2025" i="1" s="1"/>
  <c r="M2025" i="1"/>
  <c r="AH2025" i="1" s="1"/>
  <c r="U1009" i="1"/>
  <c r="AM1009" i="1" s="1"/>
  <c r="AL1009" i="1" s="1"/>
  <c r="U1776" i="1"/>
  <c r="AM1776" i="1" s="1"/>
  <c r="AL1776" i="1" s="1"/>
  <c r="U1774" i="1"/>
  <c r="AM1774" i="1" s="1"/>
  <c r="AL1774" i="1" s="1"/>
  <c r="U247" i="1"/>
  <c r="AM247" i="1" s="1"/>
  <c r="AL247" i="1" s="1"/>
  <c r="U720" i="1"/>
  <c r="AM720" i="1" s="1"/>
  <c r="AL720" i="1" s="1"/>
  <c r="U924" i="1"/>
  <c r="AM924" i="1" s="1"/>
  <c r="AL924" i="1" s="1"/>
  <c r="T1696" i="1"/>
  <c r="U1696" i="1"/>
  <c r="T1686" i="1"/>
  <c r="U1686" i="1"/>
  <c r="T1684" i="1"/>
  <c r="U1684" i="1"/>
  <c r="U719" i="1"/>
  <c r="AM719" i="1" s="1"/>
  <c r="AL719" i="1" s="1"/>
  <c r="U1639" i="1"/>
  <c r="AM1639" i="1" s="1"/>
  <c r="AL1639" i="1" s="1"/>
  <c r="U1640" i="1"/>
  <c r="AM1640" i="1" s="1"/>
  <c r="AL1640" i="1" s="1"/>
  <c r="U2407" i="1"/>
  <c r="AM2407" i="1" s="1"/>
  <c r="AL2407" i="1" s="1"/>
  <c r="U2392" i="1"/>
  <c r="AM2392" i="1" s="1"/>
  <c r="AL2392" i="1" s="1"/>
  <c r="U1778" i="1"/>
  <c r="AM1778" i="1" s="1"/>
  <c r="AL1778" i="1" s="1"/>
  <c r="U1777" i="1"/>
  <c r="AM1777" i="1" s="1"/>
  <c r="AL1777" i="1" s="1"/>
  <c r="U686" i="1"/>
  <c r="AM686" i="1" s="1"/>
  <c r="AL686" i="1" s="1"/>
  <c r="U684" i="1"/>
  <c r="AM684" i="1" s="1"/>
  <c r="AL684" i="1" s="1"/>
  <c r="U248" i="1"/>
  <c r="AM248" i="1" s="1"/>
  <c r="AL248" i="1" s="1"/>
  <c r="U1536" i="1"/>
  <c r="AM1536" i="1" s="1"/>
  <c r="AL1536" i="1" s="1"/>
  <c r="M2120" i="1"/>
  <c r="U1526" i="1"/>
  <c r="AM1526" i="1" s="1"/>
  <c r="M1526" i="1"/>
  <c r="AH1526" i="1" s="1"/>
  <c r="U2119" i="1"/>
  <c r="AM2119" i="1" s="1"/>
  <c r="M2119" i="1"/>
  <c r="AH2119" i="1" s="1"/>
  <c r="U1507" i="1"/>
  <c r="AM1507" i="1" s="1"/>
  <c r="AL1507" i="1" s="1"/>
  <c r="U1503" i="1"/>
  <c r="AM1503" i="1" s="1"/>
  <c r="AL1503" i="1" s="1"/>
  <c r="U1506" i="1"/>
  <c r="AM1506" i="1" s="1"/>
  <c r="U1927" i="1"/>
  <c r="AM1927" i="1" s="1"/>
  <c r="AL1927" i="1" s="1"/>
  <c r="T1525" i="1"/>
  <c r="U1525" i="1"/>
  <c r="M1525" i="1"/>
  <c r="AH1525" i="1" s="1"/>
  <c r="U1419" i="1"/>
  <c r="AM1419" i="1" s="1"/>
  <c r="AL1419" i="1" s="1"/>
  <c r="U1416" i="1"/>
  <c r="AM1416" i="1" s="1"/>
  <c r="AL1416" i="1" s="1"/>
  <c r="U2187" i="1"/>
  <c r="AM2187" i="1" s="1"/>
  <c r="AL2187" i="1" s="1"/>
  <c r="U95" i="1"/>
  <c r="AM95" i="1" s="1"/>
  <c r="AL95" i="1" s="1"/>
  <c r="U1423" i="1"/>
  <c r="AM1423" i="1" s="1"/>
  <c r="AL1423" i="1" s="1"/>
  <c r="U1397" i="1"/>
  <c r="AM1397" i="1" s="1"/>
  <c r="AL1397" i="1" s="1"/>
  <c r="U1393" i="1"/>
  <c r="AM1393" i="1" s="1"/>
  <c r="AL1393" i="1" s="1"/>
  <c r="U1377" i="1"/>
  <c r="AM1377" i="1" s="1"/>
  <c r="AL1377" i="1" s="1"/>
  <c r="U1378" i="1"/>
  <c r="AM1378" i="1" s="1"/>
  <c r="AL1378" i="1" s="1"/>
  <c r="U1373" i="1"/>
  <c r="AM1373" i="1" s="1"/>
  <c r="AL1373" i="1" s="1"/>
  <c r="U1374" i="1"/>
  <c r="AM1374" i="1" s="1"/>
  <c r="AL1374" i="1" s="1"/>
  <c r="U1749" i="1"/>
  <c r="AM1749" i="1" s="1"/>
  <c r="AL1749" i="1" s="1"/>
  <c r="U1312" i="1"/>
  <c r="AM1312" i="1" s="1"/>
  <c r="AL1312" i="1" s="1"/>
  <c r="U1703" i="1"/>
  <c r="AM1703" i="1" s="1"/>
  <c r="AL1703" i="1" s="1"/>
  <c r="U1303" i="1"/>
  <c r="AM1303" i="1" s="1"/>
  <c r="AL1303" i="1" s="1"/>
  <c r="U1290" i="1"/>
  <c r="AM1290" i="1" s="1"/>
  <c r="AL1290" i="1" s="1"/>
  <c r="U1279" i="1"/>
  <c r="AM1279" i="1" s="1"/>
  <c r="AL1279" i="1" s="1"/>
  <c r="T1208" i="1"/>
  <c r="U1208" i="1"/>
  <c r="U1180" i="1"/>
  <c r="AM1180" i="1" s="1"/>
  <c r="AL1180" i="1" s="1"/>
  <c r="U1139" i="1"/>
  <c r="AM1139" i="1" s="1"/>
  <c r="AL1139" i="1" s="1"/>
  <c r="U1174" i="1"/>
  <c r="AM1174" i="1" s="1"/>
  <c r="AL1174" i="1" s="1"/>
  <c r="U2403" i="1"/>
  <c r="AM2403" i="1" s="1"/>
  <c r="AL2403" i="1" s="1"/>
  <c r="U1170" i="1"/>
  <c r="AM1170" i="1" s="1"/>
  <c r="AL1170" i="1" s="1"/>
  <c r="U1166" i="1"/>
  <c r="AM1166" i="1" s="1"/>
  <c r="AL1166" i="1" s="1"/>
  <c r="U2400" i="1"/>
  <c r="AM2400" i="1" s="1"/>
  <c r="AL2400" i="1" s="1"/>
  <c r="U1162" i="1"/>
  <c r="AM1162" i="1" s="1"/>
  <c r="AL1162" i="1" s="1"/>
  <c r="U1152" i="1"/>
  <c r="AM1152" i="1" s="1"/>
  <c r="AL1152" i="1" s="1"/>
  <c r="U1149" i="1"/>
  <c r="AM1149" i="1" s="1"/>
  <c r="AL1149" i="1" s="1"/>
  <c r="U1143" i="1"/>
  <c r="AM1143" i="1" s="1"/>
  <c r="AL1143" i="1" s="1"/>
  <c r="U2398" i="1"/>
  <c r="AM2398" i="1" s="1"/>
  <c r="AL2398" i="1" s="1"/>
  <c r="U1109" i="1"/>
  <c r="AM1109" i="1" s="1"/>
  <c r="AL1109" i="1" s="1"/>
  <c r="U1107" i="1"/>
  <c r="AM1107" i="1" s="1"/>
  <c r="AL1107" i="1" s="1"/>
  <c r="U1088" i="1"/>
  <c r="AM1088" i="1" s="1"/>
  <c r="AL1088" i="1" s="1"/>
  <c r="U1087" i="1"/>
  <c r="AM1087" i="1" s="1"/>
  <c r="AL1087" i="1" s="1"/>
  <c r="U1084" i="1"/>
  <c r="AM1084" i="1" s="1"/>
  <c r="AL1084" i="1" s="1"/>
  <c r="U2396" i="1"/>
  <c r="AM2396" i="1" s="1"/>
  <c r="AL2396" i="1" s="1"/>
  <c r="U1048" i="1"/>
  <c r="AM1048" i="1" s="1"/>
  <c r="AL1048" i="1" s="1"/>
  <c r="U1049" i="1"/>
  <c r="AM1049" i="1" s="1"/>
  <c r="AL1049" i="1" s="1"/>
  <c r="U1043" i="1"/>
  <c r="AM1043" i="1" s="1"/>
  <c r="AL1043" i="1" s="1"/>
  <c r="U1040" i="1"/>
  <c r="AM1040" i="1" s="1"/>
  <c r="AL1040" i="1" s="1"/>
  <c r="U1039" i="1"/>
  <c r="AM1039" i="1" s="1"/>
  <c r="AL1039" i="1" s="1"/>
  <c r="U1018" i="1"/>
  <c r="AM1018" i="1" s="1"/>
  <c r="AL1018" i="1" s="1"/>
  <c r="U1021" i="1"/>
  <c r="AM1021" i="1" s="1"/>
  <c r="AL1021" i="1" s="1"/>
  <c r="T1004" i="1"/>
  <c r="U1004" i="1"/>
  <c r="U977" i="1"/>
  <c r="AM977" i="1" s="1"/>
  <c r="AL977" i="1" s="1"/>
  <c r="U975" i="1"/>
  <c r="AM975" i="1" s="1"/>
  <c r="AL975" i="1" s="1"/>
  <c r="T964" i="1"/>
  <c r="U964" i="1"/>
  <c r="T961" i="1"/>
  <c r="U961" i="1"/>
  <c r="U959" i="1"/>
  <c r="AM959" i="1" s="1"/>
  <c r="AL959" i="1" s="1"/>
  <c r="U958" i="1"/>
  <c r="AM958" i="1" s="1"/>
  <c r="AL958" i="1" s="1"/>
  <c r="T941" i="1"/>
  <c r="U941" i="1"/>
  <c r="U831" i="1"/>
  <c r="AM831" i="1" s="1"/>
  <c r="AL831" i="1" s="1"/>
  <c r="U828" i="1"/>
  <c r="AM828" i="1" s="1"/>
  <c r="AL828" i="1" s="1"/>
  <c r="U825" i="1"/>
  <c r="AM825" i="1" s="1"/>
  <c r="AL825" i="1" s="1"/>
  <c r="U822" i="1"/>
  <c r="AM822" i="1" s="1"/>
  <c r="AL822" i="1" s="1"/>
  <c r="U920" i="1"/>
  <c r="AM920" i="1" s="1"/>
  <c r="AL920" i="1" s="1"/>
  <c r="T2222" i="1"/>
  <c r="U2222" i="1"/>
  <c r="T2220" i="1"/>
  <c r="U2220" i="1"/>
  <c r="T860" i="1"/>
  <c r="U860" i="1"/>
  <c r="T862" i="1"/>
  <c r="U862" i="1"/>
  <c r="T2257" i="1"/>
  <c r="U2257" i="1"/>
  <c r="T2255" i="1"/>
  <c r="U2255" i="1"/>
  <c r="T2253" i="1"/>
  <c r="U2253" i="1"/>
  <c r="T2274" i="1"/>
  <c r="U2274" i="1"/>
  <c r="T2272" i="1"/>
  <c r="U2272" i="1"/>
  <c r="T2260" i="1"/>
  <c r="U2260" i="1"/>
  <c r="T2246" i="1"/>
  <c r="U2246" i="1"/>
  <c r="T2242" i="1"/>
  <c r="U2242" i="1"/>
  <c r="T2266" i="1"/>
  <c r="U2266" i="1"/>
  <c r="T2264" i="1"/>
  <c r="U2264" i="1"/>
  <c r="T2292" i="1"/>
  <c r="U2292" i="1"/>
  <c r="T2281" i="1"/>
  <c r="U2281" i="1"/>
  <c r="T2298" i="1"/>
  <c r="U2298" i="1"/>
  <c r="T2296" i="1"/>
  <c r="U2296" i="1"/>
  <c r="T2239" i="1"/>
  <c r="U2239" i="1"/>
  <c r="T2237" i="1"/>
  <c r="U2237" i="1"/>
  <c r="T2217" i="1"/>
  <c r="U2217" i="1"/>
  <c r="U666" i="1"/>
  <c r="AM666" i="1" s="1"/>
  <c r="AL666" i="1" s="1"/>
  <c r="AM620" i="1"/>
  <c r="AL620" i="1" s="1"/>
  <c r="U550" i="1"/>
  <c r="AM550" i="1" s="1"/>
  <c r="AL550" i="1" s="1"/>
  <c r="T2262" i="1"/>
  <c r="U2262" i="1"/>
  <c r="T2270" i="1"/>
  <c r="U2270" i="1"/>
  <c r="T2268" i="1"/>
  <c r="U2268" i="1"/>
  <c r="T2290" i="1"/>
  <c r="U2290" i="1"/>
  <c r="T2288" i="1"/>
  <c r="U2288" i="1"/>
  <c r="T2251" i="1"/>
  <c r="U2251" i="1"/>
  <c r="T2249" i="1"/>
  <c r="U2249" i="1"/>
  <c r="T2286" i="1"/>
  <c r="U2286" i="1"/>
  <c r="T2284" i="1"/>
  <c r="U2284" i="1"/>
  <c r="T2213" i="1"/>
  <c r="U2213" i="1"/>
  <c r="T2211" i="1"/>
  <c r="U2211" i="1"/>
  <c r="U464" i="1"/>
  <c r="AM464" i="1" s="1"/>
  <c r="AL464" i="1" s="1"/>
  <c r="U1940" i="1"/>
  <c r="AM1940" i="1" s="1"/>
  <c r="AL1940" i="1" s="1"/>
  <c r="U1939" i="1"/>
  <c r="AM1939" i="1" s="1"/>
  <c r="AL1939" i="1" s="1"/>
  <c r="U1938" i="1"/>
  <c r="AM1938" i="1" s="1"/>
  <c r="AL1938" i="1" s="1"/>
  <c r="U1937" i="1"/>
  <c r="AM1937" i="1" s="1"/>
  <c r="AL1937" i="1" s="1"/>
  <c r="U439" i="1"/>
  <c r="AM439" i="1" s="1"/>
  <c r="AL439" i="1" s="1"/>
  <c r="U1467" i="1"/>
  <c r="AM1467" i="1" s="1"/>
  <c r="AL1467" i="1" s="1"/>
  <c r="U1463" i="1"/>
  <c r="AM1463" i="1" s="1"/>
  <c r="AL1463" i="1" s="1"/>
  <c r="U393" i="1"/>
  <c r="AM393" i="1" s="1"/>
  <c r="AL393" i="1" s="1"/>
  <c r="U1460" i="1"/>
  <c r="AM1460" i="1" s="1"/>
  <c r="AL1460" i="1" s="1"/>
  <c r="U287" i="1"/>
  <c r="AM287" i="1" s="1"/>
  <c r="AL287" i="1" s="1"/>
  <c r="U1456" i="1"/>
  <c r="AM1456" i="1" s="1"/>
  <c r="AL1456" i="1" s="1"/>
  <c r="U1576" i="1"/>
  <c r="AM1576" i="1" s="1"/>
  <c r="AL1576" i="1" s="1"/>
  <c r="U1574" i="1"/>
  <c r="AM1574" i="1" s="1"/>
  <c r="AL1574" i="1" s="1"/>
  <c r="U1572" i="1"/>
  <c r="AM1572" i="1" s="1"/>
  <c r="AL1572" i="1" s="1"/>
  <c r="U1570" i="1"/>
  <c r="AM1570" i="1" s="1"/>
  <c r="AL1570" i="1" s="1"/>
  <c r="U1568" i="1"/>
  <c r="AM1568" i="1" s="1"/>
  <c r="AL1568" i="1" s="1"/>
  <c r="U1565" i="1"/>
  <c r="AM1565" i="1" s="1"/>
  <c r="AL1565" i="1" s="1"/>
  <c r="U454" i="1"/>
  <c r="AM454" i="1" s="1"/>
  <c r="AL454" i="1" s="1"/>
  <c r="U452" i="1"/>
  <c r="AM452" i="1" s="1"/>
  <c r="AL452" i="1" s="1"/>
  <c r="U450" i="1"/>
  <c r="AM450" i="1" s="1"/>
  <c r="AL450" i="1" s="1"/>
  <c r="U448" i="1"/>
  <c r="AM448" i="1" s="1"/>
  <c r="AL448" i="1" s="1"/>
  <c r="U422" i="1"/>
  <c r="AM422" i="1" s="1"/>
  <c r="AL422" i="1" s="1"/>
  <c r="U227" i="1"/>
  <c r="AM227" i="1" s="1"/>
  <c r="AL227" i="1" s="1"/>
  <c r="M209" i="1"/>
  <c r="U206" i="1"/>
  <c r="AM206" i="1" s="1"/>
  <c r="M206" i="1"/>
  <c r="AH206" i="1" s="1"/>
  <c r="U197" i="1"/>
  <c r="AM197" i="1" s="1"/>
  <c r="AL197" i="1" s="1"/>
  <c r="U168" i="1"/>
  <c r="AM168" i="1" s="1"/>
  <c r="AL168" i="1" s="1"/>
  <c r="T134" i="1"/>
  <c r="U134" i="1"/>
  <c r="U122" i="1"/>
  <c r="AM122" i="1" s="1"/>
  <c r="AL122" i="1" s="1"/>
  <c r="U120" i="1"/>
  <c r="AM120" i="1" s="1"/>
  <c r="AL120" i="1" s="1"/>
  <c r="U118" i="1"/>
  <c r="AM118" i="1" s="1"/>
  <c r="AL118" i="1" s="1"/>
  <c r="U117" i="1"/>
  <c r="AM117" i="1" s="1"/>
  <c r="AL117" i="1" s="1"/>
  <c r="U111" i="1"/>
  <c r="AM111" i="1" s="1"/>
  <c r="AL111" i="1" s="1"/>
  <c r="U109" i="1"/>
  <c r="AM109" i="1" s="1"/>
  <c r="AL109" i="1" s="1"/>
  <c r="U102" i="1"/>
  <c r="AM102" i="1" s="1"/>
  <c r="AL102" i="1" s="1"/>
  <c r="T65" i="1"/>
  <c r="U65" i="1"/>
  <c r="U60" i="1"/>
  <c r="AM60" i="1" s="1"/>
  <c r="AL60" i="1" s="1"/>
  <c r="U54" i="1"/>
  <c r="AM54" i="1" s="1"/>
  <c r="AL54" i="1" s="1"/>
  <c r="U44" i="1"/>
  <c r="AM44" i="1" s="1"/>
  <c r="M44" i="1"/>
  <c r="AH44" i="1" s="1"/>
  <c r="AM48" i="1"/>
  <c r="AL48" i="1" s="1"/>
  <c r="AM43" i="1"/>
  <c r="AL43" i="1" s="1"/>
  <c r="U31" i="1"/>
  <c r="AM31" i="1" s="1"/>
  <c r="M31" i="1"/>
  <c r="AH31" i="1" s="1"/>
  <c r="AM34" i="1"/>
  <c r="AL34" i="1" s="1"/>
  <c r="AM12" i="1"/>
  <c r="AL12" i="1" s="1"/>
  <c r="T2" i="1"/>
  <c r="U2" i="1"/>
  <c r="V2552" i="1"/>
  <c r="W2552" i="1"/>
  <c r="D18" i="3"/>
  <c r="E17" i="3" s="1"/>
  <c r="V1669" i="1"/>
  <c r="W1669" i="1"/>
  <c r="V2550" i="1"/>
  <c r="W2550" i="1"/>
  <c r="V2546" i="1"/>
  <c r="W2546" i="1"/>
  <c r="V2168" i="1"/>
  <c r="W2168" i="1"/>
  <c r="D58" i="3"/>
  <c r="C53" i="3"/>
  <c r="AF2339" i="1"/>
  <c r="W2339" i="1"/>
  <c r="V2339" i="1"/>
  <c r="AC1640" i="1"/>
  <c r="AC1049" i="1"/>
  <c r="AC1021" i="1"/>
  <c r="AF33" i="1"/>
  <c r="AF49" i="1"/>
  <c r="V1167" i="1"/>
  <c r="W1167" i="1"/>
  <c r="V1169" i="1"/>
  <c r="W1169" i="1"/>
  <c r="C46" i="3"/>
  <c r="V1473" i="1"/>
  <c r="W1473" i="1"/>
  <c r="AF1473" i="1"/>
  <c r="V920" i="1"/>
  <c r="V1393" i="1"/>
  <c r="AF1224" i="1"/>
  <c r="AF1217" i="1"/>
  <c r="W1224" i="1"/>
  <c r="V1224" i="1"/>
  <c r="V1217" i="1"/>
  <c r="W1217" i="1"/>
  <c r="W2502" i="1"/>
  <c r="V2502" i="1"/>
  <c r="W2404" i="1"/>
  <c r="V2404" i="1"/>
  <c r="W2390" i="1"/>
  <c r="V2390" i="1"/>
  <c r="W2171" i="1"/>
  <c r="V2171" i="1"/>
  <c r="W2170" i="1"/>
  <c r="V2170" i="1"/>
  <c r="W1927" i="1"/>
  <c r="V1927" i="1"/>
  <c r="W1778" i="1"/>
  <c r="V1778" i="1"/>
  <c r="W1777" i="1"/>
  <c r="V1777" i="1"/>
  <c r="W1616" i="1"/>
  <c r="V1616" i="1"/>
  <c r="W1419" i="1"/>
  <c r="V1419" i="1"/>
  <c r="W1416" i="1"/>
  <c r="V1416" i="1"/>
  <c r="W1009" i="1"/>
  <c r="V1009" i="1"/>
  <c r="W899" i="1"/>
  <c r="V899" i="1"/>
  <c r="W686" i="1"/>
  <c r="V686" i="1"/>
  <c r="W684" i="1"/>
  <c r="V684" i="1"/>
  <c r="W671" i="1"/>
  <c r="V671" i="1"/>
  <c r="W670" i="1"/>
  <c r="V670" i="1"/>
  <c r="W247" i="1"/>
  <c r="V247" i="1"/>
  <c r="W1910" i="1"/>
  <c r="V1507" i="1"/>
  <c r="W1507" i="1"/>
  <c r="V1279" i="1"/>
  <c r="W1279" i="1"/>
  <c r="V1674" i="1"/>
  <c r="W1674" i="1"/>
  <c r="V1673" i="1"/>
  <c r="W1673" i="1"/>
  <c r="V1672" i="1"/>
  <c r="W1672" i="1"/>
  <c r="V1671" i="1"/>
  <c r="W1671" i="1"/>
  <c r="V1670" i="1"/>
  <c r="W1670" i="1"/>
  <c r="V1668" i="1"/>
  <c r="W1668" i="1"/>
  <c r="V1667" i="1"/>
  <c r="W1667" i="1"/>
  <c r="V1666" i="1"/>
  <c r="W1666" i="1"/>
  <c r="AF2370" i="1"/>
  <c r="AF1172" i="1"/>
  <c r="AF1164" i="1"/>
  <c r="AF2362" i="1"/>
  <c r="AF45" i="1"/>
  <c r="AF29" i="1"/>
  <c r="AF44" i="1"/>
  <c r="AF31" i="1"/>
  <c r="AF30" i="1"/>
  <c r="AF204" i="1"/>
  <c r="V2028" i="1"/>
  <c r="W2028" i="1"/>
  <c r="V2029" i="1"/>
  <c r="W2029" i="1"/>
  <c r="V927" i="1"/>
  <c r="W927" i="1"/>
  <c r="V928" i="1"/>
  <c r="W928" i="1"/>
  <c r="V2172" i="1"/>
  <c r="W2172" i="1"/>
  <c r="V2373" i="1"/>
  <c r="W2373" i="1"/>
  <c r="V2370" i="1"/>
  <c r="W2370" i="1"/>
  <c r="V924" i="1"/>
  <c r="W924" i="1"/>
  <c r="V925" i="1"/>
  <c r="W925" i="1"/>
  <c r="V923" i="1"/>
  <c r="W923" i="1"/>
  <c r="V209" i="1"/>
  <c r="W209" i="1"/>
  <c r="V208" i="1"/>
  <c r="W208" i="1"/>
  <c r="V2122" i="1"/>
  <c r="W2122" i="1"/>
  <c r="V2123" i="1"/>
  <c r="W2123" i="1"/>
  <c r="V2025" i="1"/>
  <c r="W2025" i="1"/>
  <c r="V2026" i="1"/>
  <c r="W2026" i="1"/>
  <c r="V2024" i="1"/>
  <c r="W2024" i="1"/>
  <c r="V1528" i="1"/>
  <c r="W1528" i="1"/>
  <c r="V1529" i="1"/>
  <c r="W1529" i="1"/>
  <c r="V723" i="1"/>
  <c r="W723" i="1"/>
  <c r="V2364" i="1"/>
  <c r="W2364" i="1"/>
  <c r="V2366" i="1"/>
  <c r="W2366" i="1"/>
  <c r="V2362" i="1"/>
  <c r="W2362" i="1"/>
  <c r="V1166" i="1"/>
  <c r="W1166" i="1"/>
  <c r="V1173" i="1"/>
  <c r="W1173" i="1"/>
  <c r="V1174" i="1"/>
  <c r="W1174" i="1"/>
  <c r="V1172" i="1"/>
  <c r="W1172" i="1"/>
  <c r="V1165" i="1"/>
  <c r="W1165" i="1"/>
  <c r="V1164" i="1"/>
  <c r="W1164" i="1"/>
  <c r="V206" i="1"/>
  <c r="W206" i="1"/>
  <c r="V205" i="1"/>
  <c r="W205" i="1"/>
  <c r="V204" i="1"/>
  <c r="W204" i="1"/>
  <c r="V2119" i="1"/>
  <c r="W2119" i="1"/>
  <c r="V2120" i="1"/>
  <c r="W2120" i="1"/>
  <c r="V2118" i="1"/>
  <c r="W2118" i="1"/>
  <c r="V1526" i="1"/>
  <c r="W1526" i="1"/>
  <c r="V1525" i="1"/>
  <c r="W1525" i="1"/>
  <c r="V1524" i="1"/>
  <c r="W1524" i="1"/>
  <c r="V719" i="1"/>
  <c r="W719" i="1"/>
  <c r="V720" i="1"/>
  <c r="W720" i="1"/>
  <c r="V718" i="1"/>
  <c r="W718" i="1"/>
  <c r="V280" i="1"/>
  <c r="W280" i="1"/>
  <c r="V279" i="1"/>
  <c r="W279" i="1"/>
  <c r="V260" i="1"/>
  <c r="W260" i="1"/>
  <c r="W259" i="1"/>
  <c r="V259" i="1"/>
  <c r="AF923" i="1"/>
  <c r="AF718" i="1"/>
  <c r="AF1524" i="1"/>
  <c r="AF2024" i="1"/>
  <c r="AF2118" i="1"/>
  <c r="AF208" i="1"/>
  <c r="AF891" i="1"/>
  <c r="AF2530" i="1"/>
  <c r="AF2524" i="1"/>
  <c r="AF2519" i="1"/>
  <c r="AF2518" i="1"/>
  <c r="AF2517" i="1"/>
  <c r="V501" i="1"/>
  <c r="W501" i="1"/>
  <c r="V517" i="1"/>
  <c r="W517" i="1"/>
  <c r="V511" i="1"/>
  <c r="W511" i="1"/>
  <c r="V503" i="1"/>
  <c r="W503" i="1"/>
  <c r="V1363" i="1"/>
  <c r="W1363" i="1"/>
  <c r="V1368" i="1"/>
  <c r="W1368" i="1"/>
  <c r="V518" i="1"/>
  <c r="W518" i="1"/>
  <c r="V512" i="1"/>
  <c r="W512" i="1"/>
  <c r="V504" i="1"/>
  <c r="W504" i="1"/>
  <c r="V502" i="1"/>
  <c r="W502" i="1"/>
  <c r="V506" i="1"/>
  <c r="W506" i="1"/>
  <c r="V505" i="1"/>
  <c r="W505" i="1"/>
  <c r="V500" i="1"/>
  <c r="W500" i="1"/>
  <c r="AF1125" i="1"/>
  <c r="AF160" i="1"/>
  <c r="AF435" i="1"/>
  <c r="AF1126" i="1"/>
  <c r="V1126" i="1"/>
  <c r="W1126" i="1"/>
  <c r="AF631" i="1"/>
  <c r="V631" i="1"/>
  <c r="W631" i="1"/>
  <c r="AF1122" i="1"/>
  <c r="V1122" i="1"/>
  <c r="W1122" i="1"/>
  <c r="AF615" i="1"/>
  <c r="AF611" i="1"/>
  <c r="AF158" i="1"/>
  <c r="V158" i="1"/>
  <c r="W158" i="1"/>
  <c r="AF436" i="1"/>
  <c r="V436" i="1"/>
  <c r="W436" i="1"/>
  <c r="AF632" i="1"/>
  <c r="AF610" i="1"/>
  <c r="V610" i="1"/>
  <c r="W610" i="1"/>
  <c r="AF642" i="1"/>
  <c r="AF1124" i="1"/>
  <c r="AF625" i="1"/>
  <c r="AF618" i="1"/>
  <c r="AF612" i="1"/>
  <c r="AF472" i="1"/>
  <c r="AF1226" i="1"/>
  <c r="AF634" i="1"/>
  <c r="AF630" i="1"/>
  <c r="AF628" i="1"/>
  <c r="AF623" i="1"/>
  <c r="AF624" i="1"/>
  <c r="AF468" i="1"/>
  <c r="AF1225" i="1"/>
  <c r="AF635" i="1"/>
  <c r="AF633" i="1"/>
  <c r="AF629" i="1"/>
  <c r="AF627" i="1"/>
  <c r="AF621" i="1"/>
  <c r="AF626" i="1"/>
  <c r="AF1218" i="1"/>
  <c r="AF1212" i="1"/>
  <c r="V160" i="1"/>
  <c r="W160" i="1"/>
  <c r="W1124" i="1"/>
  <c r="V1124" i="1"/>
  <c r="W1225" i="1"/>
  <c r="V1225" i="1"/>
  <c r="W1125" i="1"/>
  <c r="V1125" i="1"/>
  <c r="W635" i="1"/>
  <c r="V635" i="1"/>
  <c r="W633" i="1"/>
  <c r="V633" i="1"/>
  <c r="W629" i="1"/>
  <c r="V629" i="1"/>
  <c r="W627" i="1"/>
  <c r="V627" i="1"/>
  <c r="W624" i="1"/>
  <c r="V624" i="1"/>
  <c r="W621" i="1"/>
  <c r="V621" i="1"/>
  <c r="W615" i="1"/>
  <c r="V615" i="1"/>
  <c r="W611" i="1"/>
  <c r="V611" i="1"/>
  <c r="W609" i="1"/>
  <c r="V609" i="1"/>
  <c r="W468" i="1"/>
  <c r="V468" i="1"/>
  <c r="W435" i="1"/>
  <c r="V435" i="1"/>
  <c r="W1226" i="1"/>
  <c r="V1226" i="1"/>
  <c r="W1218" i="1"/>
  <c r="V1218" i="1"/>
  <c r="W1212" i="1"/>
  <c r="V1212" i="1"/>
  <c r="W642" i="1"/>
  <c r="V642" i="1"/>
  <c r="W634" i="1"/>
  <c r="V634" i="1"/>
  <c r="W632" i="1"/>
  <c r="V632" i="1"/>
  <c r="W630" i="1"/>
  <c r="V630" i="1"/>
  <c r="W628" i="1"/>
  <c r="V628" i="1"/>
  <c r="W626" i="1"/>
  <c r="V626" i="1"/>
  <c r="W625" i="1"/>
  <c r="V625" i="1"/>
  <c r="W623" i="1"/>
  <c r="V623" i="1"/>
  <c r="W618" i="1"/>
  <c r="V618" i="1"/>
  <c r="W612" i="1"/>
  <c r="V612" i="1"/>
  <c r="W472" i="1"/>
  <c r="V472" i="1"/>
  <c r="AF1780" i="1"/>
  <c r="AF986" i="1"/>
  <c r="V1601" i="1"/>
  <c r="W1601" i="1"/>
  <c r="V891" i="1"/>
  <c r="W891" i="1"/>
  <c r="D66" i="3"/>
  <c r="D111" i="3"/>
  <c r="D107" i="3"/>
  <c r="D101" i="3"/>
  <c r="D103" i="3" s="1"/>
  <c r="AF554" i="1"/>
  <c r="V1290" i="1"/>
  <c r="W1290" i="1"/>
  <c r="V1170" i="1"/>
  <c r="W1170" i="1"/>
  <c r="V1168" i="1"/>
  <c r="W1168" i="1"/>
  <c r="V1162" i="1"/>
  <c r="W1162" i="1"/>
  <c r="V1161" i="1"/>
  <c r="W1161" i="1"/>
  <c r="V665" i="1"/>
  <c r="W665" i="1"/>
  <c r="W1498" i="1"/>
  <c r="AF1498" i="1"/>
  <c r="W1497" i="1"/>
  <c r="AF1497" i="1"/>
  <c r="AF1496" i="1"/>
  <c r="V1309" i="1"/>
  <c r="W1309" i="1"/>
  <c r="AC1009" i="1"/>
  <c r="V1109" i="1"/>
  <c r="W1109" i="1"/>
  <c r="W826" i="1"/>
  <c r="AF1519" i="1"/>
  <c r="AF1518" i="1"/>
  <c r="AF1517" i="1"/>
  <c r="AF102" i="1"/>
  <c r="AF537" i="1"/>
  <c r="AF536" i="1"/>
  <c r="AF535" i="1"/>
  <c r="AF534" i="1"/>
  <c r="AF2277" i="1"/>
  <c r="AF2227" i="1"/>
  <c r="AF1848" i="1"/>
  <c r="AF293" i="1"/>
  <c r="AF291" i="1"/>
  <c r="AF1971" i="1"/>
  <c r="AF1766" i="1"/>
  <c r="AF937" i="1"/>
  <c r="AF201" i="1"/>
  <c r="AF194" i="1"/>
  <c r="AF189" i="1"/>
  <c r="AF2156" i="1"/>
  <c r="AF217" i="1"/>
  <c r="AF2198" i="1"/>
  <c r="AF2197" i="1"/>
  <c r="AF2195" i="1"/>
  <c r="D65" i="3"/>
  <c r="E64" i="3" s="1"/>
  <c r="AF2194" i="1"/>
  <c r="AF1138" i="1"/>
  <c r="AF284" i="1"/>
  <c r="AF2207" i="1"/>
  <c r="V2207" i="1"/>
  <c r="W2207" i="1"/>
  <c r="AF226" i="1"/>
  <c r="AF2027" i="1"/>
  <c r="V2027" i="1"/>
  <c r="W2027" i="1"/>
  <c r="AF1168" i="1"/>
  <c r="AF1161" i="1"/>
  <c r="AF665" i="1"/>
  <c r="AF117" i="1"/>
  <c r="AF116" i="1"/>
  <c r="AF111" i="1"/>
  <c r="AF110" i="1"/>
  <c r="AF109" i="1"/>
  <c r="AF108" i="1"/>
  <c r="AF880" i="1"/>
  <c r="V880" i="1"/>
  <c r="W880" i="1"/>
  <c r="AF879" i="1"/>
  <c r="V2374" i="1"/>
  <c r="W2374" i="1"/>
  <c r="AF1609" i="1"/>
  <c r="AF1607" i="1"/>
  <c r="AF1521" i="1"/>
  <c r="AF1520" i="1"/>
  <c r="V1520" i="1"/>
  <c r="W1520" i="1"/>
  <c r="AF2280" i="1"/>
  <c r="D63" i="3"/>
  <c r="E62" i="3" s="1"/>
  <c r="AF2231" i="1"/>
  <c r="AF1289" i="1"/>
  <c r="AF1151" i="1"/>
  <c r="V1151" i="1"/>
  <c r="W1151" i="1"/>
  <c r="AF1148" i="1"/>
  <c r="AF2132" i="1"/>
  <c r="AF2353" i="1"/>
  <c r="AF1302" i="1"/>
  <c r="AF325" i="1"/>
  <c r="V287" i="1"/>
  <c r="W287" i="1"/>
  <c r="V207" i="1"/>
  <c r="W207" i="1"/>
  <c r="AC207" i="1"/>
  <c r="AF2166" i="1"/>
  <c r="AF2165" i="1"/>
  <c r="AF54" i="1"/>
  <c r="V54" i="1"/>
  <c r="W54" i="1"/>
  <c r="AF1352" i="1"/>
  <c r="AF721" i="1"/>
  <c r="AF648" i="1"/>
  <c r="V648" i="1"/>
  <c r="W648" i="1"/>
  <c r="AF467" i="1"/>
  <c r="V467" i="1"/>
  <c r="W467" i="1"/>
  <c r="AF1443" i="1"/>
  <c r="AF1340" i="1"/>
  <c r="AF485" i="1"/>
  <c r="AF2130" i="1"/>
  <c r="AF1452" i="1"/>
  <c r="V1452" i="1"/>
  <c r="W1452" i="1"/>
  <c r="AF1450" i="1"/>
  <c r="AF2512" i="1"/>
  <c r="AF2511" i="1"/>
  <c r="AF2384" i="1"/>
  <c r="AF2049" i="1"/>
  <c r="V2016" i="1"/>
  <c r="W2016" i="1"/>
  <c r="AF950" i="1"/>
  <c r="AF699" i="1"/>
  <c r="AF543" i="1"/>
  <c r="AF197" i="1"/>
  <c r="AF155" i="1"/>
  <c r="V155" i="1"/>
  <c r="W155" i="1"/>
  <c r="AF2200" i="1"/>
  <c r="AF12" i="1"/>
  <c r="AF122" i="1"/>
  <c r="AF121" i="1"/>
  <c r="AF120" i="1"/>
  <c r="AF119" i="1"/>
  <c r="AF118" i="1"/>
  <c r="AF1110" i="1"/>
  <c r="V1110" i="1"/>
  <c r="W1110" i="1"/>
  <c r="AF984" i="1"/>
  <c r="AF2121" i="1"/>
  <c r="AF1725" i="1"/>
  <c r="V1725" i="1"/>
  <c r="W1725" i="1"/>
  <c r="AF1724" i="1"/>
  <c r="AF1558" i="1"/>
  <c r="AF1527" i="1"/>
  <c r="AF1085" i="1"/>
  <c r="AF124" i="1"/>
  <c r="AF1501" i="1"/>
  <c r="AF1071" i="1"/>
  <c r="V1071" i="1"/>
  <c r="W1071" i="1"/>
  <c r="AF463" i="1"/>
  <c r="AF48" i="1"/>
  <c r="AF47" i="1"/>
  <c r="AF43" i="1"/>
  <c r="AF42" i="1"/>
  <c r="AF34" i="1"/>
  <c r="AF32" i="1"/>
  <c r="AF926" i="1"/>
  <c r="V926" i="1"/>
  <c r="W926" i="1"/>
  <c r="AF1615" i="1"/>
  <c r="AF2491" i="1"/>
  <c r="AF1304" i="1"/>
  <c r="V1304" i="1"/>
  <c r="W1304" i="1"/>
  <c r="AF2575" i="1"/>
  <c r="AC671" i="1"/>
  <c r="AF2483" i="1"/>
  <c r="AF203" i="1"/>
  <c r="V1566" i="1"/>
  <c r="W1566" i="1"/>
  <c r="AF1191" i="1"/>
  <c r="AF1601" i="1"/>
  <c r="AF1098" i="1"/>
  <c r="AF676" i="1"/>
  <c r="AF60" i="1"/>
  <c r="V60" i="1"/>
  <c r="W60" i="1"/>
  <c r="AF59" i="1"/>
  <c r="AC684" i="1"/>
  <c r="AF2406" i="1"/>
  <c r="AF1837" i="1"/>
  <c r="AF2432" i="1"/>
  <c r="AF539" i="1"/>
  <c r="AF1560" i="1"/>
  <c r="AF1559" i="1"/>
  <c r="AF856" i="1"/>
  <c r="AF457" i="1"/>
  <c r="V457" i="1"/>
  <c r="W457" i="1"/>
  <c r="AF2347" i="1"/>
  <c r="AF1064" i="1"/>
  <c r="V1064" i="1"/>
  <c r="W1064" i="1"/>
  <c r="AF292" i="1"/>
  <c r="AF290" i="1"/>
  <c r="AF224" i="1"/>
  <c r="W1393" i="1"/>
  <c r="AF1392" i="1"/>
  <c r="AF1108" i="1"/>
  <c r="AF1106" i="1"/>
  <c r="AF771" i="1"/>
  <c r="AF765" i="1"/>
  <c r="AF392" i="1"/>
  <c r="AF168" i="1"/>
  <c r="AF2510" i="1"/>
  <c r="AF2509" i="1"/>
  <c r="V2509" i="1"/>
  <c r="W2509" i="1"/>
  <c r="AF2508" i="1"/>
  <c r="AF2507" i="1"/>
  <c r="AF1944" i="1"/>
  <c r="AF1943" i="1"/>
  <c r="V1140" i="1"/>
  <c r="W1140" i="1"/>
  <c r="AF1722" i="1"/>
  <c r="V1722" i="1"/>
  <c r="W1722" i="1"/>
  <c r="V1494" i="1"/>
  <c r="W1494" i="1"/>
  <c r="AF2" i="1"/>
  <c r="AF1175" i="1"/>
  <c r="AF704" i="1"/>
  <c r="V704" i="1"/>
  <c r="W704" i="1"/>
  <c r="AC2171" i="1"/>
  <c r="AC2170" i="1"/>
  <c r="AF95" i="1"/>
  <c r="AF462" i="1"/>
  <c r="AF461" i="1"/>
  <c r="AF460" i="1"/>
  <c r="AF459" i="1"/>
  <c r="V459" i="1"/>
  <c r="W459" i="1"/>
  <c r="AC2404" i="1"/>
  <c r="AF1522" i="1"/>
  <c r="AF1523" i="1"/>
  <c r="W1523" i="1"/>
  <c r="V1464" i="1"/>
  <c r="W1464" i="1"/>
  <c r="AF360" i="1"/>
  <c r="V360" i="1"/>
  <c r="W360" i="1"/>
  <c r="V1579" i="1"/>
  <c r="W1579" i="1"/>
  <c r="V1581" i="1"/>
  <c r="W1581" i="1"/>
  <c r="W1817" i="1"/>
  <c r="AC2502" i="1"/>
  <c r="AF2546" i="1"/>
  <c r="AF2550" i="1"/>
  <c r="AF2552" i="1"/>
  <c r="AC448" i="1"/>
  <c r="AF2503" i="1"/>
  <c r="AF2504" i="1"/>
  <c r="AF2505" i="1"/>
  <c r="V2505" i="1"/>
  <c r="W2505" i="1"/>
  <c r="AF2506" i="1"/>
  <c r="AC804" i="1"/>
  <c r="V1081" i="1"/>
  <c r="W1081" i="1"/>
  <c r="V1082" i="1"/>
  <c r="W1082" i="1"/>
  <c r="V1080" i="1"/>
  <c r="W1080" i="1"/>
  <c r="V1079" i="1"/>
  <c r="W1079" i="1"/>
  <c r="V1564" i="1"/>
  <c r="W1564" i="1"/>
  <c r="V1563" i="1"/>
  <c r="W1563" i="1"/>
  <c r="V1521" i="1"/>
  <c r="W1521" i="1"/>
  <c r="V1780" i="1"/>
  <c r="W1780" i="1"/>
  <c r="W1522" i="1"/>
  <c r="V856" i="1"/>
  <c r="W856" i="1"/>
  <c r="W1496" i="1"/>
  <c r="V1493" i="1"/>
  <c r="W1493" i="1"/>
  <c r="V2510" i="1"/>
  <c r="W2510" i="1"/>
  <c r="V2508" i="1"/>
  <c r="W2508" i="1"/>
  <c r="V2507" i="1"/>
  <c r="W2507" i="1"/>
  <c r="V2506" i="1"/>
  <c r="W2506" i="1"/>
  <c r="V2504" i="1"/>
  <c r="W2504" i="1"/>
  <c r="V2503" i="1"/>
  <c r="W2503" i="1"/>
  <c r="D71" i="3"/>
  <c r="D88" i="3"/>
  <c r="D92" i="3" s="1"/>
  <c r="D94" i="3" s="1"/>
  <c r="V2353" i="1"/>
  <c r="W2353" i="1"/>
  <c r="V1724" i="1"/>
  <c r="W1724" i="1"/>
  <c r="AA906" i="1"/>
  <c r="V1948" i="1"/>
  <c r="W1948" i="1"/>
  <c r="V1949" i="1"/>
  <c r="W1949" i="1"/>
  <c r="V1837" i="1"/>
  <c r="W1837" i="1"/>
  <c r="V1815" i="1"/>
  <c r="W1815" i="1"/>
  <c r="V460" i="1"/>
  <c r="W460" i="1"/>
  <c r="V292" i="1"/>
  <c r="W292" i="1"/>
  <c r="V290" i="1"/>
  <c r="W290" i="1"/>
  <c r="V950" i="1"/>
  <c r="W950" i="1"/>
  <c r="V2512" i="1"/>
  <c r="W2512" i="1"/>
  <c r="V2511" i="1"/>
  <c r="W2511" i="1"/>
  <c r="V2491" i="1"/>
  <c r="W2491" i="1"/>
  <c r="V2483" i="1"/>
  <c r="W2483" i="1"/>
  <c r="V2432" i="1"/>
  <c r="W2432" i="1"/>
  <c r="V2424" i="1"/>
  <c r="W2424" i="1"/>
  <c r="V2423" i="1"/>
  <c r="W2423" i="1"/>
  <c r="V2405" i="1"/>
  <c r="W2405" i="1"/>
  <c r="V2407" i="1"/>
  <c r="W2407" i="1"/>
  <c r="V2391" i="1"/>
  <c r="W2391" i="1"/>
  <c r="V2392" i="1"/>
  <c r="W2392" i="1"/>
  <c r="V2368" i="1"/>
  <c r="W2368" i="1"/>
  <c r="V2347" i="1"/>
  <c r="W2347" i="1"/>
  <c r="V2200" i="1"/>
  <c r="W2200" i="1"/>
  <c r="V2187" i="1"/>
  <c r="W2187" i="1"/>
  <c r="V2132" i="1"/>
  <c r="W2132" i="1"/>
  <c r="V2121" i="1"/>
  <c r="W2121" i="1"/>
  <c r="V2049" i="1"/>
  <c r="W2049" i="1"/>
  <c r="V1995" i="1"/>
  <c r="W1995" i="1"/>
  <c r="V1994" i="1"/>
  <c r="W1994" i="1"/>
  <c r="V1960" i="1"/>
  <c r="W1960" i="1"/>
  <c r="V1959" i="1"/>
  <c r="W1959" i="1"/>
  <c r="V1853" i="1"/>
  <c r="W1853" i="1"/>
  <c r="V1782" i="1"/>
  <c r="W1782" i="1"/>
  <c r="V1750" i="1"/>
  <c r="W1750" i="1"/>
  <c r="V1749" i="1"/>
  <c r="W1749" i="1"/>
  <c r="V1704" i="1"/>
  <c r="W1704" i="1"/>
  <c r="V1703" i="1"/>
  <c r="W1703" i="1"/>
  <c r="V1693" i="1"/>
  <c r="W1693" i="1"/>
  <c r="V1615" i="1"/>
  <c r="W1615" i="1"/>
  <c r="V1609" i="1"/>
  <c r="W1609" i="1"/>
  <c r="V1607" i="1"/>
  <c r="W1607" i="1"/>
  <c r="V1582" i="1"/>
  <c r="W1582" i="1"/>
  <c r="W1577" i="1"/>
  <c r="V1576" i="1"/>
  <c r="W1576" i="1"/>
  <c r="W1575" i="1"/>
  <c r="V1574" i="1"/>
  <c r="W1574" i="1"/>
  <c r="AC1574" i="1"/>
  <c r="W1573" i="1"/>
  <c r="V1572" i="1"/>
  <c r="W1572" i="1"/>
  <c r="W1571" i="1"/>
  <c r="V1570" i="1"/>
  <c r="W1570" i="1"/>
  <c r="W1569" i="1"/>
  <c r="V1568" i="1"/>
  <c r="W1568" i="1"/>
  <c r="V1565" i="1"/>
  <c r="W1565" i="1"/>
  <c r="V1560" i="1"/>
  <c r="W1560" i="1"/>
  <c r="V1559" i="1"/>
  <c r="W1559" i="1"/>
  <c r="V1558" i="1"/>
  <c r="W1558" i="1"/>
  <c r="V1536" i="1"/>
  <c r="W1536" i="1"/>
  <c r="V1527" i="1"/>
  <c r="W1527" i="1"/>
  <c r="V1469" i="1"/>
  <c r="W1469" i="1"/>
  <c r="V1462" i="1"/>
  <c r="W1462" i="1"/>
  <c r="V1457" i="1"/>
  <c r="W1457" i="1"/>
  <c r="V1450" i="1"/>
  <c r="W1450" i="1"/>
  <c r="V1443" i="1"/>
  <c r="W1443" i="1"/>
  <c r="V1397" i="1"/>
  <c r="W1397" i="1"/>
  <c r="V1392" i="1"/>
  <c r="W1392" i="1"/>
  <c r="V1352" i="1"/>
  <c r="W1352" i="1"/>
  <c r="V1312" i="1"/>
  <c r="W1312" i="1"/>
  <c r="V1289" i="1"/>
  <c r="W1289" i="1"/>
  <c r="V1244" i="1"/>
  <c r="W1244" i="1"/>
  <c r="Z1244" i="1" s="1"/>
  <c r="V1243" i="1"/>
  <c r="W1243" i="1"/>
  <c r="Z1243" i="1" s="1"/>
  <c r="V1242" i="1"/>
  <c r="W1242" i="1"/>
  <c r="Z1242" i="1" s="1"/>
  <c r="V1241" i="1"/>
  <c r="W1241" i="1"/>
  <c r="Z1241" i="1" s="1"/>
  <c r="V1193" i="1"/>
  <c r="W1193" i="1"/>
  <c r="V539" i="1"/>
  <c r="W539" i="1"/>
  <c r="V1192" i="1"/>
  <c r="W1192" i="1"/>
  <c r="V1181" i="1"/>
  <c r="W1181" i="1"/>
  <c r="V1180" i="1"/>
  <c r="W1180" i="1"/>
  <c r="V1175" i="1"/>
  <c r="W1175" i="1"/>
  <c r="V1152" i="1"/>
  <c r="W1152" i="1"/>
  <c r="V1149" i="1"/>
  <c r="W1149" i="1"/>
  <c r="V1148" i="1"/>
  <c r="W1148" i="1"/>
  <c r="V1139" i="1"/>
  <c r="W1139" i="1"/>
  <c r="V1108" i="1"/>
  <c r="W1108" i="1"/>
  <c r="V1107" i="1"/>
  <c r="W1107" i="1"/>
  <c r="V1106" i="1"/>
  <c r="W1106" i="1"/>
  <c r="V1088" i="1"/>
  <c r="W1088" i="1"/>
  <c r="V1087" i="1"/>
  <c r="W1087" i="1"/>
  <c r="V1085" i="1"/>
  <c r="W1085" i="1"/>
  <c r="V1084" i="1"/>
  <c r="W1084" i="1"/>
  <c r="V1074" i="1"/>
  <c r="W1074" i="1"/>
  <c r="V1073" i="1"/>
  <c r="W1073" i="1"/>
  <c r="W1039" i="1"/>
  <c r="V991" i="1"/>
  <c r="W991" i="1"/>
  <c r="V992" i="1"/>
  <c r="W992" i="1"/>
  <c r="V986" i="1"/>
  <c r="W986" i="1"/>
  <c r="V984" i="1"/>
  <c r="W984" i="1"/>
  <c r="V977" i="1"/>
  <c r="W977" i="1"/>
  <c r="V975" i="1"/>
  <c r="W975" i="1"/>
  <c r="W920" i="1"/>
  <c r="V879" i="1"/>
  <c r="W879" i="1"/>
  <c r="W870" i="1"/>
  <c r="W869" i="1"/>
  <c r="V823" i="1"/>
  <c r="W823" i="1"/>
  <c r="V771" i="1"/>
  <c r="W771" i="1"/>
  <c r="V765" i="1"/>
  <c r="W765" i="1"/>
  <c r="V721" i="1"/>
  <c r="W721" i="1"/>
  <c r="V703" i="1"/>
  <c r="W703" i="1"/>
  <c r="V666" i="1"/>
  <c r="W666" i="1"/>
  <c r="V554" i="1"/>
  <c r="W554" i="1"/>
  <c r="V550" i="1"/>
  <c r="W550" i="1"/>
  <c r="V543" i="1"/>
  <c r="W543" i="1"/>
  <c r="V485" i="1"/>
  <c r="W485" i="1"/>
  <c r="V462" i="1"/>
  <c r="W462" i="1"/>
  <c r="V461" i="1"/>
  <c r="W461" i="1"/>
  <c r="V439" i="1"/>
  <c r="W439" i="1"/>
  <c r="V393" i="1"/>
  <c r="W393" i="1"/>
  <c r="V392" i="1"/>
  <c r="W392" i="1"/>
  <c r="V326" i="1"/>
  <c r="W326" i="1"/>
  <c r="V325" i="1"/>
  <c r="W325" i="1"/>
  <c r="V324" i="1"/>
  <c r="W324" i="1"/>
  <c r="V281" i="1"/>
  <c r="W281" i="1"/>
  <c r="V227" i="1"/>
  <c r="W227" i="1"/>
  <c r="V226" i="1"/>
  <c r="W226" i="1"/>
  <c r="V224" i="1"/>
  <c r="W224" i="1"/>
  <c r="V203" i="1"/>
  <c r="W203" i="1"/>
  <c r="V197" i="1"/>
  <c r="W197" i="1"/>
  <c r="V124" i="1"/>
  <c r="W124" i="1"/>
  <c r="V95" i="1"/>
  <c r="W95" i="1"/>
  <c r="V59" i="1"/>
  <c r="W59" i="1"/>
  <c r="V12" i="1"/>
  <c r="W12" i="1"/>
  <c r="V2" i="1"/>
  <c r="W2" i="1"/>
  <c r="W1100" i="1"/>
  <c r="V1100" i="1"/>
  <c r="AC2390" i="1"/>
  <c r="AC2392" i="1"/>
  <c r="D25" i="3"/>
  <c r="E25" i="3" s="1"/>
  <c r="AC326" i="1"/>
  <c r="AC686" i="1"/>
  <c r="AC1749" i="1"/>
  <c r="AC2368" i="1"/>
  <c r="AC1703" i="1"/>
  <c r="AC1193" i="1"/>
  <c r="AC1959" i="1"/>
  <c r="AC2394" i="1"/>
  <c r="AC991" i="1"/>
  <c r="AC1639" i="1"/>
  <c r="AC2407" i="1"/>
  <c r="AC1616" i="1"/>
  <c r="AC2575" i="1"/>
  <c r="AC2512" i="1"/>
  <c r="AC2511" i="1"/>
  <c r="AC1460" i="1"/>
  <c r="AC1576" i="1"/>
  <c r="AC2423" i="1"/>
  <c r="AC1572" i="1"/>
  <c r="AC2403" i="1"/>
  <c r="AC1570" i="1"/>
  <c r="AC2400" i="1"/>
  <c r="AC1568" i="1"/>
  <c r="AC2398" i="1"/>
  <c r="AC1565" i="1"/>
  <c r="AC2396" i="1"/>
  <c r="AC325" i="1"/>
  <c r="AC1507" i="1"/>
  <c r="AC1503" i="1"/>
  <c r="AC1467" i="1"/>
  <c r="AC1463" i="1"/>
  <c r="AC452" i="1"/>
  <c r="AC454" i="1"/>
  <c r="H32" i="1"/>
  <c r="AC450" i="1"/>
  <c r="AC1419" i="1"/>
  <c r="AC1416" i="1"/>
  <c r="AC899" i="1"/>
  <c r="AC1994" i="1"/>
  <c r="AC670" i="1"/>
  <c r="AC1948" i="1"/>
  <c r="AC1927" i="1"/>
  <c r="AC1073" i="1"/>
  <c r="AC1279" i="1"/>
  <c r="AC1910" i="1"/>
  <c r="AC1778" i="1"/>
  <c r="AC1777" i="1"/>
  <c r="AC1180" i="1"/>
  <c r="AC1139" i="1"/>
  <c r="AC1048" i="1"/>
  <c r="AC1018" i="1"/>
  <c r="AC247" i="1"/>
  <c r="X439" i="1"/>
  <c r="D83" i="3"/>
  <c r="D86" i="3"/>
  <c r="D85" i="3"/>
  <c r="D87" i="3"/>
  <c r="D81" i="3"/>
  <c r="E80" i="3" s="1"/>
  <c r="D79" i="3"/>
  <c r="D60" i="3"/>
  <c r="D59" i="3"/>
  <c r="E24" i="3"/>
  <c r="D23" i="3"/>
  <c r="E23" i="3" s="1"/>
  <c r="D22" i="3"/>
  <c r="E22" i="3" s="1"/>
  <c r="D21" i="3"/>
  <c r="E21" i="3" s="1"/>
  <c r="AD839" i="1" l="1"/>
  <c r="AD562" i="1"/>
  <c r="AD2319" i="1"/>
  <c r="AD561" i="1"/>
  <c r="AD565" i="1"/>
  <c r="AD560" i="1"/>
  <c r="AD1969" i="1"/>
  <c r="AD2436" i="1"/>
  <c r="AD2410" i="1"/>
  <c r="AD2557" i="1"/>
  <c r="AD2558" i="1"/>
  <c r="AD1247" i="1"/>
  <c r="AD1153" i="1"/>
  <c r="AD2173" i="1"/>
  <c r="AD682" i="1"/>
  <c r="AD1254" i="1"/>
  <c r="AD1253" i="1"/>
  <c r="AD1272" i="1"/>
  <c r="AD910" i="1"/>
  <c r="AD1249" i="1"/>
  <c r="AD1270" i="1"/>
  <c r="AD1604" i="1"/>
  <c r="AD1257" i="1"/>
  <c r="AD688" i="1"/>
  <c r="AD484" i="1"/>
  <c r="AD533" i="1"/>
  <c r="AD1269" i="1"/>
  <c r="AD1252" i="1"/>
  <c r="AD1248" i="1"/>
  <c r="AD1605" i="1"/>
  <c r="AD1602" i="1"/>
  <c r="AD2174" i="1"/>
  <c r="AD1603" i="1"/>
  <c r="AD1255" i="1"/>
  <c r="AD1156" i="1"/>
  <c r="AD1271" i="1"/>
  <c r="AD1154" i="1"/>
  <c r="AD909" i="1"/>
  <c r="AD689" i="1"/>
  <c r="AD1251" i="1"/>
  <c r="AD1250" i="1"/>
  <c r="AD1256" i="1"/>
  <c r="AD532" i="1"/>
  <c r="AD1258" i="1"/>
  <c r="AD483" i="1"/>
  <c r="AD2409" i="1"/>
  <c r="AD1155" i="1"/>
  <c r="AD683" i="1"/>
  <c r="AD271" i="1"/>
  <c r="AD99" i="1"/>
  <c r="AD100" i="1"/>
  <c r="AD272" i="1"/>
  <c r="AD98" i="1"/>
  <c r="AC271" i="1"/>
  <c r="AC272" i="1"/>
  <c r="AD1681" i="1"/>
  <c r="AD932" i="1"/>
  <c r="AD73" i="1"/>
  <c r="AD74" i="1"/>
  <c r="AD1355" i="1"/>
  <c r="AD1545" i="1"/>
  <c r="AD1544" i="1"/>
  <c r="AD601" i="1"/>
  <c r="AD931" i="1"/>
  <c r="AD1354" i="1"/>
  <c r="AD603" i="1"/>
  <c r="AD602" i="1"/>
  <c r="AD72" i="1"/>
  <c r="AD1813" i="1"/>
  <c r="AD1653" i="1"/>
  <c r="AB1653" i="1"/>
  <c r="AB1652" i="1"/>
  <c r="AD1652" i="1"/>
  <c r="AD183" i="1"/>
  <c r="AB2542" i="1"/>
  <c r="AB1857" i="1"/>
  <c r="AB332" i="1"/>
  <c r="AB493" i="1"/>
  <c r="AD493" i="1" s="1"/>
  <c r="AB367" i="1"/>
  <c r="AD367" i="1" s="1"/>
  <c r="AB333" i="1"/>
  <c r="AB366" i="1"/>
  <c r="AD366" i="1" s="1"/>
  <c r="AB494" i="1"/>
  <c r="AD494" i="1" s="1"/>
  <c r="AB1849" i="1"/>
  <c r="AB1770" i="1"/>
  <c r="AD1770" i="1" s="1"/>
  <c r="AJ1770" i="1" s="1"/>
  <c r="AK1770" i="1" s="1"/>
  <c r="AB1530" i="1"/>
  <c r="AD1530" i="1" s="1"/>
  <c r="AB1636" i="1"/>
  <c r="AD1636" i="1" s="1"/>
  <c r="AJ1636" i="1" s="1"/>
  <c r="AK1636" i="1" s="1"/>
  <c r="AD2542" i="1"/>
  <c r="AD1857" i="1"/>
  <c r="AD332" i="1"/>
  <c r="AD333" i="1"/>
  <c r="AD1849" i="1"/>
  <c r="AD337" i="1"/>
  <c r="AD336" i="1"/>
  <c r="AC2542" i="1"/>
  <c r="AS2542" i="1" s="1" a="1"/>
  <c r="AS2542" i="1" s="1"/>
  <c r="AT2542" i="1" s="1"/>
  <c r="AC1849" i="1"/>
  <c r="AC1857" i="1"/>
  <c r="AS1857" i="1" s="1" a="1"/>
  <c r="AS1857" i="1" s="1"/>
  <c r="AT1857" i="1" s="1"/>
  <c r="AC332" i="1"/>
  <c r="AC366" i="1"/>
  <c r="AS366" i="1" s="1" a="1"/>
  <c r="AS366" i="1" s="1"/>
  <c r="AT366" i="1" s="1"/>
  <c r="AC333" i="1"/>
  <c r="AC494" i="1"/>
  <c r="AS494" i="1" s="1" a="1"/>
  <c r="AS494" i="1" s="1"/>
  <c r="AT494" i="1" s="1"/>
  <c r="AC367" i="1"/>
  <c r="AS367" i="1" s="1" a="1"/>
  <c r="AS367" i="1" s="1"/>
  <c r="AT367" i="1" s="1"/>
  <c r="AC493" i="1"/>
  <c r="AS493" i="1" s="1" a="1"/>
  <c r="AS493" i="1" s="1"/>
  <c r="AT493" i="1" s="1"/>
  <c r="AC1530" i="1"/>
  <c r="AC498" i="1"/>
  <c r="AC499" i="1"/>
  <c r="AD530" i="1"/>
  <c r="AD1539" i="1"/>
  <c r="AD2037" i="1"/>
  <c r="AD1540" i="1"/>
  <c r="AD75" i="1"/>
  <c r="AD1353" i="1"/>
  <c r="AD71" i="1"/>
  <c r="AD838" i="1"/>
  <c r="AD1541" i="1"/>
  <c r="AD524" i="1"/>
  <c r="AD2127" i="1"/>
  <c r="AD1542" i="1"/>
  <c r="AD1675" i="1"/>
  <c r="AD1628" i="1"/>
  <c r="AD529" i="1"/>
  <c r="AD1876" i="1"/>
  <c r="AD182" i="1"/>
  <c r="AD499" i="1"/>
  <c r="AD582" i="1"/>
  <c r="AD580" i="1"/>
  <c r="AD1567" i="1"/>
  <c r="AD584" i="1"/>
  <c r="AD579" i="1"/>
  <c r="AD498" i="1"/>
  <c r="AD669" i="1"/>
  <c r="AD583" i="1"/>
  <c r="AD581" i="1"/>
  <c r="AD2208" i="1"/>
  <c r="AD1356" i="1"/>
  <c r="AD1779" i="1"/>
  <c r="AD1136" i="1"/>
  <c r="AD2545" i="1"/>
  <c r="AD1877" i="1"/>
  <c r="AD1461" i="1"/>
  <c r="AD708" i="1"/>
  <c r="AD1459" i="1"/>
  <c r="AD853" i="1"/>
  <c r="AD1037" i="1"/>
  <c r="AD350" i="1"/>
  <c r="AD1468" i="1"/>
  <c r="AD1466" i="1"/>
  <c r="AD699" i="1"/>
  <c r="AB1177" i="1"/>
  <c r="AB2565" i="1"/>
  <c r="AD2565" i="1" s="1"/>
  <c r="AB1866" i="1"/>
  <c r="AB1850" i="1"/>
  <c r="AB1869" i="1"/>
  <c r="AB698" i="1"/>
  <c r="AB746" i="1"/>
  <c r="AB1745" i="1"/>
  <c r="AB1209" i="1"/>
  <c r="AB745" i="1"/>
  <c r="AB908" i="1"/>
  <c r="AB1482" i="1"/>
  <c r="AD1482" i="1" s="1"/>
  <c r="AB1484" i="1"/>
  <c r="AD1484" i="1" s="1"/>
  <c r="AB1488" i="1"/>
  <c r="AD1488" i="1" s="1"/>
  <c r="AB936" i="1"/>
  <c r="AD936" i="1" s="1"/>
  <c r="AB1485" i="1"/>
  <c r="AD1485" i="1" s="1"/>
  <c r="AB853" i="1"/>
  <c r="AB1486" i="1"/>
  <c r="AD1486" i="1" s="1"/>
  <c r="AB1487" i="1"/>
  <c r="AD1487" i="1" s="1"/>
  <c r="AB61" i="1"/>
  <c r="AD1177" i="1"/>
  <c r="AD1850" i="1"/>
  <c r="AD1869" i="1"/>
  <c r="AD1866" i="1"/>
  <c r="AD698" i="1"/>
  <c r="AD908" i="1"/>
  <c r="AD745" i="1"/>
  <c r="AD746" i="1"/>
  <c r="AD1745" i="1"/>
  <c r="AD1209" i="1"/>
  <c r="AD61" i="1"/>
  <c r="AC1177" i="1"/>
  <c r="AC1850" i="1"/>
  <c r="AC1869" i="1"/>
  <c r="AC1866" i="1"/>
  <c r="AC1209" i="1"/>
  <c r="AC746" i="1"/>
  <c r="AC1745" i="1"/>
  <c r="AC698" i="1"/>
  <c r="AC908" i="1"/>
  <c r="AC350" i="1"/>
  <c r="AC745" i="1"/>
  <c r="AC61" i="1"/>
  <c r="AC1713" i="1"/>
  <c r="AS1713" i="1" s="1" a="1"/>
  <c r="AS1713" i="1" s="1"/>
  <c r="AT1713" i="1" s="1"/>
  <c r="AC1982" i="1"/>
  <c r="AC2137" i="1"/>
  <c r="AC2181" i="1"/>
  <c r="AC1942" i="1"/>
  <c r="AC2352" i="1"/>
  <c r="AC1934" i="1"/>
  <c r="AC2129" i="1"/>
  <c r="AC1898" i="1"/>
  <c r="AC1454" i="1"/>
  <c r="AC1599" i="1"/>
  <c r="AC1852" i="1"/>
  <c r="AC1339" i="1"/>
  <c r="AC1382" i="1"/>
  <c r="AC2152" i="1"/>
  <c r="AC1880" i="1"/>
  <c r="AC1600" i="1"/>
  <c r="AC1557" i="1"/>
  <c r="AC1612" i="1"/>
  <c r="AC1295" i="1"/>
  <c r="AC1409" i="1"/>
  <c r="AC1095" i="1"/>
  <c r="AC1099" i="1"/>
  <c r="AC1038" i="1"/>
  <c r="AC820" i="1"/>
  <c r="AC755" i="1"/>
  <c r="AC549" i="1"/>
  <c r="AC585" i="1"/>
  <c r="AC557" i="1"/>
  <c r="AC744" i="1"/>
  <c r="AC901" i="1"/>
  <c r="AC385" i="1"/>
  <c r="AC301" i="1"/>
  <c r="AC495" i="1"/>
  <c r="AC527" i="1"/>
  <c r="AC732" i="1"/>
  <c r="AC731" i="1"/>
  <c r="AC782" i="1"/>
  <c r="AC2329" i="1"/>
  <c r="AC1746" i="1"/>
  <c r="AC1868" i="1"/>
  <c r="AC907" i="1"/>
  <c r="AC1867" i="1"/>
  <c r="AB1982" i="1"/>
  <c r="AB2137" i="1"/>
  <c r="AB1942" i="1"/>
  <c r="AB2181" i="1"/>
  <c r="AB2352" i="1"/>
  <c r="AB1934" i="1"/>
  <c r="AB2129" i="1"/>
  <c r="AB1898" i="1"/>
  <c r="AB1880" i="1"/>
  <c r="AB1612" i="1"/>
  <c r="AB1339" i="1"/>
  <c r="AB1454" i="1"/>
  <c r="AB1600" i="1"/>
  <c r="AB1557" i="1"/>
  <c r="AB1599" i="1"/>
  <c r="AB1852" i="1"/>
  <c r="AB2152" i="1"/>
  <c r="AB1295" i="1"/>
  <c r="AB1409" i="1"/>
  <c r="AB1382" i="1"/>
  <c r="AB1095" i="1"/>
  <c r="AB1038" i="1"/>
  <c r="AB1099" i="1"/>
  <c r="AB549" i="1"/>
  <c r="AB755" i="1"/>
  <c r="AB744" i="1"/>
  <c r="AB585" i="1"/>
  <c r="AB820" i="1"/>
  <c r="AB557" i="1"/>
  <c r="AB901" i="1"/>
  <c r="AB385" i="1"/>
  <c r="AB301" i="1"/>
  <c r="AB527" i="1"/>
  <c r="AB495" i="1"/>
  <c r="AB732" i="1"/>
  <c r="AB731" i="1"/>
  <c r="AB782" i="1"/>
  <c r="AB2329" i="1"/>
  <c r="AB1868" i="1"/>
  <c r="AB1746" i="1"/>
  <c r="AB907" i="1"/>
  <c r="AB1867" i="1"/>
  <c r="AD1982" i="1"/>
  <c r="AD2137" i="1"/>
  <c r="AD2181" i="1"/>
  <c r="AD1934" i="1"/>
  <c r="AD2129" i="1"/>
  <c r="AD1942" i="1"/>
  <c r="AD2352" i="1"/>
  <c r="AD1898" i="1"/>
  <c r="AD1599" i="1"/>
  <c r="AD1612" i="1"/>
  <c r="AD1295" i="1"/>
  <c r="AD1339" i="1"/>
  <c r="AD1382" i="1"/>
  <c r="AD2152" i="1"/>
  <c r="AD1454" i="1"/>
  <c r="AD1600" i="1"/>
  <c r="AD1557" i="1"/>
  <c r="AD1852" i="1"/>
  <c r="AD1409" i="1"/>
  <c r="AD1880" i="1"/>
  <c r="AD1095" i="1"/>
  <c r="AD1099" i="1"/>
  <c r="AD1038" i="1"/>
  <c r="AD820" i="1"/>
  <c r="AD901" i="1"/>
  <c r="AD744" i="1"/>
  <c r="AD557" i="1"/>
  <c r="AD549" i="1"/>
  <c r="AD585" i="1"/>
  <c r="AD755" i="1"/>
  <c r="AD385" i="1"/>
  <c r="AD527" i="1"/>
  <c r="AD301" i="1"/>
  <c r="AD495" i="1"/>
  <c r="AD732" i="1"/>
  <c r="AD731" i="1"/>
  <c r="AD2329" i="1"/>
  <c r="AD782" i="1"/>
  <c r="AD907" i="1"/>
  <c r="AD1868" i="1"/>
  <c r="AD1746" i="1"/>
  <c r="AD1867" i="1"/>
  <c r="AD2356" i="1"/>
  <c r="AD2357" i="1"/>
  <c r="AD1286" i="1"/>
  <c r="AD2431" i="1"/>
  <c r="AD2481" i="1"/>
  <c r="AD2482" i="1"/>
  <c r="AD1802" i="1"/>
  <c r="AD1293" i="1"/>
  <c r="AD1005" i="1"/>
  <c r="AD1719" i="1"/>
  <c r="AD383" i="1"/>
  <c r="AD21" i="1"/>
  <c r="AA1506" i="1"/>
  <c r="Y1242" i="1"/>
  <c r="AA1242" i="1" s="1"/>
  <c r="AD1242" i="1"/>
  <c r="AB1242" i="1"/>
  <c r="Y1244" i="1"/>
  <c r="AA1244" i="1" s="1"/>
  <c r="AD1244" i="1"/>
  <c r="AB1244" i="1"/>
  <c r="AD1241" i="1"/>
  <c r="Y1241" i="1"/>
  <c r="AA1241" i="1" s="1"/>
  <c r="AB1241" i="1"/>
  <c r="AB1243" i="1"/>
  <c r="Y1243" i="1"/>
  <c r="AA1243" i="1" s="1"/>
  <c r="AD1243" i="1"/>
  <c r="AB941" i="1"/>
  <c r="AD941" i="1" s="1"/>
  <c r="Y941" i="1"/>
  <c r="AA941" i="1" s="1"/>
  <c r="AB153" i="1"/>
  <c r="AD153" i="1" s="1"/>
  <c r="AJ153" i="1" s="1"/>
  <c r="AK153" i="1" s="1"/>
  <c r="AD489" i="1"/>
  <c r="AD488" i="1"/>
  <c r="AD1707" i="1"/>
  <c r="AD141" i="1"/>
  <c r="AD144" i="1"/>
  <c r="AD1968" i="1"/>
  <c r="AD1965" i="1"/>
  <c r="AD564" i="1"/>
  <c r="AD1713" i="1"/>
  <c r="AD1614" i="1"/>
  <c r="AB2153" i="1"/>
  <c r="AD2153" i="1" s="1"/>
  <c r="AJ2153" i="1" s="1"/>
  <c r="AK2153" i="1" s="1"/>
  <c r="AD1911" i="1"/>
  <c r="AS1911" i="1" s="1"/>
  <c r="AT1911" i="1" s="1"/>
  <c r="AU1911" i="1" s="1"/>
  <c r="AD2445" i="1"/>
  <c r="AD2104" i="1"/>
  <c r="AD606" i="1"/>
  <c r="AD608" i="1"/>
  <c r="AD2163" i="1"/>
  <c r="AD607" i="1"/>
  <c r="AD1921" i="1"/>
  <c r="AC1478" i="1"/>
  <c r="AC1477" i="1"/>
  <c r="AC1476" i="1"/>
  <c r="AC1516" i="1"/>
  <c r="AC1514" i="1"/>
  <c r="AC1283" i="1"/>
  <c r="AC1515" i="1"/>
  <c r="AC1284" i="1"/>
  <c r="AC1285" i="1"/>
  <c r="AC1475" i="1"/>
  <c r="AC845" i="1"/>
  <c r="AC657" i="1"/>
  <c r="AC656" i="1"/>
  <c r="AC655" i="1"/>
  <c r="AC354" i="1"/>
  <c r="AC654" i="1"/>
  <c r="AJ654" i="1" s="1"/>
  <c r="AK654" i="1" s="1"/>
  <c r="AB1307" i="1"/>
  <c r="AD1307" i="1" s="1"/>
  <c r="AJ1307" i="1" s="1"/>
  <c r="AK1307" i="1" s="1"/>
  <c r="AB1306" i="1"/>
  <c r="AD1306" i="1" s="1"/>
  <c r="AJ1306" i="1" s="1"/>
  <c r="AK1306" i="1" s="1"/>
  <c r="AB151" i="1"/>
  <c r="AD151" i="1" s="1"/>
  <c r="AJ151" i="1" s="1"/>
  <c r="AK151" i="1" s="1"/>
  <c r="AB152" i="1"/>
  <c r="AD152" i="1" s="1"/>
  <c r="AJ152" i="1" s="1"/>
  <c r="AK152" i="1" s="1"/>
  <c r="AB447" i="1"/>
  <c r="AD447" i="1" s="1"/>
  <c r="AJ447" i="1" s="1"/>
  <c r="AK447" i="1" s="1"/>
  <c r="AB2154" i="1"/>
  <c r="AD2154" i="1" s="1"/>
  <c r="AJ2154" i="1" s="1"/>
  <c r="AK2154" i="1" s="1"/>
  <c r="AB1305" i="1"/>
  <c r="AD1305" i="1" s="1"/>
  <c r="AJ1305" i="1" s="1"/>
  <c r="AK1305" i="1" s="1"/>
  <c r="AB154" i="1"/>
  <c r="AD154" i="1" s="1"/>
  <c r="AJ154" i="1" s="1"/>
  <c r="AK154" i="1" s="1"/>
  <c r="AD2318" i="1"/>
  <c r="AD2317" i="1"/>
  <c r="AD181" i="1"/>
  <c r="AD1917" i="1"/>
  <c r="AJ1917" i="1" s="1"/>
  <c r="AK1917" i="1" s="1"/>
  <c r="AD2091" i="1"/>
  <c r="AD1715" i="1"/>
  <c r="AD1711" i="1"/>
  <c r="AD2089" i="1"/>
  <c r="AD2092" i="1"/>
  <c r="AD2090" i="1"/>
  <c r="AD2062" i="1"/>
  <c r="AD2063" i="1"/>
  <c r="AD2061" i="1"/>
  <c r="AD2060" i="1"/>
  <c r="AD1478" i="1"/>
  <c r="AD1476" i="1"/>
  <c r="AD1477" i="1"/>
  <c r="AD166" i="1"/>
  <c r="AD1963" i="1"/>
  <c r="AD973" i="1"/>
  <c r="AD2316" i="1"/>
  <c r="AD1716" i="1"/>
  <c r="AD1923" i="1"/>
  <c r="AD1920" i="1"/>
  <c r="AD525" i="1"/>
  <c r="AD1714" i="1"/>
  <c r="AD523" i="1"/>
  <c r="AD1916" i="1"/>
  <c r="AD1709" i="1"/>
  <c r="AD1918" i="1"/>
  <c r="AD1966" i="1"/>
  <c r="AD1710" i="1"/>
  <c r="AD1919" i="1"/>
  <c r="AD559" i="1"/>
  <c r="AD563" i="1"/>
  <c r="AD1338" i="1"/>
  <c r="AD1292" i="1"/>
  <c r="AD1182" i="1"/>
  <c r="AD354" i="1"/>
  <c r="AD1291" i="1"/>
  <c r="AD1762" i="1"/>
  <c r="AD1104" i="1"/>
  <c r="AJ1104" i="1" s="1"/>
  <c r="AK1104" i="1" s="1"/>
  <c r="AD681" i="1"/>
  <c r="AD308" i="1"/>
  <c r="AD1386" i="1"/>
  <c r="AD1785" i="1"/>
  <c r="AD2345" i="1"/>
  <c r="AD1514" i="1"/>
  <c r="AD1516" i="1"/>
  <c r="AD1284" i="1"/>
  <c r="AD1103" i="1"/>
  <c r="AJ1103" i="1" s="1"/>
  <c r="AK1103" i="1" s="1"/>
  <c r="AD307" i="1"/>
  <c r="AD86" i="1"/>
  <c r="AD679" i="1"/>
  <c r="AD1387" i="1"/>
  <c r="AD1105" i="1"/>
  <c r="AJ1105" i="1" s="1"/>
  <c r="AK1105" i="1" s="1"/>
  <c r="AD1786" i="1"/>
  <c r="AD680" i="1"/>
  <c r="AD1034" i="1"/>
  <c r="AD88" i="1"/>
  <c r="AD1033" i="1"/>
  <c r="AD1283" i="1"/>
  <c r="AD1388" i="1"/>
  <c r="AD306" i="1"/>
  <c r="AD87" i="1"/>
  <c r="AD2344" i="1"/>
  <c r="AD1285" i="1"/>
  <c r="AD2346" i="1"/>
  <c r="AD1281" i="1"/>
  <c r="AJ1281" i="1" s="1"/>
  <c r="AK1281" i="1" s="1"/>
  <c r="AD1784" i="1"/>
  <c r="AD1515" i="1"/>
  <c r="AD980" i="1"/>
  <c r="AD1475" i="1"/>
  <c r="AD2133" i="1"/>
  <c r="AD1708" i="1"/>
  <c r="AD305" i="1"/>
  <c r="AD2343" i="1"/>
  <c r="AD678" i="1"/>
  <c r="AM1289" i="1"/>
  <c r="AL1289" i="1" s="1"/>
  <c r="AB218" i="1"/>
  <c r="AD218" i="1" s="1"/>
  <c r="AC1474" i="1"/>
  <c r="AC1804" i="1"/>
  <c r="AD2177" i="1"/>
  <c r="AD195" i="1"/>
  <c r="AD1804" i="1"/>
  <c r="AD979" i="1"/>
  <c r="AD1474" i="1"/>
  <c r="AD849" i="1"/>
  <c r="AD2341" i="1"/>
  <c r="AD1538" i="1"/>
  <c r="AD1537" i="1"/>
  <c r="AC1282" i="1"/>
  <c r="AC1513" i="1"/>
  <c r="AB150" i="1"/>
  <c r="AD150" i="1" s="1"/>
  <c r="AJ150" i="1" s="1"/>
  <c r="AK150" i="1" s="1"/>
  <c r="AB845" i="1"/>
  <c r="AD845" i="1" s="1"/>
  <c r="AD594" i="1"/>
  <c r="AD599" i="1"/>
  <c r="AD590" i="1"/>
  <c r="AD184" i="1"/>
  <c r="AD1543" i="1"/>
  <c r="AD2064" i="1"/>
  <c r="AD2128" i="1"/>
  <c r="AD2038" i="1"/>
  <c r="AD1440" i="1"/>
  <c r="AD2093" i="1"/>
  <c r="AD180" i="1"/>
  <c r="AD898" i="1"/>
  <c r="AD304" i="1"/>
  <c r="AD2342" i="1"/>
  <c r="AD600" i="1"/>
  <c r="AD589" i="1"/>
  <c r="AD1282" i="1"/>
  <c r="AD597" i="1"/>
  <c r="AD415" i="1"/>
  <c r="AD1032" i="1"/>
  <c r="AD605" i="1"/>
  <c r="AD412" i="1"/>
  <c r="AD1513" i="1"/>
  <c r="AD1385" i="1"/>
  <c r="AD1787" i="1"/>
  <c r="AD586" i="1"/>
  <c r="AD677" i="1"/>
  <c r="AD1783" i="1"/>
  <c r="AD766" i="1"/>
  <c r="AD1623" i="1"/>
  <c r="AD930" i="1"/>
  <c r="AD85" i="1"/>
  <c r="AD1981" i="1"/>
  <c r="AB728" i="1"/>
  <c r="AD728" i="1" s="1"/>
  <c r="AB446" i="1"/>
  <c r="AD446" i="1" s="1"/>
  <c r="AJ446" i="1" s="1"/>
  <c r="AK446" i="1" s="1"/>
  <c r="AB149" i="1"/>
  <c r="AD149" i="1" s="1"/>
  <c r="AJ149" i="1" s="1"/>
  <c r="AK149" i="1" s="1"/>
  <c r="AB734" i="1"/>
  <c r="AD734" i="1" s="1"/>
  <c r="AS734" i="1" s="1"/>
  <c r="AT734" i="1" s="1"/>
  <c r="AU734" i="1" s="1"/>
  <c r="AB1638" i="1"/>
  <c r="AD1638" i="1" s="1"/>
  <c r="AB733" i="1"/>
  <c r="AD733" i="1" s="1"/>
  <c r="AS733" i="1" s="1"/>
  <c r="AT733" i="1" s="1"/>
  <c r="AU733" i="1" s="1"/>
  <c r="AB738" i="1"/>
  <c r="AD738" i="1" s="1"/>
  <c r="AB2535" i="1"/>
  <c r="AD2535" i="1" s="1"/>
  <c r="AB479" i="1"/>
  <c r="AD479" i="1" s="1"/>
  <c r="AS479" i="1" s="1"/>
  <c r="AT479" i="1" s="1"/>
  <c r="AU479" i="1" s="1"/>
  <c r="AB1595" i="1"/>
  <c r="AD1595" i="1" s="1"/>
  <c r="AS1595" i="1" s="1"/>
  <c r="AT1595" i="1" s="1"/>
  <c r="AU1595" i="1" s="1"/>
  <c r="AB1596" i="1"/>
  <c r="AD1596" i="1" s="1"/>
  <c r="AS1596" i="1" s="1"/>
  <c r="AT1596" i="1" s="1"/>
  <c r="AU1596" i="1" s="1"/>
  <c r="AB852" i="1"/>
  <c r="AD852" i="1" s="1"/>
  <c r="AB1483" i="1"/>
  <c r="AD1483" i="1" s="1"/>
  <c r="AJ1483" i="1" s="1"/>
  <c r="AK1483" i="1" s="1"/>
  <c r="AB1481" i="1"/>
  <c r="AD1481" i="1" s="1"/>
  <c r="AJ1481" i="1" s="1"/>
  <c r="AK1481" i="1" s="1"/>
  <c r="AB1829" i="1"/>
  <c r="AD1829" i="1" s="1"/>
  <c r="AB1827" i="1"/>
  <c r="AD1827" i="1" s="1"/>
  <c r="AB1637" i="1"/>
  <c r="AD1637" i="1" s="1"/>
  <c r="AJ1637" i="1" s="1"/>
  <c r="AK1637" i="1" s="1"/>
  <c r="AB2438" i="1"/>
  <c r="AD2438" i="1" s="1"/>
  <c r="AJ2438" i="1" s="1"/>
  <c r="AK2438" i="1" s="1"/>
  <c r="AB402" i="1"/>
  <c r="AD402" i="1" s="1"/>
  <c r="AJ402" i="1" s="1"/>
  <c r="AK402" i="1" s="1"/>
  <c r="AB465" i="1"/>
  <c r="AD465" i="1" s="1"/>
  <c r="AJ465" i="1" s="1"/>
  <c r="AK465" i="1" s="1"/>
  <c r="AB1635" i="1"/>
  <c r="AD1635" i="1" s="1"/>
  <c r="AJ1635" i="1" s="1"/>
  <c r="AK1635" i="1" s="1"/>
  <c r="AB466" i="1"/>
  <c r="AD466" i="1" s="1"/>
  <c r="AJ466" i="1" s="1"/>
  <c r="AK466" i="1" s="1"/>
  <c r="AB697" i="1"/>
  <c r="AB1833" i="1"/>
  <c r="AB336" i="1"/>
  <c r="AB2335" i="1"/>
  <c r="AD2335" i="1" s="1"/>
  <c r="AB2333" i="1"/>
  <c r="AD2333" i="1" s="1"/>
  <c r="AB2219" i="1"/>
  <c r="AD2219" i="1" s="1"/>
  <c r="AJ2219" i="1" s="1"/>
  <c r="AK2219" i="1" s="1"/>
  <c r="AB286" i="1"/>
  <c r="AD286" i="1"/>
  <c r="AJ286" i="1" s="1"/>
  <c r="AK286" i="1" s="1"/>
  <c r="AD697" i="1"/>
  <c r="AJ697" i="1" s="1"/>
  <c r="AK697" i="1" s="1"/>
  <c r="AD1833" i="1"/>
  <c r="AS1833" i="1" s="1"/>
  <c r="AT1833" i="1" s="1"/>
  <c r="AU1833" i="1" s="1"/>
  <c r="AD2054" i="1"/>
  <c r="AD487" i="1"/>
  <c r="AD596" i="1"/>
  <c r="AD1179" i="1"/>
  <c r="AD1924" i="1"/>
  <c r="AD382" i="1"/>
  <c r="AD974" i="1"/>
  <c r="AD127" i="1"/>
  <c r="AD1458" i="1"/>
  <c r="AD380" i="1"/>
  <c r="AD922" i="1"/>
  <c r="AD1053" i="1"/>
  <c r="AD954" i="1"/>
  <c r="AD490" i="1"/>
  <c r="AD1036" i="1"/>
  <c r="AD381" i="1"/>
  <c r="AD2479" i="1"/>
  <c r="AD661" i="1"/>
  <c r="AD126" i="1"/>
  <c r="AD157" i="1"/>
  <c r="AD2425" i="1"/>
  <c r="AD2176" i="1"/>
  <c r="AD379" i="1"/>
  <c r="AD1407" i="1"/>
  <c r="AD1314" i="1"/>
  <c r="AD1578" i="1"/>
  <c r="AD1054" i="1"/>
  <c r="AD1232" i="1"/>
  <c r="AD1580" i="1"/>
  <c r="AD491" i="1"/>
  <c r="AD1465" i="1"/>
  <c r="AD1702" i="1"/>
  <c r="AD1748" i="1"/>
  <c r="AD1150" i="1"/>
  <c r="AD196" i="1"/>
  <c r="AD1677" i="1"/>
  <c r="AD2139" i="1"/>
  <c r="AD214" i="1"/>
  <c r="AD1679" i="1"/>
  <c r="AD576" i="1"/>
  <c r="AD20" i="1"/>
  <c r="AD245" i="1"/>
  <c r="AD1678" i="1"/>
  <c r="AD1680" i="1"/>
  <c r="AD1676" i="1"/>
  <c r="AD531" i="1"/>
  <c r="AD1135" i="1"/>
  <c r="AD107" i="1"/>
  <c r="AD702" i="1"/>
  <c r="AD2486" i="1"/>
  <c r="AD1793" i="1"/>
  <c r="AD90" i="1"/>
  <c r="AD1024" i="1"/>
  <c r="AD1294" i="1"/>
  <c r="AD1035" i="1"/>
  <c r="AD2033" i="1"/>
  <c r="AD1699" i="1"/>
  <c r="AJ1699" i="1" s="1"/>
  <c r="AK1699" i="1" s="1"/>
  <c r="AD598" i="1"/>
  <c r="AD588" i="1"/>
  <c r="AD595" i="1"/>
  <c r="AD456" i="1"/>
  <c r="AD458" i="1"/>
  <c r="AD592" i="1"/>
  <c r="AD593" i="1"/>
  <c r="AD587" i="1"/>
  <c r="AD604" i="1"/>
  <c r="AD1115" i="1"/>
  <c r="AD1441" i="1"/>
  <c r="AD2376" i="1"/>
  <c r="AD84" i="1"/>
  <c r="AD80" i="1"/>
  <c r="AD82" i="1"/>
  <c r="AD83" i="1"/>
  <c r="AD81" i="1"/>
  <c r="AD79" i="1"/>
  <c r="AD1211" i="1"/>
  <c r="AD1210" i="1"/>
  <c r="AD1395" i="1"/>
  <c r="AD2440" i="1"/>
  <c r="AD2444" i="1"/>
  <c r="AD1399" i="1"/>
  <c r="AD406" i="1"/>
  <c r="AD78" i="1"/>
  <c r="AD18" i="1"/>
  <c r="AD2358" i="1"/>
  <c r="AD215" i="1"/>
  <c r="AD17" i="1"/>
  <c r="AD89" i="1"/>
  <c r="AD894" i="1"/>
  <c r="AD591" i="1"/>
  <c r="AD2178" i="1"/>
  <c r="AD2179" i="1"/>
  <c r="AD76" i="1"/>
  <c r="AD1001" i="1"/>
  <c r="AC335" i="1"/>
  <c r="AC66" i="1"/>
  <c r="AC261" i="1"/>
  <c r="AC1405" i="1"/>
  <c r="AC1803" i="1"/>
  <c r="AC1720" i="1"/>
  <c r="AC1287" i="1"/>
  <c r="AC334" i="1"/>
  <c r="AC1508" i="1"/>
  <c r="AC1479" i="1"/>
  <c r="AC2535" i="1"/>
  <c r="AC738" i="1"/>
  <c r="AC1638" i="1"/>
  <c r="AC2486" i="1"/>
  <c r="AC1793" i="1"/>
  <c r="AC337" i="1"/>
  <c r="AC852" i="1"/>
  <c r="AC1829" i="1"/>
  <c r="AC1827" i="1"/>
  <c r="AC345" i="1"/>
  <c r="AC341" i="1"/>
  <c r="AC344" i="1"/>
  <c r="AC339" i="1"/>
  <c r="AC340" i="1"/>
  <c r="AC342" i="1"/>
  <c r="AC695" i="1"/>
  <c r="AC336" i="1"/>
  <c r="AC2333" i="1"/>
  <c r="AC2335" i="1"/>
  <c r="AD2355" i="1"/>
  <c r="AD2475" i="1"/>
  <c r="AD900" i="1"/>
  <c r="AD430" i="1"/>
  <c r="AD387" i="1"/>
  <c r="AD1396" i="1"/>
  <c r="AD475" i="1"/>
  <c r="AD2134" i="1"/>
  <c r="AD139" i="1"/>
  <c r="AD142" i="1"/>
  <c r="AD568" i="1"/>
  <c r="AD342" i="1"/>
  <c r="AD1985" i="1"/>
  <c r="AD569" i="1"/>
  <c r="AD339" i="1"/>
  <c r="AD2442" i="1"/>
  <c r="AD378" i="1"/>
  <c r="AD66" i="1"/>
  <c r="AD386" i="1"/>
  <c r="AD1428" i="1"/>
  <c r="AD476" i="1"/>
  <c r="AD2135" i="1"/>
  <c r="AD695" i="1"/>
  <c r="AD143" i="1"/>
  <c r="AD140" i="1"/>
  <c r="AD404" i="1"/>
  <c r="AD552" i="1"/>
  <c r="AD1720" i="1"/>
  <c r="AD1803" i="1"/>
  <c r="AD1287" i="1"/>
  <c r="AD1479" i="1"/>
  <c r="AD1405" i="1"/>
  <c r="AD334" i="1"/>
  <c r="AD1508" i="1"/>
  <c r="AD261" i="1"/>
  <c r="AD410" i="1"/>
  <c r="AD1789" i="1"/>
  <c r="AD1792" i="1"/>
  <c r="AD1625" i="1"/>
  <c r="AD413" i="1"/>
  <c r="AD22" i="1"/>
  <c r="AA1018" i="1"/>
  <c r="AD1018" i="1" s="1"/>
  <c r="AJ1018" i="1" s="1"/>
  <c r="AK1018" i="1" s="1"/>
  <c r="AD1761" i="1"/>
  <c r="AD1821" i="1"/>
  <c r="AD486" i="1"/>
  <c r="AD474" i="1"/>
  <c r="AD91" i="1"/>
  <c r="AD369" i="1"/>
  <c r="AD1561" i="1"/>
  <c r="AD1127" i="1"/>
  <c r="AD376" i="1"/>
  <c r="AD1690" i="1"/>
  <c r="AD394" i="1"/>
  <c r="AD2474" i="1"/>
  <c r="AD1245" i="1"/>
  <c r="AD2408" i="1"/>
  <c r="AD1430" i="1"/>
  <c r="AD1431" i="1"/>
  <c r="AD1843" i="1"/>
  <c r="AD2443" i="1"/>
  <c r="AD1760" i="1"/>
  <c r="AD1128" i="1"/>
  <c r="AD696" i="1"/>
  <c r="AD776" i="1"/>
  <c r="AD2014" i="1"/>
  <c r="AD405" i="1"/>
  <c r="AD1246" i="1"/>
  <c r="AD477" i="1"/>
  <c r="AD553" i="1"/>
  <c r="AD1023" i="1"/>
  <c r="AD1932" i="1"/>
  <c r="AD2439" i="1"/>
  <c r="AD1979" i="1"/>
  <c r="AD2040" i="1"/>
  <c r="AD1562" i="1"/>
  <c r="AD377" i="1"/>
  <c r="AD1268" i="1"/>
  <c r="AD551" i="1"/>
  <c r="AD368" i="1"/>
  <c r="AD2369" i="1"/>
  <c r="AD577" i="1"/>
  <c r="AD578" i="1"/>
  <c r="AL2026" i="1"/>
  <c r="AL2028" i="1"/>
  <c r="AL25" i="1"/>
  <c r="AD1765" i="1"/>
  <c r="AD2354" i="1"/>
  <c r="AD2136" i="1"/>
  <c r="AD905" i="1"/>
  <c r="AD2349" i="1"/>
  <c r="AD1978" i="1"/>
  <c r="AD1547" i="1"/>
  <c r="AD541" i="1"/>
  <c r="AD1017" i="1"/>
  <c r="AL31" i="1"/>
  <c r="AL205" i="1"/>
  <c r="AL44" i="1"/>
  <c r="AL1165" i="1"/>
  <c r="AL1173" i="1"/>
  <c r="AL46" i="1"/>
  <c r="AL30" i="1"/>
  <c r="AL206" i="1"/>
  <c r="AL1526" i="1"/>
  <c r="AL2366" i="1"/>
  <c r="AL928" i="1"/>
  <c r="AL49" i="1"/>
  <c r="AL2029" i="1"/>
  <c r="AH2374" i="1"/>
  <c r="AL2374" i="1"/>
  <c r="AL26" i="1"/>
  <c r="AH2120" i="1"/>
  <c r="AL2120" i="1"/>
  <c r="AL24" i="1"/>
  <c r="AL41" i="1"/>
  <c r="AL40" i="1"/>
  <c r="AH1167" i="1"/>
  <c r="AL1167" i="1"/>
  <c r="AH209" i="1"/>
  <c r="AL209" i="1"/>
  <c r="AH2172" i="1"/>
  <c r="AL2172" i="1"/>
  <c r="AL2119" i="1"/>
  <c r="AL2025" i="1"/>
  <c r="AL1528" i="1"/>
  <c r="AL1529" i="1"/>
  <c r="AL2364" i="1"/>
  <c r="AL723" i="1"/>
  <c r="AL927" i="1"/>
  <c r="AL33" i="1"/>
  <c r="AH1169" i="1"/>
  <c r="AL1169" i="1"/>
  <c r="AH1685" i="1"/>
  <c r="AL1872" i="1"/>
  <c r="AH1872" i="1"/>
  <c r="AL2379" i="1"/>
  <c r="AH2379" i="1"/>
  <c r="AH2216" i="1"/>
  <c r="AH2308" i="1"/>
  <c r="AL613" i="1"/>
  <c r="AH613" i="1"/>
  <c r="AM1212" i="1"/>
  <c r="AL1212" i="1" s="1"/>
  <c r="AM923" i="1"/>
  <c r="AL923" i="1" s="1"/>
  <c r="AM1164" i="1"/>
  <c r="AL1164" i="1" s="1"/>
  <c r="AM1501" i="1"/>
  <c r="AL1501" i="1" s="1"/>
  <c r="AM950" i="1"/>
  <c r="AL950" i="1" s="1"/>
  <c r="AM2166" i="1"/>
  <c r="AL2166" i="1" s="1"/>
  <c r="AM1161" i="1"/>
  <c r="AL1161" i="1" s="1"/>
  <c r="AM1766" i="1"/>
  <c r="AL1766" i="1" s="1"/>
  <c r="AM2165" i="1"/>
  <c r="AL2165" i="1" s="1"/>
  <c r="AM1848" i="1"/>
  <c r="AL1848" i="1" s="1"/>
  <c r="AM1217" i="1"/>
  <c r="AL1217" i="1" s="1"/>
  <c r="AM982" i="1"/>
  <c r="AL982" i="1" s="1"/>
  <c r="AM926" i="1"/>
  <c r="AL926" i="1" s="1"/>
  <c r="AM937" i="1"/>
  <c r="AL937" i="1" s="1"/>
  <c r="AM665" i="1"/>
  <c r="AL665" i="1" s="1"/>
  <c r="AB1836" i="1"/>
  <c r="AD1836" i="1" s="1"/>
  <c r="AB1835" i="1"/>
  <c r="AD1835" i="1" s="1"/>
  <c r="AB1830" i="1"/>
  <c r="AD1830" i="1" s="1"/>
  <c r="AB1834" i="1"/>
  <c r="AD1834" i="1" s="1"/>
  <c r="AB1832" i="1"/>
  <c r="AD1832" i="1" s="1"/>
  <c r="AC1584" i="1"/>
  <c r="AC1836" i="1"/>
  <c r="AC1835" i="1"/>
  <c r="AC1832" i="1"/>
  <c r="AC1830" i="1"/>
  <c r="AC1834" i="1"/>
  <c r="AD2206" i="1"/>
  <c r="AD1584" i="1"/>
  <c r="AD1929" i="1"/>
  <c r="AD225" i="1"/>
  <c r="AD343" i="1"/>
  <c r="AD346" i="1"/>
  <c r="AD172" i="1"/>
  <c r="AD1842" i="1"/>
  <c r="AD1845" i="1"/>
  <c r="AD1840" i="1"/>
  <c r="AD668" i="1"/>
  <c r="AD1706" i="1"/>
  <c r="AD652" i="1"/>
  <c r="AC846" i="1"/>
  <c r="AC848" i="1"/>
  <c r="AC1828" i="1"/>
  <c r="AC2309" i="1"/>
  <c r="AC2334" i="1"/>
  <c r="AC1831" i="1"/>
  <c r="AC1824" i="1"/>
  <c r="AC2332" i="1"/>
  <c r="AC1825" i="1"/>
  <c r="AC2326" i="1"/>
  <c r="AC847" i="1"/>
  <c r="AC1826" i="1"/>
  <c r="AC1941" i="1"/>
  <c r="AC1935" i="1"/>
  <c r="AC1936" i="1"/>
  <c r="AC528" i="1"/>
  <c r="AC526" i="1"/>
  <c r="AC1933" i="1"/>
  <c r="AC1532" i="1"/>
  <c r="AJ53" i="1"/>
  <c r="AK53" i="1" s="1"/>
  <c r="AJ38" i="1"/>
  <c r="AK38" i="1" s="1"/>
  <c r="AJ1902" i="1"/>
  <c r="AK1902" i="1" s="1"/>
  <c r="AD229" i="1"/>
  <c r="AD854" i="1"/>
  <c r="AD918" i="1"/>
  <c r="AD2188" i="1"/>
  <c r="AD2190" i="1"/>
  <c r="AD212" i="1"/>
  <c r="AD1499" i="1"/>
  <c r="AD1426" i="1"/>
  <c r="AD171" i="1"/>
  <c r="AD1445" i="1"/>
  <c r="AD1820" i="1"/>
  <c r="AD1610" i="1"/>
  <c r="AD1350" i="1"/>
  <c r="AD361" i="1"/>
  <c r="AD1697" i="1"/>
  <c r="AB57" i="1"/>
  <c r="AD56" i="1"/>
  <c r="AB56" i="1"/>
  <c r="AB55" i="1"/>
  <c r="AD55" i="1"/>
  <c r="AD57" i="1"/>
  <c r="AD1233" i="1"/>
  <c r="AD651" i="1"/>
  <c r="AD1705" i="1"/>
  <c r="AD2388" i="1"/>
  <c r="AD1844" i="1"/>
  <c r="AD571" i="1"/>
  <c r="AD570" i="1"/>
  <c r="AD1839" i="1"/>
  <c r="AD2387" i="1"/>
  <c r="AD1841" i="1"/>
  <c r="AD667" i="1"/>
  <c r="AD1984" i="1"/>
  <c r="AD123" i="1"/>
  <c r="AD645" i="1"/>
  <c r="AD1645" i="1"/>
  <c r="AB645" i="1"/>
  <c r="AB1645" i="1"/>
  <c r="AD1647" i="1"/>
  <c r="AB1647" i="1"/>
  <c r="AD1413" i="1"/>
  <c r="AB1413" i="1"/>
  <c r="AB846" i="1"/>
  <c r="AD846" i="1" s="1"/>
  <c r="AB847" i="1"/>
  <c r="AD847" i="1" s="1"/>
  <c r="AB1826" i="1"/>
  <c r="AD1826" i="1" s="1"/>
  <c r="AB848" i="1"/>
  <c r="AD848" i="1" s="1"/>
  <c r="AB1828" i="1"/>
  <c r="AD1828" i="1" s="1"/>
  <c r="AB2332" i="1"/>
  <c r="AD2332" i="1" s="1"/>
  <c r="AB1825" i="1"/>
  <c r="AD1825" i="1" s="1"/>
  <c r="AB2309" i="1"/>
  <c r="AD2309" i="1" s="1"/>
  <c r="AB2334" i="1"/>
  <c r="AD2334" i="1" s="1"/>
  <c r="AB1831" i="1"/>
  <c r="AD1831" i="1" s="1"/>
  <c r="AB1824" i="1"/>
  <c r="AD1824" i="1" s="1"/>
  <c r="AB1532" i="1"/>
  <c r="AD1532" i="1" s="1"/>
  <c r="AB526" i="1"/>
  <c r="AD526" i="1" s="1"/>
  <c r="AB1933" i="1"/>
  <c r="AD1933" i="1" s="1"/>
  <c r="AB1936" i="1"/>
  <c r="AD1936" i="1" s="1"/>
  <c r="AB528" i="1"/>
  <c r="AD528" i="1" s="1"/>
  <c r="AB1941" i="1"/>
  <c r="AD1941" i="1" s="1"/>
  <c r="AB1935" i="1"/>
  <c r="AD1935" i="1" s="1"/>
  <c r="Z1498" i="1"/>
  <c r="AA1498" i="1"/>
  <c r="AB1498" i="1" s="1"/>
  <c r="AA1452" i="1"/>
  <c r="AA427" i="1"/>
  <c r="AD427" i="1" s="1"/>
  <c r="AJ427" i="1" s="1"/>
  <c r="AK427" i="1" s="1"/>
  <c r="AA422" i="1"/>
  <c r="AD422" i="1" s="1"/>
  <c r="AJ422" i="1" s="1"/>
  <c r="AK422" i="1" s="1"/>
  <c r="AA425" i="1"/>
  <c r="AD425" i="1" s="1"/>
  <c r="AJ425" i="1" s="1"/>
  <c r="AK425" i="1" s="1"/>
  <c r="AA429" i="1"/>
  <c r="AD429" i="1" s="1"/>
  <c r="AJ429" i="1" s="1"/>
  <c r="AK429" i="1" s="1"/>
  <c r="AD247" i="1"/>
  <c r="AJ247" i="1" s="1"/>
  <c r="AK247" i="1" s="1"/>
  <c r="AD311" i="1"/>
  <c r="AB312" i="1"/>
  <c r="AB311" i="1"/>
  <c r="AB310" i="1"/>
  <c r="AD312" i="1"/>
  <c r="AD310" i="1"/>
  <c r="AC726" i="1"/>
  <c r="AC1796" i="1"/>
  <c r="AC2547" i="1"/>
  <c r="AC1800" i="1"/>
  <c r="AC2551" i="1"/>
  <c r="AC1801" i="1"/>
  <c r="AC1797" i="1"/>
  <c r="AC2553" i="1"/>
  <c r="AC727" i="1"/>
  <c r="AC1591" i="1"/>
  <c r="AC2072" i="1"/>
  <c r="AC1592" i="1"/>
  <c r="AC1593" i="1"/>
  <c r="AC2074" i="1"/>
  <c r="AC2210" i="1"/>
  <c r="AC2209" i="1"/>
  <c r="AC2073" i="1"/>
  <c r="AJ2534" i="1"/>
  <c r="AK2534" i="1" s="1"/>
  <c r="AD956" i="1"/>
  <c r="AD2191" i="1"/>
  <c r="AD1691" i="1"/>
  <c r="AD1310" i="1"/>
  <c r="AD1950" i="1"/>
  <c r="AD1146" i="1"/>
  <c r="AJ522" i="1"/>
  <c r="AK522" i="1" s="1"/>
  <c r="AJ2047" i="1"/>
  <c r="AK2047" i="1" s="1"/>
  <c r="AJ2429" i="1"/>
  <c r="AK2429" i="1" s="1"/>
  <c r="AJ660" i="1"/>
  <c r="AK660" i="1" s="1"/>
  <c r="AJ2160" i="1"/>
  <c r="AK2160" i="1" s="1"/>
  <c r="AJ2523" i="1"/>
  <c r="AK2523" i="1" s="1"/>
  <c r="AJ2338" i="1"/>
  <c r="AK2338" i="1" s="1"/>
  <c r="AD1159" i="1"/>
  <c r="AD1096" i="1"/>
  <c r="AD2420" i="1"/>
  <c r="AD2413" i="1"/>
  <c r="AD2419" i="1"/>
  <c r="AD2411" i="1"/>
  <c r="AD2412" i="1"/>
  <c r="AD2418" i="1"/>
  <c r="AD2415" i="1"/>
  <c r="AD2416" i="1"/>
  <c r="AD2422" i="1"/>
  <c r="AD1370" i="1"/>
  <c r="AB1369" i="1"/>
  <c r="AB1433" i="1"/>
  <c r="AD1359" i="1"/>
  <c r="AD1366" i="1"/>
  <c r="AD1369" i="1"/>
  <c r="AD1371" i="1"/>
  <c r="AD1433" i="1"/>
  <c r="AD1365" i="1"/>
  <c r="AB1364" i="1"/>
  <c r="AB1358" i="1"/>
  <c r="AB1370" i="1"/>
  <c r="AD1360" i="1"/>
  <c r="AD1358" i="1"/>
  <c r="AB1366" i="1"/>
  <c r="AB1359" i="1"/>
  <c r="AB1360" i="1"/>
  <c r="AB1371" i="1"/>
  <c r="AD1364" i="1"/>
  <c r="AB1365" i="1"/>
  <c r="AD788" i="1"/>
  <c r="AB800" i="1"/>
  <c r="AD793" i="1"/>
  <c r="AB791" i="1"/>
  <c r="AD799" i="1"/>
  <c r="AD882" i="1"/>
  <c r="AB792" i="1"/>
  <c r="AD786" i="1"/>
  <c r="AD798" i="1"/>
  <c r="AD791" i="1"/>
  <c r="AB799" i="1"/>
  <c r="AB788" i="1"/>
  <c r="AD800" i="1"/>
  <c r="AD796" i="1"/>
  <c r="AD792" i="1"/>
  <c r="AD801" i="1"/>
  <c r="AB794" i="1"/>
  <c r="AB884" i="1"/>
  <c r="AB796" i="1"/>
  <c r="AD794" i="1"/>
  <c r="AB798" i="1"/>
  <c r="AD884" i="1"/>
  <c r="AB786" i="1"/>
  <c r="AD787" i="1"/>
  <c r="AB883" i="1"/>
  <c r="AD883" i="1"/>
  <c r="AD790" i="1"/>
  <c r="AB882" i="1"/>
  <c r="AB787" i="1"/>
  <c r="AD797" i="1"/>
  <c r="AB795" i="1"/>
  <c r="AB790" i="1"/>
  <c r="AD795" i="1"/>
  <c r="AJ885" i="1"/>
  <c r="AK885" i="1" s="1"/>
  <c r="AJ1361" i="1"/>
  <c r="AK1361" i="1" s="1"/>
  <c r="AD789" i="1"/>
  <c r="AD1435" i="1"/>
  <c r="AJ2421" i="1"/>
  <c r="AK2421" i="1" s="1"/>
  <c r="AD2414" i="1"/>
  <c r="AD946" i="1"/>
  <c r="AD2017" i="1"/>
  <c r="AD1586" i="1"/>
  <c r="AD169" i="1"/>
  <c r="AD1442" i="1"/>
  <c r="AD1134" i="1"/>
  <c r="AD1102" i="1"/>
  <c r="AD840" i="1"/>
  <c r="AD2559" i="1"/>
  <c r="AD1389" i="1"/>
  <c r="AD1801" i="1"/>
  <c r="AD1796" i="1"/>
  <c r="AD2547" i="1"/>
  <c r="AD1362" i="1"/>
  <c r="AD1137" i="1"/>
  <c r="AD297" i="1"/>
  <c r="AD2553" i="1"/>
  <c r="AD2551" i="1"/>
  <c r="AD841" i="1"/>
  <c r="AD1856" i="1"/>
  <c r="AD2543" i="1"/>
  <c r="AD1259" i="1"/>
  <c r="AD1797" i="1"/>
  <c r="AD1800" i="1"/>
  <c r="AD2074" i="1"/>
  <c r="AD2072" i="1"/>
  <c r="AD2057" i="1"/>
  <c r="AD2050" i="1"/>
  <c r="AD1592" i="1"/>
  <c r="AD1593" i="1"/>
  <c r="AD2056" i="1"/>
  <c r="AD2055" i="1"/>
  <c r="AD2051" i="1"/>
  <c r="AD1591" i="1"/>
  <c r="AD2052" i="1"/>
  <c r="AD2073" i="1"/>
  <c r="AD2461" i="1"/>
  <c r="AD2453" i="1"/>
  <c r="AD2458" i="1"/>
  <c r="AD691" i="1"/>
  <c r="AD2467" i="1"/>
  <c r="AD692" i="1"/>
  <c r="AD690" i="1"/>
  <c r="AD514" i="1"/>
  <c r="AD509" i="1"/>
  <c r="AD507" i="1"/>
  <c r="AD1928" i="1"/>
  <c r="AD520" i="1"/>
  <c r="AD1931" i="1"/>
  <c r="AD515" i="1"/>
  <c r="AD1930" i="1"/>
  <c r="AD521" i="1"/>
  <c r="AD513" i="1"/>
  <c r="AD508" i="1"/>
  <c r="AD519" i="1"/>
  <c r="AD653" i="1"/>
  <c r="AB1742" i="1"/>
  <c r="AD1742" i="1" s="1"/>
  <c r="AB1740" i="1"/>
  <c r="AD1740" i="1" s="1"/>
  <c r="AB1741" i="1"/>
  <c r="AD1741" i="1" s="1"/>
  <c r="AB2096" i="1"/>
  <c r="AD2096" i="1" s="1"/>
  <c r="AB2095" i="1"/>
  <c r="AD2095" i="1" s="1"/>
  <c r="AB2210" i="1"/>
  <c r="AD2210" i="1" s="1"/>
  <c r="AB2209" i="1"/>
  <c r="AD2209" i="1" s="1"/>
  <c r="AB737" i="1"/>
  <c r="AD737" i="1" s="1"/>
  <c r="AB735" i="1"/>
  <c r="AD735" i="1" s="1"/>
  <c r="AB736" i="1"/>
  <c r="AD736" i="1" s="1"/>
  <c r="AA363" i="1"/>
  <c r="AD363" i="1" s="1"/>
  <c r="AA646" i="1"/>
  <c r="AJ1957" i="1"/>
  <c r="AK1957" i="1" s="1"/>
  <c r="AJ1333" i="1"/>
  <c r="AK1333" i="1" s="1"/>
  <c r="AJ1236" i="1"/>
  <c r="AK1236" i="1" s="1"/>
  <c r="AJ1078" i="1"/>
  <c r="AK1078" i="1" s="1"/>
  <c r="AJ836" i="1"/>
  <c r="AK836" i="1" s="1"/>
  <c r="AJ1372" i="1"/>
  <c r="AK1372" i="1" s="1"/>
  <c r="AJ693" i="1"/>
  <c r="AK693" i="1" s="1"/>
  <c r="AJ278" i="1"/>
  <c r="AK278" i="1" s="1"/>
  <c r="AJ1491" i="1"/>
  <c r="AK1491" i="1" s="1"/>
  <c r="AJ972" i="1"/>
  <c r="AK972" i="1" s="1"/>
  <c r="AJ510" i="1"/>
  <c r="AK510" i="1" s="1"/>
  <c r="AJ298" i="1"/>
  <c r="AK298" i="1" s="1"/>
  <c r="AJ223" i="1"/>
  <c r="AK223" i="1" s="1"/>
  <c r="AJ1947" i="1"/>
  <c r="AK1947" i="1" s="1"/>
  <c r="AJ1239" i="1"/>
  <c r="AK1239" i="1" s="1"/>
  <c r="AJ1189" i="1"/>
  <c r="AK1189" i="1" s="1"/>
  <c r="AJ1068" i="1"/>
  <c r="AK1068" i="1" s="1"/>
  <c r="AJ1059" i="1"/>
  <c r="AK1059" i="1" s="1"/>
  <c r="AD810" i="1"/>
  <c r="AJ516" i="1"/>
  <c r="AK516" i="1" s="1"/>
  <c r="AD177" i="1"/>
  <c r="AJ1438" i="1"/>
  <c r="AK1438" i="1" s="1"/>
  <c r="AJ1594" i="1"/>
  <c r="AK1594" i="1" s="1"/>
  <c r="AJ1013" i="1"/>
  <c r="AK1013" i="1" s="1"/>
  <c r="AJ921" i="1"/>
  <c r="AK921" i="1" s="1"/>
  <c r="AJ1367" i="1"/>
  <c r="AK1367" i="1" s="1"/>
  <c r="AJ103" i="1"/>
  <c r="AK103" i="1" s="1"/>
  <c r="AD548" i="1"/>
  <c r="AB548" i="1"/>
  <c r="AB2022" i="1"/>
  <c r="AD2022" i="1" s="1"/>
  <c r="AD1414" i="1"/>
  <c r="AD1998" i="1"/>
  <c r="AC356" i="1"/>
  <c r="AD356" i="1"/>
  <c r="AD1083" i="1"/>
  <c r="AD1970" i="1"/>
  <c r="AD200" i="1"/>
  <c r="AD1075" i="1"/>
  <c r="AD275" i="1"/>
  <c r="AD276" i="1"/>
  <c r="AD277" i="1"/>
  <c r="AD282" i="1"/>
  <c r="AJ133" i="1"/>
  <c r="AK133" i="1" s="1"/>
  <c r="AD348" i="1"/>
  <c r="AD1321" i="1"/>
  <c r="AD296" i="1"/>
  <c r="AA124" i="1"/>
  <c r="E12" i="3"/>
  <c r="E14" i="3"/>
  <c r="AB1408" i="1"/>
  <c r="AD1408" i="1" s="1"/>
  <c r="AB547" i="1"/>
  <c r="AD547" i="1" s="1"/>
  <c r="AB545" i="1"/>
  <c r="AD545" i="1" s="1"/>
  <c r="AB2020" i="1"/>
  <c r="AD2020" i="1" s="1"/>
  <c r="AB2019" i="1"/>
  <c r="AD2019" i="1" s="1"/>
  <c r="AD1327" i="1"/>
  <c r="AD1326" i="1"/>
  <c r="AD2003" i="1"/>
  <c r="AD2006" i="1"/>
  <c r="AD2004" i="1"/>
  <c r="AD2007" i="1"/>
  <c r="AD2005" i="1"/>
  <c r="AD2002" i="1"/>
  <c r="AD1997" i="1"/>
  <c r="AD2000" i="1"/>
  <c r="AD1999" i="1"/>
  <c r="AD2001" i="1"/>
  <c r="AD2556" i="1"/>
  <c r="AD1325" i="1"/>
  <c r="AD1323" i="1"/>
  <c r="G46" i="3"/>
  <c r="AD1208" i="1"/>
  <c r="AB2099" i="1"/>
  <c r="AD2099" i="1" s="1"/>
  <c r="AB374" i="1"/>
  <c r="AD374" i="1" s="1"/>
  <c r="AB2548" i="1"/>
  <c r="AD2548" i="1" s="1"/>
  <c r="AB2485" i="1"/>
  <c r="AD2485" i="1" s="1"/>
  <c r="AB148" i="1"/>
  <c r="AD148" i="1" s="1"/>
  <c r="AB663" i="1"/>
  <c r="AD663" i="1" s="1"/>
  <c r="AB1535" i="1"/>
  <c r="AD1535" i="1" s="1"/>
  <c r="AB1799" i="1"/>
  <c r="AD1799" i="1" s="1"/>
  <c r="AB2434" i="1"/>
  <c r="AD2434" i="1" s="1"/>
  <c r="AB1798" i="1"/>
  <c r="AD1798" i="1" s="1"/>
  <c r="AB274" i="1"/>
  <c r="AD274" i="1" s="1"/>
  <c r="AB2328" i="1"/>
  <c r="AD2328" i="1" s="1"/>
  <c r="AB313" i="1"/>
  <c r="AD313" i="1" s="1"/>
  <c r="AB566" i="1"/>
  <c r="AD566" i="1" s="1"/>
  <c r="AB147" i="1"/>
  <c r="AD147" i="1" s="1"/>
  <c r="AB942" i="1"/>
  <c r="AD942" i="1" s="1"/>
  <c r="AB2331" i="1"/>
  <c r="AD2331" i="1" s="1"/>
  <c r="AB1953" i="1"/>
  <c r="AD1953" i="1" s="1"/>
  <c r="AB2549" i="1"/>
  <c r="AD2549" i="1" s="1"/>
  <c r="AB2330" i="1"/>
  <c r="AD2330" i="1" s="1"/>
  <c r="AB2193" i="1"/>
  <c r="AD2193" i="1" s="1"/>
  <c r="AB1794" i="1"/>
  <c r="AD1794" i="1" s="1"/>
  <c r="AB567" i="1"/>
  <c r="AD567" i="1" s="1"/>
  <c r="AB2435" i="1"/>
  <c r="AD2435" i="1" s="1"/>
  <c r="AB371" i="1"/>
  <c r="AD371" i="1" s="1"/>
  <c r="AB2327" i="1"/>
  <c r="AD2327" i="1" s="1"/>
  <c r="AB372" i="1"/>
  <c r="AD372" i="1" s="1"/>
  <c r="AB314" i="1"/>
  <c r="AD314" i="1" s="1"/>
  <c r="AB1954" i="1"/>
  <c r="AD1954" i="1" s="1"/>
  <c r="AB664" i="1"/>
  <c r="AD664" i="1" s="1"/>
  <c r="AB2484" i="1"/>
  <c r="AD2484" i="1" s="1"/>
  <c r="AB1534" i="1"/>
  <c r="AD1534" i="1" s="1"/>
  <c r="AB2351" i="1"/>
  <c r="AD2351" i="1" s="1"/>
  <c r="AB943" i="1"/>
  <c r="AD943" i="1" s="1"/>
  <c r="AB2350" i="1"/>
  <c r="AD2350" i="1" s="1"/>
  <c r="AB375" i="1"/>
  <c r="AD375" i="1" s="1"/>
  <c r="AB2192" i="1"/>
  <c r="AD2192" i="1" s="1"/>
  <c r="AB1533" i="1"/>
  <c r="AD1533" i="1" s="1"/>
  <c r="AB283" i="1"/>
  <c r="AD283" i="1" s="1"/>
  <c r="AB273" i="1"/>
  <c r="AD273" i="1" s="1"/>
  <c r="AB1795" i="1"/>
  <c r="AD1795" i="1" s="1"/>
  <c r="AJ1432" i="1"/>
  <c r="AK1432" i="1" s="1"/>
  <c r="AD1398" i="1"/>
  <c r="AD1394" i="1"/>
  <c r="AD1860" i="1"/>
  <c r="AD1357" i="1"/>
  <c r="AD673" i="1"/>
  <c r="AD1788" i="1"/>
  <c r="AD783" i="1"/>
  <c r="AD2554" i="1"/>
  <c r="AD294" i="1"/>
  <c r="AD672" i="1"/>
  <c r="AD784" i="1"/>
  <c r="AA714" i="1"/>
  <c r="AB2021" i="1"/>
  <c r="AD2021" i="1" s="1"/>
  <c r="AB546" i="1"/>
  <c r="AD546" i="1" s="1"/>
  <c r="AB540" i="1"/>
  <c r="AD540" i="1" s="1"/>
  <c r="AB743" i="1"/>
  <c r="AD743" i="1" s="1"/>
  <c r="AB1402" i="1"/>
  <c r="AD1402" i="1" s="1"/>
  <c r="AB1403" i="1"/>
  <c r="AD1403" i="1" s="1"/>
  <c r="AA220" i="1"/>
  <c r="AB220" i="1" s="1"/>
  <c r="AA2514" i="1"/>
  <c r="AA2039" i="1"/>
  <c r="AC358" i="1"/>
  <c r="AC1590" i="1"/>
  <c r="AD1768" i="1"/>
  <c r="AD2117" i="1"/>
  <c r="AD399" i="1"/>
  <c r="AD1123" i="1"/>
  <c r="AD1590" i="1"/>
  <c r="AD2348" i="1"/>
  <c r="AD401" i="1"/>
  <c r="AD2115" i="1"/>
  <c r="AD358" i="1"/>
  <c r="AD1816" i="1"/>
  <c r="AD409" i="1"/>
  <c r="AD1854" i="1"/>
  <c r="AD650" i="1"/>
  <c r="AD2041" i="1"/>
  <c r="AD2015" i="1"/>
  <c r="AD219" i="1"/>
  <c r="V960" i="1"/>
  <c r="AA960" i="1" s="1"/>
  <c r="D90" i="3"/>
  <c r="AC1588" i="1"/>
  <c r="AC952" i="1"/>
  <c r="AC2529" i="1"/>
  <c r="AD2199" i="1"/>
  <c r="AD2529" i="1"/>
  <c r="AD952" i="1"/>
  <c r="AD1063" i="1"/>
  <c r="AD1588" i="1"/>
  <c r="AD1061" i="1"/>
  <c r="AA423" i="1"/>
  <c r="AD423" i="1" s="1"/>
  <c r="AA1116" i="1"/>
  <c r="AA1265" i="1"/>
  <c r="AA1299" i="1"/>
  <c r="AD1299" i="1" s="1"/>
  <c r="AA1912" i="1"/>
  <c r="AA2313" i="1"/>
  <c r="AA400" i="1"/>
  <c r="AB400" i="1" s="1"/>
  <c r="AA649" i="1"/>
  <c r="AA1855" i="1"/>
  <c r="AD1855" i="1" s="1"/>
  <c r="AA2116" i="1"/>
  <c r="AA1522" i="1"/>
  <c r="AB1522" i="1" s="1"/>
  <c r="AM2504" i="1"/>
  <c r="AL2504" i="1" s="1"/>
  <c r="AM968" i="1"/>
  <c r="AL968" i="1" s="1"/>
  <c r="AA48" i="1"/>
  <c r="AA26" i="1"/>
  <c r="AA268" i="1"/>
  <c r="AA1518" i="1"/>
  <c r="AA1632" i="1"/>
  <c r="AB1632" i="1" s="1"/>
  <c r="AD1632" i="1" s="1"/>
  <c r="AA2244" i="1"/>
  <c r="AA1418" i="1"/>
  <c r="AA117" i="1"/>
  <c r="AA706" i="1"/>
  <c r="AA2195" i="1"/>
  <c r="AD2195" i="1" s="1"/>
  <c r="AA1163" i="1"/>
  <c r="AA1809" i="1"/>
  <c r="AA2320" i="1"/>
  <c r="AM967" i="1"/>
  <c r="AL967" i="1" s="1"/>
  <c r="AA1120" i="1"/>
  <c r="AM2" i="1"/>
  <c r="AL2" i="1" s="1"/>
  <c r="AM2211" i="1"/>
  <c r="AL2211" i="1" s="1"/>
  <c r="AM2284" i="1"/>
  <c r="AL2284" i="1" s="1"/>
  <c r="AM2249" i="1"/>
  <c r="AL2249" i="1" s="1"/>
  <c r="AM2288" i="1"/>
  <c r="AL2288" i="1" s="1"/>
  <c r="AM2268" i="1"/>
  <c r="AL2268" i="1" s="1"/>
  <c r="AM2262" i="1"/>
  <c r="AL2262" i="1" s="1"/>
  <c r="AM941" i="1"/>
  <c r="AM2304" i="1"/>
  <c r="AL2304" i="1" s="1"/>
  <c r="AM2306" i="1"/>
  <c r="AL2306" i="1" s="1"/>
  <c r="AM2214" i="1"/>
  <c r="AL2214" i="1" s="1"/>
  <c r="AM2287" i="1"/>
  <c r="AL2287" i="1" s="1"/>
  <c r="AM2252" i="1"/>
  <c r="AL2252" i="1" s="1"/>
  <c r="AM2291" i="1"/>
  <c r="AL2291" i="1" s="1"/>
  <c r="AM2271" i="1"/>
  <c r="AL2271" i="1" s="1"/>
  <c r="AM2218" i="1"/>
  <c r="AL2218" i="1" s="1"/>
  <c r="AM2240" i="1"/>
  <c r="AL2240" i="1" s="1"/>
  <c r="AM2299" i="1"/>
  <c r="AL2299" i="1" s="1"/>
  <c r="AM2293" i="1"/>
  <c r="AL2293" i="1" s="1"/>
  <c r="AM2267" i="1"/>
  <c r="AL2267" i="1" s="1"/>
  <c r="AM2247" i="1"/>
  <c r="AL2247" i="1" s="1"/>
  <c r="AM2273" i="1"/>
  <c r="AL2273" i="1" s="1"/>
  <c r="AM2254" i="1"/>
  <c r="AL2254" i="1" s="1"/>
  <c r="AM2258" i="1"/>
  <c r="AL2258" i="1" s="1"/>
  <c r="AM2223" i="1"/>
  <c r="AL2223" i="1" s="1"/>
  <c r="AM1806" i="1"/>
  <c r="AL1806" i="1" s="1"/>
  <c r="AM2506" i="1"/>
  <c r="AL2506" i="1" s="1"/>
  <c r="AM1496" i="1"/>
  <c r="AL1496" i="1" s="1"/>
  <c r="AM1498" i="1"/>
  <c r="AL1498" i="1" s="1"/>
  <c r="AM1523" i="1"/>
  <c r="AL1523" i="1" s="1"/>
  <c r="AM1262" i="1"/>
  <c r="AL1262" i="1" s="1"/>
  <c r="AM460" i="1"/>
  <c r="AL460" i="1" s="1"/>
  <c r="AM462" i="1"/>
  <c r="AL462" i="1" s="1"/>
  <c r="AM1951" i="1"/>
  <c r="AL1951" i="1" s="1"/>
  <c r="AM1052" i="1"/>
  <c r="AL1052" i="1" s="1"/>
  <c r="AM497" i="1"/>
  <c r="AL497" i="1" s="1"/>
  <c r="AM1492" i="1"/>
  <c r="AL1492" i="1" s="1"/>
  <c r="AM1494" i="1"/>
  <c r="AL1494" i="1" s="1"/>
  <c r="AM1782" i="1"/>
  <c r="AL1782" i="1" s="1"/>
  <c r="AM2023" i="1"/>
  <c r="AL2023" i="1" s="1"/>
  <c r="AM694" i="1"/>
  <c r="AL694" i="1" s="1"/>
  <c r="AM2360" i="1"/>
  <c r="AL2360" i="1" s="1"/>
  <c r="AM621" i="1"/>
  <c r="AL621" i="1" s="1"/>
  <c r="AM629" i="1"/>
  <c r="AL629" i="1" s="1"/>
  <c r="AM635" i="1"/>
  <c r="AL635" i="1" s="1"/>
  <c r="AM1524" i="1"/>
  <c r="AL1524" i="1" s="1"/>
  <c r="AA1569" i="1"/>
  <c r="AB1569" i="1" s="1"/>
  <c r="AM132" i="1"/>
  <c r="AL132" i="1" s="1"/>
  <c r="AM962" i="1"/>
  <c r="AL962" i="1" s="1"/>
  <c r="AM1683" i="1"/>
  <c r="AL1683" i="1" s="1"/>
  <c r="AM2503" i="1"/>
  <c r="AL2503" i="1" s="1"/>
  <c r="AM2505" i="1"/>
  <c r="AL2505" i="1" s="1"/>
  <c r="AM1404" i="1"/>
  <c r="AL1404" i="1" s="1"/>
  <c r="AM1497" i="1"/>
  <c r="AL1497" i="1" s="1"/>
  <c r="AM1522" i="1"/>
  <c r="AL1522" i="1" s="1"/>
  <c r="AM1878" i="1"/>
  <c r="AL1878" i="1" s="1"/>
  <c r="AM459" i="1"/>
  <c r="AL459" i="1" s="1"/>
  <c r="AM461" i="1"/>
  <c r="AL461" i="1" s="1"/>
  <c r="AM1427" i="1"/>
  <c r="AL1427" i="1" s="1"/>
  <c r="AM1051" i="1"/>
  <c r="AL1051" i="1" s="1"/>
  <c r="AM1583" i="1"/>
  <c r="AL1583" i="1" s="1"/>
  <c r="AM178" i="1"/>
  <c r="AL178" i="1" s="1"/>
  <c r="AM1493" i="1"/>
  <c r="AL1493" i="1" s="1"/>
  <c r="AM1495" i="1"/>
  <c r="AL1495" i="1" s="1"/>
  <c r="AM1853" i="1"/>
  <c r="AL1853" i="1" s="1"/>
  <c r="AM2186" i="1"/>
  <c r="AL2186" i="1" s="1"/>
  <c r="AM2189" i="1"/>
  <c r="AL2189" i="1" s="1"/>
  <c r="AM626" i="1"/>
  <c r="AL626" i="1" s="1"/>
  <c r="AM633" i="1"/>
  <c r="AL633" i="1" s="1"/>
  <c r="AM1225" i="1"/>
  <c r="AL1225" i="1" s="1"/>
  <c r="AM2118" i="1"/>
  <c r="AL2118" i="1" s="1"/>
  <c r="AM2508" i="1"/>
  <c r="AL2508" i="1" s="1"/>
  <c r="AM2510" i="1"/>
  <c r="AL2510" i="1" s="1"/>
  <c r="AM2406" i="1"/>
  <c r="AL2406" i="1" s="1"/>
  <c r="AM2339" i="1"/>
  <c r="AL2339" i="1" s="1"/>
  <c r="AM2448" i="1"/>
  <c r="AL2448" i="1" s="1"/>
  <c r="AM2450" i="1"/>
  <c r="AL2450" i="1" s="1"/>
  <c r="AM2452" i="1"/>
  <c r="AL2452" i="1" s="1"/>
  <c r="AM2457" i="1"/>
  <c r="AL2457" i="1" s="1"/>
  <c r="AM2465" i="1"/>
  <c r="AL2465" i="1" s="1"/>
  <c r="AM2468" i="1"/>
  <c r="AL2468" i="1" s="1"/>
  <c r="AM2472" i="1"/>
  <c r="AL2472" i="1" s="1"/>
  <c r="AM609" i="1"/>
  <c r="AL609" i="1" s="1"/>
  <c r="AM624" i="1"/>
  <c r="AL624" i="1" s="1"/>
  <c r="AM811" i="1"/>
  <c r="AL811" i="1" s="1"/>
  <c r="AM290" i="1"/>
  <c r="AL290" i="1" s="1"/>
  <c r="AM392" i="1"/>
  <c r="AL392" i="1" s="1"/>
  <c r="AM1014" i="1"/>
  <c r="AL1014" i="1" s="1"/>
  <c r="AM1106" i="1"/>
  <c r="AL1106" i="1" s="1"/>
  <c r="AM1392" i="1"/>
  <c r="AL1392" i="1" s="1"/>
  <c r="AM1838" i="1"/>
  <c r="AL1838" i="1" s="1"/>
  <c r="AM2347" i="1"/>
  <c r="AL2347" i="1" s="1"/>
  <c r="AM2507" i="1"/>
  <c r="AL2507" i="1" s="1"/>
  <c r="AM2509" i="1"/>
  <c r="AL2509" i="1" s="1"/>
  <c r="AM288" i="1"/>
  <c r="AL288" i="1" s="1"/>
  <c r="AM1218" i="1"/>
  <c r="AL1218" i="1" s="1"/>
  <c r="AM1473" i="1"/>
  <c r="AL1473" i="1" s="1"/>
  <c r="AM2447" i="1"/>
  <c r="AL2447" i="1" s="1"/>
  <c r="AM2449" i="1"/>
  <c r="AL2449" i="1" s="1"/>
  <c r="AM2451" i="1"/>
  <c r="AL2451" i="1" s="1"/>
  <c r="AM2454" i="1"/>
  <c r="AL2454" i="1" s="1"/>
  <c r="AM2462" i="1"/>
  <c r="AL2462" i="1" s="1"/>
  <c r="AM2466" i="1"/>
  <c r="AL2466" i="1" s="1"/>
  <c r="AM2471" i="1"/>
  <c r="AL2471" i="1" s="1"/>
  <c r="AM1471" i="1"/>
  <c r="AL1471" i="1" s="1"/>
  <c r="AM468" i="1"/>
  <c r="AL468" i="1" s="1"/>
  <c r="AM718" i="1"/>
  <c r="AL718" i="1" s="1"/>
  <c r="AM158" i="1"/>
  <c r="AL158" i="1" s="1"/>
  <c r="AM224" i="1"/>
  <c r="AL224" i="1" s="1"/>
  <c r="AM292" i="1"/>
  <c r="AL292" i="1" s="1"/>
  <c r="AM856" i="1"/>
  <c r="AL856" i="1" s="1"/>
  <c r="AM1064" i="1"/>
  <c r="AL1064" i="1" s="1"/>
  <c r="AM1108" i="1"/>
  <c r="AL1108" i="1" s="1"/>
  <c r="AM1172" i="1"/>
  <c r="AL1172" i="1" s="1"/>
  <c r="AM1589" i="1"/>
  <c r="AL1589" i="1" s="1"/>
  <c r="AM2024" i="1"/>
  <c r="AL2024" i="1" s="1"/>
  <c r="AM281" i="1"/>
  <c r="AL281" i="1" s="1"/>
  <c r="AM1722" i="1"/>
  <c r="AL1722" i="1" s="1"/>
  <c r="AA395" i="1"/>
  <c r="AM1560" i="1"/>
  <c r="AL1560" i="1" s="1"/>
  <c r="AM1721" i="1"/>
  <c r="AL1721" i="1" s="1"/>
  <c r="AM771" i="1"/>
  <c r="AL771" i="1" s="1"/>
  <c r="AM615" i="1"/>
  <c r="AL615" i="1" s="1"/>
  <c r="AM2555" i="1"/>
  <c r="AL2555" i="1" s="1"/>
  <c r="AM29" i="1"/>
  <c r="AL29" i="1" s="1"/>
  <c r="AM204" i="1"/>
  <c r="AL204" i="1" s="1"/>
  <c r="AM676" i="1"/>
  <c r="AL676" i="1" s="1"/>
  <c r="AM1098" i="1"/>
  <c r="AL1098" i="1" s="1"/>
  <c r="AM1125" i="1"/>
  <c r="AL1125" i="1" s="1"/>
  <c r="AM704" i="1"/>
  <c r="AL704" i="1" s="1"/>
  <c r="AM646" i="1"/>
  <c r="AL646" i="1" s="1"/>
  <c r="AM554" i="1"/>
  <c r="AL554" i="1" s="1"/>
  <c r="AM162" i="1"/>
  <c r="AL162" i="1" s="1"/>
  <c r="AM1751" i="1"/>
  <c r="AL1751" i="1" s="1"/>
  <c r="AM1274" i="1"/>
  <c r="AL1274" i="1" s="1"/>
  <c r="AM124" i="1"/>
  <c r="AL124" i="1" s="1"/>
  <c r="AM463" i="1"/>
  <c r="AL463" i="1" s="1"/>
  <c r="AM623" i="1"/>
  <c r="AL623" i="1" s="1"/>
  <c r="AM630" i="1"/>
  <c r="AL630" i="1" s="1"/>
  <c r="AM984" i="1"/>
  <c r="AL984" i="1" s="1"/>
  <c r="AM1071" i="1"/>
  <c r="AL1071" i="1" s="1"/>
  <c r="AM1110" i="1"/>
  <c r="AL1110" i="1" s="1"/>
  <c r="AM1439" i="1"/>
  <c r="AL1439" i="1" s="1"/>
  <c r="AM1558" i="1"/>
  <c r="AL1558" i="1" s="1"/>
  <c r="AM1725" i="1"/>
  <c r="AL1725" i="1" s="1"/>
  <c r="AM2121" i="1"/>
  <c r="AL2121" i="1" s="1"/>
  <c r="AM203" i="1"/>
  <c r="AL203" i="1" s="1"/>
  <c r="AM2483" i="1"/>
  <c r="AL2483" i="1" s="1"/>
  <c r="AM119" i="1"/>
  <c r="AL119" i="1" s="1"/>
  <c r="AM539" i="1"/>
  <c r="AL539" i="1" s="1"/>
  <c r="AM2432" i="1"/>
  <c r="AL2432" i="1" s="1"/>
  <c r="AM1304" i="1"/>
  <c r="AL1304" i="1" s="1"/>
  <c r="AM2491" i="1"/>
  <c r="AL2491" i="1" s="1"/>
  <c r="AM155" i="1"/>
  <c r="AL155" i="1" s="1"/>
  <c r="AM467" i="1"/>
  <c r="AL467" i="1" s="1"/>
  <c r="AM485" i="1"/>
  <c r="AL485" i="1" s="1"/>
  <c r="AM612" i="1"/>
  <c r="AL612" i="1" s="1"/>
  <c r="AM625" i="1"/>
  <c r="AL625" i="1" s="1"/>
  <c r="AM699" i="1"/>
  <c r="AL699" i="1" s="1"/>
  <c r="AM995" i="1"/>
  <c r="AL995" i="1" s="1"/>
  <c r="AM1124" i="1"/>
  <c r="AL1124" i="1" s="1"/>
  <c r="AM1340" i="1"/>
  <c r="AL1340" i="1" s="1"/>
  <c r="AM1443" i="1"/>
  <c r="AL1443" i="1" s="1"/>
  <c r="AM1452" i="1"/>
  <c r="AL1452" i="1" s="1"/>
  <c r="AM2049" i="1"/>
  <c r="AL2049" i="1" s="1"/>
  <c r="AM2353" i="1"/>
  <c r="AL2353" i="1" s="1"/>
  <c r="AM2493" i="1"/>
  <c r="AL2493" i="1" s="1"/>
  <c r="AM642" i="1"/>
  <c r="AL642" i="1" s="1"/>
  <c r="AM880" i="1"/>
  <c r="AL880" i="1" s="1"/>
  <c r="AM1148" i="1"/>
  <c r="AL1148" i="1" s="1"/>
  <c r="AM1609" i="1"/>
  <c r="AL1609" i="1" s="1"/>
  <c r="AM1718" i="1"/>
  <c r="AL1718" i="1" s="1"/>
  <c r="AM32" i="1"/>
  <c r="AL32" i="1" s="1"/>
  <c r="AM47" i="1"/>
  <c r="AL47" i="1" s="1"/>
  <c r="AM1520" i="1"/>
  <c r="AL1520" i="1" s="1"/>
  <c r="AM1780" i="1"/>
  <c r="AL1780" i="1" s="1"/>
  <c r="AM2280" i="1"/>
  <c r="AL2280" i="1" s="1"/>
  <c r="AM357" i="1"/>
  <c r="AL357" i="1" s="1"/>
  <c r="AM1302" i="1"/>
  <c r="AL1302" i="1" s="1"/>
  <c r="AM208" i="1"/>
  <c r="AL208" i="1" s="1"/>
  <c r="AM353" i="1"/>
  <c r="AL353" i="1" s="1"/>
  <c r="AM243" i="1"/>
  <c r="AL243" i="1" s="1"/>
  <c r="AM610" i="1"/>
  <c r="AL610" i="1" s="1"/>
  <c r="AM108" i="1"/>
  <c r="AL108" i="1" s="1"/>
  <c r="AM116" i="1"/>
  <c r="AL116" i="1" s="1"/>
  <c r="AM2027" i="1"/>
  <c r="AL2027" i="1" s="1"/>
  <c r="AM226" i="1"/>
  <c r="AL226" i="1" s="1"/>
  <c r="AM1224" i="1"/>
  <c r="AL1224" i="1" s="1"/>
  <c r="AM2487" i="1"/>
  <c r="AL2487" i="1" s="1"/>
  <c r="AM189" i="1"/>
  <c r="AL189" i="1" s="1"/>
  <c r="AM201" i="1"/>
  <c r="AL201" i="1" s="1"/>
  <c r="AM293" i="1"/>
  <c r="AL293" i="1" s="1"/>
  <c r="AM2370" i="1"/>
  <c r="AL2370" i="1" s="1"/>
  <c r="AM1138" i="1"/>
  <c r="AL1138" i="1" s="1"/>
  <c r="AM2195" i="1"/>
  <c r="AL2195" i="1" s="1"/>
  <c r="AM2198" i="1"/>
  <c r="AL2198" i="1" s="1"/>
  <c r="AM534" i="1"/>
  <c r="AL534" i="1" s="1"/>
  <c r="AM536" i="1"/>
  <c r="AL536" i="1" s="1"/>
  <c r="AM765" i="1"/>
  <c r="AL765" i="1" s="1"/>
  <c r="AM611" i="1"/>
  <c r="AL611" i="1" s="1"/>
  <c r="AM1122" i="1"/>
  <c r="AL1122" i="1" s="1"/>
  <c r="AM2234" i="1"/>
  <c r="AL2234" i="1" s="1"/>
  <c r="AM45" i="1"/>
  <c r="AL45" i="1" s="1"/>
  <c r="AM631" i="1"/>
  <c r="AL631" i="1" s="1"/>
  <c r="AM891" i="1"/>
  <c r="AL891" i="1" s="1"/>
  <c r="AM1601" i="1"/>
  <c r="AL1601" i="1" s="1"/>
  <c r="AM1925" i="1"/>
  <c r="AL1925" i="1" s="1"/>
  <c r="AM1175" i="1"/>
  <c r="AL1175" i="1" s="1"/>
  <c r="AM2008" i="1"/>
  <c r="AL2008" i="1" s="1"/>
  <c r="AM59" i="1"/>
  <c r="AL59" i="1" s="1"/>
  <c r="AM1559" i="1"/>
  <c r="AL1559" i="1" s="1"/>
  <c r="AM2489" i="1"/>
  <c r="AL2489" i="1" s="1"/>
  <c r="AM1400" i="1"/>
  <c r="AL1400" i="1" s="1"/>
  <c r="AM347" i="1"/>
  <c r="AL347" i="1" s="1"/>
  <c r="AM572" i="1"/>
  <c r="AL572" i="1" s="1"/>
  <c r="AM628" i="1"/>
  <c r="AL628" i="1" s="1"/>
  <c r="AM634" i="1"/>
  <c r="AL634" i="1" s="1"/>
  <c r="AM985" i="1"/>
  <c r="AL985" i="1" s="1"/>
  <c r="AM1085" i="1"/>
  <c r="AL1085" i="1" s="1"/>
  <c r="AM1226" i="1"/>
  <c r="AL1226" i="1" s="1"/>
  <c r="AM1470" i="1"/>
  <c r="AL1470" i="1" s="1"/>
  <c r="AM1527" i="1"/>
  <c r="AL1527" i="1" s="1"/>
  <c r="AM1724" i="1"/>
  <c r="AL1724" i="1" s="1"/>
  <c r="AM2071" i="1"/>
  <c r="AL2071" i="1" s="1"/>
  <c r="AM1879" i="1"/>
  <c r="AL1879" i="1" s="1"/>
  <c r="AM1191" i="1"/>
  <c r="AL1191" i="1" s="1"/>
  <c r="AM2473" i="1"/>
  <c r="AL2473" i="1" s="1"/>
  <c r="AM121" i="1"/>
  <c r="AL121" i="1" s="1"/>
  <c r="AM1837" i="1"/>
  <c r="AL1837" i="1" s="1"/>
  <c r="AM2362" i="1"/>
  <c r="AL2362" i="1" s="1"/>
  <c r="AM2200" i="1"/>
  <c r="AL2200" i="1" s="1"/>
  <c r="AM986" i="1"/>
  <c r="AL986" i="1" s="1"/>
  <c r="AM363" i="1"/>
  <c r="AL363" i="1" s="1"/>
  <c r="AM472" i="1"/>
  <c r="AL472" i="1" s="1"/>
  <c r="AM543" i="1"/>
  <c r="AL543" i="1" s="1"/>
  <c r="AM618" i="1"/>
  <c r="AL618" i="1" s="1"/>
  <c r="AM648" i="1"/>
  <c r="AL648" i="1" s="1"/>
  <c r="AM721" i="1"/>
  <c r="AL721" i="1" s="1"/>
  <c r="AM1111" i="1"/>
  <c r="AL1111" i="1" s="1"/>
  <c r="AM1126" i="1"/>
  <c r="AL1126" i="1" s="1"/>
  <c r="AM1352" i="1"/>
  <c r="AL1352" i="1" s="1"/>
  <c r="AM1450" i="1"/>
  <c r="AL1450" i="1" s="1"/>
  <c r="AM1781" i="1"/>
  <c r="AL1781" i="1" s="1"/>
  <c r="AM2130" i="1"/>
  <c r="AL2130" i="1" s="1"/>
  <c r="AM2384" i="1"/>
  <c r="AL2384" i="1" s="1"/>
  <c r="AM2494" i="1"/>
  <c r="AL2494" i="1" s="1"/>
  <c r="AM879" i="1"/>
  <c r="AL879" i="1" s="1"/>
  <c r="AM160" i="1"/>
  <c r="AL160" i="1" s="1"/>
  <c r="AM1151" i="1"/>
  <c r="AL1151" i="1" s="1"/>
  <c r="AM1607" i="1"/>
  <c r="AL1607" i="1" s="1"/>
  <c r="AM435" i="1"/>
  <c r="AL435" i="1" s="1"/>
  <c r="AM42" i="1"/>
  <c r="AL42" i="1" s="1"/>
  <c r="AM1615" i="1"/>
  <c r="AL1615" i="1" s="1"/>
  <c r="AM1521" i="1"/>
  <c r="AL1521" i="1" s="1"/>
  <c r="AM2231" i="1"/>
  <c r="AL2231" i="1" s="1"/>
  <c r="AM355" i="1"/>
  <c r="AL355" i="1" s="1"/>
  <c r="AM325" i="1"/>
  <c r="AL325" i="1" s="1"/>
  <c r="AM1822" i="1"/>
  <c r="AL1822" i="1" s="1"/>
  <c r="AM217" i="1"/>
  <c r="AL217" i="1" s="1"/>
  <c r="AM2156" i="1"/>
  <c r="AL2156" i="1" s="1"/>
  <c r="AM1823" i="1"/>
  <c r="AL1823" i="1" s="1"/>
  <c r="AM632" i="1"/>
  <c r="AL632" i="1" s="1"/>
  <c r="AM110" i="1"/>
  <c r="AL110" i="1" s="1"/>
  <c r="AM1168" i="1"/>
  <c r="AL1168" i="1" s="1"/>
  <c r="AM2207" i="1"/>
  <c r="AL2207" i="1" s="1"/>
  <c r="AM284" i="1"/>
  <c r="AL284" i="1" s="1"/>
  <c r="AM1863" i="1"/>
  <c r="AL1863" i="1" s="1"/>
  <c r="AM194" i="1"/>
  <c r="AL194" i="1" s="1"/>
  <c r="AM291" i="1"/>
  <c r="AL291" i="1" s="1"/>
  <c r="AM1971" i="1"/>
  <c r="AL1971" i="1" s="1"/>
  <c r="AM2132" i="1"/>
  <c r="AL2132" i="1" s="1"/>
  <c r="AM2194" i="1"/>
  <c r="AL2194" i="1" s="1"/>
  <c r="AM2197" i="1"/>
  <c r="AL2197" i="1" s="1"/>
  <c r="AM535" i="1"/>
  <c r="AL535" i="1" s="1"/>
  <c r="AM537" i="1"/>
  <c r="AL537" i="1" s="1"/>
  <c r="AM2277" i="1"/>
  <c r="AL2277" i="1" s="1"/>
  <c r="AM1606" i="1"/>
  <c r="AL1606" i="1" s="1"/>
  <c r="AM23" i="1"/>
  <c r="AL23" i="1" s="1"/>
  <c r="AM28" i="1"/>
  <c r="AL28" i="1" s="1"/>
  <c r="AM1176" i="1"/>
  <c r="AL1176" i="1" s="1"/>
  <c r="AM861" i="1"/>
  <c r="AL861" i="1" s="1"/>
  <c r="AM397" i="1"/>
  <c r="AL397" i="1" s="1"/>
  <c r="AM1613" i="1"/>
  <c r="AL1613" i="1" s="1"/>
  <c r="AM2114" i="1"/>
  <c r="AL2114" i="1" s="1"/>
  <c r="AM716" i="1"/>
  <c r="AL716" i="1" s="1"/>
  <c r="AM1118" i="1"/>
  <c r="AL1118" i="1" s="1"/>
  <c r="AM1263" i="1"/>
  <c r="AL1263" i="1" s="1"/>
  <c r="AM1297" i="1"/>
  <c r="AL1297" i="1" s="1"/>
  <c r="AM1809" i="1"/>
  <c r="AL1809" i="1" s="1"/>
  <c r="AM1912" i="1"/>
  <c r="AL1912" i="1" s="1"/>
  <c r="AM2313" i="1"/>
  <c r="AL2313" i="1" s="1"/>
  <c r="AM1608" i="1"/>
  <c r="AL1608" i="1" s="1"/>
  <c r="AM352" i="1"/>
  <c r="AL352" i="1" s="1"/>
  <c r="AM622" i="1"/>
  <c r="AL622" i="1" s="1"/>
  <c r="AM408" i="1"/>
  <c r="AL408" i="1" s="1"/>
  <c r="AM1275" i="1"/>
  <c r="AL1275" i="1" s="1"/>
  <c r="AM2013" i="1"/>
  <c r="AL2013" i="1" s="1"/>
  <c r="AM220" i="1"/>
  <c r="AL220" i="1" s="1"/>
  <c r="AM714" i="1"/>
  <c r="AL714" i="1" s="1"/>
  <c r="AM1116" i="1"/>
  <c r="AL1116" i="1" s="1"/>
  <c r="AM1120" i="1"/>
  <c r="AL1120" i="1" s="1"/>
  <c r="AM1265" i="1"/>
  <c r="AL1265" i="1" s="1"/>
  <c r="AM1807" i="1"/>
  <c r="AL1807" i="1" s="1"/>
  <c r="AM1811" i="1"/>
  <c r="AL1811" i="1" s="1"/>
  <c r="AM1914" i="1"/>
  <c r="AL1914" i="1" s="1"/>
  <c r="AM2310" i="1"/>
  <c r="AL2310" i="1" s="1"/>
  <c r="AM2323" i="1"/>
  <c r="AL2323" i="1" s="1"/>
  <c r="AM2516" i="1"/>
  <c r="AL2516" i="1" s="1"/>
  <c r="AM2301" i="1"/>
  <c r="AL2301" i="1" s="1"/>
  <c r="AM1626" i="1"/>
  <c r="AL1626" i="1" s="1"/>
  <c r="AA1422" i="1"/>
  <c r="AD1422" i="1" s="1"/>
  <c r="AM159" i="1"/>
  <c r="AL159" i="1" s="1"/>
  <c r="AM1219" i="1"/>
  <c r="AL1219" i="1" s="1"/>
  <c r="AM2227" i="1"/>
  <c r="AL2227" i="1" s="1"/>
  <c r="AM1627" i="1"/>
  <c r="AL1627" i="1" s="1"/>
  <c r="AA622" i="1"/>
  <c r="AD622" i="1" s="1"/>
  <c r="AA424" i="1"/>
  <c r="AM134" i="1"/>
  <c r="AL134" i="1" s="1"/>
  <c r="AM2217" i="1"/>
  <c r="AL2217" i="1" s="1"/>
  <c r="AM2239" i="1"/>
  <c r="AL2239" i="1" s="1"/>
  <c r="AM2298" i="1"/>
  <c r="AL2298" i="1" s="1"/>
  <c r="AM2292" i="1"/>
  <c r="AL2292" i="1" s="1"/>
  <c r="AM2266" i="1"/>
  <c r="AL2266" i="1" s="1"/>
  <c r="AM2246" i="1"/>
  <c r="AL2246" i="1" s="1"/>
  <c r="AM2272" i="1"/>
  <c r="AL2272" i="1" s="1"/>
  <c r="AM2253" i="1"/>
  <c r="AL2253" i="1" s="1"/>
  <c r="AM2257" i="1"/>
  <c r="AL2257" i="1" s="1"/>
  <c r="AM860" i="1"/>
  <c r="AL860" i="1" s="1"/>
  <c r="AM2222" i="1"/>
  <c r="AL2222" i="1" s="1"/>
  <c r="AM961" i="1"/>
  <c r="AL961" i="1" s="1"/>
  <c r="AM1684" i="1"/>
  <c r="AL1684" i="1" s="1"/>
  <c r="AM2076" i="1"/>
  <c r="AL2076" i="1" s="1"/>
  <c r="AM2232" i="1"/>
  <c r="AL2232" i="1" s="1"/>
  <c r="AM940" i="1"/>
  <c r="AL940" i="1" s="1"/>
  <c r="AM963" i="1"/>
  <c r="AL963" i="1" s="1"/>
  <c r="AM2492" i="1"/>
  <c r="AL2492" i="1" s="1"/>
  <c r="AM436" i="1"/>
  <c r="AL436" i="1" s="1"/>
  <c r="AA428" i="1"/>
  <c r="AM1206" i="1"/>
  <c r="AL1206" i="1" s="1"/>
  <c r="AA39" i="1"/>
  <c r="AD39" i="1" s="1"/>
  <c r="AA40" i="1"/>
  <c r="AM161" i="1"/>
  <c r="AL161" i="1" s="1"/>
  <c r="AM1171" i="1"/>
  <c r="AL1171" i="1" s="1"/>
  <c r="AM2320" i="1"/>
  <c r="AL2320" i="1" s="1"/>
  <c r="AM2514" i="1"/>
  <c r="AL2514" i="1" s="1"/>
  <c r="AM1952" i="1"/>
  <c r="AL1952" i="1" s="1"/>
  <c r="AM2213" i="1"/>
  <c r="AL2213" i="1" s="1"/>
  <c r="AM2286" i="1"/>
  <c r="AL2286" i="1" s="1"/>
  <c r="AM2251" i="1"/>
  <c r="AL2251" i="1" s="1"/>
  <c r="AM2290" i="1"/>
  <c r="AL2290" i="1" s="1"/>
  <c r="AM2270" i="1"/>
  <c r="AL2270" i="1" s="1"/>
  <c r="AM1208" i="1"/>
  <c r="AL1208" i="1" s="1"/>
  <c r="AM1525" i="1"/>
  <c r="AL1525" i="1" s="1"/>
  <c r="AM1977" i="1"/>
  <c r="AL1977" i="1" s="1"/>
  <c r="AM2305" i="1"/>
  <c r="AL2305" i="1" s="1"/>
  <c r="AM2307" i="1"/>
  <c r="AL2307" i="1" s="1"/>
  <c r="AM2212" i="1"/>
  <c r="AL2212" i="1" s="1"/>
  <c r="AM2285" i="1"/>
  <c r="AL2285" i="1" s="1"/>
  <c r="AM2250" i="1"/>
  <c r="AL2250" i="1" s="1"/>
  <c r="AM2289" i="1"/>
  <c r="AL2289" i="1" s="1"/>
  <c r="AM2269" i="1"/>
  <c r="AL2269" i="1" s="1"/>
  <c r="AM2263" i="1"/>
  <c r="AL2263" i="1" s="1"/>
  <c r="AM2238" i="1"/>
  <c r="AL2238" i="1" s="1"/>
  <c r="AM2297" i="1"/>
  <c r="AL2297" i="1" s="1"/>
  <c r="AM2282" i="1"/>
  <c r="AL2282" i="1" s="1"/>
  <c r="AM2265" i="1"/>
  <c r="AL2265" i="1" s="1"/>
  <c r="AM2245" i="1"/>
  <c r="AL2245" i="1" s="1"/>
  <c r="AM2261" i="1"/>
  <c r="AL2261" i="1" s="1"/>
  <c r="AM2275" i="1"/>
  <c r="AL2275" i="1" s="1"/>
  <c r="AM2256" i="1"/>
  <c r="AL2256" i="1" s="1"/>
  <c r="AM2221" i="1"/>
  <c r="AL2221" i="1" s="1"/>
  <c r="AM1451" i="1"/>
  <c r="AL1451" i="1" s="1"/>
  <c r="AM39" i="1"/>
  <c r="AL39" i="1" s="1"/>
  <c r="AA159" i="1"/>
  <c r="AM1163" i="1"/>
  <c r="AL1163" i="1" s="1"/>
  <c r="AA1219" i="1"/>
  <c r="AM395" i="1"/>
  <c r="AL395" i="1" s="1"/>
  <c r="AM649" i="1"/>
  <c r="AL649" i="1" s="1"/>
  <c r="AM2039" i="1"/>
  <c r="AL2039" i="1" s="1"/>
  <c r="AA716" i="1"/>
  <c r="AA1263" i="1"/>
  <c r="AA1914" i="1"/>
  <c r="AD1914" i="1" s="1"/>
  <c r="AA1275" i="1"/>
  <c r="AD1275" i="1" s="1"/>
  <c r="AA1613" i="1"/>
  <c r="AM2237" i="1"/>
  <c r="AL2237" i="1" s="1"/>
  <c r="AM2296" i="1"/>
  <c r="AL2296" i="1" s="1"/>
  <c r="AM2281" i="1"/>
  <c r="AL2281" i="1" s="1"/>
  <c r="AM2264" i="1"/>
  <c r="AL2264" i="1" s="1"/>
  <c r="AM2242" i="1"/>
  <c r="AL2242" i="1" s="1"/>
  <c r="AM2260" i="1"/>
  <c r="AL2260" i="1" s="1"/>
  <c r="AM2274" i="1"/>
  <c r="AL2274" i="1" s="1"/>
  <c r="AM2255" i="1"/>
  <c r="AL2255" i="1" s="1"/>
  <c r="AM862" i="1"/>
  <c r="AL862" i="1" s="1"/>
  <c r="AM2220" i="1"/>
  <c r="AL2220" i="1" s="1"/>
  <c r="AM964" i="1"/>
  <c r="AL964" i="1" s="1"/>
  <c r="AM1004" i="1"/>
  <c r="AL1004" i="1" s="1"/>
  <c r="AM1686" i="1"/>
  <c r="AL1686" i="1" s="1"/>
  <c r="AM2122" i="1"/>
  <c r="AL2122" i="1" s="1"/>
  <c r="AM2215" i="1"/>
  <c r="AL2215" i="1" s="1"/>
  <c r="AM2094" i="1"/>
  <c r="AL2094" i="1" s="1"/>
  <c r="AM1000" i="1"/>
  <c r="AL1000" i="1" s="1"/>
  <c r="AM1685" i="1"/>
  <c r="AL1685" i="1" s="1"/>
  <c r="AM1976" i="1"/>
  <c r="AL1976" i="1" s="1"/>
  <c r="AM2308" i="1"/>
  <c r="AL2308" i="1" s="1"/>
  <c r="AM965" i="1"/>
  <c r="AL965" i="1" s="1"/>
  <c r="M2373" i="1"/>
  <c r="AM67" i="1"/>
  <c r="AL67" i="1" s="1"/>
  <c r="AM960" i="1"/>
  <c r="AL960" i="1" s="1"/>
  <c r="AM1207" i="1"/>
  <c r="AL1207" i="1" s="1"/>
  <c r="AM1695" i="1"/>
  <c r="AL1695" i="1" s="1"/>
  <c r="AM1453" i="1"/>
  <c r="AL1453" i="1" s="1"/>
  <c r="AM400" i="1"/>
  <c r="AL400" i="1" s="1"/>
  <c r="AM996" i="1"/>
  <c r="AL996" i="1" s="1"/>
  <c r="AM1855" i="1"/>
  <c r="AL1855" i="1" s="1"/>
  <c r="AM2116" i="1"/>
  <c r="AL2116" i="1" s="1"/>
  <c r="AA1611" i="1"/>
  <c r="AB1611" i="1" s="1"/>
  <c r="AA1401" i="1"/>
  <c r="AA996" i="1"/>
  <c r="AB996" i="1" s="1"/>
  <c r="AA1176" i="1"/>
  <c r="AA1118" i="1"/>
  <c r="AA1297" i="1"/>
  <c r="AD1297" i="1" s="1"/>
  <c r="AA1807" i="1"/>
  <c r="AA1811" i="1"/>
  <c r="AA2310" i="1"/>
  <c r="AA2323" i="1"/>
  <c r="AD2323" i="1" s="1"/>
  <c r="AA2516" i="1"/>
  <c r="AA397" i="1"/>
  <c r="AA408" i="1"/>
  <c r="AB408" i="1" s="1"/>
  <c r="AA2013" i="1"/>
  <c r="AB2013" i="1" s="1"/>
  <c r="AA2114" i="1"/>
  <c r="AA168" i="1"/>
  <c r="AB168" i="1" s="1"/>
  <c r="AA1872" i="1"/>
  <c r="AA1040" i="1"/>
  <c r="AA2243" i="1"/>
  <c r="AB2243" i="1" s="1"/>
  <c r="AD2243" i="1" s="1"/>
  <c r="AJ2243" i="1" s="1"/>
  <c r="AK2243" i="1" s="1"/>
  <c r="AA1444" i="1"/>
  <c r="AD1444" i="1" s="1"/>
  <c r="AA2102" i="1"/>
  <c r="AB2102" i="1" s="1"/>
  <c r="AD2102" i="1" s="1"/>
  <c r="AJ2102" i="1" s="1"/>
  <c r="AK2102" i="1" s="1"/>
  <c r="AA2468" i="1"/>
  <c r="AD2468" i="1" s="1"/>
  <c r="AA1937" i="1"/>
  <c r="AA2403" i="1"/>
  <c r="AA216" i="1"/>
  <c r="AA49" i="1"/>
  <c r="AA47" i="1"/>
  <c r="AA45" i="1"/>
  <c r="AA43" i="1"/>
  <c r="AA34" i="1"/>
  <c r="AA30" i="1"/>
  <c r="AA235" i="1"/>
  <c r="AD235" i="1" s="1"/>
  <c r="AA2301" i="1"/>
  <c r="AD2301" i="1" s="1"/>
  <c r="AA1496" i="1"/>
  <c r="AD1496" i="1" s="1"/>
  <c r="AA870" i="1"/>
  <c r="AB870" i="1" s="1"/>
  <c r="AA1571" i="1"/>
  <c r="AA2492" i="1"/>
  <c r="AA426" i="1"/>
  <c r="AA804" i="1"/>
  <c r="AA232" i="1"/>
  <c r="AA243" i="1"/>
  <c r="AD243" i="1" s="1"/>
  <c r="AA1943" i="1"/>
  <c r="AD1943" i="1" s="1"/>
  <c r="AA2397" i="1"/>
  <c r="AD2397" i="1" s="1"/>
  <c r="AA2519" i="1"/>
  <c r="AA1471" i="1"/>
  <c r="AA961" i="1"/>
  <c r="AA25" i="1"/>
  <c r="AA1503" i="1"/>
  <c r="AA2450" i="1"/>
  <c r="AA41" i="1"/>
  <c r="AA1873" i="1"/>
  <c r="AB1873" i="1" s="1"/>
  <c r="AD1873" i="1" s="1"/>
  <c r="AA1377" i="1"/>
  <c r="AD1377" i="1" s="1"/>
  <c r="AA32" i="1"/>
  <c r="AA28" i="1"/>
  <c r="AA1138" i="1"/>
  <c r="AA1501" i="1"/>
  <c r="AD1501" i="1" s="1"/>
  <c r="AA1048" i="1"/>
  <c r="AB906" i="1"/>
  <c r="AA2048" i="1"/>
  <c r="AB2048" i="1" s="1"/>
  <c r="AD2048" i="1" s="1"/>
  <c r="AA869" i="1"/>
  <c r="AD869" i="1" s="1"/>
  <c r="AA1577" i="1"/>
  <c r="AD1577" i="1" s="1"/>
  <c r="AA1373" i="1"/>
  <c r="AA2103" i="1"/>
  <c r="AB2103" i="1" s="1"/>
  <c r="AD2103" i="1" s="1"/>
  <c r="AJ2103" i="1" s="1"/>
  <c r="AK2103" i="1" s="1"/>
  <c r="AM218" i="1"/>
  <c r="AL218" i="1" s="1"/>
  <c r="AA2493" i="1"/>
  <c r="AA1817" i="1"/>
  <c r="AA1879" i="1"/>
  <c r="AA161" i="1"/>
  <c r="AB161" i="1" s="1"/>
  <c r="AA2306" i="1"/>
  <c r="AB2306" i="1" s="1"/>
  <c r="AD2306" i="1" s="1"/>
  <c r="AA27" i="1"/>
  <c r="AA1634" i="1"/>
  <c r="AA1633" i="1"/>
  <c r="AA179" i="1"/>
  <c r="AD179" i="1" s="1"/>
  <c r="AA2217" i="1"/>
  <c r="AB2217" i="1" s="1"/>
  <c r="AD2217" i="1" s="1"/>
  <c r="AJ2217" i="1" s="1"/>
  <c r="AK2217" i="1" s="1"/>
  <c r="AA2239" i="1"/>
  <c r="AB2239" i="1" s="1"/>
  <c r="AD2239" i="1" s="1"/>
  <c r="AJ2239" i="1" s="1"/>
  <c r="AK2239" i="1" s="1"/>
  <c r="AA2274" i="1"/>
  <c r="AB2274" i="1" s="1"/>
  <c r="AD2274" i="1" s="1"/>
  <c r="AJ2274" i="1" s="1"/>
  <c r="AK2274" i="1" s="1"/>
  <c r="AA2290" i="1"/>
  <c r="AB2290" i="1" s="1"/>
  <c r="AD2290" i="1" s="1"/>
  <c r="AJ2290" i="1" s="1"/>
  <c r="AK2290" i="1" s="1"/>
  <c r="AA1460" i="1"/>
  <c r="AD1460" i="1" s="1"/>
  <c r="AJ1460" i="1" s="1"/>
  <c r="AK1460" i="1" s="1"/>
  <c r="AA1467" i="1"/>
  <c r="AD1467" i="1" s="1"/>
  <c r="AJ1467" i="1" s="1"/>
  <c r="AK1467" i="1" s="1"/>
  <c r="AA1639" i="1"/>
  <c r="AD1639" i="1" s="1"/>
  <c r="AA1938" i="1"/>
  <c r="AA1940" i="1"/>
  <c r="AA2396" i="1"/>
  <c r="AA2400" i="1"/>
  <c r="AD2400" i="1" s="1"/>
  <c r="AJ2400" i="1" s="1"/>
  <c r="AK2400" i="1" s="1"/>
  <c r="AA23" i="1"/>
  <c r="AD23" i="1" s="1"/>
  <c r="AA109" i="1"/>
  <c r="AA111" i="1"/>
  <c r="AA119" i="1"/>
  <c r="AA121" i="1"/>
  <c r="AA162" i="1"/>
  <c r="AA163" i="1"/>
  <c r="AA189" i="1"/>
  <c r="AA201" i="1"/>
  <c r="AA230" i="1"/>
  <c r="AA234" i="1"/>
  <c r="AA236" i="1"/>
  <c r="AA238" i="1"/>
  <c r="AD238" i="1" s="1"/>
  <c r="AA240" i="1"/>
  <c r="AA264" i="1"/>
  <c r="AD264" i="1" s="1"/>
  <c r="AA266" i="1"/>
  <c r="AA270" i="1"/>
  <c r="AA291" i="1"/>
  <c r="AA464" i="1"/>
  <c r="AA535" i="1"/>
  <c r="AA537" i="1"/>
  <c r="AA958" i="1"/>
  <c r="AA993" i="1"/>
  <c r="AA1043" i="1"/>
  <c r="AA1274" i="1"/>
  <c r="AA1302" i="1"/>
  <c r="AA1718" i="1"/>
  <c r="AA1766" i="1"/>
  <c r="AA1776" i="1"/>
  <c r="AA1859" i="1"/>
  <c r="AA1862" i="1"/>
  <c r="AD1862" i="1" s="1"/>
  <c r="AA1961" i="1"/>
  <c r="AA2130" i="1"/>
  <c r="AB2130" i="1" s="1"/>
  <c r="AA2216" i="1"/>
  <c r="AD2216" i="1" s="1"/>
  <c r="AA2233" i="1"/>
  <c r="AD2233" i="1" s="1"/>
  <c r="AA2198" i="1"/>
  <c r="AA2231" i="1"/>
  <c r="AA2280" i="1"/>
  <c r="AD2280" i="1" s="1"/>
  <c r="AA2401" i="1"/>
  <c r="AD2401" i="1" s="1"/>
  <c r="AA2517" i="1"/>
  <c r="AA242" i="1"/>
  <c r="AA262" i="1"/>
  <c r="AA2303" i="1"/>
  <c r="AA2215" i="1"/>
  <c r="AB2215" i="1" s="1"/>
  <c r="AA2302" i="1"/>
  <c r="AA352" i="1"/>
  <c r="AB352" i="1" s="1"/>
  <c r="AA812" i="1"/>
  <c r="AC812" i="1" s="1"/>
  <c r="AA814" i="1"/>
  <c r="AD814" i="1" s="1"/>
  <c r="AA450" i="1"/>
  <c r="AD450" i="1" s="1"/>
  <c r="AJ450" i="1" s="1"/>
  <c r="AK450" i="1" s="1"/>
  <c r="AA454" i="1"/>
  <c r="AA962" i="1"/>
  <c r="AA967" i="1"/>
  <c r="AB967" i="1" s="1"/>
  <c r="AD967" i="1" s="1"/>
  <c r="AA1976" i="1"/>
  <c r="AA2379" i="1"/>
  <c r="AM1805" i="1"/>
  <c r="AL1805" i="1" s="1"/>
  <c r="AA1451" i="1"/>
  <c r="AA1453" i="1"/>
  <c r="AA2023" i="1"/>
  <c r="AB2023" i="1" s="1"/>
  <c r="AA1751" i="1"/>
  <c r="AD1751" i="1" s="1"/>
  <c r="AA1410" i="1"/>
  <c r="AA1429" i="1"/>
  <c r="AA813" i="1"/>
  <c r="AA815" i="1"/>
  <c r="AD815" i="1" s="1"/>
  <c r="AA448" i="1"/>
  <c r="AA452" i="1"/>
  <c r="AD452" i="1" s="1"/>
  <c r="AJ452" i="1" s="1"/>
  <c r="AK452" i="1" s="1"/>
  <c r="AA805" i="1"/>
  <c r="AD805" i="1" s="1"/>
  <c r="AA1021" i="1"/>
  <c r="AA1049" i="1"/>
  <c r="AD1049" i="1" s="1"/>
  <c r="AJ1049" i="1" s="1"/>
  <c r="AK1049" i="1" s="1"/>
  <c r="AA1374" i="1"/>
  <c r="AD1374" i="1" s="1"/>
  <c r="AA1378" i="1"/>
  <c r="AD1378" i="1" s="1"/>
  <c r="AA1456" i="1"/>
  <c r="AD1456" i="1" s="1"/>
  <c r="AJ1456" i="1" s="1"/>
  <c r="AK1456" i="1" s="1"/>
  <c r="AA1463" i="1"/>
  <c r="AA1640" i="1"/>
  <c r="AA1939" i="1"/>
  <c r="AA2394" i="1"/>
  <c r="AA2398" i="1"/>
  <c r="AD2398" i="1" s="1"/>
  <c r="AJ2398" i="1" s="1"/>
  <c r="AK2398" i="1" s="1"/>
  <c r="AA24" i="1"/>
  <c r="AA108" i="1"/>
  <c r="AA110" i="1"/>
  <c r="AD110" i="1" s="1"/>
  <c r="AA116" i="1"/>
  <c r="AA118" i="1"/>
  <c r="AA120" i="1"/>
  <c r="AA122" i="1"/>
  <c r="AA165" i="1"/>
  <c r="AA164" i="1"/>
  <c r="AA194" i="1"/>
  <c r="AA217" i="1"/>
  <c r="AD217" i="1" s="1"/>
  <c r="AA231" i="1"/>
  <c r="AA233" i="1"/>
  <c r="AD233" i="1" s="1"/>
  <c r="AA237" i="1"/>
  <c r="AA239" i="1"/>
  <c r="AA241" i="1"/>
  <c r="AD241" i="1" s="1"/>
  <c r="AA263" i="1"/>
  <c r="AD263" i="1" s="1"/>
  <c r="AA265" i="1"/>
  <c r="AA267" i="1"/>
  <c r="AA269" i="1"/>
  <c r="AD269" i="1" s="1"/>
  <c r="AA284" i="1"/>
  <c r="AA293" i="1"/>
  <c r="AA463" i="1"/>
  <c r="AD463" i="1" s="1"/>
  <c r="AA534" i="1"/>
  <c r="AD534" i="1" s="1"/>
  <c r="AA536" i="1"/>
  <c r="AA676" i="1"/>
  <c r="AA937" i="1"/>
  <c r="AA959" i="1"/>
  <c r="AD959" i="1" s="1"/>
  <c r="AA1098" i="1"/>
  <c r="AD1098" i="1" s="1"/>
  <c r="AA1143" i="1"/>
  <c r="AA1273" i="1"/>
  <c r="AA1303" i="1"/>
  <c r="AA1517" i="1"/>
  <c r="AA1519" i="1"/>
  <c r="AA1717" i="1"/>
  <c r="AD1717" i="1" s="1"/>
  <c r="AA1774" i="1"/>
  <c r="AA1848" i="1"/>
  <c r="AA1863" i="1"/>
  <c r="AA1871" i="1"/>
  <c r="AD1871" i="1" s="1"/>
  <c r="AA1944" i="1"/>
  <c r="AA1971" i="1"/>
  <c r="AD1971" i="1" s="1"/>
  <c r="AA2156" i="1"/>
  <c r="AA2234" i="1"/>
  <c r="AA2197" i="1"/>
  <c r="AA2227" i="1"/>
  <c r="AA2277" i="1"/>
  <c r="AA2393" i="1"/>
  <c r="AA2399" i="1"/>
  <c r="AA2402" i="1"/>
  <c r="AA2518" i="1"/>
  <c r="AA2524" i="1"/>
  <c r="AD2524" i="1" s="1"/>
  <c r="AA2530" i="1"/>
  <c r="AA248" i="1"/>
  <c r="AD248" i="1" s="1"/>
  <c r="AA2300" i="1"/>
  <c r="AA2194" i="1"/>
  <c r="AA2305" i="1"/>
  <c r="AA1470" i="1"/>
  <c r="AA1171" i="1"/>
  <c r="AB1171" i="1" s="1"/>
  <c r="AB855" i="1"/>
  <c r="AA1427" i="1"/>
  <c r="AD1427" i="1" s="1"/>
  <c r="AA1492" i="1"/>
  <c r="AD855" i="1"/>
  <c r="AJ855" i="1" s="1"/>
  <c r="AK855" i="1" s="1"/>
  <c r="AA1523" i="1"/>
  <c r="AA2232" i="1"/>
  <c r="AA247" i="1"/>
  <c r="AA671" i="1"/>
  <c r="AD671" i="1" s="1"/>
  <c r="AJ671" i="1" s="1"/>
  <c r="AK671" i="1" s="1"/>
  <c r="AA686" i="1"/>
  <c r="AD686" i="1" s="1"/>
  <c r="AJ686" i="1" s="1"/>
  <c r="AK686" i="1" s="1"/>
  <c r="AA1009" i="1"/>
  <c r="AA1419" i="1"/>
  <c r="AD1419" i="1" s="1"/>
  <c r="AJ1419" i="1" s="1"/>
  <c r="AK1419" i="1" s="1"/>
  <c r="AA1777" i="1"/>
  <c r="AD1777" i="1" s="1"/>
  <c r="AJ1777" i="1" s="1"/>
  <c r="AK1777" i="1" s="1"/>
  <c r="AA1927" i="1"/>
  <c r="AD1927" i="1" s="1"/>
  <c r="AJ1927" i="1" s="1"/>
  <c r="AK1927" i="1" s="1"/>
  <c r="AA2170" i="1"/>
  <c r="AD2170" i="1" s="1"/>
  <c r="AJ2170" i="1" s="1"/>
  <c r="AK2170" i="1" s="1"/>
  <c r="AA2390" i="1"/>
  <c r="AD2390" i="1" s="1"/>
  <c r="AJ2390" i="1" s="1"/>
  <c r="AK2390" i="1" s="1"/>
  <c r="AA2502" i="1"/>
  <c r="AJ2502" i="1" s="1"/>
  <c r="AA2168" i="1"/>
  <c r="AD2168" i="1" s="1"/>
  <c r="AA2546" i="1"/>
  <c r="AA1669" i="1"/>
  <c r="AA2552" i="1"/>
  <c r="AD2552" i="1" s="1"/>
  <c r="AA1352" i="1"/>
  <c r="AA1575" i="1"/>
  <c r="AD1575" i="1" s="1"/>
  <c r="AA1693" i="1"/>
  <c r="AA1995" i="1"/>
  <c r="AA2368" i="1"/>
  <c r="AD2368" i="1" s="1"/>
  <c r="AJ2368" i="1" s="1"/>
  <c r="AK2368" i="1" s="1"/>
  <c r="AA2432" i="1"/>
  <c r="AB2432" i="1" s="1"/>
  <c r="AA2507" i="1"/>
  <c r="AB2507" i="1" s="1"/>
  <c r="AA1780" i="1"/>
  <c r="AA360" i="1"/>
  <c r="AA459" i="1"/>
  <c r="AA2509" i="1"/>
  <c r="AA2165" i="1"/>
  <c r="AB2165" i="1" s="1"/>
  <c r="AA2027" i="1"/>
  <c r="AD2027" i="1" s="1"/>
  <c r="AA1168" i="1"/>
  <c r="AB1168" i="1" s="1"/>
  <c r="AA1290" i="1"/>
  <c r="AB1290" i="1" s="1"/>
  <c r="AA891" i="1"/>
  <c r="AA612" i="1"/>
  <c r="AD612" i="1" s="1"/>
  <c r="AA623" i="1"/>
  <c r="AB623" i="1" s="1"/>
  <c r="AA626" i="1"/>
  <c r="AD626" i="1" s="1"/>
  <c r="AA630" i="1"/>
  <c r="AA634" i="1"/>
  <c r="AA1212" i="1"/>
  <c r="AD1212" i="1" s="1"/>
  <c r="AA1226" i="1"/>
  <c r="AD1226" i="1" s="1"/>
  <c r="AA468" i="1"/>
  <c r="AA611" i="1"/>
  <c r="AA621" i="1"/>
  <c r="AA627" i="1"/>
  <c r="AA633" i="1"/>
  <c r="AD633" i="1" s="1"/>
  <c r="AA1125" i="1"/>
  <c r="AA1124" i="1"/>
  <c r="AA158" i="1"/>
  <c r="AA505" i="1"/>
  <c r="AD505" i="1" s="1"/>
  <c r="AA2081" i="1"/>
  <c r="AA925" i="1"/>
  <c r="AA2406" i="1"/>
  <c r="AA964" i="1"/>
  <c r="AA1683" i="1"/>
  <c r="AA2575" i="1"/>
  <c r="AD2575" i="1" s="1"/>
  <c r="AJ2575" i="1" s="1"/>
  <c r="AK2575" i="1" s="1"/>
  <c r="AN65" i="1"/>
  <c r="AA811" i="1"/>
  <c r="AA1583" i="1"/>
  <c r="AC1583" i="1" s="1"/>
  <c r="AA995" i="1"/>
  <c r="AB995" i="1" s="1"/>
  <c r="AA1589" i="1"/>
  <c r="AA353" i="1"/>
  <c r="AD353" i="1" s="1"/>
  <c r="AA1838" i="1"/>
  <c r="AB1838" i="1" s="1"/>
  <c r="AA1439" i="1"/>
  <c r="AB1439" i="1" s="1"/>
  <c r="AA1721" i="1"/>
  <c r="AD1721" i="1" s="1"/>
  <c r="AA1051" i="1"/>
  <c r="AD1051" i="1" s="1"/>
  <c r="AA572" i="1"/>
  <c r="AA1823" i="1"/>
  <c r="AD1823" i="1" s="1"/>
  <c r="AA355" i="1"/>
  <c r="AC355" i="1" s="1"/>
  <c r="AA1878" i="1"/>
  <c r="AA1400" i="1"/>
  <c r="AC1400" i="1" s="1"/>
  <c r="AA1262" i="1"/>
  <c r="AA2008" i="1"/>
  <c r="AB2008" i="1" s="1"/>
  <c r="AA347" i="1"/>
  <c r="AA2447" i="1"/>
  <c r="AB2447" i="1" s="1"/>
  <c r="AA2449" i="1"/>
  <c r="AB2449" i="1" s="1"/>
  <c r="AA2452" i="1"/>
  <c r="AB2452" i="1" s="1"/>
  <c r="AA2457" i="1"/>
  <c r="AD2457" i="1" s="1"/>
  <c r="AA2451" i="1"/>
  <c r="AA2466" i="1"/>
  <c r="AD2466" i="1" s="1"/>
  <c r="AA2471" i="1"/>
  <c r="AA2097" i="1"/>
  <c r="AB2097" i="1" s="1"/>
  <c r="AD2097" i="1" s="1"/>
  <c r="AJ2097" i="1" s="1"/>
  <c r="AK2097" i="1" s="1"/>
  <c r="AA2100" i="1"/>
  <c r="AB2100" i="1" s="1"/>
  <c r="AD2100" i="1" s="1"/>
  <c r="AJ2100" i="1" s="1"/>
  <c r="AK2100" i="1" s="1"/>
  <c r="AA65" i="1"/>
  <c r="AA210" i="1"/>
  <c r="AA614" i="1"/>
  <c r="AB614" i="1" s="1"/>
  <c r="AD614" i="1" s="1"/>
  <c r="AA620" i="1"/>
  <c r="AA862" i="1"/>
  <c r="AB862" i="1" s="1"/>
  <c r="AD862" i="1" s="1"/>
  <c r="AA1977" i="1"/>
  <c r="AB1977" i="1" s="1"/>
  <c r="AD1977" i="1" s="1"/>
  <c r="AA2378" i="1"/>
  <c r="AA102" i="1"/>
  <c r="AD102" i="1" s="1"/>
  <c r="AA46" i="1"/>
  <c r="AA44" i="1"/>
  <c r="AA42" i="1"/>
  <c r="AA33" i="1"/>
  <c r="AA31" i="1"/>
  <c r="AD31" i="1" s="1"/>
  <c r="AA29" i="1"/>
  <c r="AC2212" i="1"/>
  <c r="AA2212" i="1"/>
  <c r="AB2212" i="1" s="1"/>
  <c r="AD2212" i="1" s="1"/>
  <c r="AC2291" i="1"/>
  <c r="AA2291" i="1"/>
  <c r="AB2291" i="1" s="1"/>
  <c r="AD2291" i="1" s="1"/>
  <c r="AA1582" i="1"/>
  <c r="AB1582" i="1" s="1"/>
  <c r="AA1750" i="1"/>
  <c r="AA1853" i="1"/>
  <c r="AA2079" i="1"/>
  <c r="AA2149" i="1"/>
  <c r="AA2381" i="1"/>
  <c r="AA2512" i="1"/>
  <c r="AB2512" i="1" s="1"/>
  <c r="AA2503" i="1"/>
  <c r="AB2503" i="1" s="1"/>
  <c r="AA1081" i="1"/>
  <c r="AA1581" i="1"/>
  <c r="AD1581" i="1" s="1"/>
  <c r="AA1579" i="1"/>
  <c r="AD1579" i="1" s="1"/>
  <c r="AA1722" i="1"/>
  <c r="AB1722" i="1" s="1"/>
  <c r="AA60" i="1"/>
  <c r="AA1071" i="1"/>
  <c r="AB1071" i="1" s="1"/>
  <c r="AA1725" i="1"/>
  <c r="AA1340" i="1"/>
  <c r="AB1340" i="1" s="1"/>
  <c r="AA54" i="1"/>
  <c r="AD54" i="1" s="1"/>
  <c r="AA2166" i="1"/>
  <c r="AB2166" i="1" s="1"/>
  <c r="AA1151" i="1"/>
  <c r="AA1161" i="1"/>
  <c r="AB1161" i="1" s="1"/>
  <c r="AA512" i="1"/>
  <c r="AB512" i="1" s="1"/>
  <c r="AC2214" i="1"/>
  <c r="AA2214" i="1"/>
  <c r="AB2214" i="1" s="1"/>
  <c r="AD2214" i="1" s="1"/>
  <c r="AA2384" i="1"/>
  <c r="AD906" i="1"/>
  <c r="AA59" i="1"/>
  <c r="AA203" i="1"/>
  <c r="AB203" i="1" s="1"/>
  <c r="AA392" i="1"/>
  <c r="AD392" i="1" s="1"/>
  <c r="AA439" i="1"/>
  <c r="AA550" i="1"/>
  <c r="AA703" i="1"/>
  <c r="AD703" i="1" s="1"/>
  <c r="AA822" i="1"/>
  <c r="AA829" i="1"/>
  <c r="AA879" i="1"/>
  <c r="AD879" i="1" s="1"/>
  <c r="AA1074" i="1"/>
  <c r="AB1074" i="1" s="1"/>
  <c r="AA1088" i="1"/>
  <c r="AD1088" i="1" s="1"/>
  <c r="AA1139" i="1"/>
  <c r="AB1139" i="1" s="1"/>
  <c r="AA1175" i="1"/>
  <c r="AB1175" i="1" s="1"/>
  <c r="AA539" i="1"/>
  <c r="AA1457" i="1"/>
  <c r="AA1536" i="1"/>
  <c r="AD1536" i="1" s="1"/>
  <c r="AA1565" i="1"/>
  <c r="AA2491" i="1"/>
  <c r="AA1815" i="1"/>
  <c r="AD1815" i="1" s="1"/>
  <c r="AA2506" i="1"/>
  <c r="AA1564" i="1"/>
  <c r="AD1564" i="1" s="1"/>
  <c r="AA1494" i="1"/>
  <c r="AA1140" i="1"/>
  <c r="AA1566" i="1"/>
  <c r="AA926" i="1"/>
  <c r="AD926" i="1" s="1"/>
  <c r="AA2016" i="1"/>
  <c r="AB2016" i="1" s="1"/>
  <c r="AA467" i="1"/>
  <c r="AA648" i="1"/>
  <c r="AA207" i="1"/>
  <c r="AB207" i="1" s="1"/>
  <c r="AA287" i="1"/>
  <c r="AB287" i="1" s="1"/>
  <c r="AA2374" i="1"/>
  <c r="AA610" i="1"/>
  <c r="AA281" i="1"/>
  <c r="AA461" i="1"/>
  <c r="AD461" i="1" s="1"/>
  <c r="AA666" i="1"/>
  <c r="AA825" i="1"/>
  <c r="AA1085" i="1"/>
  <c r="AB1085" i="1" s="1"/>
  <c r="AA1107" i="1"/>
  <c r="AA1149" i="1"/>
  <c r="AA1181" i="1"/>
  <c r="AB1181" i="1" s="1"/>
  <c r="AA1191" i="1"/>
  <c r="AB1191" i="1" s="1"/>
  <c r="AA1469" i="1"/>
  <c r="AA1559" i="1"/>
  <c r="AB1559" i="1" s="1"/>
  <c r="AA1572" i="1"/>
  <c r="AB1572" i="1" s="1"/>
  <c r="AA1576" i="1"/>
  <c r="AD1576" i="1" s="1"/>
  <c r="AJ1576" i="1" s="1"/>
  <c r="AK1576" i="1" s="1"/>
  <c r="AA292" i="1"/>
  <c r="AB292" i="1" s="1"/>
  <c r="AA1949" i="1"/>
  <c r="AA1724" i="1"/>
  <c r="AB1724" i="1" s="1"/>
  <c r="AA1082" i="1"/>
  <c r="AD1082" i="1" s="1"/>
  <c r="AA436" i="1"/>
  <c r="AA500" i="1"/>
  <c r="AA504" i="1"/>
  <c r="AB504" i="1" s="1"/>
  <c r="AA1363" i="1"/>
  <c r="AA517" i="1"/>
  <c r="AD517" i="1" s="1"/>
  <c r="AA260" i="1"/>
  <c r="AB260" i="1" s="1"/>
  <c r="AA280" i="1"/>
  <c r="AD280" i="1" s="1"/>
  <c r="AA2078" i="1"/>
  <c r="AA718" i="1"/>
  <c r="AB718" i="1" s="1"/>
  <c r="AA719" i="1"/>
  <c r="AA1525" i="1"/>
  <c r="AB1525" i="1" s="1"/>
  <c r="AA2118" i="1"/>
  <c r="AB2118" i="1" s="1"/>
  <c r="AA2119" i="1"/>
  <c r="AA205" i="1"/>
  <c r="AD205" i="1" s="1"/>
  <c r="AA1164" i="1"/>
  <c r="AD1164" i="1" s="1"/>
  <c r="AA1172" i="1"/>
  <c r="AB1172" i="1" s="1"/>
  <c r="AA1173" i="1"/>
  <c r="AD1173" i="1" s="1"/>
  <c r="AA2362" i="1"/>
  <c r="AA2364" i="1"/>
  <c r="AA723" i="1"/>
  <c r="AA1528" i="1"/>
  <c r="AB1528" i="1" s="1"/>
  <c r="AA2026" i="1"/>
  <c r="AA2123" i="1"/>
  <c r="AD2123" i="1" s="1"/>
  <c r="AA208" i="1"/>
  <c r="AA923" i="1"/>
  <c r="AB923" i="1" s="1"/>
  <c r="AA924" i="1"/>
  <c r="AD924" i="1" s="1"/>
  <c r="AA2373" i="1"/>
  <c r="AB2373" i="1" s="1"/>
  <c r="AA928" i="1"/>
  <c r="AD928" i="1" s="1"/>
  <c r="AA2029" i="1"/>
  <c r="AA1666" i="1"/>
  <c r="AA1668" i="1"/>
  <c r="AA1671" i="1"/>
  <c r="AD1671" i="1" s="1"/>
  <c r="AA1673" i="1"/>
  <c r="AD1673" i="1" s="1"/>
  <c r="AA1279" i="1"/>
  <c r="AD1279" i="1" s="1"/>
  <c r="AJ1279" i="1" s="1"/>
  <c r="AK1279" i="1" s="1"/>
  <c r="AA1910" i="1"/>
  <c r="AB1910" i="1" s="1"/>
  <c r="AA1169" i="1"/>
  <c r="AA2140" i="1"/>
  <c r="AM65" i="1"/>
  <c r="AL65" i="1" s="1"/>
  <c r="AA722" i="1"/>
  <c r="AD722" i="1" s="1"/>
  <c r="AA1781" i="1"/>
  <c r="AD1781" i="1" s="1"/>
  <c r="AA2298" i="1"/>
  <c r="AB2298" i="1" s="1"/>
  <c r="AD2298" i="1" s="1"/>
  <c r="AJ2298" i="1" s="1"/>
  <c r="AK2298" i="1" s="1"/>
  <c r="AA1004" i="1"/>
  <c r="AA1390" i="1"/>
  <c r="AB1390" i="1" s="1"/>
  <c r="AD1390" i="1" s="1"/>
  <c r="AA1684" i="1"/>
  <c r="AA1696" i="1"/>
  <c r="AA67" i="1"/>
  <c r="AA211" i="1"/>
  <c r="AA613" i="1"/>
  <c r="AB613" i="1" s="1"/>
  <c r="AD613" i="1" s="1"/>
  <c r="AA619" i="1"/>
  <c r="AB619" i="1" s="1"/>
  <c r="AD619" i="1" s="1"/>
  <c r="AA860" i="1"/>
  <c r="AA1227" i="1"/>
  <c r="AA1412" i="1"/>
  <c r="AA1685" i="1"/>
  <c r="AB1685" i="1" s="1"/>
  <c r="AD1685" i="1" s="1"/>
  <c r="AB1206" i="1"/>
  <c r="AD1206" i="1" s="1"/>
  <c r="AM1205" i="1"/>
  <c r="AL1205" i="1" s="1"/>
  <c r="AA1626" i="1"/>
  <c r="AA920" i="1"/>
  <c r="AB920" i="1" s="1"/>
  <c r="AC2213" i="1"/>
  <c r="AA2213" i="1"/>
  <c r="AB2213" i="1" s="1"/>
  <c r="AD2213" i="1" s="1"/>
  <c r="AC2220" i="1"/>
  <c r="AA2220" i="1"/>
  <c r="AB2220" i="1" s="1"/>
  <c r="AD2220" i="1" s="1"/>
  <c r="AC2242" i="1"/>
  <c r="AA2242" i="1"/>
  <c r="AB2242" i="1" s="1"/>
  <c r="AD2242" i="1" s="1"/>
  <c r="AC2249" i="1"/>
  <c r="AA2249" i="1"/>
  <c r="AB2249" i="1" s="1"/>
  <c r="AD2249" i="1" s="1"/>
  <c r="AC2262" i="1"/>
  <c r="AA2262" i="1"/>
  <c r="AB2262" i="1" s="1"/>
  <c r="AD2262" i="1" s="1"/>
  <c r="AC2286" i="1"/>
  <c r="AA2286" i="1"/>
  <c r="AB2286" i="1" s="1"/>
  <c r="AD2286" i="1" s="1"/>
  <c r="AC2288" i="1"/>
  <c r="AA2288" i="1"/>
  <c r="AB2288" i="1" s="1"/>
  <c r="AD2288" i="1" s="1"/>
  <c r="AC2292" i="1"/>
  <c r="AA2292" i="1"/>
  <c r="AB2292" i="1" s="1"/>
  <c r="AD2292" i="1" s="1"/>
  <c r="AA1039" i="1"/>
  <c r="AA2268" i="1"/>
  <c r="AB2268" i="1" s="1"/>
  <c r="AD2268" i="1" s="1"/>
  <c r="AJ2268" i="1" s="1"/>
  <c r="AK2268" i="1" s="1"/>
  <c r="AA2272" i="1"/>
  <c r="AB2272" i="1" s="1"/>
  <c r="AD2272" i="1" s="1"/>
  <c r="AJ2272" i="1" s="1"/>
  <c r="AK2272" i="1" s="1"/>
  <c r="AA2246" i="1"/>
  <c r="AB2246" i="1" s="1"/>
  <c r="AD2246" i="1" s="1"/>
  <c r="AJ2246" i="1" s="1"/>
  <c r="AK2246" i="1" s="1"/>
  <c r="AA2257" i="1"/>
  <c r="AB2257" i="1" s="1"/>
  <c r="AD2257" i="1" s="1"/>
  <c r="AJ2257" i="1" s="1"/>
  <c r="AK2257" i="1" s="1"/>
  <c r="AC2211" i="1"/>
  <c r="AA2211" i="1"/>
  <c r="AB2211" i="1" s="1"/>
  <c r="AD2211" i="1" s="1"/>
  <c r="AC2251" i="1"/>
  <c r="AA2251" i="1"/>
  <c r="AB2251" i="1" s="1"/>
  <c r="AD2251" i="1" s="1"/>
  <c r="AC2253" i="1"/>
  <c r="AA2253" i="1"/>
  <c r="AB2253" i="1" s="1"/>
  <c r="AD2253" i="1" s="1"/>
  <c r="AC2255" i="1"/>
  <c r="AA2255" i="1"/>
  <c r="AB2255" i="1" s="1"/>
  <c r="AD2255" i="1" s="1"/>
  <c r="AC2260" i="1"/>
  <c r="AA2260" i="1"/>
  <c r="AB2260" i="1" s="1"/>
  <c r="AD2260" i="1" s="1"/>
  <c r="AC2266" i="1"/>
  <c r="AA2266" i="1"/>
  <c r="AB2266" i="1" s="1"/>
  <c r="AD2266" i="1" s="1"/>
  <c r="AC2270" i="1"/>
  <c r="AA2270" i="1"/>
  <c r="AB2270" i="1" s="1"/>
  <c r="AD2270" i="1" s="1"/>
  <c r="AC2284" i="1"/>
  <c r="AA2284" i="1"/>
  <c r="AB2284" i="1" s="1"/>
  <c r="AD2284" i="1" s="1"/>
  <c r="AA2264" i="1"/>
  <c r="AB2264" i="1" s="1"/>
  <c r="AD2264" i="1" s="1"/>
  <c r="AJ2264" i="1" s="1"/>
  <c r="AK2264" i="1" s="1"/>
  <c r="AA2222" i="1"/>
  <c r="AB2222" i="1" s="1"/>
  <c r="AD2222" i="1" s="1"/>
  <c r="AJ2222" i="1" s="1"/>
  <c r="AK2222" i="1" s="1"/>
  <c r="AA2296" i="1"/>
  <c r="AB2296" i="1" s="1"/>
  <c r="AD2296" i="1" s="1"/>
  <c r="AJ2296" i="1" s="1"/>
  <c r="AK2296" i="1" s="1"/>
  <c r="AA1497" i="1"/>
  <c r="AA2237" i="1"/>
  <c r="AB2237" i="1" s="1"/>
  <c r="AD2237" i="1" s="1"/>
  <c r="AJ2237" i="1" s="1"/>
  <c r="AK2237" i="1" s="1"/>
  <c r="AA2281" i="1"/>
  <c r="AB2281" i="1" s="1"/>
  <c r="AD2281" i="1" s="1"/>
  <c r="AJ2281" i="1" s="1"/>
  <c r="AK2281" i="1" s="1"/>
  <c r="AA1573" i="1"/>
  <c r="AA665" i="1"/>
  <c r="AA981" i="1"/>
  <c r="AD2528" i="1"/>
  <c r="AC2528" i="1"/>
  <c r="AD951" i="1"/>
  <c r="AC951" i="1"/>
  <c r="AD1587" i="1"/>
  <c r="AC1587" i="1"/>
  <c r="AB2199" i="1"/>
  <c r="AC2199" i="1"/>
  <c r="AA2487" i="1"/>
  <c r="AA2299" i="1"/>
  <c r="AB2299" i="1" s="1"/>
  <c r="AD2299" i="1" s="1"/>
  <c r="AJ2299" i="1" s="1"/>
  <c r="AK2299" i="1" s="1"/>
  <c r="AA1231" i="1"/>
  <c r="AA1411" i="1"/>
  <c r="AA1686" i="1"/>
  <c r="AM2216" i="1"/>
  <c r="AL2216" i="1" s="1"/>
  <c r="AA968" i="1"/>
  <c r="AA963" i="1"/>
  <c r="AA1874" i="1"/>
  <c r="AA2308" i="1"/>
  <c r="AN67" i="1"/>
  <c r="AA497" i="1"/>
  <c r="AD497" i="1" s="1"/>
  <c r="AA1404" i="1"/>
  <c r="AB1404" i="1" s="1"/>
  <c r="AA2071" i="1"/>
  <c r="AB2071" i="1" s="1"/>
  <c r="AA2489" i="1"/>
  <c r="AD2489" i="1" s="1"/>
  <c r="AA985" i="1"/>
  <c r="AD985" i="1" s="1"/>
  <c r="AA1111" i="1"/>
  <c r="AC1111" i="1" s="1"/>
  <c r="AA288" i="1"/>
  <c r="AD288" i="1" s="1"/>
  <c r="AA1052" i="1"/>
  <c r="AD1052" i="1" s="1"/>
  <c r="AA1822" i="1"/>
  <c r="AC1822" i="1" s="1"/>
  <c r="AA357" i="1"/>
  <c r="AB357" i="1" s="1"/>
  <c r="AA1925" i="1"/>
  <c r="AA1951" i="1"/>
  <c r="AB1951" i="1" s="1"/>
  <c r="AA2189" i="1"/>
  <c r="AB2189" i="1" s="1"/>
  <c r="AA2555" i="1"/>
  <c r="AA2494" i="1"/>
  <c r="AA1014" i="1"/>
  <c r="AA2448" i="1"/>
  <c r="AD2448" i="1" s="1"/>
  <c r="AA2454" i="1"/>
  <c r="AB2454" i="1" s="1"/>
  <c r="AA2462" i="1"/>
  <c r="AA2465" i="1"/>
  <c r="AA2098" i="1"/>
  <c r="AB2098" i="1" s="1"/>
  <c r="AD2098" i="1" s="1"/>
  <c r="AJ2098" i="1" s="1"/>
  <c r="AK2098" i="1" s="1"/>
  <c r="AA2094" i="1"/>
  <c r="AB2094" i="1" s="1"/>
  <c r="AD2094" i="1" s="1"/>
  <c r="AJ2094" i="1" s="1"/>
  <c r="AK2094" i="1" s="1"/>
  <c r="AA2250" i="1"/>
  <c r="AB2250" i="1" s="1"/>
  <c r="AD2250" i="1" s="1"/>
  <c r="AA694" i="1"/>
  <c r="AD694" i="1" s="1"/>
  <c r="AA2473" i="1"/>
  <c r="AA707" i="1"/>
  <c r="AB707" i="1" s="1"/>
  <c r="AA2472" i="1"/>
  <c r="AA573" i="1"/>
  <c r="AA637" i="1"/>
  <c r="AB637" i="1" s="1"/>
  <c r="AD637" i="1" s="1"/>
  <c r="AA1875" i="1"/>
  <c r="AB1875" i="1" s="1"/>
  <c r="AD1875" i="1" s="1"/>
  <c r="AA2307" i="1"/>
  <c r="AA965" i="1"/>
  <c r="AB965" i="1" s="1"/>
  <c r="AD965" i="1" s="1"/>
  <c r="AA132" i="1"/>
  <c r="AA574" i="1"/>
  <c r="AB574" i="1" s="1"/>
  <c r="AD574" i="1" s="1"/>
  <c r="AA616" i="1"/>
  <c r="AB616" i="1" s="1"/>
  <c r="AD616" i="1" s="1"/>
  <c r="AA636" i="1"/>
  <c r="AB636" i="1" s="1"/>
  <c r="AD636" i="1" s="1"/>
  <c r="AA940" i="1"/>
  <c r="AA1391" i="1"/>
  <c r="AA1695" i="1"/>
  <c r="AA1806" i="1"/>
  <c r="AA1805" i="1"/>
  <c r="AA2121" i="1"/>
  <c r="AB2121" i="1" s="1"/>
  <c r="AA1064" i="1"/>
  <c r="AB1064" i="1" s="1"/>
  <c r="AA1205" i="1"/>
  <c r="AB1205" i="1" s="1"/>
  <c r="AD1205" i="1" s="1"/>
  <c r="AA1627" i="1"/>
  <c r="AB1627" i="1" s="1"/>
  <c r="AD1627" i="1" s="1"/>
  <c r="AA844" i="1"/>
  <c r="AA1217" i="1"/>
  <c r="AA1473" i="1"/>
  <c r="AD1473" i="1" s="1"/>
  <c r="AA2339" i="1"/>
  <c r="AM1696" i="1"/>
  <c r="AL1696" i="1" s="1"/>
  <c r="AA226" i="1"/>
  <c r="AB226" i="1" s="1"/>
  <c r="AA325" i="1"/>
  <c r="AD325" i="1" s="1"/>
  <c r="AJ325" i="1" s="1"/>
  <c r="AK325" i="1" s="1"/>
  <c r="AA765" i="1"/>
  <c r="AA975" i="1"/>
  <c r="AD975" i="1" s="1"/>
  <c r="AA983" i="1"/>
  <c r="AA991" i="1"/>
  <c r="AD991" i="1" s="1"/>
  <c r="AJ991" i="1" s="1"/>
  <c r="AK991" i="1" s="1"/>
  <c r="AA1960" i="1"/>
  <c r="AA2187" i="1"/>
  <c r="AD2187" i="1" s="1"/>
  <c r="AA2359" i="1"/>
  <c r="AB2359" i="1" s="1"/>
  <c r="AA2407" i="1"/>
  <c r="AB2407" i="1" s="1"/>
  <c r="AA2423" i="1"/>
  <c r="AD2423" i="1" s="1"/>
  <c r="AJ2423" i="1" s="1"/>
  <c r="AK2423" i="1" s="1"/>
  <c r="AA977" i="1"/>
  <c r="AD977" i="1" s="1"/>
  <c r="AA984" i="1"/>
  <c r="AD984" i="1" s="1"/>
  <c r="AA992" i="1"/>
  <c r="AA1312" i="1"/>
  <c r="AA1392" i="1"/>
  <c r="AB1392" i="1" s="1"/>
  <c r="AA1423" i="1"/>
  <c r="AA1450" i="1"/>
  <c r="AA1570" i="1"/>
  <c r="AD1570" i="1" s="1"/>
  <c r="AJ1570" i="1" s="1"/>
  <c r="AK1570" i="1" s="1"/>
  <c r="AA1574" i="1"/>
  <c r="AD1574" i="1" s="1"/>
  <c r="AJ1574" i="1" s="1"/>
  <c r="AK1574" i="1" s="1"/>
  <c r="AA1607" i="1"/>
  <c r="AB1607" i="1" s="1"/>
  <c r="AA1615" i="1"/>
  <c r="AA1703" i="1"/>
  <c r="AB1703" i="1" s="1"/>
  <c r="AA1749" i="1"/>
  <c r="AB1749" i="1" s="1"/>
  <c r="AA1782" i="1"/>
  <c r="AD1782" i="1" s="1"/>
  <c r="AA1959" i="1"/>
  <c r="AA1994" i="1"/>
  <c r="AD1994" i="1" s="1"/>
  <c r="AJ1994" i="1" s="1"/>
  <c r="AK1994" i="1" s="1"/>
  <c r="AA2049" i="1"/>
  <c r="AD2049" i="1" s="1"/>
  <c r="AA2141" i="1"/>
  <c r="AA2150" i="1"/>
  <c r="AA2186" i="1"/>
  <c r="AD2186" i="1" s="1"/>
  <c r="AA2347" i="1"/>
  <c r="AB2347" i="1" s="1"/>
  <c r="AA2360" i="1"/>
  <c r="AB2360" i="1" s="1"/>
  <c r="AA2382" i="1"/>
  <c r="AA2386" i="1"/>
  <c r="AA2385" i="1"/>
  <c r="AA2391" i="1"/>
  <c r="AB2391" i="1" s="1"/>
  <c r="AA2405" i="1"/>
  <c r="AA2424" i="1"/>
  <c r="AB2424" i="1" s="1"/>
  <c r="AA2483" i="1"/>
  <c r="AA2511" i="1"/>
  <c r="AB2511" i="1" s="1"/>
  <c r="AA950" i="1"/>
  <c r="AD950" i="1" s="1"/>
  <c r="AA2504" i="1"/>
  <c r="AA2510" i="1"/>
  <c r="AB2510" i="1" s="1"/>
  <c r="AA1493" i="1"/>
  <c r="AD1493" i="1" s="1"/>
  <c r="AA1563" i="1"/>
  <c r="AD1563" i="1" s="1"/>
  <c r="AA1080" i="1"/>
  <c r="AD1080" i="1" s="1"/>
  <c r="AA2505" i="1"/>
  <c r="AB2505" i="1" s="1"/>
  <c r="AA1464" i="1"/>
  <c r="AD1464" i="1" s="1"/>
  <c r="AA704" i="1"/>
  <c r="AB704" i="1" s="1"/>
  <c r="AA1110" i="1"/>
  <c r="AB1110" i="1" s="1"/>
  <c r="AA155" i="1"/>
  <c r="AD155" i="1" s="1"/>
  <c r="AA1520" i="1"/>
  <c r="AA880" i="1"/>
  <c r="AB880" i="1" s="1"/>
  <c r="AA2207" i="1"/>
  <c r="AA1109" i="1"/>
  <c r="AB1109" i="1" s="1"/>
  <c r="AA1309" i="1"/>
  <c r="AB1309" i="1" s="1"/>
  <c r="AA1162" i="1"/>
  <c r="AA1170" i="1"/>
  <c r="AA1601" i="1"/>
  <c r="AB1601" i="1" s="1"/>
  <c r="AA472" i="1"/>
  <c r="AB472" i="1" s="1"/>
  <c r="AA618" i="1"/>
  <c r="AA625" i="1"/>
  <c r="AA628" i="1"/>
  <c r="AD628" i="1" s="1"/>
  <c r="AA632" i="1"/>
  <c r="AA642" i="1"/>
  <c r="AA1218" i="1"/>
  <c r="AA435" i="1"/>
  <c r="AD435" i="1" s="1"/>
  <c r="AA609" i="1"/>
  <c r="AA615" i="1"/>
  <c r="AB615" i="1" s="1"/>
  <c r="AA624" i="1"/>
  <c r="AB624" i="1" s="1"/>
  <c r="AA629" i="1"/>
  <c r="AB629" i="1" s="1"/>
  <c r="AA635" i="1"/>
  <c r="AB635" i="1" s="1"/>
  <c r="AA1225" i="1"/>
  <c r="AB1225" i="1" s="1"/>
  <c r="AA160" i="1"/>
  <c r="AA1122" i="1"/>
  <c r="AD1122" i="1" s="1"/>
  <c r="AA631" i="1"/>
  <c r="AA1126" i="1"/>
  <c r="AB1126" i="1" s="1"/>
  <c r="AA502" i="1"/>
  <c r="AA1368" i="1"/>
  <c r="AA511" i="1"/>
  <c r="AD511" i="1" s="1"/>
  <c r="AA501" i="1"/>
  <c r="AB501" i="1" s="1"/>
  <c r="AA670" i="1"/>
  <c r="AD670" i="1" s="1"/>
  <c r="AJ670" i="1" s="1"/>
  <c r="AK670" i="1" s="1"/>
  <c r="AA684" i="1"/>
  <c r="AD684" i="1" s="1"/>
  <c r="AJ684" i="1" s="1"/>
  <c r="AK684" i="1" s="1"/>
  <c r="AA899" i="1"/>
  <c r="AD899" i="1" s="1"/>
  <c r="AJ899" i="1" s="1"/>
  <c r="AK899" i="1" s="1"/>
  <c r="AA1416" i="1"/>
  <c r="AD1416" i="1" s="1"/>
  <c r="AJ1416" i="1" s="1"/>
  <c r="AK1416" i="1" s="1"/>
  <c r="AA1616" i="1"/>
  <c r="AD1616" i="1" s="1"/>
  <c r="AJ1616" i="1" s="1"/>
  <c r="AK1616" i="1" s="1"/>
  <c r="AA1778" i="1"/>
  <c r="AD1778" i="1" s="1"/>
  <c r="AJ1778" i="1" s="1"/>
  <c r="AK1778" i="1" s="1"/>
  <c r="AA2171" i="1"/>
  <c r="AD2171" i="1" s="1"/>
  <c r="AJ2171" i="1" s="1"/>
  <c r="AK2171" i="1" s="1"/>
  <c r="AA2404" i="1"/>
  <c r="AD2404" i="1" s="1"/>
  <c r="AJ2404" i="1" s="1"/>
  <c r="AK2404" i="1" s="1"/>
  <c r="AA1224" i="1"/>
  <c r="AD1224" i="1" s="1"/>
  <c r="AA1167" i="1"/>
  <c r="AB1167" i="1" s="1"/>
  <c r="AA2550" i="1"/>
  <c r="AB2550" i="1" s="1"/>
  <c r="AA197" i="1"/>
  <c r="AB197" i="1" s="1"/>
  <c r="AA324" i="1"/>
  <c r="AB324" i="1" s="1"/>
  <c r="AA721" i="1"/>
  <c r="AB721" i="1" s="1"/>
  <c r="AA823" i="1"/>
  <c r="AA1084" i="1"/>
  <c r="AA1148" i="1"/>
  <c r="AD1148" i="1" s="1"/>
  <c r="AA1193" i="1"/>
  <c r="AD1193" i="1" s="1"/>
  <c r="AJ1193" i="1" s="1"/>
  <c r="AK1193" i="1" s="1"/>
  <c r="AA1462" i="1"/>
  <c r="AD1462" i="1" s="1"/>
  <c r="AA460" i="1"/>
  <c r="AB460" i="1" s="1"/>
  <c r="AA1837" i="1"/>
  <c r="AB1837" i="1" s="1"/>
  <c r="AA1948" i="1"/>
  <c r="AA2353" i="1"/>
  <c r="AD2353" i="1" s="1"/>
  <c r="AA2508" i="1"/>
  <c r="AA856" i="1"/>
  <c r="AA1521" i="1"/>
  <c r="AA1079" i="1"/>
  <c r="AA457" i="1"/>
  <c r="AD457" i="1" s="1"/>
  <c r="AA1304" i="1"/>
  <c r="AA826" i="1"/>
  <c r="AA506" i="1"/>
  <c r="AB506" i="1" s="1"/>
  <c r="AA518" i="1"/>
  <c r="AB518" i="1" s="1"/>
  <c r="AA503" i="1"/>
  <c r="AB503" i="1" s="1"/>
  <c r="AA259" i="1"/>
  <c r="AB259" i="1" s="1"/>
  <c r="AA279" i="1"/>
  <c r="AC279" i="1" s="1"/>
  <c r="AA2076" i="1"/>
  <c r="AA2077" i="1"/>
  <c r="AA720" i="1"/>
  <c r="AB720" i="1" s="1"/>
  <c r="AA1524" i="1"/>
  <c r="AA1526" i="1"/>
  <c r="AB1526" i="1" s="1"/>
  <c r="AA2120" i="1"/>
  <c r="AA204" i="1"/>
  <c r="AB204" i="1" s="1"/>
  <c r="AA206" i="1"/>
  <c r="AB206" i="1" s="1"/>
  <c r="AA1165" i="1"/>
  <c r="AD1165" i="1" s="1"/>
  <c r="AA1174" i="1"/>
  <c r="AB1174" i="1" s="1"/>
  <c r="AA1166" i="1"/>
  <c r="AA2366" i="1"/>
  <c r="AB2366" i="1" s="1"/>
  <c r="AA1529" i="1"/>
  <c r="AA2024" i="1"/>
  <c r="AD2024" i="1" s="1"/>
  <c r="AA2025" i="1"/>
  <c r="AD2025" i="1" s="1"/>
  <c r="AA2122" i="1"/>
  <c r="AA209" i="1"/>
  <c r="AB209" i="1" s="1"/>
  <c r="AA2370" i="1"/>
  <c r="AB2370" i="1" s="1"/>
  <c r="AA2172" i="1"/>
  <c r="AB2172" i="1" s="1"/>
  <c r="AA927" i="1"/>
  <c r="AA2028" i="1"/>
  <c r="AB2028" i="1" s="1"/>
  <c r="AA1667" i="1"/>
  <c r="AA1670" i="1"/>
  <c r="AA1672" i="1"/>
  <c r="AA1674" i="1"/>
  <c r="AD1674" i="1" s="1"/>
  <c r="AA1507" i="1"/>
  <c r="AD1507" i="1" s="1"/>
  <c r="AJ1507" i="1" s="1"/>
  <c r="AK1507" i="1" s="1"/>
  <c r="AA485" i="1"/>
  <c r="AB485" i="1" s="1"/>
  <c r="AA861" i="1"/>
  <c r="AA705" i="1"/>
  <c r="AA1606" i="1"/>
  <c r="AA1608" i="1"/>
  <c r="AB1608" i="1" s="1"/>
  <c r="AA178" i="1"/>
  <c r="AD178" i="1" s="1"/>
  <c r="AC2221" i="1"/>
  <c r="AA2221" i="1"/>
  <c r="AB2221" i="1" s="1"/>
  <c r="AD2221" i="1" s="1"/>
  <c r="AC2238" i="1"/>
  <c r="AA2238" i="1"/>
  <c r="AB2238" i="1" s="1"/>
  <c r="AD2238" i="1" s="1"/>
  <c r="AC2240" i="1"/>
  <c r="AA2240" i="1"/>
  <c r="AB2240" i="1" s="1"/>
  <c r="AD2240" i="1" s="1"/>
  <c r="AC2247" i="1"/>
  <c r="AA2247" i="1"/>
  <c r="AB2247" i="1" s="1"/>
  <c r="AD2247" i="1" s="1"/>
  <c r="AC2252" i="1"/>
  <c r="AA2252" i="1"/>
  <c r="AB2252" i="1" s="1"/>
  <c r="AD2252" i="1" s="1"/>
  <c r="AC2258" i="1"/>
  <c r="AA2258" i="1"/>
  <c r="AB2258" i="1" s="1"/>
  <c r="AD2258" i="1" s="1"/>
  <c r="AC2263" i="1"/>
  <c r="AA2263" i="1"/>
  <c r="AB2263" i="1" s="1"/>
  <c r="AD2263" i="1" s="1"/>
  <c r="AC2271" i="1"/>
  <c r="AA2271" i="1"/>
  <c r="AB2271" i="1" s="1"/>
  <c r="AD2271" i="1" s="1"/>
  <c r="AC2297" i="1"/>
  <c r="AA2297" i="1"/>
  <c r="AB2297" i="1" s="1"/>
  <c r="AD2297" i="1" s="1"/>
  <c r="AA2101" i="1"/>
  <c r="AB2101" i="1" s="1"/>
  <c r="AD2101" i="1" s="1"/>
  <c r="AJ2101" i="1" s="1"/>
  <c r="AK2101" i="1" s="1"/>
  <c r="AA1393" i="1"/>
  <c r="AC2223" i="1"/>
  <c r="AA2223" i="1"/>
  <c r="AB2223" i="1" s="1"/>
  <c r="AD2223" i="1" s="1"/>
  <c r="AC2245" i="1"/>
  <c r="AA2245" i="1"/>
  <c r="AB2245" i="1" s="1"/>
  <c r="AD2245" i="1" s="1"/>
  <c r="AC2254" i="1"/>
  <c r="AA2254" i="1"/>
  <c r="AB2254" i="1" s="1"/>
  <c r="AD2254" i="1" s="1"/>
  <c r="AC2273" i="1"/>
  <c r="AA2273" i="1"/>
  <c r="AB2273" i="1" s="1"/>
  <c r="AD2273" i="1" s="1"/>
  <c r="AC2287" i="1"/>
  <c r="AA2287" i="1"/>
  <c r="AB2287" i="1" s="1"/>
  <c r="AD2287" i="1" s="1"/>
  <c r="AA1000" i="1"/>
  <c r="AA2285" i="1"/>
  <c r="AB2285" i="1" s="1"/>
  <c r="AD2285" i="1" s="1"/>
  <c r="AJ2285" i="1" s="1"/>
  <c r="AK2285" i="1" s="1"/>
  <c r="AC2218" i="1"/>
  <c r="AA2218" i="1"/>
  <c r="AB2218" i="1" s="1"/>
  <c r="AD2218" i="1" s="1"/>
  <c r="AA2256" i="1"/>
  <c r="AB2256" i="1" s="1"/>
  <c r="AD2256" i="1" s="1"/>
  <c r="AC2256" i="1"/>
  <c r="AC2261" i="1"/>
  <c r="AA2261" i="1"/>
  <c r="AB2261" i="1" s="1"/>
  <c r="AD2261" i="1" s="1"/>
  <c r="AC2265" i="1"/>
  <c r="AA2265" i="1"/>
  <c r="AB2265" i="1" s="1"/>
  <c r="AD2265" i="1" s="1"/>
  <c r="AC2269" i="1"/>
  <c r="AA2269" i="1"/>
  <c r="AB2269" i="1" s="1"/>
  <c r="AD2269" i="1" s="1"/>
  <c r="AA2275" i="1"/>
  <c r="AB2275" i="1" s="1"/>
  <c r="AD2275" i="1" s="1"/>
  <c r="AC2275" i="1"/>
  <c r="AC2282" i="1"/>
  <c r="AA2282" i="1"/>
  <c r="AB2282" i="1" s="1"/>
  <c r="AD2282" i="1" s="1"/>
  <c r="AA2289" i="1"/>
  <c r="AB2289" i="1" s="1"/>
  <c r="AD2289" i="1" s="1"/>
  <c r="AC2289" i="1"/>
  <c r="AC2293" i="1"/>
  <c r="AA2293" i="1"/>
  <c r="AB2293" i="1" s="1"/>
  <c r="AD2293" i="1" s="1"/>
  <c r="AC2250" i="1"/>
  <c r="AA2267" i="1"/>
  <c r="AB2267" i="1" s="1"/>
  <c r="AD2267" i="1" s="1"/>
  <c r="AJ2267" i="1" s="1"/>
  <c r="AK2267" i="1" s="1"/>
  <c r="AA2" i="1"/>
  <c r="AA832" i="1"/>
  <c r="AA1100" i="1"/>
  <c r="AD1100" i="1" s="1"/>
  <c r="AA986" i="1"/>
  <c r="AA1289" i="1"/>
  <c r="AB1289" i="1" s="1"/>
  <c r="AA1397" i="1"/>
  <c r="AB1397" i="1" s="1"/>
  <c r="AA1443" i="1"/>
  <c r="AB1443" i="1" s="1"/>
  <c r="AA1609" i="1"/>
  <c r="AA1704" i="1"/>
  <c r="AB1704" i="1" s="1"/>
  <c r="AA2132" i="1"/>
  <c r="AB2132" i="1" s="1"/>
  <c r="AA2200" i="1"/>
  <c r="AA2392" i="1"/>
  <c r="AA982" i="1"/>
  <c r="AD2526" i="1"/>
  <c r="AA12" i="1"/>
  <c r="AB12" i="1" s="1"/>
  <c r="AA95" i="1"/>
  <c r="AA224" i="1"/>
  <c r="AA227" i="1"/>
  <c r="AB227" i="1" s="1"/>
  <c r="AA326" i="1"/>
  <c r="AB326" i="1" s="1"/>
  <c r="AA393" i="1"/>
  <c r="AB393" i="1" s="1"/>
  <c r="AA462" i="1"/>
  <c r="AD462" i="1" s="1"/>
  <c r="AA543" i="1"/>
  <c r="AA554" i="1"/>
  <c r="AA771" i="1"/>
  <c r="AD771" i="1" s="1"/>
  <c r="AA828" i="1"/>
  <c r="AA831" i="1"/>
  <c r="AA1073" i="1"/>
  <c r="AB1073" i="1" s="1"/>
  <c r="AA1087" i="1"/>
  <c r="AA1106" i="1"/>
  <c r="AB1106" i="1" s="1"/>
  <c r="AA1108" i="1"/>
  <c r="AB1108" i="1" s="1"/>
  <c r="AA1152" i="1"/>
  <c r="AB1152" i="1" s="1"/>
  <c r="AA1180" i="1"/>
  <c r="AD1180" i="1" s="1"/>
  <c r="AJ1180" i="1" s="1"/>
  <c r="AK1180" i="1" s="1"/>
  <c r="AA1192" i="1"/>
  <c r="AB1192" i="1" s="1"/>
  <c r="AA1527" i="1"/>
  <c r="AA1558" i="1"/>
  <c r="AA1560" i="1"/>
  <c r="AA1568" i="1"/>
  <c r="AA2499" i="1"/>
  <c r="AA290" i="1"/>
  <c r="AD290" i="1" s="1"/>
  <c r="AB1587" i="1"/>
  <c r="AA303" i="1"/>
  <c r="AB1062" i="1"/>
  <c r="AD1062" i="1"/>
  <c r="AD806" i="1"/>
  <c r="AA2304" i="1"/>
  <c r="AA134" i="1"/>
  <c r="AA617" i="1"/>
  <c r="AA1952" i="1"/>
  <c r="AA105" i="1"/>
  <c r="AD105" i="1" s="1"/>
  <c r="AA1495" i="1"/>
  <c r="AA1769" i="1"/>
  <c r="D89" i="3"/>
  <c r="AC1648" i="1" l="1"/>
  <c r="AC562" i="1"/>
  <c r="AJ562" i="1" s="1"/>
  <c r="AK562" i="1" s="1"/>
  <c r="AC1449" i="1"/>
  <c r="AC839" i="1"/>
  <c r="AJ839" i="1" s="1"/>
  <c r="AK839" i="1" s="1"/>
  <c r="AD2" i="1"/>
  <c r="AC2" i="1"/>
  <c r="AC2319" i="1"/>
  <c r="AJ2319" i="1" s="1"/>
  <c r="AK2319" i="1" s="1"/>
  <c r="AC560" i="1"/>
  <c r="AJ560" i="1" s="1"/>
  <c r="AK560" i="1" s="1"/>
  <c r="AC561" i="1"/>
  <c r="AJ561" i="1" s="1"/>
  <c r="AK561" i="1" s="1"/>
  <c r="AC565" i="1"/>
  <c r="AC1969" i="1"/>
  <c r="AJ272" i="1"/>
  <c r="AK272" i="1" s="1"/>
  <c r="AS272" i="1" a="1"/>
  <c r="AS272" i="1" s="1"/>
  <c r="AT272" i="1" s="1"/>
  <c r="AJ271" i="1"/>
  <c r="AK271" i="1" s="1"/>
  <c r="AS271" i="1" a="1"/>
  <c r="AS271" i="1" s="1"/>
  <c r="AT271" i="1" s="1"/>
  <c r="AC2558" i="1"/>
  <c r="AC2409" i="1"/>
  <c r="AC2436" i="1"/>
  <c r="AC683" i="1"/>
  <c r="AC2173" i="1"/>
  <c r="AC1604" i="1"/>
  <c r="AS1604" i="1" s="1" a="1"/>
  <c r="AS1604" i="1" s="1"/>
  <c r="AT1604" i="1" s="1"/>
  <c r="AC1602" i="1"/>
  <c r="AC2174" i="1"/>
  <c r="AC1270" i="1"/>
  <c r="AC1153" i="1"/>
  <c r="AC689" i="1"/>
  <c r="AC909" i="1"/>
  <c r="AS909" i="1" s="1" a="1"/>
  <c r="AS909" i="1" s="1"/>
  <c r="AT909" i="1" s="1"/>
  <c r="AC1250" i="1"/>
  <c r="AS1250" i="1" s="1" a="1"/>
  <c r="AS1250" i="1" s="1"/>
  <c r="AT1250" i="1" s="1"/>
  <c r="AC2557" i="1"/>
  <c r="AC1257" i="1"/>
  <c r="AS1257" i="1" s="1" a="1"/>
  <c r="AS1257" i="1" s="1"/>
  <c r="AT1257" i="1" s="1"/>
  <c r="AC1249" i="1"/>
  <c r="AC910" i="1"/>
  <c r="AC682" i="1"/>
  <c r="AC484" i="1"/>
  <c r="AS484" i="1" s="1" a="1"/>
  <c r="AS484" i="1" s="1"/>
  <c r="AT484" i="1" s="1"/>
  <c r="AC1271" i="1"/>
  <c r="AC688" i="1"/>
  <c r="AC532" i="1"/>
  <c r="AS532" i="1" s="1" a="1"/>
  <c r="AS532" i="1" s="1"/>
  <c r="AT532" i="1" s="1"/>
  <c r="AC1155" i="1"/>
  <c r="AC1254" i="1"/>
  <c r="AS1254" i="1" s="1" a="1"/>
  <c r="AS1254" i="1" s="1"/>
  <c r="AT1254" i="1" s="1"/>
  <c r="AC1248" i="1"/>
  <c r="AS1248" i="1" s="1" a="1"/>
  <c r="AS1248" i="1" s="1"/>
  <c r="AT1248" i="1" s="1"/>
  <c r="AC1255" i="1"/>
  <c r="AC1256" i="1"/>
  <c r="AS1256" i="1" s="1" a="1"/>
  <c r="AS1256" i="1" s="1"/>
  <c r="AT1256" i="1" s="1"/>
  <c r="AC1603" i="1"/>
  <c r="AC1272" i="1"/>
  <c r="AC1247" i="1"/>
  <c r="AC1252" i="1"/>
  <c r="AC1269" i="1"/>
  <c r="AC1156" i="1"/>
  <c r="AC2410" i="1"/>
  <c r="AC1253" i="1"/>
  <c r="AC533" i="1"/>
  <c r="AC483" i="1"/>
  <c r="AS483" i="1" s="1" a="1"/>
  <c r="AS483" i="1" s="1"/>
  <c r="AT483" i="1" s="1"/>
  <c r="AC1605" i="1"/>
  <c r="AC1251" i="1"/>
  <c r="AC1258" i="1"/>
  <c r="AS1258" i="1" s="1" a="1"/>
  <c r="AS1258" i="1" s="1"/>
  <c r="AT1258" i="1" s="1"/>
  <c r="AC1154" i="1"/>
  <c r="AC99" i="1"/>
  <c r="AC100" i="1"/>
  <c r="AC98" i="1"/>
  <c r="AC2087" i="1"/>
  <c r="AC1993" i="1"/>
  <c r="AC866" i="1"/>
  <c r="AC1681" i="1"/>
  <c r="AC1992" i="1"/>
  <c r="AC1988" i="1"/>
  <c r="AC1987" i="1"/>
  <c r="AC418" i="1"/>
  <c r="AC1545" i="1"/>
  <c r="AC1986" i="1"/>
  <c r="AC932" i="1"/>
  <c r="AC865" i="1"/>
  <c r="AC864" i="1"/>
  <c r="AC602" i="1"/>
  <c r="AC74" i="1"/>
  <c r="AS74" i="1" s="1" a="1"/>
  <c r="AS74" i="1" s="1"/>
  <c r="AT74" i="1" s="1"/>
  <c r="AC931" i="1"/>
  <c r="AC419" i="1"/>
  <c r="AC1355" i="1"/>
  <c r="AC73" i="1"/>
  <c r="AC601" i="1"/>
  <c r="AS601" i="1" s="1" a="1"/>
  <c r="AS601" i="1" s="1"/>
  <c r="AT601" i="1" s="1"/>
  <c r="AC1354" i="1"/>
  <c r="AC603" i="1"/>
  <c r="AC1544" i="1"/>
  <c r="AC420" i="1"/>
  <c r="AC72" i="1"/>
  <c r="AC895" i="1"/>
  <c r="AC2088" i="1"/>
  <c r="AC917" i="1"/>
  <c r="AC1653" i="1"/>
  <c r="AJ1653" i="1" s="1"/>
  <c r="AK1653" i="1" s="1"/>
  <c r="AC1813" i="1"/>
  <c r="AC1025" i="1"/>
  <c r="AC1652" i="1"/>
  <c r="AJ1652" i="1" s="1"/>
  <c r="AK1652" i="1" s="1"/>
  <c r="AC183" i="1"/>
  <c r="AS183" i="1" s="1" a="1"/>
  <c r="AS183" i="1" s="1"/>
  <c r="AT183" i="1" s="1"/>
  <c r="AJ498" i="1"/>
  <c r="AK498" i="1" s="1"/>
  <c r="AJ494" i="1"/>
  <c r="AK494" i="1" s="1"/>
  <c r="AJ493" i="1"/>
  <c r="AK493" i="1" s="1"/>
  <c r="AS499" i="1"/>
  <c r="AT499" i="1" s="1"/>
  <c r="AU499" i="1" s="1"/>
  <c r="AJ499" i="1"/>
  <c r="AK499" i="1" s="1"/>
  <c r="AJ332" i="1"/>
  <c r="AK332" i="1" s="1"/>
  <c r="AS332" i="1" a="1"/>
  <c r="AS332" i="1" s="1"/>
  <c r="AT332" i="1" s="1"/>
  <c r="AJ366" i="1"/>
  <c r="AK366" i="1" s="1"/>
  <c r="AS498" i="1"/>
  <c r="AT498" i="1" s="1"/>
  <c r="AU498" i="1" s="1"/>
  <c r="AJ1857" i="1"/>
  <c r="AK1857" i="1" s="1"/>
  <c r="AC777" i="1"/>
  <c r="AC1996" i="1"/>
  <c r="AS1996" i="1" s="1" a="1"/>
  <c r="AS1996" i="1" s="1"/>
  <c r="AT1996" i="1" s="1"/>
  <c r="AC530" i="1"/>
  <c r="AC838" i="1"/>
  <c r="AJ838" i="1" s="1"/>
  <c r="AK838" i="1" s="1"/>
  <c r="AC524" i="1"/>
  <c r="AC71" i="1"/>
  <c r="AC1542" i="1"/>
  <c r="AJ1542" i="1" s="1"/>
  <c r="AK1542" i="1" s="1"/>
  <c r="AC1540" i="1"/>
  <c r="AJ1540" i="1" s="1"/>
  <c r="AK1540" i="1" s="1"/>
  <c r="AC1539" i="1"/>
  <c r="AJ1539" i="1" s="1"/>
  <c r="AK1539" i="1" s="1"/>
  <c r="AC2037" i="1"/>
  <c r="AS2037" i="1" s="1" a="1"/>
  <c r="AS2037" i="1" s="1"/>
  <c r="AT2037" i="1" s="1"/>
  <c r="AC1989" i="1"/>
  <c r="AC1991" i="1"/>
  <c r="AJ1991" i="1" s="1"/>
  <c r="AK1991" i="1" s="1"/>
  <c r="AC75" i="1"/>
  <c r="AC2127" i="1"/>
  <c r="AC1541" i="1"/>
  <c r="AJ1541" i="1" s="1"/>
  <c r="AK1541" i="1" s="1"/>
  <c r="AC1353" i="1"/>
  <c r="AJ1353" i="1" s="1"/>
  <c r="AK1353" i="1" s="1"/>
  <c r="AC1628" i="1"/>
  <c r="AC1675" i="1"/>
  <c r="AC851" i="1"/>
  <c r="AC850" i="1"/>
  <c r="AC2086" i="1"/>
  <c r="AC1288" i="1"/>
  <c r="AC529" i="1"/>
  <c r="AC167" i="1"/>
  <c r="AC1909" i="1"/>
  <c r="AC1876" i="1"/>
  <c r="AC349" i="1"/>
  <c r="AC182" i="1"/>
  <c r="AC739" i="1"/>
  <c r="AC258" i="1"/>
  <c r="AC2324" i="1"/>
  <c r="AC480" i="1"/>
  <c r="AC580" i="1"/>
  <c r="AS580" i="1" s="1"/>
  <c r="AT580" i="1" s="1"/>
  <c r="AU580" i="1" s="1"/>
  <c r="AC816" i="1"/>
  <c r="AC669" i="1"/>
  <c r="AC584" i="1"/>
  <c r="AC582" i="1"/>
  <c r="AC581" i="1"/>
  <c r="AC583" i="1"/>
  <c r="AC1567" i="1"/>
  <c r="AC818" i="1"/>
  <c r="AC819" i="1"/>
  <c r="AC579" i="1"/>
  <c r="AC817" i="1"/>
  <c r="AC2208" i="1"/>
  <c r="AC1896" i="1"/>
  <c r="AC1894" i="1"/>
  <c r="AC1897" i="1"/>
  <c r="AJ1897" i="1" s="1"/>
  <c r="AK1897" i="1" s="1"/>
  <c r="AC1895" i="1"/>
  <c r="AC1356" i="1"/>
  <c r="AJ1530" i="1"/>
  <c r="AK1530" i="1" s="1"/>
  <c r="AS1530" i="1" a="1"/>
  <c r="AS1530" i="1" s="1"/>
  <c r="AT1530" i="1" s="1"/>
  <c r="AJ333" i="1"/>
  <c r="AK333" i="1" s="1"/>
  <c r="AS333" i="1" a="1"/>
  <c r="AS333" i="1" s="1"/>
  <c r="AT333" i="1" s="1"/>
  <c r="AJ1849" i="1"/>
  <c r="AK1849" i="1" s="1"/>
  <c r="AS1849" i="1" a="1"/>
  <c r="AS1849" i="1" s="1"/>
  <c r="AT1849" i="1" s="1"/>
  <c r="AJ2542" i="1"/>
  <c r="AK2542" i="1" s="1"/>
  <c r="AJ367" i="1"/>
  <c r="AK367" i="1" s="1"/>
  <c r="AJ1982" i="1"/>
  <c r="AJ1600" i="1"/>
  <c r="AJ1713" i="1"/>
  <c r="AK1713" i="1" s="1"/>
  <c r="AJ301" i="1"/>
  <c r="AS1177" i="1"/>
  <c r="AT1177" i="1" s="1"/>
  <c r="AU1177" i="1" s="1"/>
  <c r="AJ1209" i="1"/>
  <c r="AK1209" i="1" s="1"/>
  <c r="AJ2137" i="1"/>
  <c r="AJ2181" i="1"/>
  <c r="AS61" i="1"/>
  <c r="AT61" i="1" s="1"/>
  <c r="AU61" i="1" s="1"/>
  <c r="AJ61" i="1"/>
  <c r="AK61" i="1" s="1"/>
  <c r="AS1866" i="1"/>
  <c r="AT1866" i="1" s="1"/>
  <c r="AU1866" i="1" s="1"/>
  <c r="AJ1866" i="1"/>
  <c r="AK1866" i="1" s="1"/>
  <c r="AJ1487" i="1"/>
  <c r="AK1487" i="1" s="1"/>
  <c r="AS1487" i="1"/>
  <c r="AT1487" i="1" s="1"/>
  <c r="AU1487" i="1" s="1"/>
  <c r="AS853" i="1"/>
  <c r="AT853" i="1" s="1"/>
  <c r="AU853" i="1" s="1"/>
  <c r="AJ853" i="1"/>
  <c r="AK853" i="1" s="1"/>
  <c r="AS745" i="1"/>
  <c r="AT745" i="1" s="1"/>
  <c r="AU745" i="1" s="1"/>
  <c r="AJ745" i="1"/>
  <c r="AK745" i="1" s="1"/>
  <c r="AJ1869" i="1"/>
  <c r="AK1869" i="1" s="1"/>
  <c r="AS1869" i="1"/>
  <c r="AT1869" i="1" s="1"/>
  <c r="AU1869" i="1" s="1"/>
  <c r="AS1486" i="1"/>
  <c r="AT1486" i="1" s="1"/>
  <c r="AU1486" i="1" s="1"/>
  <c r="AJ1486" i="1"/>
  <c r="AK1486" i="1" s="1"/>
  <c r="AS2565" i="1"/>
  <c r="AT2565" i="1" s="1"/>
  <c r="AU2565" i="1" s="1"/>
  <c r="AJ2565" i="1"/>
  <c r="AK2565" i="1" s="1"/>
  <c r="AC1631" i="1"/>
  <c r="AC1779" i="1"/>
  <c r="AC1315" i="1"/>
  <c r="AC2441" i="1"/>
  <c r="AJ2441" i="1" s="1"/>
  <c r="AK2441" i="1" s="1"/>
  <c r="AC1029" i="1"/>
  <c r="AJ1029" i="1" s="1"/>
  <c r="AK1029" i="1" s="1"/>
  <c r="AC407" i="1"/>
  <c r="AJ407" i="1" s="1"/>
  <c r="AK407" i="1" s="1"/>
  <c r="AC2446" i="1"/>
  <c r="AJ2446" i="1" s="1"/>
  <c r="AK2446" i="1" s="1"/>
  <c r="AC779" i="1"/>
  <c r="AJ779" i="1" s="1"/>
  <c r="AK779" i="1" s="1"/>
  <c r="AC897" i="1"/>
  <c r="AJ897" i="1" s="1"/>
  <c r="AK897" i="1" s="1"/>
  <c r="AC1136" i="1"/>
  <c r="AC2183" i="1"/>
  <c r="AC2010" i="1"/>
  <c r="AC2030" i="1"/>
  <c r="AC1858" i="1"/>
  <c r="AC1888" i="1"/>
  <c r="AC1877" i="1"/>
  <c r="AC1267" i="1"/>
  <c r="AC1472" i="1"/>
  <c r="AC935" i="1"/>
  <c r="AC1002" i="1"/>
  <c r="AC708" i="1"/>
  <c r="AC989" i="1"/>
  <c r="AC700" i="1"/>
  <c r="AC1505" i="1"/>
  <c r="AC330" i="1"/>
  <c r="AC1468" i="1"/>
  <c r="AC359" i="1"/>
  <c r="AC1461" i="1"/>
  <c r="AS1461" i="1" s="1"/>
  <c r="AT1461" i="1" s="1"/>
  <c r="AU1461" i="1" s="1"/>
  <c r="AC741" i="1"/>
  <c r="AC1466" i="1"/>
  <c r="AC1459" i="1"/>
  <c r="AC1037" i="1"/>
  <c r="AC1771" i="1"/>
  <c r="AC2569" i="1"/>
  <c r="AC699" i="1"/>
  <c r="AS699" i="1" s="1"/>
  <c r="AT699" i="1" s="1"/>
  <c r="AU699" i="1" s="1"/>
  <c r="AJ350" i="1"/>
  <c r="AK350" i="1" s="1"/>
  <c r="AS350" i="1"/>
  <c r="AT350" i="1" s="1"/>
  <c r="AU350" i="1" s="1"/>
  <c r="AJ1850" i="1"/>
  <c r="AK1850" i="1" s="1"/>
  <c r="AS1850" i="1"/>
  <c r="AT1850" i="1" s="1"/>
  <c r="AU1850" i="1" s="1"/>
  <c r="AJ908" i="1"/>
  <c r="AK908" i="1" s="1"/>
  <c r="AS908" i="1"/>
  <c r="AT908" i="1" s="1"/>
  <c r="AU908" i="1" s="1"/>
  <c r="AJ1485" i="1"/>
  <c r="AK1485" i="1" s="1"/>
  <c r="AS1485" i="1"/>
  <c r="AT1485" i="1" s="1"/>
  <c r="AU1485" i="1" s="1"/>
  <c r="AJ698" i="1"/>
  <c r="AK698" i="1" s="1"/>
  <c r="AS698" i="1"/>
  <c r="AT698" i="1" s="1"/>
  <c r="AU698" i="1" s="1"/>
  <c r="AJ936" i="1"/>
  <c r="AK936" i="1" s="1"/>
  <c r="AS936" i="1"/>
  <c r="AT936" i="1" s="1"/>
  <c r="AU936" i="1" s="1"/>
  <c r="AJ1745" i="1"/>
  <c r="AK1745" i="1" s="1"/>
  <c r="AS1745" i="1"/>
  <c r="AT1745" i="1" s="1"/>
  <c r="AU1745" i="1" s="1"/>
  <c r="AS1488" i="1"/>
  <c r="AT1488" i="1" s="1"/>
  <c r="AU1488" i="1" s="1"/>
  <c r="AJ1488" i="1"/>
  <c r="AK1488" i="1" s="1"/>
  <c r="AJ2545" i="1"/>
  <c r="AK2545" i="1" s="1"/>
  <c r="AS2545" i="1"/>
  <c r="AT2545" i="1" s="1"/>
  <c r="AU2545" i="1" s="1"/>
  <c r="AJ746" i="1"/>
  <c r="AK746" i="1" s="1"/>
  <c r="AS746" i="1"/>
  <c r="AT746" i="1" s="1"/>
  <c r="AU746" i="1" s="1"/>
  <c r="AJ1177" i="1"/>
  <c r="AK1177" i="1" s="1"/>
  <c r="AJ1484" i="1"/>
  <c r="AK1484" i="1" s="1"/>
  <c r="AS1484" i="1"/>
  <c r="AT1484" i="1" s="1"/>
  <c r="AU1484" i="1" s="1"/>
  <c r="AS1209" i="1"/>
  <c r="AT1209" i="1" s="1"/>
  <c r="AU1209" i="1" s="1"/>
  <c r="AS1482" i="1"/>
  <c r="AT1482" i="1" s="1"/>
  <c r="AU1482" i="1" s="1"/>
  <c r="AJ1482" i="1"/>
  <c r="AK1482" i="1" s="1"/>
  <c r="AJ731" i="1"/>
  <c r="AJ1339" i="1"/>
  <c r="AJ1409" i="1"/>
  <c r="AJ2352" i="1"/>
  <c r="AJ1612" i="1"/>
  <c r="AJ755" i="1"/>
  <c r="AJ495" i="1"/>
  <c r="AJ1557" i="1"/>
  <c r="AJ1454" i="1"/>
  <c r="AJ1935" i="1"/>
  <c r="AK1935" i="1" s="1"/>
  <c r="AS1935" i="1"/>
  <c r="AT1935" i="1" s="1"/>
  <c r="AU1935" i="1" s="1"/>
  <c r="AD1879" i="1"/>
  <c r="AC1879" i="1"/>
  <c r="AD1878" i="1"/>
  <c r="AC1878" i="1"/>
  <c r="AS738" i="1"/>
  <c r="AT738" i="1" s="1"/>
  <c r="AU738" i="1" s="1"/>
  <c r="AJ1599" i="1"/>
  <c r="AJ585" i="1"/>
  <c r="AJ732" i="1"/>
  <c r="AJ1295" i="1"/>
  <c r="AJ2129" i="1"/>
  <c r="AJ385" i="1"/>
  <c r="AJ1038" i="1"/>
  <c r="AJ1099" i="1"/>
  <c r="AJ2152" i="1"/>
  <c r="AJ1095" i="1"/>
  <c r="AJ1382" i="1"/>
  <c r="AJ557" i="1"/>
  <c r="AJ744" i="1"/>
  <c r="AC1241" i="1"/>
  <c r="AC1244" i="1"/>
  <c r="AC1243" i="1"/>
  <c r="AJ549" i="1"/>
  <c r="AC2009" i="1"/>
  <c r="AC2356" i="1"/>
  <c r="AC2357" i="1"/>
  <c r="AC1552" i="1"/>
  <c r="AC542" i="1"/>
  <c r="AC1286" i="1"/>
  <c r="AS1286" i="1" s="1" a="1"/>
  <c r="AS1286" i="1" s="1"/>
  <c r="AT1286" i="1" s="1"/>
  <c r="AC2431" i="1"/>
  <c r="AC1056" i="1"/>
  <c r="AC2570" i="1"/>
  <c r="AC1892" i="1"/>
  <c r="AC2131" i="1"/>
  <c r="AC2059" i="1"/>
  <c r="AC2034" i="1"/>
  <c r="AC2068" i="1"/>
  <c r="AC2481" i="1"/>
  <c r="AC2011" i="1"/>
  <c r="AJ2011" i="1" s="1"/>
  <c r="AC1901" i="1"/>
  <c r="AC1890" i="1"/>
  <c r="AC1891" i="1"/>
  <c r="AC1899" i="1"/>
  <c r="AC1886" i="1"/>
  <c r="AC1884" i="1"/>
  <c r="AC1893" i="1"/>
  <c r="AC1908" i="1"/>
  <c r="AC1900" i="1"/>
  <c r="AC1882" i="1"/>
  <c r="AC1881" i="1"/>
  <c r="AC2044" i="1"/>
  <c r="AC1883" i="1"/>
  <c r="AC1293" i="1"/>
  <c r="AC1556" i="1"/>
  <c r="AC1555" i="1"/>
  <c r="AC1296" i="1"/>
  <c r="AC1802" i="1"/>
  <c r="AC1885" i="1"/>
  <c r="AC1549" i="1"/>
  <c r="AC1546" i="1"/>
  <c r="AC1759" i="1"/>
  <c r="AC1644" i="1"/>
  <c r="AC1887" i="1"/>
  <c r="AC1512" i="1"/>
  <c r="AC1301" i="1"/>
  <c r="AC1551" i="1"/>
  <c r="AC1550" i="1"/>
  <c r="AC1044" i="1"/>
  <c r="AC1093" i="1"/>
  <c r="AC990" i="1"/>
  <c r="AJ990" i="1" s="1"/>
  <c r="AC1086" i="1"/>
  <c r="AC1092" i="1"/>
  <c r="AC1278" i="1"/>
  <c r="AC1091" i="1"/>
  <c r="AC1090" i="1"/>
  <c r="AC1005" i="1"/>
  <c r="AC1094" i="1"/>
  <c r="AC750" i="1"/>
  <c r="AC756" i="1"/>
  <c r="AC754" i="1"/>
  <c r="AC558" i="1"/>
  <c r="AC403" i="1"/>
  <c r="AC246" i="1"/>
  <c r="AC16" i="1"/>
  <c r="AJ16" i="1" s="1"/>
  <c r="AC365" i="1"/>
  <c r="AC309" i="1"/>
  <c r="AC370" i="1"/>
  <c r="AC14" i="1"/>
  <c r="AJ14" i="1" s="1"/>
  <c r="AC1446" i="1"/>
  <c r="AC1719" i="1"/>
  <c r="AC1907" i="1"/>
  <c r="AC445" i="1"/>
  <c r="AC893" i="1"/>
  <c r="AC1889" i="1"/>
  <c r="AC1046" i="1"/>
  <c r="AJ1046" i="1" s="1"/>
  <c r="AC383" i="1"/>
  <c r="AC1958" i="1"/>
  <c r="AJ1958" i="1" s="1"/>
  <c r="AC957" i="1"/>
  <c r="AC21" i="1"/>
  <c r="AC1047" i="1"/>
  <c r="AJ1047" i="1" s="1"/>
  <c r="AC331" i="1"/>
  <c r="AJ331" i="1" s="1"/>
  <c r="AC2566" i="1"/>
  <c r="AC1097" i="1"/>
  <c r="AC1204" i="1"/>
  <c r="AC2185" i="1"/>
  <c r="AC1072" i="1"/>
  <c r="AC1160" i="1"/>
  <c r="AC941" i="1"/>
  <c r="AC1242" i="1"/>
  <c r="AC488" i="1"/>
  <c r="AC489" i="1"/>
  <c r="AC2490" i="1"/>
  <c r="AC1202" i="1"/>
  <c r="AC1200" i="1"/>
  <c r="AC1967" i="1"/>
  <c r="AC1964" i="1"/>
  <c r="AC141" i="1"/>
  <c r="AC144" i="1"/>
  <c r="AC1196" i="1"/>
  <c r="AC1707" i="1"/>
  <c r="AC2180" i="1"/>
  <c r="AC1448" i="1"/>
  <c r="AC1968" i="1"/>
  <c r="AC887" i="1"/>
  <c r="AC1965" i="1"/>
  <c r="AC564" i="1"/>
  <c r="AC1614" i="1"/>
  <c r="AS2535" i="1"/>
  <c r="AT2535" i="1" s="1"/>
  <c r="AU2535" i="1" s="1"/>
  <c r="AD1613" i="1"/>
  <c r="AC1613" i="1"/>
  <c r="AB1613" i="1"/>
  <c r="AD1615" i="1"/>
  <c r="AC1615" i="1"/>
  <c r="AB1615" i="1"/>
  <c r="AS2335" i="1"/>
  <c r="AT2335" i="1" s="1"/>
  <c r="AU2335" i="1" s="1"/>
  <c r="AS2333" i="1"/>
  <c r="AT2333" i="1" s="1"/>
  <c r="AU2333" i="1" s="1"/>
  <c r="AS1793" i="1"/>
  <c r="AT1793" i="1" s="1"/>
  <c r="AU1793" i="1" s="1"/>
  <c r="AS1638" i="1"/>
  <c r="AT1638" i="1" s="1"/>
  <c r="AU1638" i="1" s="1"/>
  <c r="AS2486" i="1"/>
  <c r="AT2486" i="1" s="1"/>
  <c r="AU2486" i="1" s="1"/>
  <c r="AS1591" i="1"/>
  <c r="AT1591" i="1" s="1"/>
  <c r="AU1591" i="1" s="1"/>
  <c r="AS1804" i="1"/>
  <c r="AT1804" i="1" s="1"/>
  <c r="AU1804" i="1" s="1"/>
  <c r="AS845" i="1"/>
  <c r="AT845" i="1" s="1"/>
  <c r="AU845" i="1" s="1"/>
  <c r="AJ901" i="1"/>
  <c r="AJ820" i="1"/>
  <c r="AJ1898" i="1"/>
  <c r="AJ1911" i="1"/>
  <c r="AK1911" i="1" s="1"/>
  <c r="AC1042" i="1"/>
  <c r="AS1042" i="1" s="1"/>
  <c r="AT1042" i="1" s="1"/>
  <c r="AU1042" i="1" s="1"/>
  <c r="AC1041" i="1"/>
  <c r="AS1041" i="1" s="1"/>
  <c r="AT1041" i="1" s="1"/>
  <c r="AU1041" i="1" s="1"/>
  <c r="AC915" i="1"/>
  <c r="AS915" i="1" s="1"/>
  <c r="AT915" i="1" s="1"/>
  <c r="AU915" i="1" s="1"/>
  <c r="AC2445" i="1"/>
  <c r="AS2445" i="1" s="1"/>
  <c r="AT2445" i="1" s="1"/>
  <c r="AU2445" i="1" s="1"/>
  <c r="AC916" i="1"/>
  <c r="AC2032" i="1"/>
  <c r="AC607" i="1"/>
  <c r="AC606" i="1"/>
  <c r="AC2104" i="1"/>
  <c r="AS2104" i="1" s="1"/>
  <c r="AT2104" i="1" s="1"/>
  <c r="AU2104" i="1" s="1"/>
  <c r="AC2163" i="1"/>
  <c r="AS2163" i="1" s="1"/>
  <c r="AT2163" i="1" s="1"/>
  <c r="AU2163" i="1" s="1"/>
  <c r="AC608" i="1"/>
  <c r="AC1921" i="1"/>
  <c r="AC2408" i="1"/>
  <c r="AC6" i="1"/>
  <c r="AC93" i="1"/>
  <c r="AC4" i="1"/>
  <c r="AC1007" i="1"/>
  <c r="AC5" i="1"/>
  <c r="AC1006" i="1"/>
  <c r="AC92" i="1"/>
  <c r="AJ1942" i="1"/>
  <c r="AJ527" i="1"/>
  <c r="AJ1852" i="1"/>
  <c r="AJ1880" i="1"/>
  <c r="AJ1934" i="1"/>
  <c r="AJ1804" i="1"/>
  <c r="AK1804" i="1" s="1"/>
  <c r="AJ1514" i="1"/>
  <c r="AK1514" i="1" s="1"/>
  <c r="AJ1516" i="1"/>
  <c r="AK1516" i="1" s="1"/>
  <c r="AJ845" i="1"/>
  <c r="AK845" i="1" s="1"/>
  <c r="AC751" i="1"/>
  <c r="AC753" i="1"/>
  <c r="AC747" i="1"/>
  <c r="AC749" i="1"/>
  <c r="AC2318" i="1"/>
  <c r="AC2317" i="1"/>
  <c r="AC181" i="1"/>
  <c r="AC2196" i="1"/>
  <c r="AC1711" i="1"/>
  <c r="AC1715" i="1"/>
  <c r="AC2092" i="1"/>
  <c r="AC886" i="1"/>
  <c r="AC889" i="1"/>
  <c r="AC2089" i="1"/>
  <c r="AC2091" i="1"/>
  <c r="AC2090" i="1"/>
  <c r="AC2062" i="1"/>
  <c r="AC2061" i="1"/>
  <c r="AC2060" i="1"/>
  <c r="AC2063" i="1"/>
  <c r="AC166" i="1"/>
  <c r="AS166" i="1" s="1"/>
  <c r="AT166" i="1" s="1"/>
  <c r="AU166" i="1" s="1"/>
  <c r="AC563" i="1"/>
  <c r="AC559" i="1"/>
  <c r="AC1716" i="1"/>
  <c r="AC523" i="1"/>
  <c r="AC1919" i="1"/>
  <c r="AC890" i="1"/>
  <c r="AC1916" i="1"/>
  <c r="AC1923" i="1"/>
  <c r="AC1920" i="1"/>
  <c r="AC1966" i="1"/>
  <c r="AC888" i="1"/>
  <c r="AC1709" i="1"/>
  <c r="AC973" i="1"/>
  <c r="AC1710" i="1"/>
  <c r="AC1714" i="1"/>
  <c r="AC525" i="1"/>
  <c r="AC2316" i="1"/>
  <c r="AS2316" i="1" s="1"/>
  <c r="AT2316" i="1" s="1"/>
  <c r="AU2316" i="1" s="1"/>
  <c r="AC1963" i="1"/>
  <c r="AC1918" i="1"/>
  <c r="AC101" i="1"/>
  <c r="AC1182" i="1"/>
  <c r="AC1292" i="1"/>
  <c r="AC1291" i="1"/>
  <c r="AC1338" i="1"/>
  <c r="AC1762" i="1"/>
  <c r="AC87" i="1"/>
  <c r="AC2344" i="1"/>
  <c r="AC681" i="1"/>
  <c r="AC307" i="1"/>
  <c r="AC88" i="1"/>
  <c r="AC306" i="1"/>
  <c r="AC1785" i="1"/>
  <c r="AC1387" i="1"/>
  <c r="AC1786" i="1"/>
  <c r="AC679" i="1"/>
  <c r="AC1784" i="1"/>
  <c r="AC1737" i="1"/>
  <c r="AC2345" i="1"/>
  <c r="AC1386" i="1"/>
  <c r="AC1388" i="1"/>
  <c r="AC680" i="1"/>
  <c r="AC308" i="1"/>
  <c r="AC1034" i="1"/>
  <c r="AC86" i="1"/>
  <c r="AC2346" i="1"/>
  <c r="AC1033" i="1"/>
  <c r="AC1031" i="1"/>
  <c r="AC980" i="1"/>
  <c r="AC68" i="1"/>
  <c r="AC2133" i="1"/>
  <c r="AC1026" i="1"/>
  <c r="AC780" i="1"/>
  <c r="AC1708" i="1"/>
  <c r="AS1708" i="1" s="1"/>
  <c r="AT1708" i="1" s="1"/>
  <c r="AU1708" i="1" s="1"/>
  <c r="AC675" i="1"/>
  <c r="AS675" i="1" s="1"/>
  <c r="AT675" i="1" s="1"/>
  <c r="AU675" i="1" s="1"/>
  <c r="AC1376" i="1"/>
  <c r="AC2294" i="1"/>
  <c r="AS2294" i="1" s="1"/>
  <c r="AT2294" i="1" s="1"/>
  <c r="AU2294" i="1" s="1"/>
  <c r="AC305" i="1"/>
  <c r="AC678" i="1"/>
  <c r="AC2343" i="1"/>
  <c r="AC304" i="1"/>
  <c r="AJ655" i="1"/>
  <c r="AK655" i="1" s="1"/>
  <c r="AJ1475" i="1"/>
  <c r="AK1475" i="1" s="1"/>
  <c r="AJ1283" i="1"/>
  <c r="AK1283" i="1" s="1"/>
  <c r="AJ1476" i="1"/>
  <c r="AK1476" i="1" s="1"/>
  <c r="AJ1515" i="1"/>
  <c r="AK1515" i="1" s="1"/>
  <c r="AJ354" i="1"/>
  <c r="AK354" i="1" s="1"/>
  <c r="AJ656" i="1"/>
  <c r="AK656" i="1" s="1"/>
  <c r="AJ1285" i="1"/>
  <c r="AK1285" i="1" s="1"/>
  <c r="AJ1477" i="1"/>
  <c r="AK1477" i="1" s="1"/>
  <c r="AJ657" i="1"/>
  <c r="AK657" i="1" s="1"/>
  <c r="AJ1284" i="1"/>
  <c r="AK1284" i="1" s="1"/>
  <c r="AJ1478" i="1"/>
  <c r="AK1478" i="1" s="1"/>
  <c r="AD1949" i="1"/>
  <c r="AB1949" i="1"/>
  <c r="AJ1474" i="1"/>
  <c r="AK1474" i="1" s="1"/>
  <c r="AC1538" i="1"/>
  <c r="AS1538" i="1" s="1"/>
  <c r="AT1538" i="1" s="1"/>
  <c r="AU1538" i="1" s="1"/>
  <c r="AC979" i="1"/>
  <c r="AC195" i="1"/>
  <c r="AS195" i="1" s="1"/>
  <c r="AT195" i="1" s="1"/>
  <c r="AU195" i="1" s="1"/>
  <c r="AC2177" i="1"/>
  <c r="AS2177" i="1" s="1"/>
  <c r="AT2177" i="1" s="1"/>
  <c r="AU2177" i="1" s="1"/>
  <c r="AC1030" i="1"/>
  <c r="AC2340" i="1"/>
  <c r="AS2340" i="1" s="1"/>
  <c r="AT2340" i="1" s="1"/>
  <c r="AU2340" i="1" s="1"/>
  <c r="AC849" i="1"/>
  <c r="AS849" i="1" s="1"/>
  <c r="AT849" i="1" s="1"/>
  <c r="AU849" i="1" s="1"/>
  <c r="AB1806" i="1"/>
  <c r="AD1806" i="1"/>
  <c r="AC1806" i="1"/>
  <c r="AC1865" i="1"/>
  <c r="AC599" i="1"/>
  <c r="AC594" i="1"/>
  <c r="AC590" i="1"/>
  <c r="AC2038" i="1"/>
  <c r="AC863" i="1"/>
  <c r="AC2093" i="1"/>
  <c r="AC2064" i="1"/>
  <c r="AC184" i="1"/>
  <c r="AC1598" i="1"/>
  <c r="AS1598" i="1" s="1"/>
  <c r="AT1598" i="1" s="1"/>
  <c r="AU1598" i="1" s="1"/>
  <c r="AC2128" i="1"/>
  <c r="AC1543" i="1"/>
  <c r="AC1440" i="1"/>
  <c r="AC180" i="1"/>
  <c r="AC898" i="1"/>
  <c r="AC3" i="1"/>
  <c r="AC8" i="1"/>
  <c r="AC415" i="1"/>
  <c r="AC412" i="1"/>
  <c r="AC1032" i="1"/>
  <c r="AC9" i="1"/>
  <c r="AC2342" i="1"/>
  <c r="AC600" i="1"/>
  <c r="AC597" i="1"/>
  <c r="AC586" i="1"/>
  <c r="AC1447" i="1"/>
  <c r="AC589" i="1"/>
  <c r="AC421" i="1"/>
  <c r="AC1787" i="1"/>
  <c r="AC1385" i="1"/>
  <c r="AC605" i="1"/>
  <c r="AC677" i="1"/>
  <c r="AC1783" i="1"/>
  <c r="AJ1513" i="1"/>
  <c r="AK1513" i="1" s="1"/>
  <c r="AJ1282" i="1"/>
  <c r="AK1282" i="1" s="1"/>
  <c r="AJ1833" i="1"/>
  <c r="AK1833" i="1" s="1"/>
  <c r="AD765" i="1"/>
  <c r="AB765" i="1"/>
  <c r="AC1623" i="1"/>
  <c r="AC930" i="1"/>
  <c r="AC417" i="1"/>
  <c r="AC85" i="1"/>
  <c r="AC2341" i="1"/>
  <c r="AC1981" i="1"/>
  <c r="AD1925" i="1"/>
  <c r="AB1925" i="1"/>
  <c r="AJ344" i="1"/>
  <c r="AK344" i="1" s="1"/>
  <c r="AJ2486" i="1"/>
  <c r="AK2486" i="1" s="1"/>
  <c r="AJ1827" i="1"/>
  <c r="AK1827" i="1" s="1"/>
  <c r="AJ2335" i="1"/>
  <c r="AK2335" i="1" s="1"/>
  <c r="AJ341" i="1"/>
  <c r="AK341" i="1" s="1"/>
  <c r="AJ1638" i="1"/>
  <c r="AK1638" i="1" s="1"/>
  <c r="AJ1829" i="1"/>
  <c r="AK1829" i="1" s="1"/>
  <c r="AJ2333" i="1"/>
  <c r="AK2333" i="1" s="1"/>
  <c r="AJ345" i="1"/>
  <c r="AK345" i="1" s="1"/>
  <c r="AJ738" i="1"/>
  <c r="AK738" i="1" s="1"/>
  <c r="AJ733" i="1"/>
  <c r="AK733" i="1" s="1"/>
  <c r="AC748" i="1"/>
  <c r="AC1008" i="1"/>
  <c r="AC94" i="1"/>
  <c r="AC1864" i="1"/>
  <c r="AC752" i="1"/>
  <c r="AC1308" i="1"/>
  <c r="AC380" i="1"/>
  <c r="AS380" i="1" s="1"/>
  <c r="AT380" i="1" s="1"/>
  <c r="AU380" i="1" s="1"/>
  <c r="AC490" i="1"/>
  <c r="AS490" i="1" s="1"/>
  <c r="AT490" i="1" s="1"/>
  <c r="AU490" i="1" s="1"/>
  <c r="AC1179" i="1"/>
  <c r="AS1179" i="1" s="1"/>
  <c r="AC1407" i="1"/>
  <c r="AS1407" i="1" s="1"/>
  <c r="AC1314" i="1"/>
  <c r="AS1314" i="1" s="1"/>
  <c r="AT1314" i="1" s="1"/>
  <c r="AU1314" i="1" s="1"/>
  <c r="AC381" i="1"/>
  <c r="AS381" i="1" s="1"/>
  <c r="AT381" i="1" s="1"/>
  <c r="AU381" i="1" s="1"/>
  <c r="AC126" i="1"/>
  <c r="AS126" i="1" s="1"/>
  <c r="AT126" i="1" s="1"/>
  <c r="AU126" i="1" s="1"/>
  <c r="AC922" i="1"/>
  <c r="AS922" i="1" s="1"/>
  <c r="AT922" i="1" s="1"/>
  <c r="AU922" i="1" s="1"/>
  <c r="AC954" i="1"/>
  <c r="AS954" i="1" s="1"/>
  <c r="AT954" i="1" s="1"/>
  <c r="AU954" i="1" s="1"/>
  <c r="AC2054" i="1"/>
  <c r="AS2054" i="1" s="1"/>
  <c r="AT2054" i="1" s="1"/>
  <c r="AU2054" i="1" s="1"/>
  <c r="AC1036" i="1"/>
  <c r="AS1036" i="1" s="1"/>
  <c r="AT1036" i="1" s="1"/>
  <c r="AU1036" i="1" s="1"/>
  <c r="AC1054" i="1"/>
  <c r="AS1054" i="1" s="1"/>
  <c r="AT1054" i="1" s="1"/>
  <c r="AU1054" i="1" s="1"/>
  <c r="AC1465" i="1"/>
  <c r="AS1465" i="1" s="1"/>
  <c r="AC2176" i="1"/>
  <c r="AS2176" i="1" s="1"/>
  <c r="AT2176" i="1" s="1"/>
  <c r="AU2176" i="1" s="1"/>
  <c r="AC1458" i="1"/>
  <c r="AS1458" i="1" s="1"/>
  <c r="AC1050" i="1"/>
  <c r="AS1050" i="1" s="1"/>
  <c r="AT1050" i="1" s="1"/>
  <c r="AU1050" i="1" s="1"/>
  <c r="AC382" i="1"/>
  <c r="AS382" i="1" s="1"/>
  <c r="AT382" i="1" s="1"/>
  <c r="AU382" i="1" s="1"/>
  <c r="AC1924" i="1"/>
  <c r="AS1924" i="1" s="1"/>
  <c r="AT1924" i="1" s="1"/>
  <c r="AU1924" i="1" s="1"/>
  <c r="AC1580" i="1"/>
  <c r="AS1580" i="1" s="1"/>
  <c r="AT1580" i="1" s="1"/>
  <c r="AU1580" i="1" s="1"/>
  <c r="AC157" i="1"/>
  <c r="AS157" i="1" s="1"/>
  <c r="AC1232" i="1"/>
  <c r="AS1232" i="1" s="1"/>
  <c r="AT1232" i="1" s="1"/>
  <c r="AU1232" i="1" s="1"/>
  <c r="AC127" i="1"/>
  <c r="AS127" i="1" s="1"/>
  <c r="AC974" i="1"/>
  <c r="AS974" i="1" s="1"/>
  <c r="AT974" i="1" s="1"/>
  <c r="AU974" i="1" s="1"/>
  <c r="AC596" i="1"/>
  <c r="AS596" i="1" s="1"/>
  <c r="AC2479" i="1"/>
  <c r="AS2479" i="1" s="1"/>
  <c r="AT2479" i="1" s="1"/>
  <c r="AU2479" i="1" s="1"/>
  <c r="AC661" i="1"/>
  <c r="AS661" i="1" s="1"/>
  <c r="AC1548" i="1"/>
  <c r="AS1548" i="1" s="1"/>
  <c r="AT1548" i="1" s="1"/>
  <c r="AU1548" i="1" s="1"/>
  <c r="AC487" i="1"/>
  <c r="AS487" i="1" s="1"/>
  <c r="AT487" i="1" s="1"/>
  <c r="AU487" i="1" s="1"/>
  <c r="AC1578" i="1"/>
  <c r="AS1578" i="1" s="1"/>
  <c r="AT1578" i="1" s="1"/>
  <c r="AU1578" i="1" s="1"/>
  <c r="AC379" i="1"/>
  <c r="AS379" i="1" s="1"/>
  <c r="AT379" i="1" s="1"/>
  <c r="AU379" i="1" s="1"/>
  <c r="AC491" i="1"/>
  <c r="AS491" i="1" s="1"/>
  <c r="AT491" i="1" s="1"/>
  <c r="AU491" i="1" s="1"/>
  <c r="AC2425" i="1"/>
  <c r="AS2425" i="1" s="1"/>
  <c r="AT2425" i="1" s="1"/>
  <c r="AU2425" i="1" s="1"/>
  <c r="AC1053" i="1"/>
  <c r="AS1053" i="1" s="1"/>
  <c r="AT1053" i="1" s="1"/>
  <c r="AU1053" i="1" s="1"/>
  <c r="AC1656" i="1"/>
  <c r="AS1656" i="1" s="1"/>
  <c r="AT1656" i="1" s="1"/>
  <c r="AU1656" i="1" s="1"/>
  <c r="AC1630" i="1"/>
  <c r="AS1630" i="1" s="1"/>
  <c r="AT1630" i="1" s="1"/>
  <c r="AU1630" i="1" s="1"/>
  <c r="AC1657" i="1"/>
  <c r="AS1657" i="1" s="1"/>
  <c r="AT1657" i="1" s="1"/>
  <c r="AU1657" i="1" s="1"/>
  <c r="AC1702" i="1"/>
  <c r="AS1702" i="1" s="1"/>
  <c r="AT1702" i="1" s="1"/>
  <c r="AU1702" i="1" s="1"/>
  <c r="AC1748" i="1"/>
  <c r="AS1748" i="1" s="1"/>
  <c r="AC1150" i="1"/>
  <c r="AC1142" i="1"/>
  <c r="AS1142" i="1" s="1"/>
  <c r="AT1142" i="1" s="1"/>
  <c r="AU1142" i="1" s="1"/>
  <c r="AC867" i="1"/>
  <c r="AS867" i="1" s="1"/>
  <c r="AT867" i="1" s="1"/>
  <c r="AU867" i="1" s="1"/>
  <c r="AC20" i="1"/>
  <c r="AC1679" i="1"/>
  <c r="AS1679" i="1" s="1"/>
  <c r="AT1679" i="1" s="1"/>
  <c r="AU1679" i="1" s="1"/>
  <c r="AC196" i="1"/>
  <c r="AS196" i="1" s="1"/>
  <c r="AT196" i="1" s="1"/>
  <c r="AU196" i="1" s="1"/>
  <c r="AC214" i="1"/>
  <c r="AS214" i="1" s="1"/>
  <c r="AT214" i="1" s="1"/>
  <c r="AU214" i="1" s="1"/>
  <c r="AC1680" i="1"/>
  <c r="AS1680" i="1" s="1"/>
  <c r="AT1680" i="1" s="1"/>
  <c r="AU1680" i="1" s="1"/>
  <c r="AC1870" i="1"/>
  <c r="AS1870" i="1" s="1"/>
  <c r="AT1870" i="1" s="1"/>
  <c r="AU1870" i="1" s="1"/>
  <c r="AC245" i="1"/>
  <c r="AS245" i="1" s="1"/>
  <c r="AT245" i="1" s="1"/>
  <c r="AU245" i="1" s="1"/>
  <c r="AC1676" i="1"/>
  <c r="AS1676" i="1" s="1"/>
  <c r="AT1676" i="1" s="1"/>
  <c r="AU1676" i="1" s="1"/>
  <c r="AC531" i="1"/>
  <c r="AS531" i="1" s="1"/>
  <c r="AT531" i="1" s="1"/>
  <c r="AU531" i="1" s="1"/>
  <c r="AC576" i="1"/>
  <c r="AS576" i="1" s="1"/>
  <c r="AT576" i="1" s="1"/>
  <c r="AU576" i="1" s="1"/>
  <c r="AC1677" i="1"/>
  <c r="AS1677" i="1" s="1"/>
  <c r="AC1678" i="1"/>
  <c r="AS1678" i="1" s="1"/>
  <c r="AC2139" i="1"/>
  <c r="AS2139" i="1" s="1"/>
  <c r="AT2139" i="1" s="1"/>
  <c r="AU2139" i="1" s="1"/>
  <c r="AC90" i="1"/>
  <c r="AS90" i="1" s="1"/>
  <c r="AT90" i="1" s="1"/>
  <c r="AU90" i="1" s="1"/>
  <c r="AC1024" i="1"/>
  <c r="AS1024" i="1" s="1"/>
  <c r="AT1024" i="1" s="1"/>
  <c r="AU1024" i="1" s="1"/>
  <c r="AC702" i="1"/>
  <c r="AS702" i="1" s="1"/>
  <c r="AT702" i="1" s="1"/>
  <c r="AU702" i="1" s="1"/>
  <c r="AC107" i="1"/>
  <c r="AS107" i="1" s="1"/>
  <c r="AT107" i="1" s="1"/>
  <c r="AU107" i="1" s="1"/>
  <c r="AC1135" i="1"/>
  <c r="AS1135" i="1" s="1"/>
  <c r="AT1135" i="1" s="1"/>
  <c r="AU1135" i="1" s="1"/>
  <c r="AC2108" i="1"/>
  <c r="AC912" i="1"/>
  <c r="AC913" i="1"/>
  <c r="AC1131" i="1"/>
  <c r="AC2109" i="1"/>
  <c r="AC1132" i="1"/>
  <c r="AC2113" i="1"/>
  <c r="AC136" i="1"/>
  <c r="AS136" i="1" s="1"/>
  <c r="AT136" i="1" s="1"/>
  <c r="AU136" i="1" s="1"/>
  <c r="AC138" i="1"/>
  <c r="AC914" i="1"/>
  <c r="AC137" i="1"/>
  <c r="AC2110" i="1"/>
  <c r="AC1294" i="1"/>
  <c r="AS1294" i="1" s="1"/>
  <c r="AT1294" i="1" s="1"/>
  <c r="AU1294" i="1" s="1"/>
  <c r="AC1035" i="1"/>
  <c r="AJ1035" i="1" s="1"/>
  <c r="AK1035" i="1" s="1"/>
  <c r="AC285" i="1"/>
  <c r="AC712" i="1"/>
  <c r="AC713" i="1"/>
  <c r="AC711" i="1"/>
  <c r="AC7" i="1"/>
  <c r="AC2033" i="1"/>
  <c r="AC1115" i="1"/>
  <c r="AC1441" i="1"/>
  <c r="AC595" i="1"/>
  <c r="AC456" i="1"/>
  <c r="AC604" i="1"/>
  <c r="AC587" i="1"/>
  <c r="AC598" i="1"/>
  <c r="AC592" i="1"/>
  <c r="AC588" i="1"/>
  <c r="AC458" i="1"/>
  <c r="AC593" i="1"/>
  <c r="AC1732" i="1"/>
  <c r="AC1734" i="1"/>
  <c r="AC1731" i="1"/>
  <c r="AC1736" i="1"/>
  <c r="AC1730" i="1"/>
  <c r="AC1735" i="1"/>
  <c r="AC1733" i="1"/>
  <c r="AC1729" i="1"/>
  <c r="AC2106" i="1"/>
  <c r="AC2111" i="1"/>
  <c r="AC1129" i="1"/>
  <c r="AC253" i="1"/>
  <c r="AD762" i="1"/>
  <c r="AC315" i="1"/>
  <c r="AC318" i="1"/>
  <c r="AC763" i="1"/>
  <c r="AD763" i="1"/>
  <c r="AC322" i="1"/>
  <c r="AC254" i="1"/>
  <c r="AC251" i="1"/>
  <c r="AC761" i="1"/>
  <c r="AC255" i="1"/>
  <c r="AC321" i="1"/>
  <c r="AC319" i="1"/>
  <c r="AC317" i="1"/>
  <c r="AC250" i="1"/>
  <c r="AC256" i="1"/>
  <c r="AC757" i="1"/>
  <c r="AC316" i="1"/>
  <c r="AC762" i="1"/>
  <c r="AC320" i="1"/>
  <c r="AC758" i="1"/>
  <c r="AD758" i="1"/>
  <c r="AC764" i="1"/>
  <c r="AD316" i="1"/>
  <c r="AC759" i="1"/>
  <c r="AC252" i="1"/>
  <c r="AD320" i="1"/>
  <c r="AC249" i="1"/>
  <c r="AD318" i="1"/>
  <c r="AC760" i="1"/>
  <c r="AD757" i="1"/>
  <c r="AD321" i="1"/>
  <c r="AD760" i="1"/>
  <c r="AD322" i="1"/>
  <c r="AD761" i="1"/>
  <c r="AD317" i="1"/>
  <c r="AD319" i="1"/>
  <c r="AD759" i="1"/>
  <c r="AD315" i="1"/>
  <c r="AD764" i="1"/>
  <c r="AC1113" i="1"/>
  <c r="AC82" i="1"/>
  <c r="AC1752" i="1"/>
  <c r="AC1754" i="1"/>
  <c r="AC1757" i="1"/>
  <c r="AC2376" i="1"/>
  <c r="AC83" i="1"/>
  <c r="AC84" i="1"/>
  <c r="AC2018" i="1"/>
  <c r="AC1756" i="1"/>
  <c r="AC1758" i="1"/>
  <c r="AC79" i="1"/>
  <c r="AC81" i="1"/>
  <c r="AC1753" i="1"/>
  <c r="AC80" i="1"/>
  <c r="AC1694" i="1"/>
  <c r="AC827" i="1"/>
  <c r="AC406" i="1"/>
  <c r="AC830" i="1"/>
  <c r="AC824" i="1"/>
  <c r="AC994" i="1"/>
  <c r="AC544" i="1"/>
  <c r="AC364" i="1"/>
  <c r="AC778" i="1"/>
  <c r="AC145" i="1"/>
  <c r="AC1210" i="1"/>
  <c r="AC1211" i="1"/>
  <c r="AC821" i="1"/>
  <c r="AC2444" i="1"/>
  <c r="AC1962" i="1"/>
  <c r="AC1399" i="1"/>
  <c r="AC1395" i="1"/>
  <c r="AC1926" i="1"/>
  <c r="AC2440" i="1"/>
  <c r="AC89" i="1"/>
  <c r="AC2112" i="1"/>
  <c r="AC18" i="1"/>
  <c r="AC894" i="1"/>
  <c r="AC911" i="1"/>
  <c r="AC2358" i="1"/>
  <c r="AC215" i="1"/>
  <c r="AC2107" i="1"/>
  <c r="AC135" i="1"/>
  <c r="AS135" i="1" s="1"/>
  <c r="AT135" i="1" s="1"/>
  <c r="AU135" i="1" s="1"/>
  <c r="AC1130" i="1"/>
  <c r="AC78" i="1"/>
  <c r="AS78" i="1" s="1"/>
  <c r="AT78" i="1" s="1"/>
  <c r="AU78" i="1" s="1"/>
  <c r="AC1755" i="1"/>
  <c r="AC710" i="1"/>
  <c r="AC17" i="1"/>
  <c r="AC146" i="1"/>
  <c r="AC1692" i="1"/>
  <c r="AC416" i="1"/>
  <c r="AC591" i="1"/>
  <c r="AC2178" i="1"/>
  <c r="AC2179" i="1"/>
  <c r="AC76" i="1"/>
  <c r="AC2475" i="1"/>
  <c r="AC2355" i="1"/>
  <c r="AC1003" i="1"/>
  <c r="AC1537" i="1"/>
  <c r="AS1537" i="1" s="1"/>
  <c r="AT1537" i="1" s="1"/>
  <c r="AU1537" i="1" s="1"/>
  <c r="AC1010" i="1"/>
  <c r="AC198" i="1"/>
  <c r="AS198" i="1" s="1"/>
  <c r="AT198" i="1" s="1"/>
  <c r="AU198" i="1" s="1"/>
  <c r="AC900" i="1"/>
  <c r="AC2169" i="1"/>
  <c r="AC384" i="1"/>
  <c r="AC1396" i="1"/>
  <c r="AC842" i="1"/>
  <c r="AS842" i="1" s="1"/>
  <c r="AT842" i="1" s="1"/>
  <c r="AU842" i="1" s="1"/>
  <c r="AC142" i="1"/>
  <c r="AC139" i="1"/>
  <c r="AC944" i="1"/>
  <c r="AC933" i="1"/>
  <c r="AC1649" i="1"/>
  <c r="AC1764" i="1"/>
  <c r="AC475" i="1"/>
  <c r="AC387" i="1"/>
  <c r="AC1847" i="1"/>
  <c r="AC2134" i="1"/>
  <c r="AC1662" i="1"/>
  <c r="AC1317" i="1"/>
  <c r="AC568" i="1"/>
  <c r="AC569" i="1"/>
  <c r="AC1985" i="1"/>
  <c r="AC1320" i="1"/>
  <c r="AC2442" i="1"/>
  <c r="AJ2442" i="1" s="1"/>
  <c r="AK2442" i="1" s="1"/>
  <c r="AC386" i="1"/>
  <c r="AS386" i="1" s="1"/>
  <c r="AT386" i="1" s="1"/>
  <c r="AU386" i="1" s="1"/>
  <c r="AC378" i="1"/>
  <c r="AS378" i="1" s="1"/>
  <c r="AT378" i="1" s="1"/>
  <c r="AU378" i="1" s="1"/>
  <c r="AC2135" i="1"/>
  <c r="AC1502" i="1"/>
  <c r="AC143" i="1"/>
  <c r="AS143" i="1" s="1"/>
  <c r="AT143" i="1" s="1"/>
  <c r="AU143" i="1" s="1"/>
  <c r="AC476" i="1"/>
  <c r="AC140" i="1"/>
  <c r="AS140" i="1" s="1"/>
  <c r="AT140" i="1" s="1"/>
  <c r="AU140" i="1" s="1"/>
  <c r="AC174" i="1"/>
  <c r="AC1428" i="1"/>
  <c r="AS1428" i="1" s="1"/>
  <c r="AT1428" i="1" s="1"/>
  <c r="AU1428" i="1" s="1"/>
  <c r="AC2476" i="1"/>
  <c r="AC328" i="1"/>
  <c r="AC2496" i="1"/>
  <c r="AC1723" i="1"/>
  <c r="AC2167" i="1"/>
  <c r="AC987" i="1"/>
  <c r="AC1597" i="1"/>
  <c r="AC575" i="1"/>
  <c r="AC1903" i="1"/>
  <c r="AC552" i="1"/>
  <c r="AC404" i="1"/>
  <c r="AC1101" i="1"/>
  <c r="AC2567" i="1"/>
  <c r="AC199" i="1"/>
  <c r="AC1509" i="1"/>
  <c r="AC2228" i="1"/>
  <c r="AC2162" i="1"/>
  <c r="AC2474" i="1"/>
  <c r="AC1761" i="1"/>
  <c r="AJ1761" i="1" s="1"/>
  <c r="AK1761" i="1" s="1"/>
  <c r="AC1127" i="1"/>
  <c r="AC1690" i="1"/>
  <c r="AC1431" i="1"/>
  <c r="AC376" i="1"/>
  <c r="AC1245" i="1"/>
  <c r="AC474" i="1"/>
  <c r="AC1430" i="1"/>
  <c r="AC1821" i="1"/>
  <c r="AC394" i="1"/>
  <c r="AC1561" i="1"/>
  <c r="AC486" i="1"/>
  <c r="AC369" i="1"/>
  <c r="AC91" i="1"/>
  <c r="AC1689" i="1"/>
  <c r="AC1336" i="1"/>
  <c r="AC69" i="1"/>
  <c r="AC173" i="1"/>
  <c r="AC1843" i="1"/>
  <c r="AC1112" i="1"/>
  <c r="AC2443" i="1"/>
  <c r="AC1028" i="1"/>
  <c r="AC1760" i="1"/>
  <c r="AC2311" i="1"/>
  <c r="AC1792" i="1"/>
  <c r="AC551" i="1"/>
  <c r="AC837" i="1"/>
  <c r="AC1246" i="1"/>
  <c r="AC1747" i="1"/>
  <c r="AC477" i="1"/>
  <c r="AC1775" i="1"/>
  <c r="AC405" i="1"/>
  <c r="AC2377" i="1"/>
  <c r="AC1141" i="1"/>
  <c r="AC776" i="1"/>
  <c r="AC1562" i="1"/>
  <c r="AC1027" i="1"/>
  <c r="AC1178" i="1"/>
  <c r="AC802" i="1"/>
  <c r="AC1773" i="1"/>
  <c r="AC1023" i="1"/>
  <c r="AC2314" i="1"/>
  <c r="AC553" i="1"/>
  <c r="AC696" i="1"/>
  <c r="AC1980" i="1"/>
  <c r="AC1789" i="1"/>
  <c r="AC1972" i="1"/>
  <c r="AC413" i="1"/>
  <c r="AC896" i="1"/>
  <c r="AC22" i="1"/>
  <c r="AC1701" i="1"/>
  <c r="AC2439" i="1"/>
  <c r="AC1979" i="1"/>
  <c r="AC2014" i="1"/>
  <c r="AC410" i="1"/>
  <c r="AC2040" i="1"/>
  <c r="AC1128" i="1"/>
  <c r="AC1625" i="1"/>
  <c r="AC368" i="1"/>
  <c r="AC1932" i="1"/>
  <c r="AC1767" i="1"/>
  <c r="AC1268" i="1"/>
  <c r="AC377" i="1"/>
  <c r="AC202" i="1"/>
  <c r="AC577" i="1"/>
  <c r="AC578" i="1"/>
  <c r="AJ2535" i="1"/>
  <c r="AK2535" i="1" s="1"/>
  <c r="AJ852" i="1"/>
  <c r="AK852" i="1" s="1"/>
  <c r="AJ734" i="1"/>
  <c r="AK734" i="1" s="1"/>
  <c r="AJ1596" i="1"/>
  <c r="AK1596" i="1" s="1"/>
  <c r="AJ340" i="1"/>
  <c r="AK340" i="1" s="1"/>
  <c r="AJ337" i="1"/>
  <c r="AK337" i="1" s="1"/>
  <c r="AJ335" i="1"/>
  <c r="AK335" i="1" s="1"/>
  <c r="AJ1595" i="1"/>
  <c r="AK1595" i="1" s="1"/>
  <c r="AJ1793" i="1"/>
  <c r="AK1793" i="1" s="1"/>
  <c r="AJ479" i="1"/>
  <c r="AK479" i="1" s="1"/>
  <c r="AB1004" i="1"/>
  <c r="AD1004" i="1"/>
  <c r="AD1009" i="1"/>
  <c r="AJ1009" i="1" s="1"/>
  <c r="AK1009" i="1" s="1"/>
  <c r="AB1009" i="1"/>
  <c r="AJ1591" i="1"/>
  <c r="AK1591" i="1" s="1"/>
  <c r="AD1640" i="1"/>
  <c r="AB1640" i="1"/>
  <c r="AJ540" i="1"/>
  <c r="AK540" i="1" s="1"/>
  <c r="AJ283" i="1"/>
  <c r="AK283" i="1" s="1"/>
  <c r="AJ2350" i="1"/>
  <c r="AK2350" i="1" s="1"/>
  <c r="AJ2484" i="1"/>
  <c r="AK2484" i="1" s="1"/>
  <c r="AJ372" i="1"/>
  <c r="AK372" i="1" s="1"/>
  <c r="AJ567" i="1"/>
  <c r="AK567" i="1" s="1"/>
  <c r="AJ2549" i="1"/>
  <c r="AK2549" i="1" s="1"/>
  <c r="AJ147" i="1"/>
  <c r="AK147" i="1" s="1"/>
  <c r="AJ274" i="1"/>
  <c r="AK274" i="1" s="1"/>
  <c r="AJ1535" i="1"/>
  <c r="AK1535" i="1" s="1"/>
  <c r="AJ2548" i="1"/>
  <c r="AK2548" i="1" s="1"/>
  <c r="AJ2020" i="1"/>
  <c r="AK2020" i="1" s="1"/>
  <c r="AJ1321" i="1"/>
  <c r="AK1321" i="1" s="1"/>
  <c r="AJ2022" i="1"/>
  <c r="AK2022" i="1" s="1"/>
  <c r="AJ736" i="1"/>
  <c r="AK736" i="1" s="1"/>
  <c r="AJ1740" i="1"/>
  <c r="AK1740" i="1" s="1"/>
  <c r="AJ1259" i="1"/>
  <c r="AK1259" i="1" s="1"/>
  <c r="AJ1586" i="1"/>
  <c r="AK1586" i="1" s="1"/>
  <c r="AJ797" i="1"/>
  <c r="AK797" i="1" s="1"/>
  <c r="AJ310" i="1"/>
  <c r="AK310" i="1" s="1"/>
  <c r="AJ728" i="1"/>
  <c r="AK728" i="1" s="1"/>
  <c r="AJ261" i="1"/>
  <c r="AK261" i="1" s="1"/>
  <c r="AJ1479" i="1"/>
  <c r="AK1479" i="1" s="1"/>
  <c r="AJ342" i="1"/>
  <c r="AK342" i="1" s="1"/>
  <c r="AJ430" i="1"/>
  <c r="AK430" i="1" s="1"/>
  <c r="AJ1403" i="1"/>
  <c r="AK1403" i="1" s="1"/>
  <c r="AJ62" i="1"/>
  <c r="AK62" i="1" s="1"/>
  <c r="AJ1533" i="1"/>
  <c r="AK1533" i="1" s="1"/>
  <c r="AJ943" i="1"/>
  <c r="AK943" i="1" s="1"/>
  <c r="AJ664" i="1"/>
  <c r="AK664" i="1" s="1"/>
  <c r="AJ2327" i="1"/>
  <c r="AK2327" i="1" s="1"/>
  <c r="AJ1794" i="1"/>
  <c r="AK1794" i="1" s="1"/>
  <c r="AJ1953" i="1"/>
  <c r="AK1953" i="1" s="1"/>
  <c r="AJ566" i="1"/>
  <c r="AK566" i="1" s="1"/>
  <c r="AJ1798" i="1"/>
  <c r="AK1798" i="1" s="1"/>
  <c r="AJ663" i="1"/>
  <c r="AK663" i="1" s="1"/>
  <c r="AJ374" i="1"/>
  <c r="AK374" i="1" s="1"/>
  <c r="AJ63" i="1"/>
  <c r="AK63" i="1" s="1"/>
  <c r="AJ545" i="1"/>
  <c r="AK545" i="1" s="1"/>
  <c r="AJ177" i="1"/>
  <c r="AK177" i="1" s="1"/>
  <c r="AJ735" i="1"/>
  <c r="AK735" i="1" s="1"/>
  <c r="AJ2095" i="1"/>
  <c r="AK2095" i="1" s="1"/>
  <c r="AJ1742" i="1"/>
  <c r="AK1742" i="1" s="1"/>
  <c r="AJ1931" i="1"/>
  <c r="AK1931" i="1" s="1"/>
  <c r="AJ2543" i="1"/>
  <c r="AK2543" i="1" s="1"/>
  <c r="AJ2559" i="1"/>
  <c r="AK2559" i="1" s="1"/>
  <c r="AJ1435" i="1"/>
  <c r="AK1435" i="1" s="1"/>
  <c r="AJ312" i="1"/>
  <c r="AK312" i="1" s="1"/>
  <c r="AJ311" i="1"/>
  <c r="AK311" i="1" s="1"/>
  <c r="AJ1508" i="1"/>
  <c r="AK1508" i="1" s="1"/>
  <c r="AJ1287" i="1"/>
  <c r="AK1287" i="1" s="1"/>
  <c r="AJ695" i="1"/>
  <c r="AK695" i="1" s="1"/>
  <c r="AJ339" i="1"/>
  <c r="AK339" i="1" s="1"/>
  <c r="AJ806" i="1"/>
  <c r="AK806" i="1" s="1"/>
  <c r="AJ1402" i="1"/>
  <c r="AK1402" i="1" s="1"/>
  <c r="AJ546" i="1"/>
  <c r="AK546" i="1" s="1"/>
  <c r="AJ1795" i="1"/>
  <c r="AK1795" i="1" s="1"/>
  <c r="AJ2192" i="1"/>
  <c r="AK2192" i="1" s="1"/>
  <c r="AJ2351" i="1"/>
  <c r="AK2351" i="1" s="1"/>
  <c r="AJ1954" i="1"/>
  <c r="AK1954" i="1" s="1"/>
  <c r="AJ371" i="1"/>
  <c r="AK371" i="1" s="1"/>
  <c r="AJ2193" i="1"/>
  <c r="AK2193" i="1" s="1"/>
  <c r="AJ2331" i="1"/>
  <c r="AK2331" i="1" s="1"/>
  <c r="AJ313" i="1"/>
  <c r="AK313" i="1" s="1"/>
  <c r="AJ2434" i="1"/>
  <c r="AK2434" i="1" s="1"/>
  <c r="AJ148" i="1"/>
  <c r="AK148" i="1" s="1"/>
  <c r="AJ2099" i="1"/>
  <c r="AK2099" i="1" s="1"/>
  <c r="AJ64" i="1"/>
  <c r="AK64" i="1" s="1"/>
  <c r="AJ547" i="1"/>
  <c r="AK547" i="1" s="1"/>
  <c r="AJ548" i="1"/>
  <c r="AK548" i="1" s="1"/>
  <c r="AJ737" i="1"/>
  <c r="AK737" i="1" s="1"/>
  <c r="AJ2096" i="1"/>
  <c r="AK2096" i="1" s="1"/>
  <c r="AJ1856" i="1"/>
  <c r="AK1856" i="1" s="1"/>
  <c r="AJ297" i="1"/>
  <c r="AK297" i="1" s="1"/>
  <c r="AJ789" i="1"/>
  <c r="AK789" i="1" s="1"/>
  <c r="AJ801" i="1"/>
  <c r="AK801" i="1" s="1"/>
  <c r="AJ1929" i="1"/>
  <c r="AK1929" i="1" s="1"/>
  <c r="AJ334" i="1"/>
  <c r="AK334" i="1" s="1"/>
  <c r="AJ1803" i="1"/>
  <c r="AK1803" i="1" s="1"/>
  <c r="AJ66" i="1"/>
  <c r="AK66" i="1" s="1"/>
  <c r="AJ743" i="1"/>
  <c r="AK743" i="1" s="1"/>
  <c r="AJ2021" i="1"/>
  <c r="AK2021" i="1" s="1"/>
  <c r="AJ273" i="1"/>
  <c r="AK273" i="1" s="1"/>
  <c r="AJ375" i="1"/>
  <c r="AK375" i="1" s="1"/>
  <c r="AJ1534" i="1"/>
  <c r="AK1534" i="1" s="1"/>
  <c r="AJ314" i="1"/>
  <c r="AK314" i="1" s="1"/>
  <c r="AJ2435" i="1"/>
  <c r="AK2435" i="1" s="1"/>
  <c r="AJ2330" i="1"/>
  <c r="AK2330" i="1" s="1"/>
  <c r="AJ942" i="1"/>
  <c r="AK942" i="1" s="1"/>
  <c r="AJ2328" i="1"/>
  <c r="AK2328" i="1" s="1"/>
  <c r="AJ1799" i="1"/>
  <c r="AK1799" i="1" s="1"/>
  <c r="AJ2485" i="1"/>
  <c r="AK2485" i="1" s="1"/>
  <c r="AJ2019" i="1"/>
  <c r="AK2019" i="1" s="1"/>
  <c r="AJ1408" i="1"/>
  <c r="AK1408" i="1" s="1"/>
  <c r="AJ1741" i="1"/>
  <c r="AK1741" i="1" s="1"/>
  <c r="AJ1930" i="1"/>
  <c r="AK1930" i="1" s="1"/>
  <c r="AJ1928" i="1"/>
  <c r="AK1928" i="1" s="1"/>
  <c r="AJ1102" i="1"/>
  <c r="AK1102" i="1" s="1"/>
  <c r="AJ2414" i="1"/>
  <c r="AK2414" i="1" s="1"/>
  <c r="AJ793" i="1"/>
  <c r="AK793" i="1" s="1"/>
  <c r="AJ1405" i="1"/>
  <c r="AK1405" i="1" s="1"/>
  <c r="AJ1720" i="1"/>
  <c r="AK1720" i="1" s="1"/>
  <c r="AJ296" i="1"/>
  <c r="AK296" i="1" s="1"/>
  <c r="AK2502" i="1"/>
  <c r="M2371" i="1"/>
  <c r="AL2371" i="1" s="1"/>
  <c r="AB1003" i="1"/>
  <c r="AB1985" i="1"/>
  <c r="AB569" i="1"/>
  <c r="AB340" i="1"/>
  <c r="AB1317" i="1"/>
  <c r="AB344" i="1"/>
  <c r="AB174" i="1"/>
  <c r="AB1502" i="1"/>
  <c r="AB1320" i="1"/>
  <c r="AB2162" i="1"/>
  <c r="AB896" i="1"/>
  <c r="AD572" i="1"/>
  <c r="AB572" i="1"/>
  <c r="AB1728" i="1"/>
  <c r="AB2228" i="1"/>
  <c r="AB1336" i="1"/>
  <c r="AB1689" i="1"/>
  <c r="AB835" i="1"/>
  <c r="AB69" i="1"/>
  <c r="AB173" i="1"/>
  <c r="AB1028" i="1"/>
  <c r="AB1112" i="1"/>
  <c r="AB2314" i="1"/>
  <c r="AB1747" i="1"/>
  <c r="AB1972" i="1"/>
  <c r="AB1027" i="1"/>
  <c r="AB1141" i="1"/>
  <c r="AB1980" i="1"/>
  <c r="AB1178" i="1"/>
  <c r="AB1701" i="1"/>
  <c r="AB1773" i="1"/>
  <c r="AB1767" i="1"/>
  <c r="AB2311" i="1"/>
  <c r="AB1775" i="1"/>
  <c r="AB837" i="1"/>
  <c r="AB2377" i="1"/>
  <c r="AB202" i="1"/>
  <c r="AB1851" i="1"/>
  <c r="AB244" i="1"/>
  <c r="AB836" i="1"/>
  <c r="AJ336" i="1"/>
  <c r="AK336" i="1" s="1"/>
  <c r="AJ810" i="1"/>
  <c r="AK810" i="1" s="1"/>
  <c r="AC1663" i="1"/>
  <c r="AC555" i="1"/>
  <c r="AC1665" i="1"/>
  <c r="AC1017" i="1"/>
  <c r="AC843" i="1"/>
  <c r="AC1851" i="1"/>
  <c r="AC1199" i="1"/>
  <c r="AS1199" i="1" s="1"/>
  <c r="AC556" i="1"/>
  <c r="AC1500" i="1"/>
  <c r="AC1660" i="1"/>
  <c r="AC1978" i="1"/>
  <c r="AC1620" i="1"/>
  <c r="AC1114" i="1"/>
  <c r="AC1624" i="1"/>
  <c r="AC701" i="1"/>
  <c r="AC2105" i="1"/>
  <c r="AC2175" i="1"/>
  <c r="AC1664" i="1"/>
  <c r="AC2136" i="1"/>
  <c r="AC1145" i="1"/>
  <c r="AC1547" i="1"/>
  <c r="AC709" i="1"/>
  <c r="AC2031" i="1"/>
  <c r="AC1765" i="1"/>
  <c r="AS1765" i="1" s="1"/>
  <c r="AT1765" i="1" s="1"/>
  <c r="AU1765" i="1" s="1"/>
  <c r="AC2164" i="1"/>
  <c r="AC97" i="1"/>
  <c r="AC905" i="1"/>
  <c r="AC969" i="1"/>
  <c r="AC662" i="1"/>
  <c r="AC2395" i="1"/>
  <c r="AC1619" i="1"/>
  <c r="AC999" i="1"/>
  <c r="AC1650" i="1"/>
  <c r="AS1650" i="1" s="1"/>
  <c r="AT1650" i="1" s="1"/>
  <c r="AU1650" i="1" s="1"/>
  <c r="AC541" i="1"/>
  <c r="AC2560" i="1"/>
  <c r="AC2354" i="1"/>
  <c r="AC1198" i="1"/>
  <c r="AS1198" i="1" s="1"/>
  <c r="AC2480" i="1"/>
  <c r="AS2480" i="1" s="1"/>
  <c r="AT2480" i="1" s="1"/>
  <c r="AU2480" i="1" s="1"/>
  <c r="AC1203" i="1"/>
  <c r="AC1846" i="1"/>
  <c r="AS1846" i="1" s="1"/>
  <c r="AT1846" i="1" s="1"/>
  <c r="AU1846" i="1" s="1"/>
  <c r="AC2161" i="1"/>
  <c r="AC955" i="1"/>
  <c r="AC966" i="1"/>
  <c r="AC1195" i="1"/>
  <c r="AS1195" i="1" s="1"/>
  <c r="AT1195" i="1" s="1"/>
  <c r="AU1195" i="1" s="1"/>
  <c r="AC1260" i="1"/>
  <c r="AC2349" i="1"/>
  <c r="AC1629" i="1"/>
  <c r="AC945" i="1"/>
  <c r="AS945" i="1" s="1"/>
  <c r="AC1661" i="1"/>
  <c r="AC244" i="1"/>
  <c r="AC1658" i="1"/>
  <c r="AC1194" i="1"/>
  <c r="AC1201" i="1"/>
  <c r="AC1144" i="1"/>
  <c r="AC96" i="1"/>
  <c r="AC1197" i="1"/>
  <c r="AS1197" i="1" s="1"/>
  <c r="AC934" i="1"/>
  <c r="AC538" i="1"/>
  <c r="AC496" i="1"/>
  <c r="AC213" i="1"/>
  <c r="AC156" i="1"/>
  <c r="AC125" i="1"/>
  <c r="AC77" i="1"/>
  <c r="AC19" i="1"/>
  <c r="AC674" i="1"/>
  <c r="AC414" i="1"/>
  <c r="AC13" i="1"/>
  <c r="AC644" i="1"/>
  <c r="AC411" i="1"/>
  <c r="AC2430" i="1"/>
  <c r="AB96" i="1"/>
  <c r="AB1144" i="1"/>
  <c r="AB2161" i="1"/>
  <c r="AB1195" i="1"/>
  <c r="AB2560" i="1"/>
  <c r="AB1620" i="1"/>
  <c r="AB1114" i="1"/>
  <c r="AB934" i="1"/>
  <c r="AB1650" i="1"/>
  <c r="AB2164" i="1"/>
  <c r="AB701" i="1"/>
  <c r="AB945" i="1"/>
  <c r="AB2175" i="1"/>
  <c r="AB1660" i="1"/>
  <c r="AB999" i="1"/>
  <c r="AB2105" i="1"/>
  <c r="AB1624" i="1"/>
  <c r="AB1629" i="1"/>
  <c r="AB955" i="1"/>
  <c r="AB555" i="1"/>
  <c r="AB1199" i="1"/>
  <c r="AB662" i="1"/>
  <c r="AB1198" i="1"/>
  <c r="AB1260" i="1"/>
  <c r="AB1197" i="1"/>
  <c r="AB1201" i="1"/>
  <c r="AB2031" i="1"/>
  <c r="AB1194" i="1"/>
  <c r="AB2480" i="1"/>
  <c r="AB1664" i="1"/>
  <c r="AB966" i="1"/>
  <c r="AB969" i="1"/>
  <c r="AB1203" i="1"/>
  <c r="AB1500" i="1"/>
  <c r="AB1663" i="1"/>
  <c r="AB1846" i="1"/>
  <c r="AB1145" i="1"/>
  <c r="AB2395" i="1"/>
  <c r="AB1665" i="1"/>
  <c r="AB1658" i="1"/>
  <c r="AB1661" i="1"/>
  <c r="AB556" i="1"/>
  <c r="AB97" i="1"/>
  <c r="AB1619" i="1"/>
  <c r="AB709" i="1"/>
  <c r="AB843" i="1"/>
  <c r="AB77" i="1"/>
  <c r="AB213" i="1"/>
  <c r="AB13" i="1"/>
  <c r="AB411" i="1"/>
  <c r="AB644" i="1"/>
  <c r="AB414" i="1"/>
  <c r="AB538" i="1"/>
  <c r="AB156" i="1"/>
  <c r="AB19" i="1"/>
  <c r="AB674" i="1"/>
  <c r="AB125" i="1"/>
  <c r="AB496" i="1"/>
  <c r="AB2430" i="1"/>
  <c r="AL2373" i="1"/>
  <c r="AH2373" i="1"/>
  <c r="AJ1830" i="1"/>
  <c r="AK1830" i="1" s="1"/>
  <c r="AJ1835" i="1"/>
  <c r="AK1835" i="1" s="1"/>
  <c r="AJ1834" i="1"/>
  <c r="AK1834" i="1" s="1"/>
  <c r="AJ1584" i="1"/>
  <c r="AK1584" i="1" s="1"/>
  <c r="AC295" i="1"/>
  <c r="AC2206" i="1"/>
  <c r="AC1001" i="1"/>
  <c r="AC1337" i="1"/>
  <c r="AC1328" i="1"/>
  <c r="AC299" i="1"/>
  <c r="AC396" i="1"/>
  <c r="AC1318" i="1"/>
  <c r="AC1316" i="1"/>
  <c r="AC225" i="1"/>
  <c r="AB295" i="1"/>
  <c r="AB1016" i="1"/>
  <c r="AB1337" i="1"/>
  <c r="AB1328" i="1"/>
  <c r="AB1316" i="1"/>
  <c r="AB299" i="1"/>
  <c r="AB1318" i="1"/>
  <c r="AB2326" i="1"/>
  <c r="AB1655" i="1"/>
  <c r="AB1651" i="1"/>
  <c r="AJ1832" i="1"/>
  <c r="AK1832" i="1" s="1"/>
  <c r="AJ1836" i="1"/>
  <c r="AK1836" i="1" s="1"/>
  <c r="AJ1746" i="1"/>
  <c r="AB938" i="1"/>
  <c r="AB1233" i="1"/>
  <c r="AC172" i="1"/>
  <c r="AC1842" i="1"/>
  <c r="AC1706" i="1"/>
  <c r="AC1840" i="1"/>
  <c r="AC1845" i="1"/>
  <c r="AC652" i="1"/>
  <c r="AC668" i="1"/>
  <c r="AC2494" i="1"/>
  <c r="AJ846" i="1"/>
  <c r="AK846" i="1" s="1"/>
  <c r="AJ2332" i="1"/>
  <c r="AK2332" i="1" s="1"/>
  <c r="AJ1593" i="1"/>
  <c r="AK1593" i="1" s="1"/>
  <c r="AJ1867" i="1"/>
  <c r="AB2533" i="1"/>
  <c r="AB50" i="1"/>
  <c r="AB51" i="1"/>
  <c r="AB52" i="1"/>
  <c r="AB1727" i="1"/>
  <c r="AB37" i="1"/>
  <c r="AB36" i="1"/>
  <c r="AB35" i="1"/>
  <c r="AB323" i="1"/>
  <c r="AB875" i="1"/>
  <c r="AB871" i="1"/>
  <c r="AB873" i="1"/>
  <c r="AB872" i="1"/>
  <c r="AB877" i="1"/>
  <c r="AB874" i="1"/>
  <c r="AB878" i="1"/>
  <c r="AB876" i="1"/>
  <c r="AB300" i="1"/>
  <c r="AB868" i="1"/>
  <c r="AB1432" i="1"/>
  <c r="AJ526" i="1"/>
  <c r="AK526" i="1" s="1"/>
  <c r="AJ1868" i="1"/>
  <c r="AJ2326" i="1"/>
  <c r="AK2326" i="1" s="1"/>
  <c r="AJ2309" i="1"/>
  <c r="AK2309" i="1" s="1"/>
  <c r="AJ528" i="1"/>
  <c r="AK528" i="1" s="1"/>
  <c r="AJ907" i="1"/>
  <c r="AJ1824" i="1"/>
  <c r="AK1824" i="1" s="1"/>
  <c r="AJ1828" i="1"/>
  <c r="AK1828" i="1" s="1"/>
  <c r="AC2455" i="1"/>
  <c r="AC55" i="1"/>
  <c r="AC51" i="1"/>
  <c r="AC57" i="1"/>
  <c r="AC56" i="1"/>
  <c r="AC52" i="1"/>
  <c r="AC50" i="1"/>
  <c r="AC37" i="1"/>
  <c r="AC1610" i="1"/>
  <c r="AC36" i="1"/>
  <c r="AC35" i="1"/>
  <c r="AC1350" i="1"/>
  <c r="AC323" i="1"/>
  <c r="AC1233" i="1"/>
  <c r="AC651" i="1"/>
  <c r="AC343" i="1"/>
  <c r="AC570" i="1"/>
  <c r="AC667" i="1"/>
  <c r="AC1839" i="1"/>
  <c r="AC1984" i="1"/>
  <c r="AC346" i="1"/>
  <c r="AC872" i="1"/>
  <c r="AC877" i="1"/>
  <c r="AC2388" i="1"/>
  <c r="AC1983" i="1"/>
  <c r="AC123" i="1"/>
  <c r="AC874" i="1"/>
  <c r="AC875" i="1"/>
  <c r="AC2387" i="1"/>
  <c r="AC871" i="1"/>
  <c r="AC1844" i="1"/>
  <c r="AC878" i="1"/>
  <c r="AC1705" i="1"/>
  <c r="AC571" i="1"/>
  <c r="AC1841" i="1"/>
  <c r="AC873" i="1"/>
  <c r="AC876" i="1"/>
  <c r="AC300" i="1"/>
  <c r="AC868" i="1"/>
  <c r="AC2124" i="1"/>
  <c r="AC229" i="1"/>
  <c r="AC1389" i="1"/>
  <c r="AC1362" i="1"/>
  <c r="AC1134" i="1"/>
  <c r="AJ1532" i="1"/>
  <c r="AK1532" i="1" s="1"/>
  <c r="AJ1936" i="1"/>
  <c r="AK1936" i="1" s="1"/>
  <c r="AJ1941" i="1"/>
  <c r="AK1941" i="1" s="1"/>
  <c r="AJ1826" i="1"/>
  <c r="AK1826" i="1" s="1"/>
  <c r="AJ1825" i="1"/>
  <c r="AK1825" i="1" s="1"/>
  <c r="AJ1831" i="1"/>
  <c r="AK1831" i="1" s="1"/>
  <c r="AJ848" i="1"/>
  <c r="AK848" i="1" s="1"/>
  <c r="AB1452" i="1"/>
  <c r="AJ1933" i="1"/>
  <c r="AK1933" i="1" s="1"/>
  <c r="AJ847" i="1"/>
  <c r="AK847" i="1" s="1"/>
  <c r="AJ2334" i="1"/>
  <c r="AK2334" i="1" s="1"/>
  <c r="AD59" i="1"/>
  <c r="AB59" i="1"/>
  <c r="AD60" i="1"/>
  <c r="AB60" i="1"/>
  <c r="AJ1592" i="1"/>
  <c r="AK1592" i="1" s="1"/>
  <c r="AB1672" i="1"/>
  <c r="AD1672" i="1"/>
  <c r="AB1668" i="1"/>
  <c r="AD1668" i="1"/>
  <c r="AD1506" i="1"/>
  <c r="AD1373" i="1"/>
  <c r="AC1670" i="1"/>
  <c r="AD1670" i="1"/>
  <c r="AC1666" i="1"/>
  <c r="AD1666" i="1"/>
  <c r="AD804" i="1"/>
  <c r="AC1667" i="1"/>
  <c r="AD1667" i="1"/>
  <c r="AC1669" i="1"/>
  <c r="AD1669" i="1"/>
  <c r="AD1503" i="1"/>
  <c r="AD2493" i="1"/>
  <c r="AC2493" i="1"/>
  <c r="AB2526" i="1"/>
  <c r="AB29" i="1"/>
  <c r="AB937" i="1"/>
  <c r="AB2394" i="1"/>
  <c r="AB448" i="1"/>
  <c r="AB236" i="1"/>
  <c r="AB189" i="1"/>
  <c r="AB1639" i="1"/>
  <c r="AB1418" i="1"/>
  <c r="AB2313" i="1"/>
  <c r="AB1116" i="1"/>
  <c r="AB303" i="1"/>
  <c r="AB1863" i="1"/>
  <c r="AB1143" i="1"/>
  <c r="AB293" i="1"/>
  <c r="AB237" i="1"/>
  <c r="AB120" i="1"/>
  <c r="AB1021" i="1"/>
  <c r="AB2303" i="1"/>
  <c r="AB1718" i="1"/>
  <c r="AB993" i="1"/>
  <c r="AB464" i="1"/>
  <c r="AB234" i="1"/>
  <c r="AB163" i="1"/>
  <c r="AB1377" i="1"/>
  <c r="AB2519" i="1"/>
  <c r="AB2403" i="1"/>
  <c r="AB1811" i="1"/>
  <c r="AB1120" i="1"/>
  <c r="AB659" i="1"/>
  <c r="AB1490" i="1"/>
  <c r="AB2464" i="1"/>
  <c r="AB2336" i="1"/>
  <c r="AB951" i="1"/>
  <c r="AB807" i="1"/>
  <c r="AB2399" i="1"/>
  <c r="AB1944" i="1"/>
  <c r="AB1303" i="1"/>
  <c r="AB165" i="1"/>
  <c r="AB1374" i="1"/>
  <c r="AB1776" i="1"/>
  <c r="AB1274" i="1"/>
  <c r="AB201" i="1"/>
  <c r="AB1048" i="1"/>
  <c r="AB28" i="1"/>
  <c r="AB426" i="1"/>
  <c r="AB34" i="1"/>
  <c r="AB1040" i="1"/>
  <c r="AB40" i="1"/>
  <c r="AB2572" i="1"/>
  <c r="AB302" i="1"/>
  <c r="AB2469" i="1"/>
  <c r="AB2571" i="1"/>
  <c r="AB1264" i="1"/>
  <c r="AB2495" i="1"/>
  <c r="AB2521" i="1"/>
  <c r="AB806" i="1"/>
  <c r="AB104" i="1"/>
  <c r="AB2525" i="1"/>
  <c r="AB451" i="1"/>
  <c r="AB1235" i="1"/>
  <c r="AB834" i="1"/>
  <c r="AB1266" i="1"/>
  <c r="AB1808" i="1"/>
  <c r="AB1322" i="1"/>
  <c r="AB1187" i="1"/>
  <c r="AB2080" i="1"/>
  <c r="AB2202" i="1"/>
  <c r="AB327" i="1"/>
  <c r="AB106" i="1"/>
  <c r="AB1077" i="1"/>
  <c r="AB2337" i="1"/>
  <c r="AB1012" i="1"/>
  <c r="AB1860" i="1"/>
  <c r="AB1298" i="1"/>
  <c r="AB186" i="1"/>
  <c r="AB2371" i="1"/>
  <c r="AB1234" i="1"/>
  <c r="AB2158" i="1"/>
  <c r="AB643" i="1"/>
  <c r="AB2527" i="1"/>
  <c r="AB1067" i="1"/>
  <c r="AB1188" i="1"/>
  <c r="AB2554" i="1"/>
  <c r="AB1119" i="1"/>
  <c r="AB2369" i="1"/>
  <c r="AB2501" i="1"/>
  <c r="AB919" i="1"/>
  <c r="AB970" i="1"/>
  <c r="AB1330" i="1"/>
  <c r="AB2427" i="1"/>
  <c r="AB2529" i="1"/>
  <c r="AB1946" i="1"/>
  <c r="AB176" i="1"/>
  <c r="AB449" i="1"/>
  <c r="AB1788" i="1"/>
  <c r="AB1117" i="1"/>
  <c r="AB1812" i="1"/>
  <c r="AB2456" i="1"/>
  <c r="AB1324" i="1"/>
  <c r="AB1955" i="1"/>
  <c r="AB2383" i="1"/>
  <c r="AB1319" i="1"/>
  <c r="AB2159" i="1"/>
  <c r="AB444" i="1"/>
  <c r="AB2540" i="1"/>
  <c r="AB2310" i="1"/>
  <c r="AB1118" i="1"/>
  <c r="AB1263" i="1"/>
  <c r="AB428" i="1"/>
  <c r="AB1265" i="1"/>
  <c r="AB2528" i="1"/>
  <c r="AB187" i="1"/>
  <c r="AB192" i="1"/>
  <c r="AB455" i="1"/>
  <c r="AB1437" i="1"/>
  <c r="AB1058" i="1"/>
  <c r="AB971" i="1"/>
  <c r="AB2539" i="1"/>
  <c r="AB783" i="1"/>
  <c r="AB1121" i="1"/>
  <c r="AB2515" i="1"/>
  <c r="AB2322" i="1"/>
  <c r="AB2361" i="1"/>
  <c r="AB2455" i="1"/>
  <c r="AB2500" i="1"/>
  <c r="AB1069" i="1"/>
  <c r="AB1489" i="1"/>
  <c r="AB1945" i="1"/>
  <c r="AB2203" i="1"/>
  <c r="AB1906" i="1"/>
  <c r="AB351" i="1"/>
  <c r="AB2531" i="1"/>
  <c r="AB2426" i="1"/>
  <c r="AB2532" i="1"/>
  <c r="AB1015" i="1"/>
  <c r="AB1089" i="1"/>
  <c r="AB228" i="1"/>
  <c r="AB2157" i="1"/>
  <c r="AB2201" i="1"/>
  <c r="AB1332" i="1"/>
  <c r="AB1313" i="1"/>
  <c r="AB221" i="1"/>
  <c r="AB1237" i="1"/>
  <c r="AB2045" i="1"/>
  <c r="AB1066" i="1"/>
  <c r="AB1436" i="1"/>
  <c r="AB175" i="1"/>
  <c r="AB441" i="1"/>
  <c r="AB1425" i="1"/>
  <c r="AB2459" i="1"/>
  <c r="AB2367" i="1"/>
  <c r="AB2372" i="1"/>
  <c r="AB2470" i="1"/>
  <c r="AB1913" i="1"/>
  <c r="AB2315" i="1"/>
  <c r="AB1300" i="1"/>
  <c r="AB717" i="1"/>
  <c r="AB2513" i="1"/>
  <c r="AB2205" i="1"/>
  <c r="AB257" i="1"/>
  <c r="AB1357" i="1"/>
  <c r="AB929" i="1"/>
  <c r="AB2046" i="1"/>
  <c r="AB1238" i="1"/>
  <c r="AB1956" i="1"/>
  <c r="AB1070" i="1"/>
  <c r="AB222" i="1"/>
  <c r="AB453" i="1"/>
  <c r="AB952" i="1"/>
  <c r="AB190" i="1"/>
  <c r="AB185" i="1"/>
  <c r="AB2428" i="1"/>
  <c r="AB2520" i="1"/>
  <c r="AB1654" i="1"/>
  <c r="AB2230" i="1"/>
  <c r="AB2279" i="1"/>
  <c r="AB1331" i="1"/>
  <c r="AB191" i="1"/>
  <c r="AB2380" i="1"/>
  <c r="AB1076" i="1"/>
  <c r="AB833" i="1"/>
  <c r="AB1057" i="1"/>
  <c r="AB1011" i="1"/>
  <c r="AB658" i="1"/>
  <c r="AB1321" i="1"/>
  <c r="AB442" i="1"/>
  <c r="AB1424" i="1"/>
  <c r="AB2463" i="1"/>
  <c r="AB2363" i="1"/>
  <c r="AB2365" i="1"/>
  <c r="AB2460" i="1"/>
  <c r="AB2312" i="1"/>
  <c r="AB715" i="1"/>
  <c r="AB2325" i="1"/>
  <c r="AB1915" i="1"/>
  <c r="AB1810" i="1"/>
  <c r="AB784" i="1"/>
  <c r="AB294" i="1"/>
  <c r="AB33" i="1"/>
  <c r="AB2402" i="1"/>
  <c r="AB454" i="1"/>
  <c r="AB1859" i="1"/>
  <c r="AB240" i="1"/>
  <c r="AB1138" i="1"/>
  <c r="AB25" i="1"/>
  <c r="AB30" i="1"/>
  <c r="AB47" i="1"/>
  <c r="AB2516" i="1"/>
  <c r="AB1807" i="1"/>
  <c r="AB424" i="1"/>
  <c r="AB268" i="1"/>
  <c r="AB1912" i="1"/>
  <c r="AC2518" i="1"/>
  <c r="AC265" i="1"/>
  <c r="AC962" i="1"/>
  <c r="AC232" i="1"/>
  <c r="AC1571" i="1"/>
  <c r="AC45" i="1"/>
  <c r="AC1176" i="1"/>
  <c r="AC716" i="1"/>
  <c r="AC1219" i="1"/>
  <c r="AC1519" i="1"/>
  <c r="AC455" i="1"/>
  <c r="AC631" i="1"/>
  <c r="AC609" i="1"/>
  <c r="AC632" i="1"/>
  <c r="AC2473" i="1"/>
  <c r="AC963" i="1"/>
  <c r="AC1411" i="1"/>
  <c r="AC1412" i="1"/>
  <c r="AC1684" i="1"/>
  <c r="AC1169" i="1"/>
  <c r="AC208" i="1"/>
  <c r="AC1363" i="1"/>
  <c r="AC1140" i="1"/>
  <c r="AC550" i="1"/>
  <c r="AC1750" i="1"/>
  <c r="AC620" i="1"/>
  <c r="AC2451" i="1"/>
  <c r="AC634" i="1"/>
  <c r="AC360" i="1"/>
  <c r="AC2515" i="1"/>
  <c r="AC1558" i="1"/>
  <c r="AC95" i="1"/>
  <c r="AC1609" i="1"/>
  <c r="AC986" i="1"/>
  <c r="AC1393" i="1"/>
  <c r="AC861" i="1"/>
  <c r="AC2122" i="1"/>
  <c r="AC1524" i="1"/>
  <c r="AC1079" i="1"/>
  <c r="AC186" i="1"/>
  <c r="AC2372" i="1"/>
  <c r="AC1809" i="1"/>
  <c r="AC48" i="1"/>
  <c r="AC1207" i="1"/>
  <c r="AC104" i="1"/>
  <c r="AC1527" i="1"/>
  <c r="AC554" i="1"/>
  <c r="AC1166" i="1"/>
  <c r="AC1368" i="1"/>
  <c r="AC2483" i="1"/>
  <c r="AC1217" i="1"/>
  <c r="AC1695" i="1"/>
  <c r="AC2307" i="1"/>
  <c r="AC573" i="1"/>
  <c r="AC2465" i="1"/>
  <c r="AC1231" i="1"/>
  <c r="AC665" i="1"/>
  <c r="AC211" i="1"/>
  <c r="AC2364" i="1"/>
  <c r="AC1494" i="1"/>
  <c r="AC1457" i="1"/>
  <c r="AC1081" i="1"/>
  <c r="AC42" i="1"/>
  <c r="AC2378" i="1"/>
  <c r="AC811" i="1"/>
  <c r="AC964" i="1"/>
  <c r="AC468" i="1"/>
  <c r="AC891" i="1"/>
  <c r="AC1995" i="1"/>
  <c r="AC1848" i="1"/>
  <c r="AC2379" i="1"/>
  <c r="AC109" i="1"/>
  <c r="AC1817" i="1"/>
  <c r="AC1208" i="1"/>
  <c r="AC395" i="1"/>
  <c r="AC1163" i="1"/>
  <c r="AC706" i="1"/>
  <c r="AC1518" i="1"/>
  <c r="AC906" i="1"/>
  <c r="AJ193" i="1"/>
  <c r="AK193" i="1" s="1"/>
  <c r="AC766" i="1"/>
  <c r="AC938" i="1"/>
  <c r="AC1298" i="1"/>
  <c r="AC2464" i="1"/>
  <c r="AC1999" i="1"/>
  <c r="AC2469" i="1"/>
  <c r="AC543" i="1"/>
  <c r="AC1606" i="1"/>
  <c r="AC2120" i="1"/>
  <c r="AC1304" i="1"/>
  <c r="AC856" i="1"/>
  <c r="AC502" i="1"/>
  <c r="AC160" i="1"/>
  <c r="AC1218" i="1"/>
  <c r="AC625" i="1"/>
  <c r="AC1170" i="1"/>
  <c r="AC2207" i="1"/>
  <c r="AC1312" i="1"/>
  <c r="AC1391" i="1"/>
  <c r="AC2472" i="1"/>
  <c r="AC2462" i="1"/>
  <c r="AC1573" i="1"/>
  <c r="AC1039" i="1"/>
  <c r="AC860" i="1"/>
  <c r="AC67" i="1"/>
  <c r="AC1004" i="1"/>
  <c r="AC2026" i="1"/>
  <c r="AC2362" i="1"/>
  <c r="AC719" i="1"/>
  <c r="AC500" i="1"/>
  <c r="AC2491" i="1"/>
  <c r="AC44" i="1"/>
  <c r="AC2471" i="1"/>
  <c r="AC158" i="1"/>
  <c r="AC627" i="1"/>
  <c r="AC2509" i="1"/>
  <c r="AC218" i="1"/>
  <c r="AC2305" i="1"/>
  <c r="AC2530" i="1"/>
  <c r="AC2197" i="1"/>
  <c r="AC1774" i="1"/>
  <c r="AC231" i="1"/>
  <c r="AC116" i="1"/>
  <c r="AC41" i="1"/>
  <c r="AC961" i="1"/>
  <c r="AC49" i="1"/>
  <c r="AC1401" i="1"/>
  <c r="AC159" i="1"/>
  <c r="AC117" i="1"/>
  <c r="AC2526" i="1"/>
  <c r="AC1065" i="1"/>
  <c r="AC302" i="1"/>
  <c r="AC714" i="1"/>
  <c r="AC650" i="1"/>
  <c r="AC1810" i="1"/>
  <c r="AC2007" i="1"/>
  <c r="AC2463" i="1"/>
  <c r="AC948" i="1"/>
  <c r="AC1000" i="1"/>
  <c r="AC1769" i="1"/>
  <c r="AC1560" i="1"/>
  <c r="AC705" i="1"/>
  <c r="AC1529" i="1"/>
  <c r="AC2508" i="1"/>
  <c r="AC642" i="1"/>
  <c r="AC618" i="1"/>
  <c r="AC1162" i="1"/>
  <c r="AC2405" i="1"/>
  <c r="AC2339" i="1"/>
  <c r="AC1805" i="1"/>
  <c r="AC132" i="1"/>
  <c r="AC1686" i="1"/>
  <c r="AC1696" i="1"/>
  <c r="AC2029" i="1"/>
  <c r="AC2119" i="1"/>
  <c r="AC436" i="1"/>
  <c r="AC1149" i="1"/>
  <c r="AC666" i="1"/>
  <c r="AC2374" i="1"/>
  <c r="AC1566" i="1"/>
  <c r="AC2506" i="1"/>
  <c r="AC539" i="1"/>
  <c r="AC1725" i="1"/>
  <c r="AC46" i="1"/>
  <c r="AC65" i="1"/>
  <c r="AC925" i="1"/>
  <c r="AC1124" i="1"/>
  <c r="AC621" i="1"/>
  <c r="AC459" i="1"/>
  <c r="AC2194" i="1"/>
  <c r="AC2234" i="1"/>
  <c r="AC267" i="1"/>
  <c r="AC239" i="1"/>
  <c r="AC122" i="1"/>
  <c r="AC2517" i="1"/>
  <c r="AC1766" i="1"/>
  <c r="AC266" i="1"/>
  <c r="AC119" i="1"/>
  <c r="AC32" i="1"/>
  <c r="AC2450" i="1"/>
  <c r="AC2492" i="1"/>
  <c r="AC43" i="1"/>
  <c r="AC216" i="1"/>
  <c r="AC1872" i="1"/>
  <c r="AC2320" i="1"/>
  <c r="AC1498" i="1"/>
  <c r="AC2244" i="1"/>
  <c r="AC26" i="1"/>
  <c r="AC649" i="1"/>
  <c r="AC1062" i="1"/>
  <c r="AC185" i="1"/>
  <c r="AC1123" i="1"/>
  <c r="AC401" i="1"/>
  <c r="AC1860" i="1"/>
  <c r="AC2312" i="1"/>
  <c r="AC2315" i="1"/>
  <c r="AC2365" i="1"/>
  <c r="AB2522" i="1"/>
  <c r="AC106" i="1"/>
  <c r="AC190" i="1"/>
  <c r="AC1063" i="1"/>
  <c r="AC949" i="1"/>
  <c r="AC453" i="1"/>
  <c r="AC2115" i="1"/>
  <c r="AC1854" i="1"/>
  <c r="AC2041" i="1"/>
  <c r="AC672" i="1"/>
  <c r="AC1788" i="1"/>
  <c r="AC1398" i="1"/>
  <c r="AC294" i="1"/>
  <c r="AC1266" i="1"/>
  <c r="AC1915" i="1"/>
  <c r="AC2325" i="1"/>
  <c r="AC2513" i="1"/>
  <c r="AC1300" i="1"/>
  <c r="AC130" i="1"/>
  <c r="AC2460" i="1"/>
  <c r="AC2001" i="1"/>
  <c r="AC2003" i="1"/>
  <c r="AC2004" i="1"/>
  <c r="AC2361" i="1"/>
  <c r="AC1323" i="1"/>
  <c r="AC1324" i="1"/>
  <c r="AC2556" i="1"/>
  <c r="AC953" i="1"/>
  <c r="AC2527" i="1"/>
  <c r="AC2525" i="1"/>
  <c r="AC2348" i="1"/>
  <c r="AC219" i="1"/>
  <c r="AC451" i="1"/>
  <c r="AC449" i="1"/>
  <c r="AC2514" i="1"/>
  <c r="AC1357" i="1"/>
  <c r="AC783" i="1"/>
  <c r="AC1096" i="1"/>
  <c r="AC409" i="1"/>
  <c r="AC1119" i="1"/>
  <c r="AC2322" i="1"/>
  <c r="AC717" i="1"/>
  <c r="AC715" i="1"/>
  <c r="AC1264" i="1"/>
  <c r="AC131" i="1"/>
  <c r="AC2456" i="1"/>
  <c r="AC1997" i="1"/>
  <c r="AC2006" i="1"/>
  <c r="AC2005" i="1"/>
  <c r="AC2369" i="1"/>
  <c r="AC2371" i="1"/>
  <c r="AC1325" i="1"/>
  <c r="AC187" i="1"/>
  <c r="AC192" i="1"/>
  <c r="AC947" i="1"/>
  <c r="AC1061" i="1"/>
  <c r="AC2015" i="1"/>
  <c r="AC399" i="1"/>
  <c r="AC2117" i="1"/>
  <c r="AC1768" i="1"/>
  <c r="AC2554" i="1"/>
  <c r="AC784" i="1"/>
  <c r="AC673" i="1"/>
  <c r="AC1394" i="1"/>
  <c r="AC1816" i="1"/>
  <c r="AC1121" i="1"/>
  <c r="AC1808" i="1"/>
  <c r="AC1117" i="1"/>
  <c r="AC1812" i="1"/>
  <c r="AC1913" i="1"/>
  <c r="AC129" i="1"/>
  <c r="AC2470" i="1"/>
  <c r="AC2000" i="1"/>
  <c r="AC2002" i="1"/>
  <c r="AC2363" i="1"/>
  <c r="AC1322" i="1"/>
  <c r="AC2459" i="1"/>
  <c r="AJ2210" i="1"/>
  <c r="AK2210" i="1" s="1"/>
  <c r="AC646" i="1"/>
  <c r="AJ2209" i="1"/>
  <c r="AK2209" i="1" s="1"/>
  <c r="AJ2553" i="1"/>
  <c r="AK2553" i="1" s="1"/>
  <c r="AJ1800" i="1"/>
  <c r="AK1800" i="1" s="1"/>
  <c r="AJ2072" i="1"/>
  <c r="AK2072" i="1" s="1"/>
  <c r="AJ1797" i="1"/>
  <c r="AK1797" i="1" s="1"/>
  <c r="AJ2547" i="1"/>
  <c r="AK2547" i="1" s="1"/>
  <c r="AC787" i="1"/>
  <c r="AC796" i="1"/>
  <c r="AC794" i="1"/>
  <c r="AC798" i="1"/>
  <c r="AC786" i="1"/>
  <c r="AC791" i="1"/>
  <c r="AC790" i="1"/>
  <c r="AC792" i="1"/>
  <c r="AC795" i="1"/>
  <c r="AC788" i="1"/>
  <c r="AC800" i="1"/>
  <c r="AC799" i="1"/>
  <c r="AJ2074" i="1"/>
  <c r="AK2074" i="1" s="1"/>
  <c r="AJ1801" i="1"/>
  <c r="AK1801" i="1" s="1"/>
  <c r="AJ1796" i="1"/>
  <c r="AK1796" i="1" s="1"/>
  <c r="AC2532" i="1"/>
  <c r="AC2533" i="1"/>
  <c r="AC2428" i="1"/>
  <c r="AC2531" i="1"/>
  <c r="AC2522" i="1"/>
  <c r="AC2520" i="1"/>
  <c r="AC2427" i="1"/>
  <c r="AC2426" i="1"/>
  <c r="AC2521" i="1"/>
  <c r="AC2411" i="1"/>
  <c r="AC2418" i="1"/>
  <c r="AC2420" i="1"/>
  <c r="AC2419" i="1"/>
  <c r="AC2412" i="1"/>
  <c r="AC2413" i="1"/>
  <c r="AC391" i="1"/>
  <c r="AC389" i="1"/>
  <c r="AC388" i="1"/>
  <c r="AC2017" i="1"/>
  <c r="AC946" i="1"/>
  <c r="AC841" i="1"/>
  <c r="AC645" i="1"/>
  <c r="AC2190" i="1"/>
  <c r="AC1651" i="1"/>
  <c r="AC1499" i="1"/>
  <c r="AC2416" i="1"/>
  <c r="AC1426" i="1"/>
  <c r="AC1950" i="1"/>
  <c r="AC643" i="1"/>
  <c r="AC212" i="1"/>
  <c r="AC1310" i="1"/>
  <c r="AC169" i="1"/>
  <c r="AC1654" i="1"/>
  <c r="AC444" i="1"/>
  <c r="AC854" i="1"/>
  <c r="AC956" i="1"/>
  <c r="AC2422" i="1"/>
  <c r="AC171" i="1"/>
  <c r="AC1445" i="1"/>
  <c r="AC1697" i="1"/>
  <c r="AC228" i="1"/>
  <c r="AC1442" i="1"/>
  <c r="AC361" i="1"/>
  <c r="AC918" i="1"/>
  <c r="AC1146" i="1"/>
  <c r="AS1146" i="1" s="1"/>
  <c r="AT1146" i="1" s="1"/>
  <c r="AU1146" i="1" s="1"/>
  <c r="AC1691" i="1"/>
  <c r="AC2188" i="1"/>
  <c r="AC2191" i="1"/>
  <c r="AS2191" i="1" s="1"/>
  <c r="AT2191" i="1" s="1"/>
  <c r="AU2191" i="1" s="1"/>
  <c r="AC1820" i="1"/>
  <c r="AC2415" i="1"/>
  <c r="AC892" i="1"/>
  <c r="AC1137" i="1"/>
  <c r="AC1190" i="1"/>
  <c r="AC840" i="1"/>
  <c r="AC351" i="1"/>
  <c r="AC1645" i="1"/>
  <c r="AC1655" i="1"/>
  <c r="AC1647" i="1"/>
  <c r="AC2495" i="1"/>
  <c r="AC2052" i="1"/>
  <c r="AC1359" i="1"/>
  <c r="AC2201" i="1"/>
  <c r="AC2157" i="1"/>
  <c r="AC2051" i="1"/>
  <c r="AC2056" i="1"/>
  <c r="AC1369" i="1"/>
  <c r="AC2230" i="1"/>
  <c r="AC2279" i="1"/>
  <c r="AC1360" i="1"/>
  <c r="AC1365" i="1"/>
  <c r="AC1364" i="1"/>
  <c r="AC1370" i="1"/>
  <c r="AC1433" i="1"/>
  <c r="AC2057" i="1"/>
  <c r="AC2202" i="1"/>
  <c r="AC1371" i="1"/>
  <c r="AC1366" i="1"/>
  <c r="AC2050" i="1"/>
  <c r="AC2203" i="1"/>
  <c r="AC2055" i="1"/>
  <c r="AC1358" i="1"/>
  <c r="AC2159" i="1"/>
  <c r="AC2158" i="1"/>
  <c r="AC1331" i="1"/>
  <c r="AC1330" i="1"/>
  <c r="AC1332" i="1"/>
  <c r="AC2467" i="1"/>
  <c r="AC883" i="1"/>
  <c r="AC884" i="1"/>
  <c r="AC692" i="1"/>
  <c r="AC882" i="1"/>
  <c r="AC691" i="1"/>
  <c r="AC2453" i="1"/>
  <c r="AC1313" i="1"/>
  <c r="AS1313" i="1" s="1"/>
  <c r="AT1313" i="1" s="1"/>
  <c r="AU1313" i="1" s="1"/>
  <c r="AC690" i="1"/>
  <c r="AC1319" i="1"/>
  <c r="AC2458" i="1"/>
  <c r="AC2461" i="1"/>
  <c r="AC508" i="1"/>
  <c r="AC515" i="1"/>
  <c r="AC514" i="1"/>
  <c r="AC513" i="1"/>
  <c r="AC519" i="1"/>
  <c r="AC509" i="1"/>
  <c r="AC507" i="1"/>
  <c r="AC521" i="1"/>
  <c r="AC520" i="1"/>
  <c r="AC1413" i="1"/>
  <c r="AC191" i="1"/>
  <c r="AJ2073" i="1"/>
  <c r="AK2073" i="1" s="1"/>
  <c r="AJ727" i="1"/>
  <c r="AK727" i="1" s="1"/>
  <c r="AJ2551" i="1"/>
  <c r="AK2551" i="1" s="1"/>
  <c r="AJ726" i="1"/>
  <c r="AK726" i="1" s="1"/>
  <c r="AC363" i="1"/>
  <c r="AB363" i="1"/>
  <c r="AD646" i="1"/>
  <c r="AB646" i="1"/>
  <c r="AD1450" i="1"/>
  <c r="AB1450" i="1"/>
  <c r="AD1452" i="1"/>
  <c r="AD1453" i="1"/>
  <c r="AB1453" i="1"/>
  <c r="AD1451" i="1"/>
  <c r="AB1451" i="1"/>
  <c r="AC124" i="1"/>
  <c r="AB2200" i="1"/>
  <c r="AD2200" i="1"/>
  <c r="AC2383" i="1"/>
  <c r="AC2380" i="1"/>
  <c r="AC348" i="1"/>
  <c r="AC1083" i="1"/>
  <c r="AC1970" i="1"/>
  <c r="AC200" i="1"/>
  <c r="AC398" i="1"/>
  <c r="AC1075" i="1"/>
  <c r="AC276" i="1"/>
  <c r="AC275" i="1"/>
  <c r="AC277" i="1"/>
  <c r="AC1700" i="1"/>
  <c r="AC1159" i="1"/>
  <c r="AC1414" i="1"/>
  <c r="AC1698" i="1"/>
  <c r="AC653" i="1"/>
  <c r="AC1998" i="1"/>
  <c r="AC282" i="1"/>
  <c r="AJ356" i="1"/>
  <c r="AK356" i="1" s="1"/>
  <c r="AC1327" i="1"/>
  <c r="AC1326" i="1"/>
  <c r="AC268" i="1"/>
  <c r="AC1855" i="1"/>
  <c r="AB124" i="1"/>
  <c r="AD124" i="1"/>
  <c r="AD1521" i="1"/>
  <c r="AB1521" i="1"/>
  <c r="AC1520" i="1"/>
  <c r="AD1520" i="1"/>
  <c r="AB1520" i="1"/>
  <c r="AB397" i="1"/>
  <c r="AD397" i="1"/>
  <c r="AC2452" i="1"/>
  <c r="AC2466" i="1"/>
  <c r="AC2449" i="1"/>
  <c r="AC2447" i="1"/>
  <c r="AC2468" i="1"/>
  <c r="AC2454" i="1"/>
  <c r="AC2457" i="1"/>
  <c r="AC2448" i="1"/>
  <c r="AD220" i="1"/>
  <c r="AC220" i="1"/>
  <c r="AC1693" i="1"/>
  <c r="AB1693" i="1"/>
  <c r="AD1693" i="1"/>
  <c r="AD2116" i="1"/>
  <c r="AC2116" i="1"/>
  <c r="AD2023" i="1"/>
  <c r="AC2023" i="1"/>
  <c r="AD2039" i="1"/>
  <c r="AC2039" i="1"/>
  <c r="AB2114" i="1"/>
  <c r="AC2114" i="1"/>
  <c r="AD831" i="1"/>
  <c r="AB831" i="1"/>
  <c r="AD2141" i="1"/>
  <c r="AB2141" i="1"/>
  <c r="AD1423" i="1"/>
  <c r="AS1423" i="1" s="1"/>
  <c r="AT1423" i="1" s="1"/>
  <c r="AU1423" i="1" s="1"/>
  <c r="AB1423" i="1"/>
  <c r="AD2078" i="1"/>
  <c r="AB2078" i="1"/>
  <c r="AD1938" i="1"/>
  <c r="AB1938" i="1"/>
  <c r="AD2077" i="1"/>
  <c r="AB2077" i="1"/>
  <c r="AD2081" i="1"/>
  <c r="AB2081" i="1"/>
  <c r="AD1939" i="1"/>
  <c r="AB1939" i="1"/>
  <c r="AD828" i="1"/>
  <c r="AB828" i="1"/>
  <c r="AD2076" i="1"/>
  <c r="AD2386" i="1"/>
  <c r="AB2386" i="1"/>
  <c r="AD825" i="1"/>
  <c r="AB825" i="1"/>
  <c r="AD439" i="1"/>
  <c r="AB439" i="1"/>
  <c r="AD2149" i="1"/>
  <c r="AB2149" i="1"/>
  <c r="AD2499" i="1"/>
  <c r="AB2499" i="1"/>
  <c r="AD2382" i="1"/>
  <c r="AB2382" i="1"/>
  <c r="AD981" i="1"/>
  <c r="AB981" i="1"/>
  <c r="AD822" i="1"/>
  <c r="AB822" i="1"/>
  <c r="AD2079" i="1"/>
  <c r="AB2079" i="1"/>
  <c r="AD1940" i="1"/>
  <c r="AB1940" i="1"/>
  <c r="AD1937" i="1"/>
  <c r="AS1937" i="1" s="1"/>
  <c r="AT1937" i="1" s="1"/>
  <c r="AU1937" i="1" s="1"/>
  <c r="AB1937" i="1"/>
  <c r="AC826" i="1"/>
  <c r="AD826" i="1"/>
  <c r="AB826" i="1"/>
  <c r="AC983" i="1"/>
  <c r="AB983" i="1"/>
  <c r="AD983" i="1"/>
  <c r="AB1014" i="1"/>
  <c r="AC1014" i="1"/>
  <c r="AD1014" i="1"/>
  <c r="AC2381" i="1"/>
  <c r="AB2381" i="1"/>
  <c r="AD2381" i="1"/>
  <c r="AD1471" i="1"/>
  <c r="AC1471" i="1"/>
  <c r="AB1471" i="1"/>
  <c r="AD2385" i="1"/>
  <c r="AB2385" i="1"/>
  <c r="AC2385" i="1"/>
  <c r="AD982" i="1"/>
  <c r="AB982" i="1"/>
  <c r="AC982" i="1"/>
  <c r="AC832" i="1"/>
  <c r="AB832" i="1"/>
  <c r="AD832" i="1"/>
  <c r="AB829" i="1"/>
  <c r="AD829" i="1"/>
  <c r="AC829" i="1"/>
  <c r="AC347" i="1"/>
  <c r="AD347" i="1"/>
  <c r="AB347" i="1"/>
  <c r="AC1470" i="1"/>
  <c r="AD1470" i="1"/>
  <c r="AB1470" i="1"/>
  <c r="AD823" i="1"/>
  <c r="AC823" i="1"/>
  <c r="AB823" i="1"/>
  <c r="AB2150" i="1"/>
  <c r="AD2150" i="1"/>
  <c r="AC2150" i="1"/>
  <c r="AC2140" i="1"/>
  <c r="AB2140" i="1"/>
  <c r="AD2140" i="1"/>
  <c r="AD2384" i="1"/>
  <c r="AB2384" i="1"/>
  <c r="AC2384" i="1"/>
  <c r="AD1912" i="1"/>
  <c r="AC1912" i="1"/>
  <c r="AC1569" i="1"/>
  <c r="AB423" i="1"/>
  <c r="AD268" i="1"/>
  <c r="AD1569" i="1"/>
  <c r="AB714" i="1"/>
  <c r="AD714" i="1"/>
  <c r="AB117" i="1"/>
  <c r="AD117" i="1"/>
  <c r="AC423" i="1"/>
  <c r="AB1855" i="1"/>
  <c r="AC1914" i="1"/>
  <c r="AC303" i="1"/>
  <c r="AD303" i="1"/>
  <c r="AD424" i="1"/>
  <c r="AD159" i="1"/>
  <c r="AB2514" i="1"/>
  <c r="AD2514" i="1"/>
  <c r="AD2555" i="1"/>
  <c r="AC2555" i="1"/>
  <c r="AB2116" i="1"/>
  <c r="AC1418" i="1"/>
  <c r="AB2039" i="1"/>
  <c r="AJ358" i="1"/>
  <c r="AK358" i="1" s="1"/>
  <c r="AJ1590" i="1"/>
  <c r="AK1590" i="1" s="1"/>
  <c r="AD2313" i="1"/>
  <c r="AD1116" i="1"/>
  <c r="AC1116" i="1"/>
  <c r="AD1163" i="1"/>
  <c r="AB1163" i="1"/>
  <c r="AD1120" i="1"/>
  <c r="AC2313" i="1"/>
  <c r="AC2195" i="1"/>
  <c r="AC400" i="1"/>
  <c r="AD48" i="1"/>
  <c r="AD1265" i="1"/>
  <c r="AB1809" i="1"/>
  <c r="AB48" i="1"/>
  <c r="AB1207" i="1"/>
  <c r="AD1207" i="1" s="1"/>
  <c r="AC1632" i="1"/>
  <c r="AC1265" i="1"/>
  <c r="AD400" i="1"/>
  <c r="AD1809" i="1"/>
  <c r="AJ2199" i="1"/>
  <c r="AK2199" i="1" s="1"/>
  <c r="AB992" i="1"/>
  <c r="AD992" i="1"/>
  <c r="AB1959" i="1"/>
  <c r="AD1959" i="1"/>
  <c r="AC1960" i="1"/>
  <c r="AD1960" i="1"/>
  <c r="AB1960" i="1"/>
  <c r="AJ2529" i="1"/>
  <c r="AK2529" i="1" s="1"/>
  <c r="AJ1588" i="1"/>
  <c r="AK1588" i="1" s="1"/>
  <c r="AJ188" i="1"/>
  <c r="AK188" i="1" s="1"/>
  <c r="AJ952" i="1"/>
  <c r="AK952" i="1" s="1"/>
  <c r="AB649" i="1"/>
  <c r="AD1498" i="1"/>
  <c r="AB2244" i="1"/>
  <c r="AD2244" i="1" s="1"/>
  <c r="AB1299" i="1"/>
  <c r="AD1522" i="1"/>
  <c r="AD649" i="1"/>
  <c r="AC1299" i="1"/>
  <c r="AC1811" i="1"/>
  <c r="AC1522" i="1"/>
  <c r="AD26" i="1"/>
  <c r="AB26" i="1"/>
  <c r="AD1176" i="1"/>
  <c r="AD706" i="1"/>
  <c r="AB1914" i="1"/>
  <c r="AD1418" i="1"/>
  <c r="AB159" i="1"/>
  <c r="AC424" i="1"/>
  <c r="AC1120" i="1"/>
  <c r="AD1518" i="1"/>
  <c r="AD1401" i="1"/>
  <c r="AB1518" i="1"/>
  <c r="AD1571" i="1"/>
  <c r="AD232" i="1"/>
  <c r="AB1176" i="1"/>
  <c r="AD1611" i="1"/>
  <c r="AD1118" i="1"/>
  <c r="AB1275" i="1"/>
  <c r="AD43" i="1"/>
  <c r="AB706" i="1"/>
  <c r="AC1118" i="1"/>
  <c r="AD32" i="1"/>
  <c r="AC1275" i="1"/>
  <c r="AD408" i="1"/>
  <c r="AC408" i="1"/>
  <c r="AD395" i="1"/>
  <c r="AB395" i="1"/>
  <c r="AD2310" i="1"/>
  <c r="AC1611" i="1"/>
  <c r="AB1422" i="1"/>
  <c r="AD428" i="1"/>
  <c r="AB39" i="1"/>
  <c r="AB2195" i="1"/>
  <c r="AC428" i="1"/>
  <c r="AC1422" i="1"/>
  <c r="AB716" i="1"/>
  <c r="AC39" i="1"/>
  <c r="AD40" i="1"/>
  <c r="AB2320" i="1"/>
  <c r="AC870" i="1"/>
  <c r="AD2320" i="1"/>
  <c r="AD47" i="1"/>
  <c r="AD2114" i="1"/>
  <c r="AD1807" i="1"/>
  <c r="AB534" i="1"/>
  <c r="AB622" i="1"/>
  <c r="AC40" i="1"/>
  <c r="AB2397" i="1"/>
  <c r="AC1263" i="1"/>
  <c r="AD1263" i="1"/>
  <c r="AC1807" i="1"/>
  <c r="AC2397" i="1"/>
  <c r="AD2516" i="1"/>
  <c r="AD2517" i="1"/>
  <c r="AC622" i="1"/>
  <c r="AC30" i="1"/>
  <c r="AC2516" i="1"/>
  <c r="AD30" i="1"/>
  <c r="AC47" i="1"/>
  <c r="AB1401" i="1"/>
  <c r="AD1219" i="1"/>
  <c r="AC1172" i="1"/>
  <c r="AB49" i="1"/>
  <c r="AD716" i="1"/>
  <c r="AB1219" i="1"/>
  <c r="AB2323" i="1"/>
  <c r="AC243" i="1"/>
  <c r="AD426" i="1"/>
  <c r="AB45" i="1"/>
  <c r="AD45" i="1"/>
  <c r="AC1297" i="1"/>
  <c r="AC2013" i="1"/>
  <c r="AB1581" i="1"/>
  <c r="AC1718" i="1"/>
  <c r="AB1872" i="1"/>
  <c r="AD1872" i="1" s="1"/>
  <c r="AB1444" i="1"/>
  <c r="AC426" i="1"/>
  <c r="AC993" i="1"/>
  <c r="AD2403" i="1"/>
  <c r="AB1297" i="1"/>
  <c r="AB1750" i="1"/>
  <c r="AC1444" i="1"/>
  <c r="AB235" i="1"/>
  <c r="AC235" i="1"/>
  <c r="AD2013" i="1"/>
  <c r="AC2323" i="1"/>
  <c r="AB804" i="1"/>
  <c r="AB1571" i="1"/>
  <c r="AB65" i="1"/>
  <c r="AD65" i="1" s="1"/>
  <c r="AD1290" i="1"/>
  <c r="AC34" i="1"/>
  <c r="AD34" i="1"/>
  <c r="AB1751" i="1"/>
  <c r="AD1040" i="1"/>
  <c r="AD1303" i="1"/>
  <c r="AC1944" i="1"/>
  <c r="AC397" i="1"/>
  <c r="AB116" i="1"/>
  <c r="AD996" i="1"/>
  <c r="AD1944" i="1"/>
  <c r="AD168" i="1"/>
  <c r="AB231" i="1"/>
  <c r="AC996" i="1"/>
  <c r="AD49" i="1"/>
  <c r="AC1040" i="1"/>
  <c r="AC168" i="1"/>
  <c r="AD1811" i="1"/>
  <c r="AD25" i="1"/>
  <c r="AC25" i="1"/>
  <c r="AD287" i="1"/>
  <c r="AC534" i="1"/>
  <c r="AC959" i="1"/>
  <c r="AJ1377" i="1"/>
  <c r="AK1377" i="1" s="1"/>
  <c r="AB2468" i="1"/>
  <c r="AC2519" i="1"/>
  <c r="AC2310" i="1"/>
  <c r="AD1494" i="1"/>
  <c r="AB23" i="1"/>
  <c r="AD1071" i="1"/>
  <c r="AB1501" i="1"/>
  <c r="AB1878" i="1"/>
  <c r="AB1081" i="1"/>
  <c r="AB2401" i="1"/>
  <c r="AB216" i="1"/>
  <c r="AD216" i="1" s="1"/>
  <c r="AB961" i="1"/>
  <c r="AD961" i="1" s="1"/>
  <c r="AB1943" i="1"/>
  <c r="AB1862" i="1"/>
  <c r="AB2378" i="1"/>
  <c r="AD2378" i="1" s="1"/>
  <c r="AD811" i="1"/>
  <c r="AC2301" i="1"/>
  <c r="AB2301" i="1"/>
  <c r="AC1496" i="1"/>
  <c r="AB1460" i="1"/>
  <c r="AB1695" i="1"/>
  <c r="AD1695" i="1" s="1"/>
  <c r="AC1577" i="1"/>
  <c r="AC2373" i="1"/>
  <c r="AB243" i="1"/>
  <c r="AB43" i="1"/>
  <c r="AB1496" i="1"/>
  <c r="AB1226" i="1"/>
  <c r="AD870" i="1"/>
  <c r="AC1138" i="1"/>
  <c r="AD2509" i="1"/>
  <c r="AD665" i="1"/>
  <c r="AC2016" i="1"/>
  <c r="AB41" i="1"/>
  <c r="AC1823" i="1"/>
  <c r="AB722" i="1"/>
  <c r="AC1943" i="1"/>
  <c r="AC2507" i="1"/>
  <c r="AB1823" i="1"/>
  <c r="AB158" i="1"/>
  <c r="AC626" i="1"/>
  <c r="AB665" i="1"/>
  <c r="AD207" i="1"/>
  <c r="AD267" i="1"/>
  <c r="AD2016" i="1"/>
  <c r="AC1439" i="1"/>
  <c r="AD1457" i="1"/>
  <c r="AD29" i="1"/>
  <c r="AD44" i="1"/>
  <c r="AD1138" i="1"/>
  <c r="AB627" i="1"/>
  <c r="AB2466" i="1"/>
  <c r="AD2507" i="1"/>
  <c r="AC29" i="1"/>
  <c r="AC1290" i="1"/>
  <c r="AB1018" i="1"/>
  <c r="AD1085" i="1"/>
  <c r="AD357" i="1"/>
  <c r="AB550" i="1"/>
  <c r="AC189" i="1"/>
  <c r="AB232" i="1"/>
  <c r="AD2519" i="1"/>
  <c r="AB928" i="1"/>
  <c r="AB1536" i="1"/>
  <c r="AB1503" i="1"/>
  <c r="AC1977" i="1"/>
  <c r="AD812" i="1"/>
  <c r="AJ812" i="1" s="1"/>
  <c r="AK812" i="1" s="1"/>
  <c r="AB984" i="1"/>
  <c r="AC1404" i="1"/>
  <c r="AB2448" i="1"/>
  <c r="AC165" i="1"/>
  <c r="AC236" i="1"/>
  <c r="AB2197" i="1"/>
  <c r="AB241" i="1"/>
  <c r="AB2530" i="1"/>
  <c r="AC1501" i="1"/>
  <c r="AC59" i="1"/>
  <c r="AD1172" i="1"/>
  <c r="AD165" i="1"/>
  <c r="AD1048" i="1"/>
  <c r="AC2233" i="1"/>
  <c r="AC357" i="1"/>
  <c r="AB1671" i="1"/>
  <c r="AB1576" i="1"/>
  <c r="AC1451" i="1"/>
  <c r="AC1191" i="1"/>
  <c r="AD464" i="1"/>
  <c r="AD189" i="1"/>
  <c r="AB211" i="1"/>
  <c r="AD211" i="1" s="1"/>
  <c r="AB1427" i="1"/>
  <c r="AD2197" i="1"/>
  <c r="AD1404" i="1"/>
  <c r="AD1725" i="1"/>
  <c r="AB119" i="1"/>
  <c r="AD231" i="1"/>
  <c r="AB269" i="1"/>
  <c r="AC464" i="1"/>
  <c r="AD993" i="1"/>
  <c r="AB1373" i="1"/>
  <c r="AC2168" i="1"/>
  <c r="AC2401" i="1"/>
  <c r="AC2123" i="1"/>
  <c r="AC102" i="1"/>
  <c r="AC353" i="1"/>
  <c r="AB1051" i="1"/>
  <c r="AB703" i="1"/>
  <c r="AC33" i="1"/>
  <c r="AC869" i="1"/>
  <c r="AC1071" i="1"/>
  <c r="AD158" i="1"/>
  <c r="AD41" i="1"/>
  <c r="AB1494" i="1"/>
  <c r="AB288" i="1"/>
  <c r="AB1457" i="1"/>
  <c r="AJ1587" i="1"/>
  <c r="AK1587" i="1" s="1"/>
  <c r="AB2123" i="1"/>
  <c r="AD1139" i="1"/>
  <c r="AC518" i="1"/>
  <c r="AD1526" i="1"/>
  <c r="AB1400" i="1"/>
  <c r="AB1781" i="1"/>
  <c r="AB2450" i="1"/>
  <c r="AD260" i="1"/>
  <c r="AB666" i="1"/>
  <c r="AC293" i="1"/>
  <c r="AC703" i="1"/>
  <c r="AB360" i="1"/>
  <c r="AD1848" i="1"/>
  <c r="AB238" i="1"/>
  <c r="AC1161" i="1"/>
  <c r="AC2503" i="1"/>
  <c r="AB353" i="1"/>
  <c r="AB811" i="1"/>
  <c r="AC1051" i="1"/>
  <c r="AC614" i="1"/>
  <c r="AB102" i="1"/>
  <c r="AD1722" i="1"/>
  <c r="AB612" i="1"/>
  <c r="AD539" i="1"/>
  <c r="AD292" i="1"/>
  <c r="AB2457" i="1"/>
  <c r="AD2215" i="1"/>
  <c r="AB32" i="1"/>
  <c r="AB1563" i="1"/>
  <c r="AB573" i="1"/>
  <c r="AD573" i="1" s="1"/>
  <c r="AD1161" i="1"/>
  <c r="AD33" i="1"/>
  <c r="AD2503" i="1"/>
  <c r="AB869" i="1"/>
  <c r="AC1340" i="1"/>
  <c r="AB2368" i="1"/>
  <c r="AD1340" i="1"/>
  <c r="AB815" i="1"/>
  <c r="AD2450" i="1"/>
  <c r="AJ2291" i="1"/>
  <c r="AK2291" i="1" s="1"/>
  <c r="AC924" i="1"/>
  <c r="AD1863" i="1"/>
  <c r="AB2483" i="1"/>
  <c r="AB1666" i="1"/>
  <c r="AB392" i="1"/>
  <c r="AC2187" i="1"/>
  <c r="AD1149" i="1"/>
  <c r="AC120" i="1"/>
  <c r="AD2026" i="1"/>
  <c r="AB205" i="1"/>
  <c r="AB719" i="1"/>
  <c r="AD2362" i="1"/>
  <c r="AD666" i="1"/>
  <c r="AB1782" i="1"/>
  <c r="AB924" i="1"/>
  <c r="AD293" i="1"/>
  <c r="AC967" i="1"/>
  <c r="AB1575" i="1"/>
  <c r="AC205" i="1"/>
  <c r="AC920" i="1"/>
  <c r="AC1781" i="1"/>
  <c r="AD28" i="1"/>
  <c r="AC1776" i="1"/>
  <c r="AC619" i="1"/>
  <c r="AC1212" i="1"/>
  <c r="AC1168" i="1"/>
  <c r="AB2026" i="1"/>
  <c r="AD1400" i="1"/>
  <c r="AJ1400" i="1" s="1"/>
  <c r="AK1400" i="1" s="1"/>
  <c r="AB1149" i="1"/>
  <c r="AD500" i="1"/>
  <c r="AC260" i="1"/>
  <c r="AB1684" i="1"/>
  <c r="AD1684" i="1" s="1"/>
  <c r="AC54" i="1"/>
  <c r="AC1873" i="1"/>
  <c r="AB620" i="1"/>
  <c r="AD620" i="1" s="1"/>
  <c r="AB1279" i="1"/>
  <c r="AB1577" i="1"/>
  <c r="AC28" i="1"/>
  <c r="AD109" i="1"/>
  <c r="AC1559" i="1"/>
  <c r="AB109" i="1"/>
  <c r="AD459" i="1"/>
  <c r="AC31" i="1"/>
  <c r="AD719" i="1"/>
  <c r="AD1081" i="1"/>
  <c r="AB500" i="1"/>
  <c r="AD265" i="1"/>
  <c r="AD1606" i="1"/>
  <c r="AC237" i="1"/>
  <c r="AC2360" i="1"/>
  <c r="AB1573" i="1"/>
  <c r="AB2362" i="1"/>
  <c r="AD621" i="1"/>
  <c r="AB1456" i="1"/>
  <c r="AD920" i="1"/>
  <c r="AD1559" i="1"/>
  <c r="AB2423" i="1"/>
  <c r="AB1212" i="1"/>
  <c r="AD1274" i="1"/>
  <c r="AD1107" i="1"/>
  <c r="AC1107" i="1"/>
  <c r="AB1107" i="1"/>
  <c r="AC1517" i="1"/>
  <c r="AD1517" i="1"/>
  <c r="AB284" i="1"/>
  <c r="AD284" i="1"/>
  <c r="AC284" i="1"/>
  <c r="AC164" i="1"/>
  <c r="AD164" i="1"/>
  <c r="AB164" i="1"/>
  <c r="AD24" i="1"/>
  <c r="AB24" i="1"/>
  <c r="AC24" i="1"/>
  <c r="AB813" i="1"/>
  <c r="AD813" i="1"/>
  <c r="AC813" i="1"/>
  <c r="AC161" i="1"/>
  <c r="AD161" i="1"/>
  <c r="AC1082" i="1"/>
  <c r="AC263" i="1"/>
  <c r="AC968" i="1"/>
  <c r="AB968" i="1"/>
  <c r="AD968" i="1" s="1"/>
  <c r="AD2504" i="1"/>
  <c r="AB2504" i="1"/>
  <c r="AB536" i="1"/>
  <c r="AD536" i="1"/>
  <c r="AC536" i="1"/>
  <c r="AC233" i="1"/>
  <c r="AB233" i="1"/>
  <c r="AB118" i="1"/>
  <c r="AD118" i="1"/>
  <c r="AC118" i="1"/>
  <c r="AB1378" i="1"/>
  <c r="AJ1378" i="1"/>
  <c r="AK1378" i="1" s="1"/>
  <c r="AB962" i="1"/>
  <c r="AD962" i="1" s="1"/>
  <c r="AB535" i="1"/>
  <c r="AC535" i="1"/>
  <c r="AB121" i="1"/>
  <c r="AC121" i="1"/>
  <c r="AD121" i="1"/>
  <c r="AC1173" i="1"/>
  <c r="AB2517" i="1"/>
  <c r="AD1497" i="1"/>
  <c r="AC1497" i="1"/>
  <c r="AC1673" i="1"/>
  <c r="AB1673" i="1"/>
  <c r="AD436" i="1"/>
  <c r="AB436" i="1"/>
  <c r="AB248" i="1"/>
  <c r="AC248" i="1"/>
  <c r="AC2227" i="1"/>
  <c r="AD2227" i="1"/>
  <c r="AB2227" i="1"/>
  <c r="AB1098" i="1"/>
  <c r="AC1098" i="1"/>
  <c r="AC2198" i="1"/>
  <c r="AB2198" i="1"/>
  <c r="AD2198" i="1"/>
  <c r="AB1961" i="1"/>
  <c r="AD1961" i="1"/>
  <c r="AC1961" i="1"/>
  <c r="AD1043" i="1"/>
  <c r="AB1043" i="1"/>
  <c r="AD270" i="1"/>
  <c r="AC270" i="1"/>
  <c r="AB270" i="1"/>
  <c r="AD201" i="1"/>
  <c r="AC201" i="1"/>
  <c r="AC27" i="1"/>
  <c r="AD27" i="1"/>
  <c r="AD1817" i="1"/>
  <c r="AB1817" i="1"/>
  <c r="AC1971" i="1"/>
  <c r="AC1110" i="1"/>
  <c r="AB814" i="1"/>
  <c r="AC814" i="1"/>
  <c r="AB2487" i="1"/>
  <c r="AD2487" i="1"/>
  <c r="AC1151" i="1"/>
  <c r="AD1151" i="1"/>
  <c r="AC210" i="1"/>
  <c r="AB210" i="1"/>
  <c r="AD210" i="1" s="1"/>
  <c r="AD2008" i="1"/>
  <c r="AC2008" i="1"/>
  <c r="AC1683" i="1"/>
  <c r="AB1683" i="1"/>
  <c r="AD1683" i="1" s="1"/>
  <c r="AC2406" i="1"/>
  <c r="AB2406" i="1"/>
  <c r="AB505" i="1"/>
  <c r="AC505" i="1"/>
  <c r="AD1780" i="1"/>
  <c r="AB1780" i="1"/>
  <c r="AD1523" i="1"/>
  <c r="AC1523" i="1"/>
  <c r="AB1523" i="1"/>
  <c r="AB1082" i="1"/>
  <c r="AB1971" i="1"/>
  <c r="AB27" i="1"/>
  <c r="AC2402" i="1"/>
  <c r="AB1517" i="1"/>
  <c r="AB1766" i="1"/>
  <c r="AB1848" i="1"/>
  <c r="AC1043" i="1"/>
  <c r="AB1497" i="1"/>
  <c r="AB263" i="1"/>
  <c r="AD2406" i="1"/>
  <c r="AB2465" i="1"/>
  <c r="AB2168" i="1"/>
  <c r="AC1427" i="1"/>
  <c r="AS1427" i="1" s="1"/>
  <c r="AT1427" i="1" s="1"/>
  <c r="AU1427" i="1" s="1"/>
  <c r="AB461" i="1"/>
  <c r="AC238" i="1"/>
  <c r="AC2215" i="1"/>
  <c r="AC2487" i="1"/>
  <c r="AD2402" i="1"/>
  <c r="AC1780" i="1"/>
  <c r="AD1766" i="1"/>
  <c r="AD535" i="1"/>
  <c r="AC23" i="1"/>
  <c r="AC1085" i="1"/>
  <c r="AB539" i="1"/>
  <c r="AC2399" i="1"/>
  <c r="AD1566" i="1"/>
  <c r="AC1671" i="1"/>
  <c r="AB2509" i="1"/>
  <c r="AB626" i="1"/>
  <c r="AB1363" i="1"/>
  <c r="AD1718" i="1"/>
  <c r="AC928" i="1"/>
  <c r="AD1169" i="1"/>
  <c r="AD116" i="1"/>
  <c r="AB964" i="1"/>
  <c r="AD964" i="1" s="1"/>
  <c r="AD266" i="1"/>
  <c r="AC1074" i="1"/>
  <c r="AD2118" i="1"/>
  <c r="AD119" i="1"/>
  <c r="AB1566" i="1"/>
  <c r="AD1439" i="1"/>
  <c r="AC1226" i="1"/>
  <c r="AC179" i="1"/>
  <c r="AJ1374" i="1"/>
  <c r="AK1374" i="1" s="1"/>
  <c r="AC241" i="1"/>
  <c r="AB2233" i="1"/>
  <c r="AB2400" i="1"/>
  <c r="AC2118" i="1"/>
  <c r="AD1774" i="1"/>
  <c r="AB812" i="1"/>
  <c r="AD1039" i="1"/>
  <c r="AB208" i="1"/>
  <c r="AD208" i="1"/>
  <c r="AC1581" i="1"/>
  <c r="AB44" i="1"/>
  <c r="AD2303" i="1"/>
  <c r="AC2303" i="1"/>
  <c r="AD1191" i="1"/>
  <c r="AD2399" i="1"/>
  <c r="AD1363" i="1"/>
  <c r="AC1563" i="1"/>
  <c r="AB1169" i="1"/>
  <c r="AB266" i="1"/>
  <c r="AD1074" i="1"/>
  <c r="AB179" i="1"/>
  <c r="AB2552" i="1"/>
  <c r="AD1750" i="1"/>
  <c r="AD627" i="1"/>
  <c r="AB452" i="1"/>
  <c r="AB959" i="1"/>
  <c r="AC269" i="1"/>
  <c r="AD2530" i="1"/>
  <c r="AB1506" i="1"/>
  <c r="AB2398" i="1"/>
  <c r="AC1862" i="1"/>
  <c r="AD236" i="1"/>
  <c r="AC1303" i="1"/>
  <c r="AB1774" i="1"/>
  <c r="AC1751" i="1"/>
  <c r="AJ1639" i="1"/>
  <c r="AK1639" i="1" s="1"/>
  <c r="AC2552" i="1"/>
  <c r="AB2305" i="1"/>
  <c r="AD2305" i="1" s="1"/>
  <c r="AC862" i="1"/>
  <c r="AC2048" i="1"/>
  <c r="AB2379" i="1"/>
  <c r="AD2379" i="1" s="1"/>
  <c r="AD1225" i="1"/>
  <c r="AB1606" i="1"/>
  <c r="AD2405" i="1"/>
  <c r="AC704" i="1"/>
  <c r="AB2494" i="1"/>
  <c r="AD2121" i="1"/>
  <c r="AB122" i="1"/>
  <c r="AC280" i="1"/>
  <c r="AC1925" i="1"/>
  <c r="AC1525" i="1"/>
  <c r="AB1583" i="1"/>
  <c r="AB1696" i="1"/>
  <c r="AD1696" i="1" s="1"/>
  <c r="AC937" i="1"/>
  <c r="AD2373" i="1"/>
  <c r="AB879" i="1"/>
  <c r="AD1583" i="1"/>
  <c r="AJ1583" i="1" s="1"/>
  <c r="AK1583" i="1" s="1"/>
  <c r="AD504" i="1"/>
  <c r="AC722" i="1"/>
  <c r="AD512" i="1"/>
  <c r="AB621" i="1"/>
  <c r="AC1536" i="1"/>
  <c r="AD925" i="1"/>
  <c r="AC1452" i="1"/>
  <c r="AC1582" i="1"/>
  <c r="AB925" i="1"/>
  <c r="AD1124" i="1"/>
  <c r="AD550" i="1"/>
  <c r="AB1815" i="1"/>
  <c r="AB977" i="1"/>
  <c r="AD1572" i="1"/>
  <c r="AD2394" i="1"/>
  <c r="AB280" i="1"/>
  <c r="AB31" i="1"/>
  <c r="AC572" i="1"/>
  <c r="AC1175" i="1"/>
  <c r="AD46" i="1"/>
  <c r="AB2451" i="1"/>
  <c r="AC1181" i="1"/>
  <c r="AB46" i="1"/>
  <c r="AD1181" i="1"/>
  <c r="AD1525" i="1"/>
  <c r="AB1994" i="1"/>
  <c r="AC879" i="1"/>
  <c r="AB1140" i="1"/>
  <c r="AC512" i="1"/>
  <c r="AD1168" i="1"/>
  <c r="AD623" i="1"/>
  <c r="AD2447" i="1"/>
  <c r="AD1703" i="1"/>
  <c r="AD625" i="1"/>
  <c r="AC623" i="1"/>
  <c r="AC2432" i="1"/>
  <c r="AD2451" i="1"/>
  <c r="AB2524" i="1"/>
  <c r="AD2364" i="1"/>
  <c r="AB1164" i="1"/>
  <c r="AD1838" i="1"/>
  <c r="AJ2214" i="1"/>
  <c r="AK2214" i="1" s="1"/>
  <c r="AC1575" i="1"/>
  <c r="AC1838" i="1"/>
  <c r="AC2121" i="1"/>
  <c r="AB217" i="1"/>
  <c r="AB2364" i="1"/>
  <c r="AB54" i="1"/>
  <c r="AD1110" i="1"/>
  <c r="AB160" i="1"/>
  <c r="AC60" i="1"/>
  <c r="AB459" i="1"/>
  <c r="AD1582" i="1"/>
  <c r="AB1124" i="1"/>
  <c r="AJ2250" i="1"/>
  <c r="AK2250" i="1" s="1"/>
  <c r="AB2186" i="1"/>
  <c r="AB1052" i="1"/>
  <c r="AB625" i="1"/>
  <c r="AD1175" i="1"/>
  <c r="AC504" i="1"/>
  <c r="AB860" i="1"/>
  <c r="AD860" i="1" s="1"/>
  <c r="AC975" i="1"/>
  <c r="AD2432" i="1"/>
  <c r="AD1910" i="1"/>
  <c r="AC1815" i="1"/>
  <c r="AD1140" i="1"/>
  <c r="AC1668" i="1"/>
  <c r="AD352" i="1"/>
  <c r="AC2216" i="1"/>
  <c r="AC2524" i="1"/>
  <c r="AC1171" i="1"/>
  <c r="AC2071" i="1"/>
  <c r="AB1049" i="1"/>
  <c r="AC1528" i="1"/>
  <c r="AD1528" i="1"/>
  <c r="AB1469" i="1"/>
  <c r="AD1469" i="1"/>
  <c r="AD610" i="1"/>
  <c r="AC610" i="1"/>
  <c r="AC648" i="1"/>
  <c r="AD648" i="1"/>
  <c r="AC1564" i="1"/>
  <c r="AB1564" i="1"/>
  <c r="AB1853" i="1"/>
  <c r="AC1853" i="1"/>
  <c r="AB42" i="1"/>
  <c r="AD42" i="1"/>
  <c r="AD355" i="1"/>
  <c r="AJ355" i="1" s="1"/>
  <c r="AK355" i="1" s="1"/>
  <c r="AB355" i="1"/>
  <c r="AB1589" i="1"/>
  <c r="AD1589" i="1"/>
  <c r="AD1125" i="1"/>
  <c r="AB1125" i="1"/>
  <c r="AD611" i="1"/>
  <c r="AB611" i="1"/>
  <c r="AB634" i="1"/>
  <c r="AD634" i="1"/>
  <c r="AC1352" i="1"/>
  <c r="AB1352" i="1"/>
  <c r="AB2546" i="1"/>
  <c r="AC2546" i="1"/>
  <c r="AD2232" i="1"/>
  <c r="AB2232" i="1"/>
  <c r="AC1492" i="1"/>
  <c r="AD1492" i="1"/>
  <c r="AB1492" i="1"/>
  <c r="AC2300" i="1"/>
  <c r="AD2300" i="1"/>
  <c r="AD2518" i="1"/>
  <c r="AB2518" i="1"/>
  <c r="AC2277" i="1"/>
  <c r="AD2277" i="1"/>
  <c r="AB2277" i="1"/>
  <c r="AD2156" i="1"/>
  <c r="AC2156" i="1"/>
  <c r="AD1519" i="1"/>
  <c r="AB1519" i="1"/>
  <c r="AC676" i="1"/>
  <c r="AD676" i="1"/>
  <c r="AB194" i="1"/>
  <c r="AD194" i="1"/>
  <c r="AC194" i="1"/>
  <c r="AC108" i="1"/>
  <c r="AB108" i="1"/>
  <c r="AB1410" i="1"/>
  <c r="AD1410" i="1" s="1"/>
  <c r="AC1410" i="1"/>
  <c r="AC2302" i="1"/>
  <c r="AB2302" i="1"/>
  <c r="AC242" i="1"/>
  <c r="AD242" i="1"/>
  <c r="AB242" i="1"/>
  <c r="AC2231" i="1"/>
  <c r="AD2231" i="1"/>
  <c r="AC2130" i="1"/>
  <c r="AC537" i="1"/>
  <c r="AB537" i="1"/>
  <c r="AD537" i="1"/>
  <c r="AC291" i="1"/>
  <c r="AD291" i="1"/>
  <c r="AB291" i="1"/>
  <c r="AD240" i="1"/>
  <c r="AC240" i="1"/>
  <c r="AD230" i="1"/>
  <c r="AB230" i="1"/>
  <c r="AC230" i="1"/>
  <c r="AB162" i="1"/>
  <c r="AD162" i="1"/>
  <c r="AB1634" i="1"/>
  <c r="AD1634" i="1" s="1"/>
  <c r="AC1634" i="1"/>
  <c r="AC1874" i="1"/>
  <c r="AB1874" i="1"/>
  <c r="AD1874" i="1" s="1"/>
  <c r="AD2393" i="1"/>
  <c r="AC2393" i="1"/>
  <c r="AB2393" i="1"/>
  <c r="AB1273" i="1"/>
  <c r="AC1273" i="1"/>
  <c r="AD1273" i="1"/>
  <c r="AC1976" i="1"/>
  <c r="AB1976" i="1"/>
  <c r="AD1976" i="1" s="1"/>
  <c r="AC1859" i="1"/>
  <c r="AD1859" i="1"/>
  <c r="AD958" i="1"/>
  <c r="AB958" i="1"/>
  <c r="AB264" i="1"/>
  <c r="AC264" i="1"/>
  <c r="AC111" i="1"/>
  <c r="AD111" i="1"/>
  <c r="AB2396" i="1"/>
  <c r="AD2396" i="1"/>
  <c r="AC352" i="1"/>
  <c r="AB463" i="1"/>
  <c r="AD923" i="1"/>
  <c r="AD1573" i="1"/>
  <c r="AD2407" i="1"/>
  <c r="AC288" i="1"/>
  <c r="AC292" i="1"/>
  <c r="AC1453" i="1"/>
  <c r="AB1721" i="1"/>
  <c r="AD2546" i="1"/>
  <c r="AB239" i="1"/>
  <c r="AC463" i="1"/>
  <c r="AD1143" i="1"/>
  <c r="AC1863" i="1"/>
  <c r="AB2194" i="1"/>
  <c r="AB2473" i="1"/>
  <c r="AB1467" i="1"/>
  <c r="AB2119" i="1"/>
  <c r="AC517" i="1"/>
  <c r="AB2471" i="1"/>
  <c r="AB2231" i="1"/>
  <c r="AD454" i="1"/>
  <c r="AD448" i="1"/>
  <c r="AD1021" i="1"/>
  <c r="AD2302" i="1"/>
  <c r="AC958" i="1"/>
  <c r="AB111" i="1"/>
  <c r="AD120" i="1"/>
  <c r="AC765" i="1"/>
  <c r="AC110" i="1"/>
  <c r="AB1626" i="1"/>
  <c r="AD1626" i="1" s="1"/>
  <c r="AC1626" i="1"/>
  <c r="AB1227" i="1"/>
  <c r="AD1227" i="1" s="1"/>
  <c r="AC1227" i="1"/>
  <c r="AD723" i="1"/>
  <c r="AC723" i="1"/>
  <c r="AB723" i="1"/>
  <c r="AD1724" i="1"/>
  <c r="AC1724" i="1"/>
  <c r="AC281" i="1"/>
  <c r="AD281" i="1"/>
  <c r="AB281" i="1"/>
  <c r="AD2374" i="1"/>
  <c r="AB2374" i="1"/>
  <c r="AB467" i="1"/>
  <c r="AD467" i="1"/>
  <c r="AC467" i="1"/>
  <c r="AB2506" i="1"/>
  <c r="AD2506" i="1"/>
  <c r="AB1565" i="1"/>
  <c r="AD1565" i="1"/>
  <c r="AD203" i="1"/>
  <c r="AC203" i="1"/>
  <c r="AD2166" i="1"/>
  <c r="AC2166" i="1"/>
  <c r="AD2449" i="1"/>
  <c r="AB1262" i="1"/>
  <c r="AC1262" i="1"/>
  <c r="AD1262" i="1"/>
  <c r="AC995" i="1"/>
  <c r="AD995" i="1"/>
  <c r="AB633" i="1"/>
  <c r="AC633" i="1"/>
  <c r="AB468" i="1"/>
  <c r="AD468" i="1"/>
  <c r="AB630" i="1"/>
  <c r="AD630" i="1"/>
  <c r="AC630" i="1"/>
  <c r="AB891" i="1"/>
  <c r="AD891" i="1"/>
  <c r="AC2165" i="1"/>
  <c r="AD2165" i="1"/>
  <c r="AB1995" i="1"/>
  <c r="AD1995" i="1"/>
  <c r="AB1669" i="1"/>
  <c r="AD2234" i="1"/>
  <c r="AB2234" i="1"/>
  <c r="AB1717" i="1"/>
  <c r="AC1717" i="1"/>
  <c r="AD1463" i="1"/>
  <c r="AB1463" i="1"/>
  <c r="AD1429" i="1"/>
  <c r="AC1429" i="1"/>
  <c r="AB262" i="1"/>
  <c r="AD262" i="1"/>
  <c r="AB2280" i="1"/>
  <c r="AC2280" i="1"/>
  <c r="AC1302" i="1"/>
  <c r="AD1302" i="1"/>
  <c r="AB1302" i="1"/>
  <c r="AC234" i="1"/>
  <c r="AD234" i="1"/>
  <c r="AB1633" i="1"/>
  <c r="AD1633" i="1" s="1"/>
  <c r="AC1633" i="1"/>
  <c r="AD122" i="1"/>
  <c r="AD239" i="1"/>
  <c r="AD937" i="1"/>
  <c r="AC163" i="1"/>
  <c r="AB1151" i="1"/>
  <c r="AC612" i="1"/>
  <c r="AB2027" i="1"/>
  <c r="AC392" i="1"/>
  <c r="AC217" i="1"/>
  <c r="AB265" i="1"/>
  <c r="AB676" i="1"/>
  <c r="AB1429" i="1"/>
  <c r="AC12" i="1"/>
  <c r="AD360" i="1"/>
  <c r="AC2027" i="1"/>
  <c r="AB110" i="1"/>
  <c r="AB2216" i="1"/>
  <c r="AC923" i="1"/>
  <c r="AC461" i="1"/>
  <c r="AB1725" i="1"/>
  <c r="AD2130" i="1"/>
  <c r="AC1721" i="1"/>
  <c r="AD2452" i="1"/>
  <c r="AB267" i="1"/>
  <c r="AC1143" i="1"/>
  <c r="AB2156" i="1"/>
  <c r="AD2194" i="1"/>
  <c r="AD2473" i="1"/>
  <c r="AD2119" i="1"/>
  <c r="AB1173" i="1"/>
  <c r="AB517" i="1"/>
  <c r="AD163" i="1"/>
  <c r="AB2300" i="1"/>
  <c r="AD1352" i="1"/>
  <c r="AC1579" i="1"/>
  <c r="AC262" i="1"/>
  <c r="AC2306" i="1"/>
  <c r="AD237" i="1"/>
  <c r="AD2071" i="1"/>
  <c r="AB1871" i="1"/>
  <c r="AC1871" i="1"/>
  <c r="AC1274" i="1"/>
  <c r="AC162" i="1"/>
  <c r="AB450" i="1"/>
  <c r="AC611" i="1"/>
  <c r="AD108" i="1"/>
  <c r="AC1125" i="1"/>
  <c r="AD1853" i="1"/>
  <c r="AB1879" i="1"/>
  <c r="AC2232" i="1"/>
  <c r="AD1776" i="1"/>
  <c r="AD1171" i="1"/>
  <c r="AC815" i="1"/>
  <c r="AD2472" i="1"/>
  <c r="AB2472" i="1"/>
  <c r="AB2493" i="1"/>
  <c r="AC209" i="1"/>
  <c r="AD209" i="1"/>
  <c r="AD502" i="1"/>
  <c r="AB1674" i="1"/>
  <c r="AB861" i="1"/>
  <c r="AD861" i="1" s="1"/>
  <c r="AD2508" i="1"/>
  <c r="AB1165" i="1"/>
  <c r="AC1674" i="1"/>
  <c r="AC457" i="1"/>
  <c r="AB1148" i="1"/>
  <c r="AD518" i="1"/>
  <c r="AB2508" i="1"/>
  <c r="AC2028" i="1"/>
  <c r="AB1670" i="1"/>
  <c r="AD259" i="1"/>
  <c r="AC1167" i="1"/>
  <c r="AC1462" i="1"/>
  <c r="AC2025" i="1"/>
  <c r="AC2172" i="1"/>
  <c r="AC1164" i="1"/>
  <c r="AC287" i="1"/>
  <c r="AB805" i="1"/>
  <c r="AJ805" i="1"/>
  <c r="AK805" i="1" s="1"/>
  <c r="AD2505" i="1"/>
  <c r="AC1464" i="1"/>
  <c r="AC2391" i="1"/>
  <c r="AD635" i="1"/>
  <c r="AB609" i="1"/>
  <c r="AC616" i="1"/>
  <c r="AB1166" i="1"/>
  <c r="AB610" i="1"/>
  <c r="AD2471" i="1"/>
  <c r="AC1589" i="1"/>
  <c r="AB67" i="1"/>
  <c r="AD67" i="1" s="1"/>
  <c r="AC1607" i="1"/>
  <c r="AB975" i="1"/>
  <c r="AC1206" i="1"/>
  <c r="AC1390" i="1"/>
  <c r="AB1393" i="1"/>
  <c r="AJ2254" i="1"/>
  <c r="AK2254" i="1" s="1"/>
  <c r="AJ2271" i="1"/>
  <c r="AK2271" i="1" s="1"/>
  <c r="AJ2252" i="1"/>
  <c r="AK2252" i="1" s="1"/>
  <c r="AB618" i="1"/>
  <c r="AC2550" i="1"/>
  <c r="AB950" i="1"/>
  <c r="AB2555" i="1"/>
  <c r="AD718" i="1"/>
  <c r="AC880" i="1"/>
  <c r="AJ2245" i="1"/>
  <c r="AK2245" i="1" s="1"/>
  <c r="AB926" i="1"/>
  <c r="AC2359" i="1"/>
  <c r="AC1469" i="1"/>
  <c r="AD2029" i="1"/>
  <c r="AB2029" i="1"/>
  <c r="AB1088" i="1"/>
  <c r="AJ951" i="1"/>
  <c r="AK951" i="1" s="1"/>
  <c r="AB1412" i="1"/>
  <c r="AD1412" i="1" s="1"/>
  <c r="AJ2212" i="1"/>
  <c r="AK2212" i="1" s="1"/>
  <c r="AC615" i="1"/>
  <c r="AD618" i="1"/>
  <c r="AC613" i="1"/>
  <c r="AD1162" i="1"/>
  <c r="AD880" i="1"/>
  <c r="AD501" i="1"/>
  <c r="AD642" i="1"/>
  <c r="AC718" i="1"/>
  <c r="AB2405" i="1"/>
  <c r="AB1162" i="1"/>
  <c r="AC1450" i="1"/>
  <c r="AC926" i="1"/>
  <c r="AD2512" i="1"/>
  <c r="AC1088" i="1"/>
  <c r="AB1579" i="1"/>
  <c r="AB648" i="1"/>
  <c r="AJ2213" i="1"/>
  <c r="AK2213" i="1" s="1"/>
  <c r="AJ2528" i="1"/>
  <c r="AK2528" i="1" s="1"/>
  <c r="AJ2284" i="1"/>
  <c r="AK2284" i="1" s="1"/>
  <c r="AD1166" i="1"/>
  <c r="AB1080" i="1"/>
  <c r="AD1312" i="1"/>
  <c r="AD624" i="1"/>
  <c r="AC977" i="1"/>
  <c r="AC1685" i="1"/>
  <c r="AC1722" i="1"/>
  <c r="AJ2293" i="1"/>
  <c r="AK2293" i="1" s="1"/>
  <c r="AD1822" i="1"/>
  <c r="AJ1822" i="1" s="1"/>
  <c r="AK1822" i="1" s="1"/>
  <c r="AC1064" i="1"/>
  <c r="AD160" i="1"/>
  <c r="AC204" i="1"/>
  <c r="AC2049" i="1"/>
  <c r="AC259" i="1"/>
  <c r="AC1627" i="1"/>
  <c r="AC2504" i="1"/>
  <c r="AJ2289" i="1"/>
  <c r="AK2289" i="1" s="1"/>
  <c r="AD2172" i="1"/>
  <c r="AD2424" i="1"/>
  <c r="AB1039" i="1"/>
  <c r="AJ2270" i="1"/>
  <c r="AK2270" i="1" s="1"/>
  <c r="AJ2260" i="1"/>
  <c r="AK2260" i="1" s="1"/>
  <c r="AJ2253" i="1"/>
  <c r="AK2253" i="1" s="1"/>
  <c r="AD1064" i="1"/>
  <c r="AB2025" i="1"/>
  <c r="AD2465" i="1"/>
  <c r="AD226" i="1"/>
  <c r="AB155" i="1"/>
  <c r="AB1000" i="1"/>
  <c r="AD1000" i="1" s="1"/>
  <c r="AB554" i="1"/>
  <c r="AC629" i="1"/>
  <c r="AD2494" i="1"/>
  <c r="AC1224" i="1"/>
  <c r="AC1080" i="1"/>
  <c r="AB1411" i="1"/>
  <c r="AD1411" i="1" s="1"/>
  <c r="AB132" i="1"/>
  <c r="AD132" i="1" s="1"/>
  <c r="AC1875" i="1"/>
  <c r="AC1052" i="1"/>
  <c r="AD204" i="1"/>
  <c r="AD1218" i="1"/>
  <c r="AC324" i="1"/>
  <c r="AC2347" i="1"/>
  <c r="AB1231" i="1"/>
  <c r="AD1231" i="1" s="1"/>
  <c r="AC1225" i="1"/>
  <c r="AC636" i="1"/>
  <c r="AB963" i="1"/>
  <c r="AD963" i="1" s="1"/>
  <c r="AB1570" i="1"/>
  <c r="AB1473" i="1"/>
  <c r="AC2186" i="1"/>
  <c r="AS2186" i="1" s="1"/>
  <c r="AT2186" i="1" s="1"/>
  <c r="AU2186" i="1" s="1"/>
  <c r="AD704" i="1"/>
  <c r="AC1148" i="1"/>
  <c r="AC624" i="1"/>
  <c r="AB642" i="1"/>
  <c r="AJ2288" i="1"/>
  <c r="AK2288" i="1" s="1"/>
  <c r="AJ2262" i="1"/>
  <c r="AK2262" i="1" s="1"/>
  <c r="AJ2242" i="1"/>
  <c r="AK2242" i="1" s="1"/>
  <c r="AD615" i="1"/>
  <c r="AC1165" i="1"/>
  <c r="AD12" i="1"/>
  <c r="AC1526" i="1"/>
  <c r="AB502" i="1"/>
  <c r="AD2028" i="1"/>
  <c r="AD721" i="1"/>
  <c r="AC950" i="1"/>
  <c r="AC1473" i="1"/>
  <c r="AD2550" i="1"/>
  <c r="AC501" i="1"/>
  <c r="AB457" i="1"/>
  <c r="AB1218" i="1"/>
  <c r="AB1312" i="1"/>
  <c r="AC2424" i="1"/>
  <c r="AB991" i="1"/>
  <c r="AD2359" i="1"/>
  <c r="AJ2266" i="1"/>
  <c r="AK2266" i="1" s="1"/>
  <c r="AJ2255" i="1"/>
  <c r="AK2255" i="1" s="1"/>
  <c r="AJ2251" i="1"/>
  <c r="AK2251" i="1" s="1"/>
  <c r="AJ2292" i="1"/>
  <c r="AK2292" i="1" s="1"/>
  <c r="AD1393" i="1"/>
  <c r="AB1464" i="1"/>
  <c r="AC1782" i="1"/>
  <c r="AC1100" i="1"/>
  <c r="AC694" i="1"/>
  <c r="AC1493" i="1"/>
  <c r="AB694" i="1"/>
  <c r="AD631" i="1"/>
  <c r="AD2366" i="1"/>
  <c r="AD2511" i="1"/>
  <c r="AC506" i="1"/>
  <c r="AB2187" i="1"/>
  <c r="AD609" i="1"/>
  <c r="AD472" i="1"/>
  <c r="AC637" i="1"/>
  <c r="AC965" i="1"/>
  <c r="AJ2223" i="1"/>
  <c r="AK2223" i="1" s="1"/>
  <c r="AD1111" i="1"/>
  <c r="AJ1111" i="1" s="1"/>
  <c r="AK1111" i="1" s="1"/>
  <c r="AB1111" i="1"/>
  <c r="AC992" i="1"/>
  <c r="AC1608" i="1"/>
  <c r="AD506" i="1"/>
  <c r="AD2391" i="1"/>
  <c r="AC472" i="1"/>
  <c r="AC1672" i="1"/>
  <c r="AD1608" i="1"/>
  <c r="AD2360" i="1"/>
  <c r="AB1686" i="1"/>
  <c r="AD1686" i="1" s="1"/>
  <c r="AB1507" i="1"/>
  <c r="AC155" i="1"/>
  <c r="AB1574" i="1"/>
  <c r="AD1392" i="1"/>
  <c r="AD629" i="1"/>
  <c r="AB1193" i="1"/>
  <c r="AD503" i="1"/>
  <c r="AC1174" i="1"/>
  <c r="AB1822" i="1"/>
  <c r="AD1601" i="1"/>
  <c r="AD197" i="1"/>
  <c r="AC497" i="1"/>
  <c r="AD2339" i="1"/>
  <c r="AC2505" i="1"/>
  <c r="AB985" i="1"/>
  <c r="AD2483" i="1"/>
  <c r="AD2347" i="1"/>
  <c r="AB2049" i="1"/>
  <c r="AC1392" i="1"/>
  <c r="AB435" i="1"/>
  <c r="AD1368" i="1"/>
  <c r="AB1805" i="1"/>
  <c r="AD1805" i="1" s="1"/>
  <c r="AC1951" i="1"/>
  <c r="AD1951" i="1"/>
  <c r="AC1205" i="1"/>
  <c r="AB2339" i="1"/>
  <c r="AC574" i="1"/>
  <c r="AB2307" i="1"/>
  <c r="AD2307" i="1" s="1"/>
  <c r="AB1391" i="1"/>
  <c r="AD1391" i="1" s="1"/>
  <c r="AC985" i="1"/>
  <c r="AC226" i="1"/>
  <c r="AJ2211" i="1"/>
  <c r="AK2211" i="1" s="1"/>
  <c r="AB1667" i="1"/>
  <c r="AD2120" i="1"/>
  <c r="AC984" i="1"/>
  <c r="AC435" i="1"/>
  <c r="AB1224" i="1"/>
  <c r="AC197" i="1"/>
  <c r="AC721" i="1"/>
  <c r="AB1368" i="1"/>
  <c r="AD1749" i="1"/>
  <c r="AB497" i="1"/>
  <c r="AC1601" i="1"/>
  <c r="AJ2286" i="1"/>
  <c r="AK2286" i="1" s="1"/>
  <c r="AJ2249" i="1"/>
  <c r="AK2249" i="1" s="1"/>
  <c r="AJ2220" i="1"/>
  <c r="AK2220" i="1" s="1"/>
  <c r="AD1192" i="1"/>
  <c r="AB2308" i="1"/>
  <c r="AD2308" i="1" s="1"/>
  <c r="AC2308" i="1"/>
  <c r="AB1180" i="1"/>
  <c r="AD2462" i="1"/>
  <c r="AB2462" i="1"/>
  <c r="AC2489" i="1"/>
  <c r="AB2489" i="1"/>
  <c r="AD2454" i="1"/>
  <c r="AC2189" i="1"/>
  <c r="AD2189" i="1"/>
  <c r="AD324" i="1"/>
  <c r="AC707" i="1"/>
  <c r="AD707" i="1"/>
  <c r="AC940" i="1"/>
  <c r="AB940" i="1"/>
  <c r="AD940" i="1" s="1"/>
  <c r="AC462" i="1"/>
  <c r="AC844" i="1"/>
  <c r="AB844" i="1"/>
  <c r="AD844" i="1"/>
  <c r="AC227" i="1"/>
  <c r="AC393" i="1"/>
  <c r="AD95" i="1"/>
  <c r="AB1493" i="1"/>
  <c r="AB631" i="1"/>
  <c r="AC1837" i="1"/>
  <c r="AD856" i="1"/>
  <c r="AC2024" i="1"/>
  <c r="AB632" i="1"/>
  <c r="AC1309" i="1"/>
  <c r="AD1309" i="1"/>
  <c r="AD2370" i="1"/>
  <c r="AC503" i="1"/>
  <c r="AC635" i="1"/>
  <c r="AD632" i="1"/>
  <c r="AD1167" i="1"/>
  <c r="AB2120" i="1"/>
  <c r="AD1607" i="1"/>
  <c r="AD1837" i="1"/>
  <c r="AB856" i="1"/>
  <c r="AB2024" i="1"/>
  <c r="AD1174" i="1"/>
  <c r="AC2370" i="1"/>
  <c r="AB325" i="1"/>
  <c r="AB1217" i="1"/>
  <c r="AD1217" i="1"/>
  <c r="AB1524" i="1"/>
  <c r="AC1521" i="1"/>
  <c r="AB1558" i="1"/>
  <c r="AB1462" i="1"/>
  <c r="AD705" i="1"/>
  <c r="AD554" i="1"/>
  <c r="AB705" i="1"/>
  <c r="AB2353" i="1"/>
  <c r="AC1397" i="1"/>
  <c r="AD986" i="1"/>
  <c r="AD1126" i="1"/>
  <c r="AC1126" i="1"/>
  <c r="AC511" i="1"/>
  <c r="AB511" i="1"/>
  <c r="AC1122" i="1"/>
  <c r="AB1122" i="1"/>
  <c r="AC628" i="1"/>
  <c r="AB628" i="1"/>
  <c r="AC1109" i="1"/>
  <c r="AD1109" i="1"/>
  <c r="AC2510" i="1"/>
  <c r="AD2510" i="1"/>
  <c r="AD1170" i="1"/>
  <c r="AB1170" i="1"/>
  <c r="AD2207" i="1"/>
  <c r="AB2207" i="1"/>
  <c r="AB105" i="1"/>
  <c r="AD543" i="1"/>
  <c r="AJ2275" i="1"/>
  <c r="AK2275" i="1" s="1"/>
  <c r="AJ2256" i="1"/>
  <c r="AK2256" i="1" s="1"/>
  <c r="AB927" i="1"/>
  <c r="AD927" i="1"/>
  <c r="AB1084" i="1"/>
  <c r="AC1084" i="1"/>
  <c r="AC1192" i="1"/>
  <c r="AC1704" i="1"/>
  <c r="AD1289" i="1"/>
  <c r="AB279" i="1"/>
  <c r="AD1079" i="1"/>
  <c r="AC460" i="1"/>
  <c r="AC2353" i="1"/>
  <c r="AC720" i="1"/>
  <c r="AD720" i="1"/>
  <c r="AD1948" i="1"/>
  <c r="AB1948" i="1"/>
  <c r="AD279" i="1"/>
  <c r="AJ279" i="1" s="1"/>
  <c r="AK279" i="1" s="1"/>
  <c r="AD2122" i="1"/>
  <c r="AD1524" i="1"/>
  <c r="AD460" i="1"/>
  <c r="AB1079" i="1"/>
  <c r="AC927" i="1"/>
  <c r="AD206" i="1"/>
  <c r="AD1304" i="1"/>
  <c r="AB1304" i="1"/>
  <c r="AD1704" i="1"/>
  <c r="AC2366" i="1"/>
  <c r="AB2122" i="1"/>
  <c r="AD1084" i="1"/>
  <c r="AC206" i="1"/>
  <c r="AB1529" i="1"/>
  <c r="AD1529" i="1"/>
  <c r="AD1609" i="1"/>
  <c r="AD1527" i="1"/>
  <c r="AC178" i="1"/>
  <c r="AD485" i="1"/>
  <c r="AJ2297" i="1"/>
  <c r="AK2297" i="1" s="1"/>
  <c r="AJ2263" i="1"/>
  <c r="AK2263" i="1" s="1"/>
  <c r="AJ2221" i="1"/>
  <c r="AK2221" i="1" s="1"/>
  <c r="AC485" i="1"/>
  <c r="AJ2265" i="1"/>
  <c r="AK2265" i="1" s="1"/>
  <c r="AB178" i="1"/>
  <c r="AJ2282" i="1"/>
  <c r="AK2282" i="1" s="1"/>
  <c r="AJ2269" i="1"/>
  <c r="AK2269" i="1" s="1"/>
  <c r="AJ2261" i="1"/>
  <c r="AK2261" i="1" s="1"/>
  <c r="AJ2218" i="1"/>
  <c r="AK2218" i="1" s="1"/>
  <c r="AJ2258" i="1"/>
  <c r="AK2258" i="1" s="1"/>
  <c r="AJ2247" i="1"/>
  <c r="AK2247" i="1" s="1"/>
  <c r="AJ2238" i="1"/>
  <c r="AK2238" i="1" s="1"/>
  <c r="AJ2273" i="1"/>
  <c r="AK2273" i="1" s="1"/>
  <c r="AB2" i="1"/>
  <c r="AD393" i="1"/>
  <c r="AC1289" i="1"/>
  <c r="AJ2287" i="1"/>
  <c r="AK2287" i="1" s="1"/>
  <c r="AJ2240" i="1"/>
  <c r="AK2240" i="1" s="1"/>
  <c r="AC290" i="1"/>
  <c r="AD227" i="1"/>
  <c r="AB1100" i="1"/>
  <c r="AC2200" i="1"/>
  <c r="AC1108" i="1"/>
  <c r="AD1108" i="1"/>
  <c r="AD2132" i="1"/>
  <c r="AD1558" i="1"/>
  <c r="AB543" i="1"/>
  <c r="AC2132" i="1"/>
  <c r="AD1397" i="1"/>
  <c r="AC1106" i="1"/>
  <c r="AD1106" i="1"/>
  <c r="AC1152" i="1"/>
  <c r="AB1527" i="1"/>
  <c r="AC771" i="1"/>
  <c r="AD326" i="1"/>
  <c r="AB1609" i="1"/>
  <c r="AD1560" i="1"/>
  <c r="AB986" i="1"/>
  <c r="AB462" i="1"/>
  <c r="AB2392" i="1"/>
  <c r="AD2392" i="1"/>
  <c r="AD1443" i="1"/>
  <c r="AC1443" i="1"/>
  <c r="AD1152" i="1"/>
  <c r="AD1073" i="1"/>
  <c r="AB290" i="1"/>
  <c r="AB1560" i="1"/>
  <c r="AB771" i="1"/>
  <c r="AB95" i="1"/>
  <c r="AB1087" i="1"/>
  <c r="AC1087" i="1"/>
  <c r="AD1087" i="1"/>
  <c r="AB1568" i="1"/>
  <c r="AD1568" i="1"/>
  <c r="AD224" i="1"/>
  <c r="AB224" i="1"/>
  <c r="AC224" i="1"/>
  <c r="AB960" i="1"/>
  <c r="AD960" i="1" s="1"/>
  <c r="AC960" i="1"/>
  <c r="AC105" i="1"/>
  <c r="AB2304" i="1"/>
  <c r="AD2304" i="1" s="1"/>
  <c r="AC2304" i="1"/>
  <c r="AB134" i="1"/>
  <c r="AD134" i="1" s="1"/>
  <c r="AC134" i="1"/>
  <c r="AB1769" i="1"/>
  <c r="AB617" i="1"/>
  <c r="AD617" i="1" s="1"/>
  <c r="AC617" i="1"/>
  <c r="AD1769" i="1"/>
  <c r="AB1952" i="1"/>
  <c r="AD1952" i="1"/>
  <c r="AC1952" i="1"/>
  <c r="AB1495" i="1"/>
  <c r="AD1495" i="1"/>
  <c r="AC1495" i="1"/>
  <c r="AJ1648" i="1" l="1"/>
  <c r="AK1648" i="1" s="1"/>
  <c r="AS1648" i="1"/>
  <c r="AT1648" i="1" s="1"/>
  <c r="AU1648" i="1" s="1"/>
  <c r="AJ1449" i="1"/>
  <c r="AK1449" i="1" s="1"/>
  <c r="AS1449" i="1" a="1"/>
  <c r="AS1449" i="1" s="1"/>
  <c r="AT1449" i="1" s="1"/>
  <c r="AS565" i="1" a="1"/>
  <c r="AS565" i="1" s="1"/>
  <c r="AT565" i="1" s="1"/>
  <c r="AJ565" i="1"/>
  <c r="AK565" i="1" s="1"/>
  <c r="AJ1969" i="1"/>
  <c r="AK1969" i="1" s="1"/>
  <c r="AS1969" i="1" a="1"/>
  <c r="AS1969" i="1" s="1"/>
  <c r="AT1969" i="1" s="1"/>
  <c r="AJ1257" i="1"/>
  <c r="AK1257" i="1" s="1"/>
  <c r="AJ1254" i="1"/>
  <c r="AK1254" i="1" s="1"/>
  <c r="AJ532" i="1"/>
  <c r="AK532" i="1" s="1"/>
  <c r="AJ1258" i="1"/>
  <c r="AK1258" i="1" s="1"/>
  <c r="AJ1248" i="1"/>
  <c r="AK1248" i="1" s="1"/>
  <c r="AJ909" i="1"/>
  <c r="AK909" i="1" s="1"/>
  <c r="AJ74" i="1"/>
  <c r="AK74" i="1" s="1"/>
  <c r="AJ1256" i="1"/>
  <c r="AK1256" i="1" s="1"/>
  <c r="AJ1269" i="1"/>
  <c r="AK1269" i="1" s="1"/>
  <c r="AS1269" i="1" a="1"/>
  <c r="AS1269" i="1" s="1"/>
  <c r="AT1269" i="1" s="1"/>
  <c r="AJ1249" i="1"/>
  <c r="AK1249" i="1" s="1"/>
  <c r="AS1249" i="1" a="1"/>
  <c r="AS1249" i="1" s="1"/>
  <c r="AT1249" i="1" s="1"/>
  <c r="AS2174" i="1" a="1"/>
  <c r="AS2174" i="1" s="1"/>
  <c r="AT2174" i="1" s="1"/>
  <c r="AJ2174" i="1"/>
  <c r="AK2174" i="1" s="1"/>
  <c r="AJ1251" i="1"/>
  <c r="AK1251" i="1" s="1"/>
  <c r="AS1251" i="1" a="1"/>
  <c r="AS1251" i="1" s="1"/>
  <c r="AT1251" i="1" s="1"/>
  <c r="AS1252" i="1" a="1"/>
  <c r="AS1252" i="1" s="1"/>
  <c r="AT1252" i="1" s="1"/>
  <c r="AJ1252" i="1"/>
  <c r="AK1252" i="1" s="1"/>
  <c r="AJ1155" i="1"/>
  <c r="AK1155" i="1" s="1"/>
  <c r="AS1155" i="1" a="1"/>
  <c r="AS1155" i="1" s="1"/>
  <c r="AT1155" i="1" s="1"/>
  <c r="AJ1602" i="1"/>
  <c r="AK1602" i="1" s="1"/>
  <c r="AS1602" i="1" a="1"/>
  <c r="AS1602" i="1" s="1"/>
  <c r="AT1602" i="1" s="1"/>
  <c r="AJ483" i="1"/>
  <c r="AK483" i="1" s="1"/>
  <c r="AS1605" i="1" a="1"/>
  <c r="AS1605" i="1" s="1"/>
  <c r="AT1605" i="1" s="1"/>
  <c r="AJ1605" i="1"/>
  <c r="AK1605" i="1" s="1"/>
  <c r="AJ1247" i="1"/>
  <c r="AK1247" i="1" s="1"/>
  <c r="AS1247" i="1" a="1"/>
  <c r="AS1247" i="1" s="1"/>
  <c r="AT1247" i="1" s="1"/>
  <c r="AJ2557" i="1"/>
  <c r="AK2557" i="1" s="1"/>
  <c r="AS2557" i="1" a="1"/>
  <c r="AS2557" i="1" s="1"/>
  <c r="AT2557" i="1" s="1"/>
  <c r="AJ1604" i="1"/>
  <c r="AK1604" i="1" s="1"/>
  <c r="AS1272" i="1" a="1"/>
  <c r="AS1272" i="1" s="1"/>
  <c r="AT1272" i="1" s="1"/>
  <c r="AJ1272" i="1"/>
  <c r="AK1272" i="1" s="1"/>
  <c r="AJ688" i="1"/>
  <c r="AK688" i="1" s="1"/>
  <c r="AS688" i="1" a="1"/>
  <c r="AS688" i="1" s="1"/>
  <c r="AT688" i="1" s="1"/>
  <c r="AJ2173" i="1"/>
  <c r="AK2173" i="1" s="1"/>
  <c r="AS2173" i="1" a="1"/>
  <c r="AS2173" i="1" s="1"/>
  <c r="AT2173" i="1" s="1"/>
  <c r="AJ98" i="1"/>
  <c r="AK98" i="1" s="1"/>
  <c r="AS98" i="1" a="1"/>
  <c r="AS98" i="1" s="1"/>
  <c r="AT98" i="1" s="1"/>
  <c r="AS533" i="1" a="1"/>
  <c r="AS533" i="1" s="1"/>
  <c r="AT533" i="1" s="1"/>
  <c r="AJ533" i="1"/>
  <c r="AK533" i="1" s="1"/>
  <c r="AS1603" i="1" a="1"/>
  <c r="AS1603" i="1" s="1"/>
  <c r="AT1603" i="1" s="1"/>
  <c r="AJ1603" i="1"/>
  <c r="AK1603" i="1" s="1"/>
  <c r="AJ1271" i="1"/>
  <c r="AK1271" i="1" s="1"/>
  <c r="AS1271" i="1" a="1"/>
  <c r="AS1271" i="1" s="1"/>
  <c r="AT1271" i="1" s="1"/>
  <c r="AS683" i="1" a="1"/>
  <c r="AS683" i="1" s="1"/>
  <c r="AT683" i="1" s="1"/>
  <c r="AJ683" i="1"/>
  <c r="AK683" i="1" s="1"/>
  <c r="AJ100" i="1"/>
  <c r="AK100" i="1" s="1"/>
  <c r="AS100" i="1" a="1"/>
  <c r="AS100" i="1" s="1"/>
  <c r="AT100" i="1" s="1"/>
  <c r="AJ1253" i="1"/>
  <c r="AK1253" i="1" s="1"/>
  <c r="AS1253" i="1" a="1"/>
  <c r="AS1253" i="1" s="1"/>
  <c r="AT1253" i="1" s="1"/>
  <c r="AS689" i="1" a="1"/>
  <c r="AS689" i="1" s="1"/>
  <c r="AT689" i="1" s="1"/>
  <c r="AJ689" i="1"/>
  <c r="AK689" i="1" s="1"/>
  <c r="AJ2436" i="1"/>
  <c r="AK2436" i="1" s="1"/>
  <c r="AS2436" i="1" a="1"/>
  <c r="AS2436" i="1" s="1"/>
  <c r="AT2436" i="1" s="1"/>
  <c r="AJ484" i="1"/>
  <c r="AK484" i="1" s="1"/>
  <c r="AS99" i="1" a="1"/>
  <c r="AS99" i="1" s="1"/>
  <c r="AT99" i="1" s="1"/>
  <c r="AJ99" i="1"/>
  <c r="AK99" i="1" s="1"/>
  <c r="AS2410" i="1" a="1"/>
  <c r="AS2410" i="1" s="1"/>
  <c r="AT2410" i="1" s="1"/>
  <c r="AJ2410" i="1"/>
  <c r="AK2410" i="1" s="1"/>
  <c r="AJ1255" i="1"/>
  <c r="AK1255" i="1" s="1"/>
  <c r="AS1255" i="1" a="1"/>
  <c r="AS1255" i="1" s="1"/>
  <c r="AT1255" i="1" s="1"/>
  <c r="AJ682" i="1"/>
  <c r="AK682" i="1" s="1"/>
  <c r="AS682" i="1" a="1"/>
  <c r="AS682" i="1" s="1"/>
  <c r="AT682" i="1" s="1"/>
  <c r="AJ1153" i="1"/>
  <c r="AK1153" i="1" s="1"/>
  <c r="AS1153" i="1" a="1"/>
  <c r="AS1153" i="1" s="1"/>
  <c r="AT1153" i="1" s="1"/>
  <c r="AJ2409" i="1"/>
  <c r="AK2409" i="1" s="1"/>
  <c r="AS2409" i="1" a="1"/>
  <c r="AS2409" i="1" s="1"/>
  <c r="AT2409" i="1" s="1"/>
  <c r="AJ1250" i="1"/>
  <c r="AK1250" i="1" s="1"/>
  <c r="AS1154" i="1" a="1"/>
  <c r="AS1154" i="1" s="1"/>
  <c r="AT1154" i="1" s="1"/>
  <c r="AJ1154" i="1"/>
  <c r="AK1154" i="1" s="1"/>
  <c r="AS1156" i="1" a="1"/>
  <c r="AS1156" i="1" s="1"/>
  <c r="AT1156" i="1" s="1"/>
  <c r="AJ1156" i="1"/>
  <c r="AK1156" i="1" s="1"/>
  <c r="AS910" i="1" a="1"/>
  <c r="AS910" i="1" s="1"/>
  <c r="AT910" i="1" s="1"/>
  <c r="AJ910" i="1"/>
  <c r="AK910" i="1" s="1"/>
  <c r="AJ1270" i="1"/>
  <c r="AK1270" i="1" s="1"/>
  <c r="AS1270" i="1" a="1"/>
  <c r="AS1270" i="1" s="1"/>
  <c r="AT1270" i="1" s="1"/>
  <c r="AS2558" i="1" a="1"/>
  <c r="AS2558" i="1" s="1"/>
  <c r="AT2558" i="1" s="1"/>
  <c r="AJ2558" i="1"/>
  <c r="AK2558" i="1" s="1"/>
  <c r="AJ601" i="1"/>
  <c r="AK601" i="1" s="1"/>
  <c r="AS420" i="1" a="1"/>
  <c r="AS420" i="1" s="1"/>
  <c r="AT420" i="1" s="1"/>
  <c r="AJ420" i="1"/>
  <c r="AK420" i="1" s="1"/>
  <c r="AJ931" i="1"/>
  <c r="AK931" i="1" s="1"/>
  <c r="AS931" i="1" a="1"/>
  <c r="AS931" i="1" s="1"/>
  <c r="AT931" i="1" s="1"/>
  <c r="AS418" i="1" a="1"/>
  <c r="AS418" i="1" s="1"/>
  <c r="AT418" i="1" s="1"/>
  <c r="AJ418" i="1"/>
  <c r="AK418" i="1" s="1"/>
  <c r="AJ1544" i="1"/>
  <c r="AK1544" i="1" s="1"/>
  <c r="AS1544" i="1" a="1"/>
  <c r="AS1544" i="1" s="1"/>
  <c r="AT1544" i="1" s="1"/>
  <c r="AS1987" i="1" a="1"/>
  <c r="AS1987" i="1" s="1"/>
  <c r="AT1987" i="1" s="1"/>
  <c r="AJ1987" i="1"/>
  <c r="AK1987" i="1" s="1"/>
  <c r="AS603" i="1" a="1"/>
  <c r="AS603" i="1" s="1"/>
  <c r="AT603" i="1" s="1"/>
  <c r="AJ603" i="1"/>
  <c r="AK603" i="1" s="1"/>
  <c r="AS602" i="1" a="1"/>
  <c r="AS602" i="1" s="1"/>
  <c r="AT602" i="1" s="1"/>
  <c r="AJ602" i="1"/>
  <c r="AK602" i="1" s="1"/>
  <c r="AJ1988" i="1"/>
  <c r="AK1988" i="1" s="1"/>
  <c r="AS1988" i="1" a="1"/>
  <c r="AS1988" i="1" s="1"/>
  <c r="AT1988" i="1" s="1"/>
  <c r="AS1354" i="1" a="1"/>
  <c r="AS1354" i="1" s="1"/>
  <c r="AT1354" i="1" s="1"/>
  <c r="AJ1354" i="1"/>
  <c r="AK1354" i="1" s="1"/>
  <c r="AS864" i="1" a="1"/>
  <c r="AS864" i="1" s="1"/>
  <c r="AT864" i="1" s="1"/>
  <c r="AJ864" i="1"/>
  <c r="AK864" i="1" s="1"/>
  <c r="AS1992" i="1" a="1"/>
  <c r="AS1992" i="1" s="1"/>
  <c r="AT1992" i="1" s="1"/>
  <c r="AJ1992" i="1"/>
  <c r="AK1992" i="1" s="1"/>
  <c r="AS865" i="1" a="1"/>
  <c r="AS865" i="1" s="1"/>
  <c r="AT865" i="1" s="1"/>
  <c r="AJ865" i="1"/>
  <c r="AK865" i="1" s="1"/>
  <c r="AS1681" i="1" a="1"/>
  <c r="AS1681" i="1" s="1"/>
  <c r="AT1681" i="1" s="1"/>
  <c r="AJ1681" i="1"/>
  <c r="AK1681" i="1" s="1"/>
  <c r="AS73" i="1" a="1"/>
  <c r="AS73" i="1" s="1"/>
  <c r="AT73" i="1" s="1"/>
  <c r="AJ73" i="1"/>
  <c r="AK73" i="1" s="1"/>
  <c r="AS932" i="1" a="1"/>
  <c r="AS932" i="1" s="1"/>
  <c r="AT932" i="1" s="1"/>
  <c r="AJ932" i="1"/>
  <c r="AK932" i="1" s="1"/>
  <c r="AS866" i="1" a="1"/>
  <c r="AS866" i="1" s="1"/>
  <c r="AT866" i="1" s="1"/>
  <c r="AJ866" i="1"/>
  <c r="AK866" i="1" s="1"/>
  <c r="AJ895" i="1"/>
  <c r="AK895" i="1" s="1"/>
  <c r="AS895" i="1" a="1"/>
  <c r="AS895" i="1" s="1"/>
  <c r="AT895" i="1" s="1"/>
  <c r="AS1355" i="1" a="1"/>
  <c r="AS1355" i="1" s="1"/>
  <c r="AT1355" i="1" s="1"/>
  <c r="AJ1355" i="1"/>
  <c r="AK1355" i="1" s="1"/>
  <c r="AS1986" i="1" a="1"/>
  <c r="AS1986" i="1" s="1"/>
  <c r="AT1986" i="1" s="1"/>
  <c r="AJ1986" i="1"/>
  <c r="AK1986" i="1" s="1"/>
  <c r="AS1993" i="1" a="1"/>
  <c r="AS1993" i="1" s="1"/>
  <c r="AT1993" i="1" s="1"/>
  <c r="AJ1993" i="1"/>
  <c r="AK1993" i="1" s="1"/>
  <c r="AS72" i="1" a="1"/>
  <c r="AS72" i="1" s="1"/>
  <c r="AT72" i="1" s="1"/>
  <c r="AJ72" i="1"/>
  <c r="AK72" i="1" s="1"/>
  <c r="AS419" i="1" a="1"/>
  <c r="AS419" i="1" s="1"/>
  <c r="AT419" i="1" s="1"/>
  <c r="AJ419" i="1"/>
  <c r="AK419" i="1" s="1"/>
  <c r="AS1545" i="1" a="1"/>
  <c r="AS1545" i="1" s="1"/>
  <c r="AT1545" i="1" s="1"/>
  <c r="AJ1545" i="1"/>
  <c r="AK1545" i="1" s="1"/>
  <c r="AS2087" i="1" a="1"/>
  <c r="AS2087" i="1" s="1"/>
  <c r="AT2087" i="1" s="1"/>
  <c r="AJ2087" i="1"/>
  <c r="AK2087" i="1" s="1"/>
  <c r="AJ183" i="1"/>
  <c r="AK183" i="1" s="1"/>
  <c r="AS1813" i="1" a="1"/>
  <c r="AS1813" i="1" s="1"/>
  <c r="AT1813" i="1" s="1"/>
  <c r="AJ1813" i="1"/>
  <c r="AK1813" i="1" s="1"/>
  <c r="AS917" i="1" a="1"/>
  <c r="AS917" i="1" s="1"/>
  <c r="AT917" i="1" s="1"/>
  <c r="AJ917" i="1"/>
  <c r="AK917" i="1" s="1"/>
  <c r="AS1025" i="1" a="1"/>
  <c r="AS1025" i="1" s="1"/>
  <c r="AT1025" i="1" s="1"/>
  <c r="AJ1025" i="1"/>
  <c r="AK1025" i="1" s="1"/>
  <c r="AJ2088" i="1"/>
  <c r="AK2088" i="1" s="1"/>
  <c r="AS2088" i="1" a="1"/>
  <c r="AS2088" i="1" s="1"/>
  <c r="AT2088" i="1" s="1"/>
  <c r="AJ817" i="1"/>
  <c r="AK817" i="1" s="1"/>
  <c r="AS817" i="1"/>
  <c r="AT817" i="1" s="1"/>
  <c r="AU817" i="1" s="1"/>
  <c r="AS1567" i="1" a="1"/>
  <c r="AS1567" i="1" s="1"/>
  <c r="AT1567" i="1" s="1"/>
  <c r="AJ1567" i="1"/>
  <c r="AK1567" i="1" s="1"/>
  <c r="AJ584" i="1"/>
  <c r="AK584" i="1" s="1"/>
  <c r="AS584" i="1"/>
  <c r="AT584" i="1" s="1"/>
  <c r="AU584" i="1" s="1"/>
  <c r="AJ480" i="1"/>
  <c r="AK480" i="1" s="1"/>
  <c r="AS480" i="1"/>
  <c r="AT480" i="1" s="1"/>
  <c r="AU480" i="1" s="1"/>
  <c r="AJ182" i="1"/>
  <c r="AK182" i="1" s="1"/>
  <c r="AS182" i="1" a="1"/>
  <c r="AS182" i="1" s="1"/>
  <c r="AT182" i="1" s="1"/>
  <c r="AJ167" i="1"/>
  <c r="AK167" i="1" s="1"/>
  <c r="AS167" i="1" a="1"/>
  <c r="AS167" i="1" s="1"/>
  <c r="AT167" i="1" s="1"/>
  <c r="AS850" i="1" a="1"/>
  <c r="AS850" i="1" s="1"/>
  <c r="AT850" i="1" s="1"/>
  <c r="AJ850" i="1"/>
  <c r="AK850" i="1" s="1"/>
  <c r="AS1894" i="1"/>
  <c r="AT1894" i="1" s="1"/>
  <c r="AU1894" i="1" s="1"/>
  <c r="AJ1894" i="1"/>
  <c r="AK1894" i="1" s="1"/>
  <c r="AJ579" i="1"/>
  <c r="AK579" i="1" s="1"/>
  <c r="AS579" i="1"/>
  <c r="AT579" i="1" s="1"/>
  <c r="AU579" i="1" s="1"/>
  <c r="AS583" i="1"/>
  <c r="AT583" i="1" s="1"/>
  <c r="AU583" i="1" s="1"/>
  <c r="AJ583" i="1"/>
  <c r="AK583" i="1" s="1"/>
  <c r="AS669" i="1" a="1"/>
  <c r="AS669" i="1" s="1"/>
  <c r="AT669" i="1" s="1"/>
  <c r="AJ669" i="1"/>
  <c r="AK669" i="1" s="1"/>
  <c r="AS2324" i="1" a="1"/>
  <c r="AS2324" i="1" s="1"/>
  <c r="AT2324" i="1" s="1"/>
  <c r="AJ2324" i="1"/>
  <c r="AK2324" i="1" s="1"/>
  <c r="AJ349" i="1"/>
  <c r="AK349" i="1" s="1"/>
  <c r="AS349" i="1" a="1"/>
  <c r="AS349" i="1" s="1"/>
  <c r="AT349" i="1" s="1"/>
  <c r="AJ529" i="1"/>
  <c r="AK529" i="1" s="1"/>
  <c r="AS529" i="1" a="1"/>
  <c r="AS529" i="1" s="1"/>
  <c r="AT529" i="1" s="1"/>
  <c r="AS851" i="1" a="1"/>
  <c r="AS851" i="1" s="1"/>
  <c r="AT851" i="1" s="1"/>
  <c r="AJ851" i="1"/>
  <c r="AK851" i="1" s="1"/>
  <c r="AS1989" i="1" a="1"/>
  <c r="AS1989" i="1" s="1"/>
  <c r="AT1989" i="1" s="1"/>
  <c r="AJ1989" i="1"/>
  <c r="AK1989" i="1" s="1"/>
  <c r="AS530" i="1" a="1"/>
  <c r="AS530" i="1" s="1"/>
  <c r="AT530" i="1" s="1"/>
  <c r="AJ530" i="1"/>
  <c r="AK530" i="1" s="1"/>
  <c r="AJ580" i="1"/>
  <c r="AK580" i="1" s="1"/>
  <c r="AJ1896" i="1"/>
  <c r="AK1896" i="1" s="1"/>
  <c r="AS1896" i="1"/>
  <c r="AT1896" i="1" s="1"/>
  <c r="AU1896" i="1" s="1"/>
  <c r="AS819" i="1"/>
  <c r="AT819" i="1" s="1"/>
  <c r="AU819" i="1" s="1"/>
  <c r="AJ819" i="1"/>
  <c r="AK819" i="1" s="1"/>
  <c r="AJ581" i="1"/>
  <c r="AK581" i="1" s="1"/>
  <c r="AS581" i="1"/>
  <c r="AT581" i="1" s="1"/>
  <c r="AU581" i="1" s="1"/>
  <c r="AS816" i="1"/>
  <c r="AT816" i="1" s="1"/>
  <c r="AU816" i="1" s="1"/>
  <c r="AJ816" i="1"/>
  <c r="AK816" i="1" s="1"/>
  <c r="AS258" i="1" a="1"/>
  <c r="AS258" i="1" s="1"/>
  <c r="AT258" i="1" s="1"/>
  <c r="AJ258" i="1"/>
  <c r="AK258" i="1" s="1"/>
  <c r="AJ1876" i="1"/>
  <c r="AK1876" i="1" s="1"/>
  <c r="AS1876" i="1" a="1"/>
  <c r="AS1876" i="1" s="1"/>
  <c r="AT1876" i="1" s="1"/>
  <c r="AS1288" i="1" a="1"/>
  <c r="AS1288" i="1" s="1"/>
  <c r="AT1288" i="1" s="1"/>
  <c r="AJ1288" i="1"/>
  <c r="AK1288" i="1" s="1"/>
  <c r="AJ1675" i="1"/>
  <c r="AK1675" i="1" s="1"/>
  <c r="AS1675" i="1" a="1"/>
  <c r="AS1675" i="1" s="1"/>
  <c r="AT1675" i="1" s="1"/>
  <c r="AS2127" i="1" a="1"/>
  <c r="AS2127" i="1" s="1"/>
  <c r="AT2127" i="1" s="1"/>
  <c r="AJ2127" i="1"/>
  <c r="AK2127" i="1" s="1"/>
  <c r="AS71" i="1" a="1"/>
  <c r="AS71" i="1" s="1"/>
  <c r="AT71" i="1" s="1"/>
  <c r="AJ71" i="1"/>
  <c r="AK71" i="1" s="1"/>
  <c r="AJ2037" i="1"/>
  <c r="AK2037" i="1" s="1"/>
  <c r="AS2208" i="1" a="1"/>
  <c r="AS2208" i="1" s="1"/>
  <c r="AT2208" i="1" s="1"/>
  <c r="AJ2208" i="1"/>
  <c r="AK2208" i="1" s="1"/>
  <c r="AS818" i="1"/>
  <c r="AT818" i="1" s="1"/>
  <c r="AU818" i="1" s="1"/>
  <c r="AJ818" i="1"/>
  <c r="AK818" i="1" s="1"/>
  <c r="AJ582" i="1"/>
  <c r="AK582" i="1" s="1"/>
  <c r="AS582" i="1"/>
  <c r="AT582" i="1" s="1"/>
  <c r="AU582" i="1" s="1"/>
  <c r="AS739" i="1" a="1"/>
  <c r="AS739" i="1" s="1"/>
  <c r="AT739" i="1" s="1"/>
  <c r="AJ739" i="1"/>
  <c r="AK739" i="1" s="1"/>
  <c r="AS1909" i="1" a="1"/>
  <c r="AS1909" i="1" s="1"/>
  <c r="AT1909" i="1" s="1"/>
  <c r="AJ1909" i="1"/>
  <c r="AK1909" i="1" s="1"/>
  <c r="AJ2086" i="1"/>
  <c r="AK2086" i="1" s="1"/>
  <c r="AS2086" i="1" a="1"/>
  <c r="AS2086" i="1" s="1"/>
  <c r="AT2086" i="1" s="1"/>
  <c r="AJ1628" i="1"/>
  <c r="AK1628" i="1" s="1"/>
  <c r="AS1628" i="1" a="1"/>
  <c r="AS1628" i="1" s="1"/>
  <c r="AT1628" i="1" s="1"/>
  <c r="AS75" i="1" a="1"/>
  <c r="AS75" i="1" s="1"/>
  <c r="AT75" i="1" s="1"/>
  <c r="AJ75" i="1"/>
  <c r="AK75" i="1" s="1"/>
  <c r="AS524" i="1" a="1"/>
  <c r="AS524" i="1" s="1"/>
  <c r="AT524" i="1" s="1"/>
  <c r="AJ524" i="1"/>
  <c r="AK524" i="1" s="1"/>
  <c r="AS777" i="1" a="1"/>
  <c r="AS777" i="1" s="1"/>
  <c r="AT777" i="1" s="1"/>
  <c r="AJ777" i="1"/>
  <c r="AK777" i="1" s="1"/>
  <c r="AJ757" i="1"/>
  <c r="AK757" i="1" s="1"/>
  <c r="AJ1461" i="1"/>
  <c r="AK1461" i="1" s="1"/>
  <c r="AJ1037" i="1"/>
  <c r="AK1037" i="1" s="1"/>
  <c r="AS1037" i="1"/>
  <c r="AT1037" i="1" s="1"/>
  <c r="AU1037" i="1" s="1"/>
  <c r="AJ1505" i="1"/>
  <c r="AK1505" i="1" s="1"/>
  <c r="AS1505" i="1"/>
  <c r="AT1505" i="1" s="1"/>
  <c r="AU1505" i="1" s="1"/>
  <c r="AJ1877" i="1"/>
  <c r="AK1877" i="1" s="1"/>
  <c r="AS1877" i="1"/>
  <c r="AT1877" i="1" s="1"/>
  <c r="AU1877" i="1" s="1"/>
  <c r="AS1459" i="1"/>
  <c r="AT1459" i="1" s="1"/>
  <c r="AU1459" i="1" s="1"/>
  <c r="AJ1459" i="1"/>
  <c r="AK1459" i="1" s="1"/>
  <c r="AS700" i="1"/>
  <c r="AT700" i="1" s="1"/>
  <c r="AU700" i="1" s="1"/>
  <c r="AJ700" i="1"/>
  <c r="AK700" i="1" s="1"/>
  <c r="AJ1888" i="1"/>
  <c r="AK1888" i="1" s="1"/>
  <c r="AS1888" i="1"/>
  <c r="AT1888" i="1" s="1"/>
  <c r="AU1888" i="1" s="1"/>
  <c r="AS1466" i="1"/>
  <c r="AT1466" i="1" s="1"/>
  <c r="AU1466" i="1" s="1"/>
  <c r="AJ1466" i="1"/>
  <c r="AK1466" i="1" s="1"/>
  <c r="AS989" i="1"/>
  <c r="AT989" i="1" s="1"/>
  <c r="AU989" i="1" s="1"/>
  <c r="AJ989" i="1"/>
  <c r="AK989" i="1" s="1"/>
  <c r="AS1858" i="1"/>
  <c r="AT1858" i="1" s="1"/>
  <c r="AU1858" i="1" s="1"/>
  <c r="AJ1858" i="1"/>
  <c r="AK1858" i="1" s="1"/>
  <c r="AJ741" i="1"/>
  <c r="AK741" i="1" s="1"/>
  <c r="AS741" i="1"/>
  <c r="AT741" i="1" s="1"/>
  <c r="AU741" i="1" s="1"/>
  <c r="AJ708" i="1"/>
  <c r="AK708" i="1" s="1"/>
  <c r="AS708" i="1"/>
  <c r="AT708" i="1" s="1"/>
  <c r="AU708" i="1" s="1"/>
  <c r="AJ2030" i="1"/>
  <c r="AK2030" i="1" s="1"/>
  <c r="AS2030" i="1"/>
  <c r="AT2030" i="1" s="1"/>
  <c r="AU2030" i="1" s="1"/>
  <c r="AS1002" i="1"/>
  <c r="AT1002" i="1" s="1"/>
  <c r="AU1002" i="1" s="1"/>
  <c r="AJ1002" i="1"/>
  <c r="AK1002" i="1" s="1"/>
  <c r="AJ2010" i="1"/>
  <c r="AK2010" i="1" s="1"/>
  <c r="AS2010" i="1"/>
  <c r="AT2010" i="1" s="1"/>
  <c r="AU2010" i="1" s="1"/>
  <c r="AJ359" i="1"/>
  <c r="AK359" i="1" s="1"/>
  <c r="AS359" i="1"/>
  <c r="AT359" i="1" s="1"/>
  <c r="AU359" i="1" s="1"/>
  <c r="AS935" i="1"/>
  <c r="AT935" i="1" s="1"/>
  <c r="AU935" i="1" s="1"/>
  <c r="AJ935" i="1"/>
  <c r="AK935" i="1" s="1"/>
  <c r="AS2183" i="1"/>
  <c r="AT2183" i="1" s="1"/>
  <c r="AU2183" i="1" s="1"/>
  <c r="AJ2183" i="1"/>
  <c r="AK2183" i="1" s="1"/>
  <c r="AS1315" i="1"/>
  <c r="AT1315" i="1" s="1"/>
  <c r="AU1315" i="1" s="1"/>
  <c r="AJ1315" i="1"/>
  <c r="AK1315" i="1" s="1"/>
  <c r="AS1468" i="1"/>
  <c r="AT1468" i="1" s="1"/>
  <c r="AU1468" i="1" s="1"/>
  <c r="AJ1468" i="1"/>
  <c r="AK1468" i="1" s="1"/>
  <c r="AS1472" i="1"/>
  <c r="AT1472" i="1" s="1"/>
  <c r="AU1472" i="1" s="1"/>
  <c r="AJ1472" i="1"/>
  <c r="AK1472" i="1" s="1"/>
  <c r="AJ1136" i="1"/>
  <c r="AK1136" i="1" s="1"/>
  <c r="AS1136" i="1"/>
  <c r="AT1136" i="1" s="1"/>
  <c r="AU1136" i="1" s="1"/>
  <c r="AS1779" i="1"/>
  <c r="AT1779" i="1" s="1"/>
  <c r="AU1779" i="1" s="1"/>
  <c r="AJ1779" i="1"/>
  <c r="AK1779" i="1" s="1"/>
  <c r="AS1771" i="1"/>
  <c r="AT1771" i="1" s="1"/>
  <c r="AU1771" i="1" s="1"/>
  <c r="AJ1771" i="1"/>
  <c r="AK1771" i="1" s="1"/>
  <c r="AS330" i="1"/>
  <c r="AT330" i="1" s="1"/>
  <c r="AU330" i="1" s="1"/>
  <c r="AJ330" i="1"/>
  <c r="AK330" i="1" s="1"/>
  <c r="AJ1267" i="1"/>
  <c r="AK1267" i="1" s="1"/>
  <c r="AS1267" i="1"/>
  <c r="AT1267" i="1" s="1"/>
  <c r="AU1267" i="1" s="1"/>
  <c r="AS1631" i="1"/>
  <c r="AT1631" i="1" s="1"/>
  <c r="AU1631" i="1" s="1"/>
  <c r="AJ1631" i="1"/>
  <c r="AK1631" i="1" s="1"/>
  <c r="AJ2569" i="1"/>
  <c r="AK2569" i="1" s="1"/>
  <c r="AJ2566" i="1"/>
  <c r="AK2566" i="1" s="1"/>
  <c r="AS2566" i="1"/>
  <c r="AT2566" i="1" s="1"/>
  <c r="AU2566" i="1" s="1"/>
  <c r="AS2032" i="1"/>
  <c r="AT2032" i="1" s="1"/>
  <c r="AU2032" i="1" s="1"/>
  <c r="AJ2032" i="1"/>
  <c r="AK2032" i="1" s="1"/>
  <c r="AS844" i="1"/>
  <c r="AT844" i="1" s="1"/>
  <c r="AU844" i="1" s="1"/>
  <c r="AS764" i="1"/>
  <c r="AT764" i="1" s="1"/>
  <c r="AU764" i="1" s="1"/>
  <c r="AL1046" i="1"/>
  <c r="AK1046" i="1"/>
  <c r="AJ1552" i="1"/>
  <c r="AS1552" i="1" a="1"/>
  <c r="AS1552" i="1" s="1"/>
  <c r="AT1552" i="1" s="1"/>
  <c r="AL549" i="1"/>
  <c r="AK549" i="1"/>
  <c r="AL2569" i="1"/>
  <c r="AL990" i="1"/>
  <c r="AK990" i="1"/>
  <c r="AJ2357" i="1"/>
  <c r="AK2357" i="1" s="1"/>
  <c r="AS2357" i="1"/>
  <c r="AT2357" i="1" s="1"/>
  <c r="AU2357" i="1" s="1"/>
  <c r="AL331" i="1"/>
  <c r="AK331" i="1"/>
  <c r="AK1958" i="1"/>
  <c r="AL1958" i="1"/>
  <c r="AJ2356" i="1"/>
  <c r="AK2356" i="1" s="1"/>
  <c r="AS2356" i="1"/>
  <c r="AT2356" i="1" s="1"/>
  <c r="AU2356" i="1" s="1"/>
  <c r="AL1047" i="1"/>
  <c r="AK1047" i="1"/>
  <c r="AL14" i="1"/>
  <c r="AK14" i="1"/>
  <c r="AL16" i="1"/>
  <c r="AK16" i="1"/>
  <c r="AS542" i="1" a="1"/>
  <c r="AS542" i="1" s="1"/>
  <c r="AT542" i="1" s="1"/>
  <c r="AJ542" i="1"/>
  <c r="AS2009" i="1" a="1"/>
  <c r="AS2009" i="1" s="1"/>
  <c r="AT2009" i="1" s="1"/>
  <c r="AJ2009" i="1"/>
  <c r="AL1982" i="1"/>
  <c r="AK1982" i="1"/>
  <c r="AL2137" i="1"/>
  <c r="AK2137" i="1"/>
  <c r="AL2181" i="1"/>
  <c r="AK2181" i="1"/>
  <c r="AL2129" i="1"/>
  <c r="AK2129" i="1"/>
  <c r="AL2011" i="1"/>
  <c r="AK2011" i="1"/>
  <c r="AL2352" i="1"/>
  <c r="AK2352" i="1"/>
  <c r="AL1612" i="1"/>
  <c r="AK1612" i="1"/>
  <c r="AL1339" i="1"/>
  <c r="AK1339" i="1"/>
  <c r="AL1382" i="1"/>
  <c r="AK1382" i="1"/>
  <c r="AL1409" i="1"/>
  <c r="AK1409" i="1"/>
  <c r="AL1454" i="1"/>
  <c r="AK1454" i="1"/>
  <c r="AL1600" i="1"/>
  <c r="AK1600" i="1"/>
  <c r="AL1557" i="1"/>
  <c r="AK1557" i="1"/>
  <c r="AL1295" i="1"/>
  <c r="AK1295" i="1"/>
  <c r="AL1599" i="1"/>
  <c r="AK1599" i="1"/>
  <c r="AL2152" i="1"/>
  <c r="AK2152" i="1"/>
  <c r="AL1095" i="1"/>
  <c r="AK1095" i="1"/>
  <c r="AL1099" i="1"/>
  <c r="AK1099" i="1"/>
  <c r="AL1038" i="1"/>
  <c r="AK1038" i="1"/>
  <c r="AL744" i="1"/>
  <c r="AK744" i="1"/>
  <c r="AL585" i="1"/>
  <c r="AK585" i="1"/>
  <c r="AL755" i="1"/>
  <c r="AK755" i="1"/>
  <c r="AL557" i="1"/>
  <c r="AK557" i="1"/>
  <c r="AL495" i="1"/>
  <c r="AK495" i="1"/>
  <c r="AL385" i="1"/>
  <c r="AK385" i="1"/>
  <c r="AL301" i="1"/>
  <c r="AK301" i="1"/>
  <c r="AL732" i="1"/>
  <c r="AK732" i="1"/>
  <c r="AL731" i="1"/>
  <c r="AK731" i="1"/>
  <c r="AS1448" i="1" a="1"/>
  <c r="AS1448" i="1" s="1"/>
  <c r="AT1448" i="1" s="1"/>
  <c r="AJ1448" i="1"/>
  <c r="AK1448" i="1" s="1"/>
  <c r="AS1964" i="1" a="1"/>
  <c r="AS1964" i="1" s="1"/>
  <c r="AT1964" i="1" s="1"/>
  <c r="AJ1964" i="1"/>
  <c r="AK1964" i="1" s="1"/>
  <c r="AS2570" i="1" a="1"/>
  <c r="AS2570" i="1" s="1"/>
  <c r="AT2570" i="1" s="1"/>
  <c r="AJ2570" i="1"/>
  <c r="AJ2180" i="1"/>
  <c r="AK2180" i="1" s="1"/>
  <c r="AS2180" i="1"/>
  <c r="AT2180" i="1" s="1"/>
  <c r="AU2180" i="1" s="1"/>
  <c r="AS1967" i="1" a="1"/>
  <c r="AS1967" i="1" s="1"/>
  <c r="AT1967" i="1" s="1"/>
  <c r="AJ1967" i="1"/>
  <c r="AK1967" i="1" s="1"/>
  <c r="AS1892" i="1" a="1"/>
  <c r="AS1892" i="1" s="1"/>
  <c r="AT1892" i="1" s="1"/>
  <c r="AJ1892" i="1"/>
  <c r="AJ1707" i="1"/>
  <c r="AK1707" i="1" s="1"/>
  <c r="AS1707" i="1"/>
  <c r="AT1707" i="1" s="1"/>
  <c r="AU1707" i="1" s="1"/>
  <c r="AJ1200" i="1"/>
  <c r="AK1200" i="1" s="1"/>
  <c r="AS1200" i="1"/>
  <c r="AT1200" i="1" s="1"/>
  <c r="AU1200" i="1" s="1"/>
  <c r="AJ1056" i="1"/>
  <c r="AS1056" i="1" a="1"/>
  <c r="AS1056" i="1" s="1"/>
  <c r="AT1056" i="1" s="1"/>
  <c r="AJ1196" i="1"/>
  <c r="AK1196" i="1" s="1"/>
  <c r="AS1196" i="1"/>
  <c r="AT1196" i="1" s="1"/>
  <c r="AU1196" i="1" s="1"/>
  <c r="AS1202" i="1"/>
  <c r="AT1202" i="1" s="1"/>
  <c r="AU1202" i="1" s="1"/>
  <c r="AJ1202" i="1"/>
  <c r="AK1202" i="1" s="1"/>
  <c r="AS564" i="1" a="1"/>
  <c r="AS564" i="1" s="1"/>
  <c r="AT564" i="1" s="1"/>
  <c r="AJ564" i="1"/>
  <c r="AK564" i="1" s="1"/>
  <c r="AS144" i="1"/>
  <c r="AT144" i="1" s="1"/>
  <c r="AU144" i="1" s="1"/>
  <c r="AJ144" i="1"/>
  <c r="AK144" i="1" s="1"/>
  <c r="AJ2490" i="1"/>
  <c r="AK2490" i="1" s="1"/>
  <c r="AS2490" i="1"/>
  <c r="AT2490" i="1" s="1"/>
  <c r="AU2490" i="1" s="1"/>
  <c r="AS1965" i="1" a="1"/>
  <c r="AS1965" i="1" s="1"/>
  <c r="AT1965" i="1" s="1"/>
  <c r="AJ1965" i="1"/>
  <c r="AK1965" i="1" s="1"/>
  <c r="AS141" i="1"/>
  <c r="AT141" i="1" s="1"/>
  <c r="AU141" i="1" s="1"/>
  <c r="AJ141" i="1"/>
  <c r="AK141" i="1" s="1"/>
  <c r="AS887" i="1" a="1"/>
  <c r="AS887" i="1" s="1"/>
  <c r="AT887" i="1" s="1"/>
  <c r="AJ887" i="1"/>
  <c r="AK887" i="1" s="1"/>
  <c r="AS489" i="1" a="1"/>
  <c r="AS489" i="1" s="1"/>
  <c r="AT489" i="1" s="1"/>
  <c r="AJ489" i="1"/>
  <c r="AK489" i="1" s="1"/>
  <c r="AS1968" i="1" a="1"/>
  <c r="AS1968" i="1" s="1"/>
  <c r="AT1968" i="1" s="1"/>
  <c r="AJ1968" i="1"/>
  <c r="AK1968" i="1" s="1"/>
  <c r="AS488" i="1" a="1"/>
  <c r="AS488" i="1" s="1"/>
  <c r="AT488" i="1" s="1"/>
  <c r="AJ488" i="1"/>
  <c r="AK488" i="1" s="1"/>
  <c r="AS1085" i="1"/>
  <c r="AT1085" i="1" s="1"/>
  <c r="AU1085" i="1" s="1"/>
  <c r="AS2166" i="1"/>
  <c r="AT2166" i="1" s="1"/>
  <c r="AU2166" i="1" s="1"/>
  <c r="AS1289" i="1"/>
  <c r="AT1289" i="1" s="1"/>
  <c r="AU1289" i="1" s="1"/>
  <c r="AS162" i="1"/>
  <c r="AT162" i="1" s="1"/>
  <c r="AU162" i="1" s="1"/>
  <c r="AS2555" i="1"/>
  <c r="AT2555" i="1" s="1"/>
  <c r="AU2555" i="1" s="1"/>
  <c r="AS2165" i="1"/>
  <c r="AT2165" i="1" s="1"/>
  <c r="AU2165" i="1" s="1"/>
  <c r="AS281" i="1"/>
  <c r="AT281" i="1" s="1"/>
  <c r="AU281" i="1" s="1"/>
  <c r="AS1340" i="1"/>
  <c r="AT1340" i="1" s="1"/>
  <c r="AU1340" i="1" s="1"/>
  <c r="AS1191" i="1"/>
  <c r="AJ1640" i="1"/>
  <c r="AK1640" i="1" s="1"/>
  <c r="AS1640" i="1"/>
  <c r="AJ1150" i="1"/>
  <c r="AK1150" i="1" s="1"/>
  <c r="AS1150" i="1"/>
  <c r="AT1150" i="1" s="1"/>
  <c r="AU1150" i="1" s="1"/>
  <c r="AJ1440" i="1"/>
  <c r="AK1440" i="1" s="1"/>
  <c r="AS1440" i="1"/>
  <c r="AT1440" i="1" s="1"/>
  <c r="AU1440" i="1" s="1"/>
  <c r="AJ2133" i="1"/>
  <c r="AK2133" i="1" s="1"/>
  <c r="AS2133" i="1"/>
  <c r="AT2133" i="1" s="1"/>
  <c r="AU2133" i="1" s="1"/>
  <c r="AS20" i="1"/>
  <c r="AT20" i="1" s="1"/>
  <c r="AU20" i="1" s="1"/>
  <c r="AJ1007" i="1"/>
  <c r="AK1007" i="1" s="1"/>
  <c r="AJ2104" i="1"/>
  <c r="AK2104" i="1" s="1"/>
  <c r="AJ365" i="1"/>
  <c r="AJ1278" i="1"/>
  <c r="AJ1885" i="1"/>
  <c r="AJ1549" i="1"/>
  <c r="AJ1884" i="1"/>
  <c r="AJ2131" i="1"/>
  <c r="AJ1042" i="1"/>
  <c r="AK1042" i="1" s="1"/>
  <c r="AJ4" i="1"/>
  <c r="AK4" i="1" s="1"/>
  <c r="AJ606" i="1"/>
  <c r="AK606" i="1" s="1"/>
  <c r="AJ1094" i="1"/>
  <c r="AJ1556" i="1"/>
  <c r="AJ1899" i="1"/>
  <c r="AJ2034" i="1"/>
  <c r="AJ93" i="1"/>
  <c r="AK93" i="1" s="1"/>
  <c r="AJ756" i="1"/>
  <c r="AJ1091" i="1"/>
  <c r="AJ1546" i="1"/>
  <c r="AJ1550" i="1"/>
  <c r="AJ1901" i="1"/>
  <c r="AJ2059" i="1"/>
  <c r="AJ6" i="1"/>
  <c r="AK6" i="1" s="1"/>
  <c r="AJ558" i="1"/>
  <c r="AJ1090" i="1"/>
  <c r="AJ1881" i="1"/>
  <c r="AJ1555" i="1"/>
  <c r="AJ1908" i="1"/>
  <c r="AJ2068" i="1"/>
  <c r="AJ403" i="1"/>
  <c r="AJ1044" i="1"/>
  <c r="AJ1883" i="1"/>
  <c r="AJ1759" i="1"/>
  <c r="AJ1886" i="1"/>
  <c r="AJ916" i="1"/>
  <c r="AK916" i="1" s="1"/>
  <c r="AJ92" i="1"/>
  <c r="AK92" i="1" s="1"/>
  <c r="AJ1921" i="1"/>
  <c r="AK1921" i="1" s="1"/>
  <c r="AJ370" i="1"/>
  <c r="AJ1086" i="1"/>
  <c r="AJ1092" i="1"/>
  <c r="AJ2044" i="1"/>
  <c r="AJ1887" i="1"/>
  <c r="AJ1891" i="1"/>
  <c r="AJ2445" i="1"/>
  <c r="AK2445" i="1" s="1"/>
  <c r="AJ1296" i="1"/>
  <c r="AJ1006" i="1"/>
  <c r="AK1006" i="1" s="1"/>
  <c r="AJ608" i="1"/>
  <c r="AK608" i="1" s="1"/>
  <c r="AJ309" i="1"/>
  <c r="AJ1093" i="1"/>
  <c r="AJ1551" i="1"/>
  <c r="AJ1512" i="1"/>
  <c r="AJ1893" i="1"/>
  <c r="AJ1900" i="1"/>
  <c r="AJ915" i="1"/>
  <c r="AK915" i="1" s="1"/>
  <c r="AJ1301" i="1"/>
  <c r="AJ5" i="1"/>
  <c r="AK5" i="1" s="1"/>
  <c r="AJ2163" i="1"/>
  <c r="AK2163" i="1" s="1"/>
  <c r="AJ1882" i="1"/>
  <c r="AJ1644" i="1"/>
  <c r="AJ1890" i="1"/>
  <c r="AJ1041" i="1"/>
  <c r="AK1041" i="1" s="1"/>
  <c r="AJ607" i="1"/>
  <c r="AK607" i="1" s="1"/>
  <c r="AJ87" i="1"/>
  <c r="AK87" i="1" s="1"/>
  <c r="AJ563" i="1"/>
  <c r="AK563" i="1" s="1"/>
  <c r="AJ304" i="1"/>
  <c r="AK304" i="1" s="1"/>
  <c r="AJ1784" i="1"/>
  <c r="AK1784" i="1" s="1"/>
  <c r="AJ86" i="1"/>
  <c r="AK86" i="1" s="1"/>
  <c r="AJ1786" i="1"/>
  <c r="AK1786" i="1" s="1"/>
  <c r="AJ525" i="1"/>
  <c r="AK525" i="1" s="1"/>
  <c r="AJ2316" i="1"/>
  <c r="AK2316" i="1" s="1"/>
  <c r="AJ679" i="1"/>
  <c r="AK679" i="1" s="1"/>
  <c r="AJ306" i="1"/>
  <c r="AK306" i="1" s="1"/>
  <c r="AJ2343" i="1"/>
  <c r="AK2343" i="1" s="1"/>
  <c r="AJ1376" i="1"/>
  <c r="AK1376" i="1" s="1"/>
  <c r="AJ1026" i="1"/>
  <c r="AK1026" i="1" s="1"/>
  <c r="AJ980" i="1"/>
  <c r="AK980" i="1" s="1"/>
  <c r="AJ1388" i="1"/>
  <c r="AK1388" i="1" s="1"/>
  <c r="AJ1785" i="1"/>
  <c r="AK1785" i="1" s="1"/>
  <c r="AJ681" i="1"/>
  <c r="AK681" i="1" s="1"/>
  <c r="AJ1338" i="1"/>
  <c r="AK1338" i="1" s="1"/>
  <c r="AJ101" i="1"/>
  <c r="AK101" i="1" s="1"/>
  <c r="AJ973" i="1"/>
  <c r="AK973" i="1" s="1"/>
  <c r="AJ1920" i="1"/>
  <c r="AK1920" i="1" s="1"/>
  <c r="AJ1919" i="1"/>
  <c r="AK1919" i="1" s="1"/>
  <c r="AJ2063" i="1"/>
  <c r="AK2063" i="1" s="1"/>
  <c r="AJ2090" i="1"/>
  <c r="AK2090" i="1" s="1"/>
  <c r="AJ886" i="1"/>
  <c r="AK886" i="1" s="1"/>
  <c r="AJ2196" i="1"/>
  <c r="AK2196" i="1" s="1"/>
  <c r="AJ749" i="1"/>
  <c r="AK749" i="1" s="1"/>
  <c r="AJ678" i="1"/>
  <c r="AK678" i="1" s="1"/>
  <c r="AJ675" i="1"/>
  <c r="AK675" i="1" s="1"/>
  <c r="AJ1889" i="1"/>
  <c r="AJ1031" i="1"/>
  <c r="AK1031" i="1" s="1"/>
  <c r="AJ1034" i="1"/>
  <c r="AK1034" i="1" s="1"/>
  <c r="AJ1386" i="1"/>
  <c r="AK1386" i="1" s="1"/>
  <c r="AJ2344" i="1"/>
  <c r="AK2344" i="1" s="1"/>
  <c r="AJ1291" i="1"/>
  <c r="AK1291" i="1" s="1"/>
  <c r="AJ1709" i="1"/>
  <c r="AK1709" i="1" s="1"/>
  <c r="AJ1923" i="1"/>
  <c r="AK1923" i="1" s="1"/>
  <c r="AJ523" i="1"/>
  <c r="AK523" i="1" s="1"/>
  <c r="AJ166" i="1"/>
  <c r="AK166" i="1" s="1"/>
  <c r="AJ2060" i="1"/>
  <c r="AK2060" i="1" s="1"/>
  <c r="AJ2091" i="1"/>
  <c r="AK2091" i="1" s="1"/>
  <c r="AJ2092" i="1"/>
  <c r="AK2092" i="1" s="1"/>
  <c r="AJ181" i="1"/>
  <c r="AK181" i="1" s="1"/>
  <c r="AJ747" i="1"/>
  <c r="AK747" i="1" s="1"/>
  <c r="AJ305" i="1"/>
  <c r="AK305" i="1" s="1"/>
  <c r="AJ1708" i="1"/>
  <c r="AK1708" i="1" s="1"/>
  <c r="AJ1033" i="1"/>
  <c r="AK1033" i="1" s="1"/>
  <c r="AJ308" i="1"/>
  <c r="AK308" i="1" s="1"/>
  <c r="AJ2345" i="1"/>
  <c r="AK2345" i="1" s="1"/>
  <c r="AJ88" i="1"/>
  <c r="AK88" i="1" s="1"/>
  <c r="AJ1292" i="1"/>
  <c r="AK1292" i="1" s="1"/>
  <c r="AJ1918" i="1"/>
  <c r="AK1918" i="1" s="1"/>
  <c r="AJ1714" i="1"/>
  <c r="AK1714" i="1" s="1"/>
  <c r="AJ888" i="1"/>
  <c r="AK888" i="1" s="1"/>
  <c r="AJ1916" i="1"/>
  <c r="AK1916" i="1" s="1"/>
  <c r="AJ1716" i="1"/>
  <c r="AK1716" i="1" s="1"/>
  <c r="AJ2061" i="1"/>
  <c r="AK2061" i="1" s="1"/>
  <c r="AJ2089" i="1"/>
  <c r="AK2089" i="1" s="1"/>
  <c r="AJ1715" i="1"/>
  <c r="AK1715" i="1" s="1"/>
  <c r="AJ2317" i="1"/>
  <c r="AK2317" i="1" s="1"/>
  <c r="AJ753" i="1"/>
  <c r="AK753" i="1" s="1"/>
  <c r="AJ2294" i="1"/>
  <c r="AK2294" i="1" s="1"/>
  <c r="AJ1907" i="1"/>
  <c r="AJ780" i="1"/>
  <c r="AK780" i="1" s="1"/>
  <c r="AJ68" i="1"/>
  <c r="AK68" i="1" s="1"/>
  <c r="AJ2346" i="1"/>
  <c r="AK2346" i="1" s="1"/>
  <c r="AJ680" i="1"/>
  <c r="AK680" i="1" s="1"/>
  <c r="AJ1737" i="1"/>
  <c r="AK1737" i="1" s="1"/>
  <c r="AJ1387" i="1"/>
  <c r="AK1387" i="1" s="1"/>
  <c r="AJ307" i="1"/>
  <c r="AK307" i="1" s="1"/>
  <c r="AJ1762" i="1"/>
  <c r="AK1762" i="1" s="1"/>
  <c r="AJ1182" i="1"/>
  <c r="AK1182" i="1" s="1"/>
  <c r="AJ1963" i="1"/>
  <c r="AK1963" i="1" s="1"/>
  <c r="AJ1710" i="1"/>
  <c r="AK1710" i="1" s="1"/>
  <c r="AJ1966" i="1"/>
  <c r="AK1966" i="1" s="1"/>
  <c r="AJ890" i="1"/>
  <c r="AK890" i="1" s="1"/>
  <c r="AJ559" i="1"/>
  <c r="AK559" i="1" s="1"/>
  <c r="AJ2062" i="1"/>
  <c r="AK2062" i="1" s="1"/>
  <c r="AJ889" i="1"/>
  <c r="AK889" i="1" s="1"/>
  <c r="AJ1711" i="1"/>
  <c r="AK1711" i="1" s="1"/>
  <c r="AJ2318" i="1"/>
  <c r="AK2318" i="1" s="1"/>
  <c r="AJ751" i="1"/>
  <c r="AK751" i="1" s="1"/>
  <c r="AJ1289" i="1"/>
  <c r="AK1289" i="1" s="1"/>
  <c r="AJ1085" i="1"/>
  <c r="AK1085" i="1" s="1"/>
  <c r="AJ1538" i="1"/>
  <c r="AK1538" i="1" s="1"/>
  <c r="AJ1030" i="1"/>
  <c r="AK1030" i="1" s="1"/>
  <c r="AJ979" i="1"/>
  <c r="AK979" i="1" s="1"/>
  <c r="AJ849" i="1"/>
  <c r="AK849" i="1" s="1"/>
  <c r="AJ2177" i="1"/>
  <c r="AK2177" i="1" s="1"/>
  <c r="AJ2340" i="1"/>
  <c r="AK2340" i="1" s="1"/>
  <c r="AJ195" i="1"/>
  <c r="AK195" i="1" s="1"/>
  <c r="AJ476" i="1"/>
  <c r="AK476" i="1" s="1"/>
  <c r="AJ1666" i="1"/>
  <c r="AK1666" i="1" s="1"/>
  <c r="AJ2355" i="1"/>
  <c r="AK2355" i="1" s="1"/>
  <c r="AJ1396" i="1"/>
  <c r="AK1396" i="1" s="1"/>
  <c r="AJ82" i="1"/>
  <c r="AK82" i="1" s="1"/>
  <c r="AJ1430" i="1"/>
  <c r="AK1430" i="1" s="1"/>
  <c r="AJ475" i="1"/>
  <c r="AK475" i="1" s="1"/>
  <c r="AJ1985" i="1"/>
  <c r="AK1985" i="1" s="1"/>
  <c r="AJ586" i="1"/>
  <c r="AK586" i="1" s="1"/>
  <c r="AJ2342" i="1"/>
  <c r="AK2342" i="1" s="1"/>
  <c r="AJ2064" i="1"/>
  <c r="AK2064" i="1" s="1"/>
  <c r="AJ600" i="1"/>
  <c r="AK600" i="1" s="1"/>
  <c r="AJ1385" i="1"/>
  <c r="AK1385" i="1" s="1"/>
  <c r="AJ180" i="1"/>
  <c r="AK180" i="1" s="1"/>
  <c r="AJ863" i="1"/>
  <c r="AK863" i="1" s="1"/>
  <c r="AJ1787" i="1"/>
  <c r="AK1787" i="1" s="1"/>
  <c r="AJ9" i="1"/>
  <c r="AK9" i="1" s="1"/>
  <c r="AJ2038" i="1"/>
  <c r="AK2038" i="1" s="1"/>
  <c r="AJ421" i="1"/>
  <c r="AK421" i="1" s="1"/>
  <c r="AJ1032" i="1"/>
  <c r="AK1032" i="1" s="1"/>
  <c r="AJ1543" i="1"/>
  <c r="AK1543" i="1" s="1"/>
  <c r="AJ590" i="1"/>
  <c r="AK590" i="1" s="1"/>
  <c r="AJ589" i="1"/>
  <c r="AK589" i="1" s="1"/>
  <c r="AJ412" i="1"/>
  <c r="AK412" i="1" s="1"/>
  <c r="AJ2128" i="1"/>
  <c r="AK2128" i="1" s="1"/>
  <c r="AJ594" i="1"/>
  <c r="AK594" i="1" s="1"/>
  <c r="AJ1447" i="1"/>
  <c r="AK1447" i="1" s="1"/>
  <c r="AJ1598" i="1"/>
  <c r="AK1598" i="1" s="1"/>
  <c r="AJ599" i="1"/>
  <c r="AK599" i="1" s="1"/>
  <c r="AJ8" i="1"/>
  <c r="AK8" i="1" s="1"/>
  <c r="AJ184" i="1"/>
  <c r="AK184" i="1" s="1"/>
  <c r="AJ1865" i="1"/>
  <c r="AK1865" i="1" s="1"/>
  <c r="AJ597" i="1"/>
  <c r="AK597" i="1" s="1"/>
  <c r="AJ3" i="1"/>
  <c r="AK3" i="1" s="1"/>
  <c r="AJ415" i="1"/>
  <c r="AK415" i="1" s="1"/>
  <c r="AJ605" i="1"/>
  <c r="AK605" i="1" s="1"/>
  <c r="AJ898" i="1"/>
  <c r="AK898" i="1" s="1"/>
  <c r="AJ2093" i="1"/>
  <c r="AK2093" i="1" s="1"/>
  <c r="AJ677" i="1"/>
  <c r="AK677" i="1" s="1"/>
  <c r="AJ413" i="1"/>
  <c r="AK413" i="1" s="1"/>
  <c r="AJ2040" i="1"/>
  <c r="AK2040" i="1" s="1"/>
  <c r="AJ83" i="1"/>
  <c r="AK83" i="1" s="1"/>
  <c r="AJ1843" i="1"/>
  <c r="AK1843" i="1" s="1"/>
  <c r="AJ139" i="1"/>
  <c r="AK139" i="1" s="1"/>
  <c r="AJ386" i="1"/>
  <c r="AK386" i="1" s="1"/>
  <c r="AJ591" i="1"/>
  <c r="AK591" i="1" s="1"/>
  <c r="AJ404" i="1"/>
  <c r="AK404" i="1" s="1"/>
  <c r="AJ2474" i="1"/>
  <c r="AK2474" i="1" s="1"/>
  <c r="AJ1760" i="1"/>
  <c r="AK1760" i="1" s="1"/>
  <c r="AJ569" i="1"/>
  <c r="AK569" i="1" s="1"/>
  <c r="AJ802" i="1"/>
  <c r="AK802" i="1" s="1"/>
  <c r="AJ486" i="1"/>
  <c r="AK486" i="1" s="1"/>
  <c r="AJ1431" i="1"/>
  <c r="AK1431" i="1" s="1"/>
  <c r="AJ378" i="1"/>
  <c r="AK378" i="1" s="1"/>
  <c r="AJ317" i="1"/>
  <c r="AK317" i="1" s="1"/>
  <c r="AJ1246" i="1"/>
  <c r="AK1246" i="1" s="1"/>
  <c r="AJ143" i="1"/>
  <c r="AK143" i="1" s="1"/>
  <c r="AJ322" i="1"/>
  <c r="AK322" i="1" s="1"/>
  <c r="AJ410" i="1"/>
  <c r="AK410" i="1" s="1"/>
  <c r="AJ2475" i="1"/>
  <c r="AK2475" i="1" s="1"/>
  <c r="AJ2341" i="1"/>
  <c r="AK2341" i="1" s="1"/>
  <c r="AJ474" i="1"/>
  <c r="AK474" i="1" s="1"/>
  <c r="AJ417" i="1"/>
  <c r="AK417" i="1" s="1"/>
  <c r="AJ377" i="1"/>
  <c r="AK377" i="1" s="1"/>
  <c r="AJ930" i="1"/>
  <c r="AK930" i="1" s="1"/>
  <c r="AJ1623" i="1"/>
  <c r="AK1623" i="1" s="1"/>
  <c r="AJ85" i="1"/>
  <c r="AK85" i="1" s="1"/>
  <c r="AJ1127" i="1"/>
  <c r="AK1127" i="1" s="1"/>
  <c r="AJ387" i="1"/>
  <c r="AK387" i="1" s="1"/>
  <c r="AJ458" i="1"/>
  <c r="AK458" i="1" s="1"/>
  <c r="AJ1821" i="1"/>
  <c r="AK1821" i="1" s="1"/>
  <c r="AJ1023" i="1"/>
  <c r="AK1023" i="1" s="1"/>
  <c r="AJ1792" i="1"/>
  <c r="AK1792" i="1" s="1"/>
  <c r="AJ140" i="1"/>
  <c r="AK140" i="1" s="1"/>
  <c r="AJ142" i="1"/>
  <c r="AK142" i="1" s="1"/>
  <c r="AJ2134" i="1"/>
  <c r="AK2134" i="1" s="1"/>
  <c r="AJ1690" i="1"/>
  <c r="AK1690" i="1" s="1"/>
  <c r="AJ1428" i="1"/>
  <c r="AK1428" i="1" s="1"/>
  <c r="AJ249" i="1"/>
  <c r="AK249" i="1" s="1"/>
  <c r="AJ900" i="1"/>
  <c r="AK900" i="1" s="1"/>
  <c r="AJ405" i="1"/>
  <c r="AK405" i="1" s="1"/>
  <c r="AJ2014" i="1"/>
  <c r="AK2014" i="1" s="1"/>
  <c r="AJ1268" i="1"/>
  <c r="AK1268" i="1" s="1"/>
  <c r="AJ552" i="1"/>
  <c r="AK552" i="1" s="1"/>
  <c r="AJ477" i="1"/>
  <c r="AK477" i="1" s="1"/>
  <c r="AJ253" i="1"/>
  <c r="AK253" i="1" s="1"/>
  <c r="AJ91" i="1"/>
  <c r="AK91" i="1" s="1"/>
  <c r="AJ1789" i="1"/>
  <c r="AK1789" i="1" s="1"/>
  <c r="AJ1245" i="1"/>
  <c r="AK1245" i="1" s="1"/>
  <c r="AJ568" i="1"/>
  <c r="AK568" i="1" s="1"/>
  <c r="AJ369" i="1"/>
  <c r="AK369" i="1" s="1"/>
  <c r="AJ2135" i="1"/>
  <c r="AK2135" i="1" s="1"/>
  <c r="AJ376" i="1"/>
  <c r="AK376" i="1" s="1"/>
  <c r="AJ2443" i="1"/>
  <c r="AK2443" i="1" s="1"/>
  <c r="AJ368" i="1"/>
  <c r="AK368" i="1" s="1"/>
  <c r="AJ553" i="1"/>
  <c r="AK553" i="1" s="1"/>
  <c r="AJ256" i="1"/>
  <c r="AK256" i="1" s="1"/>
  <c r="AJ577" i="1"/>
  <c r="AK577" i="1" s="1"/>
  <c r="AJ1561" i="1"/>
  <c r="AK1561" i="1" s="1"/>
  <c r="AJ776" i="1"/>
  <c r="AK776" i="1" s="1"/>
  <c r="AJ1128" i="1"/>
  <c r="AK1128" i="1" s="1"/>
  <c r="AJ551" i="1"/>
  <c r="AK551" i="1" s="1"/>
  <c r="AJ394" i="1"/>
  <c r="AK394" i="1" s="1"/>
  <c r="AJ315" i="1"/>
  <c r="AK315" i="1" s="1"/>
  <c r="AJ1979" i="1"/>
  <c r="AK1979" i="1" s="1"/>
  <c r="AJ696" i="1"/>
  <c r="AK696" i="1" s="1"/>
  <c r="AJ1932" i="1"/>
  <c r="AK1932" i="1" s="1"/>
  <c r="AJ1562" i="1"/>
  <c r="AK1562" i="1" s="1"/>
  <c r="AJ2439" i="1"/>
  <c r="AK2439" i="1" s="1"/>
  <c r="AJ759" i="1"/>
  <c r="AK759" i="1" s="1"/>
  <c r="AJ255" i="1"/>
  <c r="AK255" i="1" s="1"/>
  <c r="AJ578" i="1"/>
  <c r="AK578" i="1" s="1"/>
  <c r="AJ2408" i="1"/>
  <c r="AK2408" i="1" s="1"/>
  <c r="AJ22" i="1"/>
  <c r="AK22" i="1" s="1"/>
  <c r="AJ1625" i="1"/>
  <c r="AK1625" i="1" s="1"/>
  <c r="AJ761" i="1"/>
  <c r="AK761" i="1" s="1"/>
  <c r="AJ1767" i="1"/>
  <c r="AK1767" i="1" s="1"/>
  <c r="AJ1980" i="1"/>
  <c r="AK1980" i="1" s="1"/>
  <c r="AJ1027" i="1"/>
  <c r="AK1027" i="1" s="1"/>
  <c r="AJ1747" i="1"/>
  <c r="AK1747" i="1" s="1"/>
  <c r="AJ2228" i="1"/>
  <c r="AK2228" i="1" s="1"/>
  <c r="AJ1903" i="1"/>
  <c r="AK1903" i="1" s="1"/>
  <c r="AJ328" i="1"/>
  <c r="AK328" i="1" s="1"/>
  <c r="AJ1317" i="1"/>
  <c r="AK1317" i="1" s="1"/>
  <c r="AJ933" i="1"/>
  <c r="AK933" i="1" s="1"/>
  <c r="AJ2179" i="1"/>
  <c r="AK2179" i="1" s="1"/>
  <c r="AJ710" i="1"/>
  <c r="AK710" i="1" s="1"/>
  <c r="AJ911" i="1"/>
  <c r="AK911" i="1" s="1"/>
  <c r="AJ1399" i="1"/>
  <c r="AK1399" i="1" s="1"/>
  <c r="AJ778" i="1"/>
  <c r="AK778" i="1" s="1"/>
  <c r="AJ1694" i="1"/>
  <c r="AK1694" i="1" s="1"/>
  <c r="AJ84" i="1"/>
  <c r="AK84" i="1" s="1"/>
  <c r="AJ1129" i="1"/>
  <c r="AK1129" i="1" s="1"/>
  <c r="AJ1731" i="1"/>
  <c r="AK1731" i="1" s="1"/>
  <c r="AJ587" i="1"/>
  <c r="AK587" i="1" s="1"/>
  <c r="AJ1783" i="1"/>
  <c r="AK1783" i="1" s="1"/>
  <c r="AJ1294" i="1"/>
  <c r="AK1294" i="1" s="1"/>
  <c r="AJ2109" i="1"/>
  <c r="AK2109" i="1" s="1"/>
  <c r="AJ1024" i="1"/>
  <c r="AK1024" i="1" s="1"/>
  <c r="AJ1142" i="1"/>
  <c r="AK1142" i="1" s="1"/>
  <c r="AJ2425" i="1"/>
  <c r="AK2425" i="1" s="1"/>
  <c r="AJ596" i="1"/>
  <c r="AK596" i="1" s="1"/>
  <c r="AJ1050" i="1"/>
  <c r="AK1050" i="1" s="1"/>
  <c r="AJ380" i="1"/>
  <c r="AK380" i="1" s="1"/>
  <c r="AJ1112" i="1"/>
  <c r="AK1112" i="1" s="1"/>
  <c r="AJ2185" i="1"/>
  <c r="AJ575" i="1"/>
  <c r="AK575" i="1" s="1"/>
  <c r="AJ2476" i="1"/>
  <c r="AK2476" i="1" s="1"/>
  <c r="AJ1662" i="1"/>
  <c r="AK1662" i="1" s="1"/>
  <c r="AJ944" i="1"/>
  <c r="AK944" i="1" s="1"/>
  <c r="AJ198" i="1"/>
  <c r="AK198" i="1" s="1"/>
  <c r="AJ1755" i="1"/>
  <c r="AK1755" i="1" s="1"/>
  <c r="AJ894" i="1"/>
  <c r="AK894" i="1" s="1"/>
  <c r="AJ1962" i="1"/>
  <c r="AK1962" i="1" s="1"/>
  <c r="AJ364" i="1"/>
  <c r="AK364" i="1" s="1"/>
  <c r="AJ80" i="1"/>
  <c r="AK80" i="1" s="1"/>
  <c r="AJ764" i="1"/>
  <c r="AK764" i="1" s="1"/>
  <c r="AJ2111" i="1"/>
  <c r="AK2111" i="1" s="1"/>
  <c r="AJ1734" i="1"/>
  <c r="AK1734" i="1" s="1"/>
  <c r="AJ604" i="1"/>
  <c r="AK604" i="1" s="1"/>
  <c r="AJ2110" i="1"/>
  <c r="AK2110" i="1" s="1"/>
  <c r="AJ1131" i="1"/>
  <c r="AK1131" i="1" s="1"/>
  <c r="AJ90" i="1"/>
  <c r="AK90" i="1" s="1"/>
  <c r="AJ1870" i="1"/>
  <c r="AK1870" i="1" s="1"/>
  <c r="AJ491" i="1"/>
  <c r="AK491" i="1" s="1"/>
  <c r="AJ974" i="1"/>
  <c r="AK974" i="1" s="1"/>
  <c r="AJ1458" i="1"/>
  <c r="AK1458" i="1" s="1"/>
  <c r="AJ126" i="1"/>
  <c r="AK126" i="1" s="1"/>
  <c r="AJ1308" i="1"/>
  <c r="AK1308" i="1" s="1"/>
  <c r="AJ285" i="1"/>
  <c r="AK285" i="1" s="1"/>
  <c r="AJ1701" i="1"/>
  <c r="AK1701" i="1" s="1"/>
  <c r="AJ837" i="1"/>
  <c r="AK837" i="1" s="1"/>
  <c r="AJ1509" i="1"/>
  <c r="AK1509" i="1" s="1"/>
  <c r="AJ1895" i="1"/>
  <c r="AK1895" i="1" s="1"/>
  <c r="AJ1010" i="1"/>
  <c r="AK1010" i="1" s="1"/>
  <c r="AJ78" i="1"/>
  <c r="AK78" i="1" s="1"/>
  <c r="AJ18" i="1"/>
  <c r="AK18" i="1" s="1"/>
  <c r="AJ1981" i="1"/>
  <c r="AK1981" i="1" s="1"/>
  <c r="AJ544" i="1"/>
  <c r="AK544" i="1" s="1"/>
  <c r="AJ1753" i="1"/>
  <c r="AK1753" i="1" s="1"/>
  <c r="AJ2376" i="1"/>
  <c r="AK2376" i="1" s="1"/>
  <c r="AJ254" i="1"/>
  <c r="AK254" i="1" s="1"/>
  <c r="AJ758" i="1"/>
  <c r="AK758" i="1" s="1"/>
  <c r="AJ2106" i="1"/>
  <c r="AK2106" i="1" s="1"/>
  <c r="AJ1732" i="1"/>
  <c r="AK1732" i="1" s="1"/>
  <c r="AJ456" i="1"/>
  <c r="AK456" i="1" s="1"/>
  <c r="AJ1186" i="1"/>
  <c r="AK1186" i="1" s="1"/>
  <c r="AJ137" i="1"/>
  <c r="AK137" i="1" s="1"/>
  <c r="AJ913" i="1"/>
  <c r="AK913" i="1" s="1"/>
  <c r="AJ2139" i="1"/>
  <c r="AK2139" i="1" s="1"/>
  <c r="AJ1680" i="1"/>
  <c r="AK1680" i="1" s="1"/>
  <c r="AJ1748" i="1"/>
  <c r="AK1748" i="1" s="1"/>
  <c r="AJ379" i="1"/>
  <c r="AK379" i="1" s="1"/>
  <c r="AJ127" i="1"/>
  <c r="AK127" i="1" s="1"/>
  <c r="AJ2176" i="1"/>
  <c r="AK2176" i="1" s="1"/>
  <c r="AJ752" i="1"/>
  <c r="AK752" i="1" s="1"/>
  <c r="AJ2178" i="1"/>
  <c r="AK2178" i="1" s="1"/>
  <c r="AJ922" i="1"/>
  <c r="AK922" i="1" s="1"/>
  <c r="AJ2314" i="1"/>
  <c r="AK2314" i="1" s="1"/>
  <c r="AJ1141" i="1"/>
  <c r="AK1141" i="1" s="1"/>
  <c r="AJ173" i="1"/>
  <c r="AK173" i="1" s="1"/>
  <c r="AJ199" i="1"/>
  <c r="AK199" i="1" s="1"/>
  <c r="AJ1597" i="1"/>
  <c r="AK1597" i="1" s="1"/>
  <c r="AJ174" i="1"/>
  <c r="AK174" i="1" s="1"/>
  <c r="AJ1847" i="1"/>
  <c r="AK1847" i="1" s="1"/>
  <c r="AJ1537" i="1"/>
  <c r="AK1537" i="1" s="1"/>
  <c r="AJ1130" i="1"/>
  <c r="AK1130" i="1" s="1"/>
  <c r="AJ2112" i="1"/>
  <c r="AK2112" i="1" s="1"/>
  <c r="AJ2444" i="1"/>
  <c r="AK2444" i="1" s="1"/>
  <c r="AJ994" i="1"/>
  <c r="AK994" i="1" s="1"/>
  <c r="AJ81" i="1"/>
  <c r="AK81" i="1" s="1"/>
  <c r="AJ1757" i="1"/>
  <c r="AK1757" i="1" s="1"/>
  <c r="AJ320" i="1"/>
  <c r="AK320" i="1" s="1"/>
  <c r="AJ763" i="1"/>
  <c r="AK763" i="1" s="1"/>
  <c r="AJ1729" i="1"/>
  <c r="AK1729" i="1" s="1"/>
  <c r="AJ593" i="1"/>
  <c r="AK593" i="1" s="1"/>
  <c r="AJ595" i="1"/>
  <c r="AK595" i="1" s="1"/>
  <c r="AJ711" i="1"/>
  <c r="AK711" i="1" s="1"/>
  <c r="AJ914" i="1"/>
  <c r="AK914" i="1" s="1"/>
  <c r="AJ912" i="1"/>
  <c r="AK912" i="1" s="1"/>
  <c r="AJ1678" i="1"/>
  <c r="AK1678" i="1" s="1"/>
  <c r="AJ214" i="1"/>
  <c r="AK214" i="1" s="1"/>
  <c r="AJ1702" i="1"/>
  <c r="AK1702" i="1" s="1"/>
  <c r="AJ1578" i="1"/>
  <c r="AK1578" i="1" s="1"/>
  <c r="AJ1232" i="1"/>
  <c r="AK1232" i="1" s="1"/>
  <c r="AJ1465" i="1"/>
  <c r="AK1465" i="1" s="1"/>
  <c r="AJ381" i="1"/>
  <c r="AK381" i="1" s="1"/>
  <c r="AJ1864" i="1"/>
  <c r="AK1864" i="1" s="1"/>
  <c r="AJ245" i="1"/>
  <c r="AK245" i="1" s="1"/>
  <c r="AJ896" i="1"/>
  <c r="AK896" i="1" s="1"/>
  <c r="AJ2377" i="1"/>
  <c r="AK2377" i="1" s="1"/>
  <c r="AJ69" i="1"/>
  <c r="AK69" i="1" s="1"/>
  <c r="AJ2567" i="1"/>
  <c r="AK2567" i="1" s="1"/>
  <c r="AJ987" i="1"/>
  <c r="AK987" i="1" s="1"/>
  <c r="AJ1320" i="1"/>
  <c r="AK1320" i="1" s="1"/>
  <c r="AJ842" i="1"/>
  <c r="AK842" i="1" s="1"/>
  <c r="AJ1003" i="1"/>
  <c r="AK1003" i="1" s="1"/>
  <c r="AJ416" i="1"/>
  <c r="AK416" i="1" s="1"/>
  <c r="AJ135" i="1"/>
  <c r="AK135" i="1" s="1"/>
  <c r="AJ89" i="1"/>
  <c r="AK89" i="1" s="1"/>
  <c r="AJ821" i="1"/>
  <c r="AK821" i="1" s="1"/>
  <c r="AJ824" i="1"/>
  <c r="AK824" i="1" s="1"/>
  <c r="AJ79" i="1"/>
  <c r="AK79" i="1" s="1"/>
  <c r="AJ1754" i="1"/>
  <c r="AK1754" i="1" s="1"/>
  <c r="AJ252" i="1"/>
  <c r="AK252" i="1" s="1"/>
  <c r="AJ318" i="1"/>
  <c r="AK318" i="1" s="1"/>
  <c r="AJ1733" i="1"/>
  <c r="AK1733" i="1" s="1"/>
  <c r="AJ1441" i="1"/>
  <c r="AK1441" i="1" s="1"/>
  <c r="AJ713" i="1"/>
  <c r="AK713" i="1" s="1"/>
  <c r="AJ138" i="1"/>
  <c r="AK138" i="1" s="1"/>
  <c r="AJ2108" i="1"/>
  <c r="AK2108" i="1" s="1"/>
  <c r="AJ1677" i="1"/>
  <c r="AK1677" i="1" s="1"/>
  <c r="AJ196" i="1"/>
  <c r="AK196" i="1" s="1"/>
  <c r="AJ1657" i="1"/>
  <c r="AK1657" i="1" s="1"/>
  <c r="AJ487" i="1"/>
  <c r="AK487" i="1" s="1"/>
  <c r="AJ157" i="1"/>
  <c r="AK157" i="1" s="1"/>
  <c r="AJ1054" i="1"/>
  <c r="AK1054" i="1" s="1"/>
  <c r="AJ1314" i="1"/>
  <c r="AK1314" i="1" s="1"/>
  <c r="AJ94" i="1"/>
  <c r="AK94" i="1" s="1"/>
  <c r="AJ202" i="1"/>
  <c r="AK202" i="1" s="1"/>
  <c r="AJ1773" i="1"/>
  <c r="AK1773" i="1" s="1"/>
  <c r="AJ2311" i="1"/>
  <c r="AK2311" i="1" s="1"/>
  <c r="AJ1336" i="1"/>
  <c r="AK1336" i="1" s="1"/>
  <c r="AJ1101" i="1"/>
  <c r="AK1101" i="1" s="1"/>
  <c r="AJ2167" i="1"/>
  <c r="AK2167" i="1" s="1"/>
  <c r="AJ1692" i="1"/>
  <c r="AK1692" i="1" s="1"/>
  <c r="AJ2107" i="1"/>
  <c r="AK2107" i="1" s="1"/>
  <c r="AJ2440" i="1"/>
  <c r="AK2440" i="1" s="1"/>
  <c r="AJ1211" i="1"/>
  <c r="AK1211" i="1" s="1"/>
  <c r="AJ830" i="1"/>
  <c r="AK830" i="1" s="1"/>
  <c r="AJ1758" i="1"/>
  <c r="AK1758" i="1" s="1"/>
  <c r="AJ1752" i="1"/>
  <c r="AK1752" i="1" s="1"/>
  <c r="AJ760" i="1"/>
  <c r="AK760" i="1" s="1"/>
  <c r="AJ762" i="1"/>
  <c r="AK762" i="1" s="1"/>
  <c r="AJ1735" i="1"/>
  <c r="AK1735" i="1" s="1"/>
  <c r="AJ588" i="1"/>
  <c r="AK588" i="1" s="1"/>
  <c r="AJ1115" i="1"/>
  <c r="AK1115" i="1" s="1"/>
  <c r="AJ712" i="1"/>
  <c r="AK712" i="1" s="1"/>
  <c r="AJ136" i="1"/>
  <c r="AK136" i="1" s="1"/>
  <c r="AJ1135" i="1"/>
  <c r="AK1135" i="1" s="1"/>
  <c r="AJ576" i="1"/>
  <c r="AK576" i="1" s="1"/>
  <c r="AJ1679" i="1"/>
  <c r="AK1679" i="1" s="1"/>
  <c r="AJ1630" i="1"/>
  <c r="AK1630" i="1" s="1"/>
  <c r="AJ1548" i="1"/>
  <c r="AK1548" i="1" s="1"/>
  <c r="AJ1580" i="1"/>
  <c r="AK1580" i="1" s="1"/>
  <c r="AJ1036" i="1"/>
  <c r="AK1036" i="1" s="1"/>
  <c r="AJ1407" i="1"/>
  <c r="AK1407" i="1" s="1"/>
  <c r="AJ1008" i="1"/>
  <c r="AK1008" i="1" s="1"/>
  <c r="AJ1972" i="1"/>
  <c r="AK1972" i="1" s="1"/>
  <c r="AJ1775" i="1"/>
  <c r="AK1775" i="1" s="1"/>
  <c r="AJ1689" i="1"/>
  <c r="AK1689" i="1" s="1"/>
  <c r="AJ1723" i="1"/>
  <c r="AK1723" i="1" s="1"/>
  <c r="AJ1764" i="1"/>
  <c r="AK1764" i="1" s="1"/>
  <c r="AJ384" i="1"/>
  <c r="AK384" i="1" s="1"/>
  <c r="AJ146" i="1"/>
  <c r="AK146" i="1" s="1"/>
  <c r="AJ215" i="1"/>
  <c r="AK215" i="1" s="1"/>
  <c r="AJ1926" i="1"/>
  <c r="AK1926" i="1" s="1"/>
  <c r="AJ1210" i="1"/>
  <c r="AK1210" i="1" s="1"/>
  <c r="AJ406" i="1"/>
  <c r="AK406" i="1" s="1"/>
  <c r="AJ1756" i="1"/>
  <c r="AK1756" i="1" s="1"/>
  <c r="AJ319" i="1"/>
  <c r="AK319" i="1" s="1"/>
  <c r="AJ321" i="1"/>
  <c r="AK321" i="1" s="1"/>
  <c r="AJ316" i="1"/>
  <c r="AK316" i="1" s="1"/>
  <c r="AJ1730" i="1"/>
  <c r="AK1730" i="1" s="1"/>
  <c r="AJ592" i="1"/>
  <c r="AK592" i="1" s="1"/>
  <c r="AJ2033" i="1"/>
  <c r="AK2033" i="1" s="1"/>
  <c r="AJ2113" i="1"/>
  <c r="AK2113" i="1" s="1"/>
  <c r="AJ107" i="1"/>
  <c r="AK107" i="1" s="1"/>
  <c r="AJ531" i="1"/>
  <c r="AK531" i="1" s="1"/>
  <c r="AJ20" i="1"/>
  <c r="AK20" i="1" s="1"/>
  <c r="AJ1656" i="1"/>
  <c r="AK1656" i="1" s="1"/>
  <c r="AJ661" i="1"/>
  <c r="AK661" i="1" s="1"/>
  <c r="AJ1924" i="1"/>
  <c r="AK1924" i="1" s="1"/>
  <c r="AJ2054" i="1"/>
  <c r="AK2054" i="1" s="1"/>
  <c r="AJ1179" i="1"/>
  <c r="AK1179" i="1" s="1"/>
  <c r="AJ748" i="1"/>
  <c r="AK748" i="1" s="1"/>
  <c r="AJ1178" i="1"/>
  <c r="AK1178" i="1" s="1"/>
  <c r="AJ1028" i="1"/>
  <c r="AK1028" i="1" s="1"/>
  <c r="AJ2162" i="1"/>
  <c r="AK2162" i="1" s="1"/>
  <c r="AJ2496" i="1"/>
  <c r="AK2496" i="1" s="1"/>
  <c r="AJ1502" i="1"/>
  <c r="AK1502" i="1" s="1"/>
  <c r="AJ1649" i="1"/>
  <c r="AK1649" i="1" s="1"/>
  <c r="AJ2169" i="1"/>
  <c r="AK2169" i="1" s="1"/>
  <c r="AJ76" i="1"/>
  <c r="AK76" i="1" s="1"/>
  <c r="AJ17" i="1"/>
  <c r="AK17" i="1" s="1"/>
  <c r="AJ2358" i="1"/>
  <c r="AK2358" i="1" s="1"/>
  <c r="AJ1395" i="1"/>
  <c r="AK1395" i="1" s="1"/>
  <c r="AJ145" i="1"/>
  <c r="AK145" i="1" s="1"/>
  <c r="AJ827" i="1"/>
  <c r="AK827" i="1" s="1"/>
  <c r="AJ2018" i="1"/>
  <c r="AK2018" i="1" s="1"/>
  <c r="AJ1113" i="1"/>
  <c r="AK1113" i="1" s="1"/>
  <c r="AJ250" i="1"/>
  <c r="AK250" i="1" s="1"/>
  <c r="AJ251" i="1"/>
  <c r="AK251" i="1" s="1"/>
  <c r="AJ1736" i="1"/>
  <c r="AK1736" i="1" s="1"/>
  <c r="AJ598" i="1"/>
  <c r="AK598" i="1" s="1"/>
  <c r="AJ7" i="1"/>
  <c r="AK7" i="1" s="1"/>
  <c r="AJ1132" i="1"/>
  <c r="AK1132" i="1" s="1"/>
  <c r="AJ702" i="1"/>
  <c r="AK702" i="1" s="1"/>
  <c r="AJ1676" i="1"/>
  <c r="AK1676" i="1" s="1"/>
  <c r="AJ867" i="1"/>
  <c r="AK867" i="1" s="1"/>
  <c r="AJ1053" i="1"/>
  <c r="AK1053" i="1" s="1"/>
  <c r="AJ2479" i="1"/>
  <c r="AK2479" i="1" s="1"/>
  <c r="AJ382" i="1"/>
  <c r="AK382" i="1" s="1"/>
  <c r="AJ954" i="1"/>
  <c r="AK954" i="1" s="1"/>
  <c r="AJ490" i="1"/>
  <c r="AK490" i="1" s="1"/>
  <c r="AJ2166" i="1"/>
  <c r="AK2166" i="1" s="1"/>
  <c r="AJ2165" i="1"/>
  <c r="AK2165" i="1" s="1"/>
  <c r="AJ2555" i="1"/>
  <c r="AK2555" i="1" s="1"/>
  <c r="AJ2186" i="1"/>
  <c r="AK2186" i="1" s="1"/>
  <c r="AJ1340" i="1"/>
  <c r="AK1340" i="1" s="1"/>
  <c r="AJ1191" i="1"/>
  <c r="AK1191" i="1" s="1"/>
  <c r="AJ699" i="1"/>
  <c r="AK699" i="1" s="1"/>
  <c r="AH2371" i="1"/>
  <c r="AJ2371" i="1" s="1"/>
  <c r="AK2371" i="1" s="1"/>
  <c r="AJ1122" i="1"/>
  <c r="AK1122" i="1" s="1"/>
  <c r="AJ462" i="1"/>
  <c r="AK462" i="1" s="1"/>
  <c r="AJ984" i="1"/>
  <c r="AK984" i="1" s="1"/>
  <c r="AJ574" i="1"/>
  <c r="AK574" i="1" s="1"/>
  <c r="AJ637" i="1"/>
  <c r="AK637" i="1" s="1"/>
  <c r="AJ1782" i="1"/>
  <c r="AK1782" i="1" s="1"/>
  <c r="AJ950" i="1"/>
  <c r="AK950" i="1" s="1"/>
  <c r="AJ2049" i="1"/>
  <c r="AK2049" i="1" s="1"/>
  <c r="AJ977" i="1"/>
  <c r="AK977" i="1" s="1"/>
  <c r="AJ926" i="1"/>
  <c r="AK926" i="1" s="1"/>
  <c r="AJ1206" i="1"/>
  <c r="AK1206" i="1" s="1"/>
  <c r="AJ616" i="1"/>
  <c r="AK616" i="1" s="1"/>
  <c r="AJ1464" i="1"/>
  <c r="AK1464" i="1" s="1"/>
  <c r="AJ1462" i="1"/>
  <c r="AK1462" i="1" s="1"/>
  <c r="AJ1579" i="1"/>
  <c r="AK1579" i="1" s="1"/>
  <c r="AJ461" i="1"/>
  <c r="AK461" i="1" s="1"/>
  <c r="AJ2027" i="1"/>
  <c r="AK2027" i="1" s="1"/>
  <c r="AJ2407" i="1"/>
  <c r="AK2407" i="1" s="1"/>
  <c r="AJ2216" i="1"/>
  <c r="AK2216" i="1" s="1"/>
  <c r="AJ1815" i="1"/>
  <c r="AK1815" i="1" s="1"/>
  <c r="AJ1572" i="1"/>
  <c r="AK1572" i="1" s="1"/>
  <c r="AJ1879" i="1"/>
  <c r="AK1879" i="1" s="1"/>
  <c r="AJ280" i="1"/>
  <c r="AK280" i="1" s="1"/>
  <c r="AJ2552" i="1"/>
  <c r="AK2552" i="1" s="1"/>
  <c r="AJ1563" i="1"/>
  <c r="AK1563" i="1" s="1"/>
  <c r="AJ1581" i="1"/>
  <c r="AK1581" i="1" s="1"/>
  <c r="AJ179" i="1"/>
  <c r="AK179" i="1" s="1"/>
  <c r="AJ1671" i="1"/>
  <c r="AK1671" i="1" s="1"/>
  <c r="AJ238" i="1"/>
  <c r="AK238" i="1" s="1"/>
  <c r="AJ814" i="1"/>
  <c r="AK814" i="1" s="1"/>
  <c r="AJ233" i="1"/>
  <c r="AK233" i="1" s="1"/>
  <c r="AJ263" i="1"/>
  <c r="AK263" i="1" s="1"/>
  <c r="AJ619" i="1"/>
  <c r="AK619" i="1" s="1"/>
  <c r="AJ967" i="1"/>
  <c r="AK967" i="1" s="1"/>
  <c r="AJ924" i="1"/>
  <c r="AK924" i="1" s="1"/>
  <c r="AJ1139" i="1"/>
  <c r="AK1139" i="1" s="1"/>
  <c r="AJ2401" i="1"/>
  <c r="AK2401" i="1" s="1"/>
  <c r="AJ1977" i="1"/>
  <c r="AK1977" i="1" s="1"/>
  <c r="AJ2301" i="1"/>
  <c r="AK2301" i="1" s="1"/>
  <c r="AJ534" i="1"/>
  <c r="AK534" i="1" s="1"/>
  <c r="AJ2403" i="1"/>
  <c r="AK2403" i="1" s="1"/>
  <c r="AJ1297" i="1"/>
  <c r="AK1297" i="1" s="1"/>
  <c r="AJ243" i="1"/>
  <c r="AK243" i="1" s="1"/>
  <c r="AJ622" i="1"/>
  <c r="AK622" i="1" s="1"/>
  <c r="AJ1422" i="1"/>
  <c r="AK1422" i="1" s="1"/>
  <c r="AJ1959" i="1"/>
  <c r="AK1959" i="1" s="1"/>
  <c r="AJ1632" i="1"/>
  <c r="AK1632" i="1" s="1"/>
  <c r="AJ1914" i="1"/>
  <c r="AK1914" i="1" s="1"/>
  <c r="AJ2076" i="1"/>
  <c r="AK2076" i="1" s="1"/>
  <c r="AJ1939" i="1"/>
  <c r="AK1939" i="1" s="1"/>
  <c r="AJ2077" i="1"/>
  <c r="AK2077" i="1" s="1"/>
  <c r="AJ2078" i="1"/>
  <c r="AK2078" i="1" s="1"/>
  <c r="AJ2141" i="1"/>
  <c r="AK2141" i="1" s="1"/>
  <c r="AJ2466" i="1"/>
  <c r="AK2466" i="1" s="1"/>
  <c r="AJ282" i="1"/>
  <c r="AK282" i="1" s="1"/>
  <c r="AJ1698" i="1"/>
  <c r="AK1698" i="1" s="1"/>
  <c r="AJ277" i="1"/>
  <c r="AK277" i="1" s="1"/>
  <c r="AJ398" i="1"/>
  <c r="AK398" i="1" s="1"/>
  <c r="AJ348" i="1"/>
  <c r="AK348" i="1" s="1"/>
  <c r="AJ363" i="1"/>
  <c r="AK363" i="1" s="1"/>
  <c r="AJ521" i="1"/>
  <c r="AK521" i="1" s="1"/>
  <c r="AJ513" i="1"/>
  <c r="AK513" i="1" s="1"/>
  <c r="AJ2461" i="1"/>
  <c r="AK2461" i="1" s="1"/>
  <c r="AJ1313" i="1"/>
  <c r="AK1313" i="1" s="1"/>
  <c r="AJ692" i="1"/>
  <c r="AK692" i="1" s="1"/>
  <c r="AJ1332" i="1"/>
  <c r="AK1332" i="1" s="1"/>
  <c r="AJ2159" i="1"/>
  <c r="AK2159" i="1" s="1"/>
  <c r="AJ2050" i="1"/>
  <c r="AK2050" i="1" s="1"/>
  <c r="AJ2057" i="1"/>
  <c r="AK2057" i="1" s="1"/>
  <c r="AJ1365" i="1"/>
  <c r="AK1365" i="1" s="1"/>
  <c r="AJ1369" i="1"/>
  <c r="AK1369" i="1" s="1"/>
  <c r="AJ2201" i="1"/>
  <c r="AK2201" i="1" s="1"/>
  <c r="AJ1647" i="1"/>
  <c r="AK1647" i="1" s="1"/>
  <c r="AJ840" i="1"/>
  <c r="AK840" i="1" s="1"/>
  <c r="AJ2415" i="1"/>
  <c r="AK2415" i="1" s="1"/>
  <c r="AJ1691" i="1"/>
  <c r="AK1691" i="1" s="1"/>
  <c r="AJ1442" i="1"/>
  <c r="AK1442" i="1" s="1"/>
  <c r="AJ171" i="1"/>
  <c r="AK171" i="1" s="1"/>
  <c r="AJ444" i="1"/>
  <c r="AK444" i="1" s="1"/>
  <c r="AJ212" i="1"/>
  <c r="AK212" i="1" s="1"/>
  <c r="AJ2416" i="1"/>
  <c r="AK2416" i="1" s="1"/>
  <c r="AJ645" i="1"/>
  <c r="AK645" i="1" s="1"/>
  <c r="AJ388" i="1"/>
  <c r="AK388" i="1" s="1"/>
  <c r="AJ2412" i="1"/>
  <c r="AK2412" i="1" s="1"/>
  <c r="AJ2411" i="1"/>
  <c r="AK2411" i="1" s="1"/>
  <c r="AJ2520" i="1"/>
  <c r="AK2520" i="1" s="1"/>
  <c r="AJ2533" i="1"/>
  <c r="AK2533" i="1" s="1"/>
  <c r="AJ795" i="1"/>
  <c r="AK795" i="1" s="1"/>
  <c r="AJ786" i="1"/>
  <c r="AK786" i="1" s="1"/>
  <c r="AJ787" i="1"/>
  <c r="AK787" i="1" s="1"/>
  <c r="AJ2002" i="1"/>
  <c r="AK2002" i="1" s="1"/>
  <c r="AJ1913" i="1"/>
  <c r="AK1913" i="1" s="1"/>
  <c r="AJ1121" i="1"/>
  <c r="AK1121" i="1" s="1"/>
  <c r="AJ784" i="1"/>
  <c r="AK784" i="1" s="1"/>
  <c r="AJ399" i="1"/>
  <c r="AK399" i="1" s="1"/>
  <c r="AJ947" i="1"/>
  <c r="AK947" i="1" s="1"/>
  <c r="AJ1997" i="1"/>
  <c r="AK1997" i="1" s="1"/>
  <c r="AJ715" i="1"/>
  <c r="AK715" i="1" s="1"/>
  <c r="AJ409" i="1"/>
  <c r="AK409" i="1" s="1"/>
  <c r="AJ2348" i="1"/>
  <c r="AK2348" i="1" s="1"/>
  <c r="AJ2556" i="1"/>
  <c r="AK2556" i="1" s="1"/>
  <c r="AJ2004" i="1"/>
  <c r="AK2004" i="1" s="1"/>
  <c r="AJ130" i="1"/>
  <c r="AK130" i="1" s="1"/>
  <c r="AJ1915" i="1"/>
  <c r="AK1915" i="1" s="1"/>
  <c r="AJ1356" i="1"/>
  <c r="AK1356" i="1" s="1"/>
  <c r="AJ1854" i="1"/>
  <c r="AK1854" i="1" s="1"/>
  <c r="AJ1063" i="1"/>
  <c r="AK1063" i="1" s="1"/>
  <c r="AJ2365" i="1"/>
  <c r="AK2365" i="1" s="1"/>
  <c r="AJ401" i="1"/>
  <c r="AK401" i="1" s="1"/>
  <c r="AJ2492" i="1"/>
  <c r="AK2492" i="1" s="1"/>
  <c r="AJ1810" i="1"/>
  <c r="AK1810" i="1" s="1"/>
  <c r="AJ1065" i="1"/>
  <c r="AK1065" i="1" s="1"/>
  <c r="AJ2464" i="1"/>
  <c r="AK2464" i="1" s="1"/>
  <c r="AJ186" i="1"/>
  <c r="AK186" i="1" s="1"/>
  <c r="AJ1503" i="1"/>
  <c r="AK1503" i="1" s="1"/>
  <c r="AJ229" i="1"/>
  <c r="AK229" i="1" s="1"/>
  <c r="AJ876" i="1"/>
  <c r="AK876" i="1" s="1"/>
  <c r="AJ1705" i="1"/>
  <c r="AK1705" i="1" s="1"/>
  <c r="AJ2387" i="1"/>
  <c r="AK2387" i="1" s="1"/>
  <c r="AJ1983" i="1"/>
  <c r="AK1983" i="1" s="1"/>
  <c r="AJ346" i="1"/>
  <c r="AK346" i="1" s="1"/>
  <c r="AJ570" i="1"/>
  <c r="AK570" i="1" s="1"/>
  <c r="AJ323" i="1"/>
  <c r="AK323" i="1" s="1"/>
  <c r="AJ1610" i="1"/>
  <c r="AK1610" i="1" s="1"/>
  <c r="AJ56" i="1"/>
  <c r="AK56" i="1" s="1"/>
  <c r="AJ2455" i="1"/>
  <c r="AK2455" i="1" s="1"/>
  <c r="AJ652" i="1"/>
  <c r="AK652" i="1" s="1"/>
  <c r="AJ1842" i="1"/>
  <c r="AK1842" i="1" s="1"/>
  <c r="AJ396" i="1"/>
  <c r="AK396" i="1" s="1"/>
  <c r="AJ1001" i="1"/>
  <c r="AK1001" i="1" s="1"/>
  <c r="AJ13" i="1"/>
  <c r="AK13" i="1" s="1"/>
  <c r="AJ77" i="1"/>
  <c r="AK77" i="1" s="1"/>
  <c r="AJ496" i="1"/>
  <c r="AK496" i="1" s="1"/>
  <c r="AJ1197" i="1"/>
  <c r="AK1197" i="1" s="1"/>
  <c r="AJ1194" i="1"/>
  <c r="AK1194" i="1" s="1"/>
  <c r="AJ945" i="1"/>
  <c r="AK945" i="1" s="1"/>
  <c r="AJ1195" i="1"/>
  <c r="AK1195" i="1" s="1"/>
  <c r="AJ1846" i="1"/>
  <c r="AK1846" i="1" s="1"/>
  <c r="AJ2354" i="1"/>
  <c r="AK2354" i="1" s="1"/>
  <c r="AJ999" i="1"/>
  <c r="AK999" i="1" s="1"/>
  <c r="AJ969" i="1"/>
  <c r="AK969" i="1" s="1"/>
  <c r="AJ1765" i="1"/>
  <c r="AK1765" i="1" s="1"/>
  <c r="AJ1145" i="1"/>
  <c r="AK1145" i="1" s="1"/>
  <c r="AJ2105" i="1"/>
  <c r="AK2105" i="1" s="1"/>
  <c r="AJ1620" i="1"/>
  <c r="AK1620" i="1" s="1"/>
  <c r="AJ556" i="1"/>
  <c r="AK556" i="1" s="1"/>
  <c r="AJ1017" i="1"/>
  <c r="AK1017" i="1" s="1"/>
  <c r="AJ105" i="1"/>
  <c r="AK105" i="1" s="1"/>
  <c r="AJ326" i="1"/>
  <c r="AK326" i="1" s="1"/>
  <c r="AJ290" i="1"/>
  <c r="AK290" i="1" s="1"/>
  <c r="AJ2024" i="1"/>
  <c r="AK2024" i="1" s="1"/>
  <c r="AJ985" i="1"/>
  <c r="AK985" i="1" s="1"/>
  <c r="AJ155" i="1"/>
  <c r="AK155" i="1" s="1"/>
  <c r="AJ2511" i="1"/>
  <c r="AK2511" i="1" s="1"/>
  <c r="AJ1493" i="1"/>
  <c r="AK1493" i="1" s="1"/>
  <c r="AJ1148" i="1"/>
  <c r="AK1148" i="1" s="1"/>
  <c r="AJ1164" i="1"/>
  <c r="AK1164" i="1" s="1"/>
  <c r="AJ457" i="1"/>
  <c r="AK457" i="1" s="1"/>
  <c r="AJ1721" i="1"/>
  <c r="AK1721" i="1" s="1"/>
  <c r="AJ612" i="1"/>
  <c r="AK612" i="1" s="1"/>
  <c r="AJ1463" i="1"/>
  <c r="AK1463" i="1" s="1"/>
  <c r="AJ633" i="1"/>
  <c r="AK633" i="1" s="1"/>
  <c r="AJ1565" i="1"/>
  <c r="AK1565" i="1" s="1"/>
  <c r="AJ1021" i="1"/>
  <c r="AK1021" i="1" s="1"/>
  <c r="AJ463" i="1"/>
  <c r="AK463" i="1" s="1"/>
  <c r="AJ2396" i="1"/>
  <c r="AK2396" i="1" s="1"/>
  <c r="AJ264" i="1"/>
  <c r="AK264" i="1" s="1"/>
  <c r="AJ1910" i="1"/>
  <c r="AK1910" i="1" s="1"/>
  <c r="AJ1703" i="1"/>
  <c r="AK1703" i="1" s="1"/>
  <c r="AJ722" i="1"/>
  <c r="AK722" i="1" s="1"/>
  <c r="AJ2048" i="1"/>
  <c r="AK2048" i="1" s="1"/>
  <c r="AJ241" i="1"/>
  <c r="AK241" i="1" s="1"/>
  <c r="AJ1226" i="1"/>
  <c r="AK1226" i="1" s="1"/>
  <c r="AJ23" i="1"/>
  <c r="AK23" i="1" s="1"/>
  <c r="AJ1098" i="1"/>
  <c r="AK1098" i="1" s="1"/>
  <c r="AJ1082" i="1"/>
  <c r="AK1082" i="1" s="1"/>
  <c r="AJ31" i="1"/>
  <c r="AK31" i="1" s="1"/>
  <c r="AJ205" i="1"/>
  <c r="AK205" i="1" s="1"/>
  <c r="AJ614" i="1"/>
  <c r="AK614" i="1" s="1"/>
  <c r="AJ869" i="1"/>
  <c r="AK869" i="1" s="1"/>
  <c r="AJ353" i="1"/>
  <c r="AK353" i="1" s="1"/>
  <c r="AJ2168" i="1"/>
  <c r="AK2168" i="1" s="1"/>
  <c r="AJ2233" i="1"/>
  <c r="AK2233" i="1" s="1"/>
  <c r="AJ626" i="1"/>
  <c r="AK626" i="1" s="1"/>
  <c r="AJ1943" i="1"/>
  <c r="AK1943" i="1" s="1"/>
  <c r="AJ2323" i="1"/>
  <c r="AK2323" i="1" s="1"/>
  <c r="AJ1444" i="1"/>
  <c r="AK1444" i="1" s="1"/>
  <c r="AJ1275" i="1"/>
  <c r="AK1275" i="1" s="1"/>
  <c r="AJ1940" i="1"/>
  <c r="AK1940" i="1" s="1"/>
  <c r="AJ822" i="1"/>
  <c r="AK822" i="1" s="1"/>
  <c r="AJ2382" i="1"/>
  <c r="AK2382" i="1" s="1"/>
  <c r="AJ2149" i="1"/>
  <c r="AK2149" i="1" s="1"/>
  <c r="AJ825" i="1"/>
  <c r="AK825" i="1" s="1"/>
  <c r="AJ2468" i="1"/>
  <c r="AK2468" i="1" s="1"/>
  <c r="AJ1326" i="1"/>
  <c r="AK1326" i="1" s="1"/>
  <c r="AJ1998" i="1"/>
  <c r="AK1998" i="1" s="1"/>
  <c r="AJ1414" i="1"/>
  <c r="AK1414" i="1" s="1"/>
  <c r="AJ275" i="1"/>
  <c r="AK275" i="1" s="1"/>
  <c r="AJ200" i="1"/>
  <c r="AK200" i="1" s="1"/>
  <c r="AJ2380" i="1"/>
  <c r="AK2380" i="1" s="1"/>
  <c r="AJ191" i="1"/>
  <c r="AK191" i="1" s="1"/>
  <c r="AJ507" i="1"/>
  <c r="AK507" i="1" s="1"/>
  <c r="AJ514" i="1"/>
  <c r="AK514" i="1" s="1"/>
  <c r="AJ2458" i="1"/>
  <c r="AK2458" i="1" s="1"/>
  <c r="AJ2453" i="1"/>
  <c r="AK2453" i="1" s="1"/>
  <c r="AJ884" i="1"/>
  <c r="AK884" i="1" s="1"/>
  <c r="AJ1330" i="1"/>
  <c r="AK1330" i="1" s="1"/>
  <c r="AJ1358" i="1"/>
  <c r="AK1358" i="1" s="1"/>
  <c r="AJ1366" i="1"/>
  <c r="AK1366" i="1" s="1"/>
  <c r="AJ1433" i="1"/>
  <c r="AK1433" i="1" s="1"/>
  <c r="AJ1360" i="1"/>
  <c r="AK1360" i="1" s="1"/>
  <c r="AJ2056" i="1"/>
  <c r="AK2056" i="1" s="1"/>
  <c r="AJ1359" i="1"/>
  <c r="AK1359" i="1" s="1"/>
  <c r="AJ1655" i="1"/>
  <c r="AK1655" i="1" s="1"/>
  <c r="AJ1190" i="1"/>
  <c r="AK1190" i="1" s="1"/>
  <c r="AJ1820" i="1"/>
  <c r="AK1820" i="1" s="1"/>
  <c r="AJ1146" i="1"/>
  <c r="AK1146" i="1" s="1"/>
  <c r="AJ228" i="1"/>
  <c r="AK228" i="1" s="1"/>
  <c r="AJ2422" i="1"/>
  <c r="AK2422" i="1" s="1"/>
  <c r="AJ1654" i="1"/>
  <c r="AK1654" i="1" s="1"/>
  <c r="AJ643" i="1"/>
  <c r="AK643" i="1" s="1"/>
  <c r="AJ1499" i="1"/>
  <c r="AK1499" i="1" s="1"/>
  <c r="AJ841" i="1"/>
  <c r="AK841" i="1" s="1"/>
  <c r="AJ389" i="1"/>
  <c r="AK389" i="1" s="1"/>
  <c r="AJ2419" i="1"/>
  <c r="AK2419" i="1" s="1"/>
  <c r="AJ2521" i="1"/>
  <c r="AK2521" i="1" s="1"/>
  <c r="AJ2522" i="1"/>
  <c r="AK2522" i="1" s="1"/>
  <c r="AJ2532" i="1"/>
  <c r="AK2532" i="1" s="1"/>
  <c r="AJ799" i="1"/>
  <c r="AK799" i="1" s="1"/>
  <c r="AJ792" i="1"/>
  <c r="AK792" i="1" s="1"/>
  <c r="AJ798" i="1"/>
  <c r="AK798" i="1" s="1"/>
  <c r="AJ2459" i="1"/>
  <c r="AK2459" i="1" s="1"/>
  <c r="AJ2000" i="1"/>
  <c r="AK2000" i="1" s="1"/>
  <c r="AJ1812" i="1"/>
  <c r="AK1812" i="1" s="1"/>
  <c r="AJ1816" i="1"/>
  <c r="AK1816" i="1" s="1"/>
  <c r="AJ2554" i="1"/>
  <c r="AK2554" i="1" s="1"/>
  <c r="AJ2015" i="1"/>
  <c r="AK2015" i="1" s="1"/>
  <c r="AJ192" i="1"/>
  <c r="AK192" i="1" s="1"/>
  <c r="AJ2369" i="1"/>
  <c r="AK2369" i="1" s="1"/>
  <c r="AJ2456" i="1"/>
  <c r="AK2456" i="1" s="1"/>
  <c r="AJ717" i="1"/>
  <c r="AK717" i="1" s="1"/>
  <c r="AJ1096" i="1"/>
  <c r="AK1096" i="1" s="1"/>
  <c r="AJ449" i="1"/>
  <c r="AK449" i="1" s="1"/>
  <c r="AJ2525" i="1"/>
  <c r="AK2525" i="1" s="1"/>
  <c r="AJ1324" i="1"/>
  <c r="AK1324" i="1" s="1"/>
  <c r="AJ2003" i="1"/>
  <c r="AK2003" i="1" s="1"/>
  <c r="AJ1300" i="1"/>
  <c r="AK1300" i="1" s="1"/>
  <c r="AJ1266" i="1"/>
  <c r="AK1266" i="1" s="1"/>
  <c r="AJ1788" i="1"/>
  <c r="AK1788" i="1" s="1"/>
  <c r="AJ2115" i="1"/>
  <c r="AK2115" i="1" s="1"/>
  <c r="AJ190" i="1"/>
  <c r="AK190" i="1" s="1"/>
  <c r="AJ2315" i="1"/>
  <c r="AK2315" i="1" s="1"/>
  <c r="AJ1123" i="1"/>
  <c r="AK1123" i="1" s="1"/>
  <c r="AJ948" i="1"/>
  <c r="AK948" i="1" s="1"/>
  <c r="AJ650" i="1"/>
  <c r="AK650" i="1" s="1"/>
  <c r="AJ2526" i="1"/>
  <c r="AK2526" i="1" s="1"/>
  <c r="AJ2491" i="1"/>
  <c r="AK2491" i="1" s="1"/>
  <c r="AJ1298" i="1"/>
  <c r="AK1298" i="1" s="1"/>
  <c r="AJ906" i="1"/>
  <c r="AK906" i="1" s="1"/>
  <c r="AJ455" i="1"/>
  <c r="AK455" i="1" s="1"/>
  <c r="AJ804" i="1"/>
  <c r="AK804" i="1" s="1"/>
  <c r="AJ1134" i="1"/>
  <c r="AK1134" i="1" s="1"/>
  <c r="AJ2124" i="1"/>
  <c r="AK2124" i="1" s="1"/>
  <c r="AJ873" i="1"/>
  <c r="AK873" i="1" s="1"/>
  <c r="AJ878" i="1"/>
  <c r="AK878" i="1" s="1"/>
  <c r="AJ875" i="1"/>
  <c r="AK875" i="1" s="1"/>
  <c r="AJ2388" i="1"/>
  <c r="AK2388" i="1" s="1"/>
  <c r="AJ1984" i="1"/>
  <c r="AK1984" i="1" s="1"/>
  <c r="AJ343" i="1"/>
  <c r="AK343" i="1" s="1"/>
  <c r="AJ1350" i="1"/>
  <c r="AK1350" i="1" s="1"/>
  <c r="AJ37" i="1"/>
  <c r="AK37" i="1" s="1"/>
  <c r="AJ57" i="1"/>
  <c r="AK57" i="1" s="1"/>
  <c r="AJ1845" i="1"/>
  <c r="AK1845" i="1" s="1"/>
  <c r="AJ172" i="1"/>
  <c r="AK172" i="1" s="1"/>
  <c r="AJ225" i="1"/>
  <c r="AK225" i="1" s="1"/>
  <c r="AJ299" i="1"/>
  <c r="AK299" i="1" s="1"/>
  <c r="AJ2206" i="1"/>
  <c r="AK2206" i="1" s="1"/>
  <c r="AJ2430" i="1"/>
  <c r="AK2430" i="1" s="1"/>
  <c r="AJ414" i="1"/>
  <c r="AK414" i="1" s="1"/>
  <c r="AJ125" i="1"/>
  <c r="AK125" i="1" s="1"/>
  <c r="AJ538" i="1"/>
  <c r="AK538" i="1" s="1"/>
  <c r="AJ96" i="1"/>
  <c r="AK96" i="1" s="1"/>
  <c r="AJ1658" i="1"/>
  <c r="AK1658" i="1" s="1"/>
  <c r="AJ1629" i="1"/>
  <c r="AK1629" i="1" s="1"/>
  <c r="AJ966" i="1"/>
  <c r="AK966" i="1" s="1"/>
  <c r="AJ1203" i="1"/>
  <c r="AK1203" i="1" s="1"/>
  <c r="AJ2560" i="1"/>
  <c r="AK2560" i="1" s="1"/>
  <c r="AJ1619" i="1"/>
  <c r="AK1619" i="1" s="1"/>
  <c r="AJ905" i="1"/>
  <c r="AK905" i="1" s="1"/>
  <c r="AJ2031" i="1"/>
  <c r="AK2031" i="1" s="1"/>
  <c r="AJ2136" i="1"/>
  <c r="AK2136" i="1" s="1"/>
  <c r="AJ701" i="1"/>
  <c r="AK701" i="1" s="1"/>
  <c r="AJ1978" i="1"/>
  <c r="AK1978" i="1" s="1"/>
  <c r="AJ1199" i="1"/>
  <c r="AK1199" i="1" s="1"/>
  <c r="AJ1665" i="1"/>
  <c r="AK1665" i="1" s="1"/>
  <c r="AJ2" i="1"/>
  <c r="AK2" i="1" s="1"/>
  <c r="AJ2353" i="1"/>
  <c r="AK2353" i="1" s="1"/>
  <c r="AJ628" i="1"/>
  <c r="AK628" i="1" s="1"/>
  <c r="AJ511" i="1"/>
  <c r="AK511" i="1" s="1"/>
  <c r="AJ2489" i="1"/>
  <c r="AK2489" i="1" s="1"/>
  <c r="AJ1749" i="1"/>
  <c r="AK1749" i="1" s="1"/>
  <c r="AJ1205" i="1"/>
  <c r="AK1205" i="1" s="1"/>
  <c r="AJ694" i="1"/>
  <c r="AK694" i="1" s="1"/>
  <c r="AJ1165" i="1"/>
  <c r="AK1165" i="1" s="1"/>
  <c r="AJ1052" i="1"/>
  <c r="AK1052" i="1" s="1"/>
  <c r="AJ1080" i="1"/>
  <c r="AK1080" i="1" s="1"/>
  <c r="AJ1627" i="1"/>
  <c r="AK1627" i="1" s="1"/>
  <c r="AJ1088" i="1"/>
  <c r="AK1088" i="1" s="1"/>
  <c r="AJ613" i="1"/>
  <c r="AK613" i="1" s="1"/>
  <c r="AJ1674" i="1"/>
  <c r="AK1674" i="1" s="1"/>
  <c r="AJ815" i="1"/>
  <c r="AK815" i="1" s="1"/>
  <c r="AJ1871" i="1"/>
  <c r="AK1871" i="1" s="1"/>
  <c r="AJ2306" i="1"/>
  <c r="AK2306" i="1" s="1"/>
  <c r="AJ217" i="1"/>
  <c r="AK217" i="1" s="1"/>
  <c r="AJ2280" i="1"/>
  <c r="AK2280" i="1" s="1"/>
  <c r="AJ1717" i="1"/>
  <c r="AK1717" i="1" s="1"/>
  <c r="AJ110" i="1"/>
  <c r="AK110" i="1" s="1"/>
  <c r="AJ448" i="1"/>
  <c r="AK448" i="1" s="1"/>
  <c r="AJ517" i="1"/>
  <c r="AK517" i="1" s="1"/>
  <c r="AJ1575" i="1"/>
  <c r="AK1575" i="1" s="1"/>
  <c r="AJ1536" i="1"/>
  <c r="AK1536" i="1" s="1"/>
  <c r="AJ862" i="1"/>
  <c r="AK862" i="1" s="1"/>
  <c r="AJ1751" i="1"/>
  <c r="AK1751" i="1" s="1"/>
  <c r="AJ1862" i="1"/>
  <c r="AK1862" i="1" s="1"/>
  <c r="AJ269" i="1"/>
  <c r="AK269" i="1" s="1"/>
  <c r="AJ1427" i="1"/>
  <c r="AK1427" i="1" s="1"/>
  <c r="AJ505" i="1"/>
  <c r="AK505" i="1" s="1"/>
  <c r="AJ248" i="1"/>
  <c r="AK248" i="1" s="1"/>
  <c r="AJ1873" i="1"/>
  <c r="AK1873" i="1" s="1"/>
  <c r="AJ1051" i="1"/>
  <c r="AK1051" i="1" s="1"/>
  <c r="AJ703" i="1"/>
  <c r="AK703" i="1" s="1"/>
  <c r="AJ102" i="1"/>
  <c r="AK102" i="1" s="1"/>
  <c r="AJ1048" i="1"/>
  <c r="AK1048" i="1" s="1"/>
  <c r="AJ1501" i="1"/>
  <c r="AK1501" i="1" s="1"/>
  <c r="AJ1496" i="1"/>
  <c r="AK1496" i="1" s="1"/>
  <c r="AJ1806" i="1"/>
  <c r="AK1806" i="1" s="1"/>
  <c r="AJ39" i="1"/>
  <c r="AK39" i="1" s="1"/>
  <c r="AJ1299" i="1"/>
  <c r="AK1299" i="1" s="1"/>
  <c r="AJ423" i="1"/>
  <c r="AK423" i="1" s="1"/>
  <c r="AJ828" i="1"/>
  <c r="AK828" i="1" s="1"/>
  <c r="AJ2081" i="1"/>
  <c r="AK2081" i="1" s="1"/>
  <c r="AJ1938" i="1"/>
  <c r="AK1938" i="1" s="1"/>
  <c r="AJ1423" i="1"/>
  <c r="AK1423" i="1" s="1"/>
  <c r="AJ831" i="1"/>
  <c r="AK831" i="1" s="1"/>
  <c r="AJ2448" i="1"/>
  <c r="AK2448" i="1" s="1"/>
  <c r="AJ1327" i="1"/>
  <c r="AK1327" i="1" s="1"/>
  <c r="AJ653" i="1"/>
  <c r="AK653" i="1" s="1"/>
  <c r="AJ1159" i="1"/>
  <c r="AK1159" i="1" s="1"/>
  <c r="AJ276" i="1"/>
  <c r="AK276" i="1" s="1"/>
  <c r="AJ1970" i="1"/>
  <c r="AK1970" i="1" s="1"/>
  <c r="AJ2383" i="1"/>
  <c r="AK2383" i="1" s="1"/>
  <c r="AJ1413" i="1"/>
  <c r="AK1413" i="1" s="1"/>
  <c r="AJ509" i="1"/>
  <c r="AK509" i="1" s="1"/>
  <c r="AJ515" i="1"/>
  <c r="AK515" i="1" s="1"/>
  <c r="AJ1319" i="1"/>
  <c r="AK1319" i="1" s="1"/>
  <c r="AJ691" i="1"/>
  <c r="AK691" i="1" s="1"/>
  <c r="AJ883" i="1"/>
  <c r="AK883" i="1" s="1"/>
  <c r="AJ1331" i="1"/>
  <c r="AK1331" i="1" s="1"/>
  <c r="AJ2055" i="1"/>
  <c r="AK2055" i="1" s="1"/>
  <c r="AJ1371" i="1"/>
  <c r="AK1371" i="1" s="1"/>
  <c r="AJ1370" i="1"/>
  <c r="AK1370" i="1" s="1"/>
  <c r="AJ2279" i="1"/>
  <c r="AK2279" i="1" s="1"/>
  <c r="AJ2051" i="1"/>
  <c r="AK2051" i="1" s="1"/>
  <c r="AJ2052" i="1"/>
  <c r="AK2052" i="1" s="1"/>
  <c r="AJ1645" i="1"/>
  <c r="AK1645" i="1" s="1"/>
  <c r="AJ1137" i="1"/>
  <c r="AK1137" i="1" s="1"/>
  <c r="AJ2191" i="1"/>
  <c r="AK2191" i="1" s="1"/>
  <c r="AJ918" i="1"/>
  <c r="AK918" i="1" s="1"/>
  <c r="AJ1697" i="1"/>
  <c r="AK1697" i="1" s="1"/>
  <c r="AJ956" i="1"/>
  <c r="AK956" i="1" s="1"/>
  <c r="AJ169" i="1"/>
  <c r="AK169" i="1" s="1"/>
  <c r="AJ1950" i="1"/>
  <c r="AK1950" i="1" s="1"/>
  <c r="AJ1651" i="1"/>
  <c r="AK1651" i="1" s="1"/>
  <c r="AJ946" i="1"/>
  <c r="AK946" i="1" s="1"/>
  <c r="AJ391" i="1"/>
  <c r="AK391" i="1" s="1"/>
  <c r="AJ2420" i="1"/>
  <c r="AK2420" i="1" s="1"/>
  <c r="AJ2426" i="1"/>
  <c r="AK2426" i="1" s="1"/>
  <c r="AJ2531" i="1"/>
  <c r="AK2531" i="1" s="1"/>
  <c r="AJ800" i="1"/>
  <c r="AK800" i="1" s="1"/>
  <c r="AJ790" i="1"/>
  <c r="AK790" i="1" s="1"/>
  <c r="AJ794" i="1"/>
  <c r="AK794" i="1" s="1"/>
  <c r="AJ1322" i="1"/>
  <c r="AK1322" i="1" s="1"/>
  <c r="AJ2470" i="1"/>
  <c r="AK2470" i="1" s="1"/>
  <c r="AJ1117" i="1"/>
  <c r="AK1117" i="1" s="1"/>
  <c r="AJ1394" i="1"/>
  <c r="AK1394" i="1" s="1"/>
  <c r="AJ1768" i="1"/>
  <c r="AK1768" i="1" s="1"/>
  <c r="AJ1614" i="1"/>
  <c r="AK1614" i="1" s="1"/>
  <c r="AJ187" i="1"/>
  <c r="AK187" i="1" s="1"/>
  <c r="AJ2005" i="1"/>
  <c r="AK2005" i="1" s="1"/>
  <c r="AJ131" i="1"/>
  <c r="AK131" i="1" s="1"/>
  <c r="AJ2322" i="1"/>
  <c r="AK2322" i="1" s="1"/>
  <c r="AJ783" i="1"/>
  <c r="AK783" i="1" s="1"/>
  <c r="AJ451" i="1"/>
  <c r="AK451" i="1" s="1"/>
  <c r="AJ2527" i="1"/>
  <c r="AK2527" i="1" s="1"/>
  <c r="AJ1323" i="1"/>
  <c r="AK1323" i="1" s="1"/>
  <c r="AJ2001" i="1"/>
  <c r="AK2001" i="1" s="1"/>
  <c r="AJ2513" i="1"/>
  <c r="AK2513" i="1" s="1"/>
  <c r="AJ294" i="1"/>
  <c r="AK294" i="1" s="1"/>
  <c r="AJ672" i="1"/>
  <c r="AK672" i="1" s="1"/>
  <c r="AJ453" i="1"/>
  <c r="AK453" i="1" s="1"/>
  <c r="AJ106" i="1"/>
  <c r="AK106" i="1" s="1"/>
  <c r="AJ2312" i="1"/>
  <c r="AK2312" i="1" s="1"/>
  <c r="AJ185" i="1"/>
  <c r="AK185" i="1" s="1"/>
  <c r="AJ2463" i="1"/>
  <c r="AK2463" i="1" s="1"/>
  <c r="AJ218" i="1"/>
  <c r="AK218" i="1" s="1"/>
  <c r="AJ2469" i="1"/>
  <c r="AK2469" i="1" s="1"/>
  <c r="AJ938" i="1"/>
  <c r="AK938" i="1" s="1"/>
  <c r="AJ1208" i="1"/>
  <c r="AK1208" i="1" s="1"/>
  <c r="AJ2515" i="1"/>
  <c r="AK2515" i="1" s="1"/>
  <c r="AJ1373" i="1"/>
  <c r="AK1373" i="1" s="1"/>
  <c r="AJ1362" i="1"/>
  <c r="AK1362" i="1" s="1"/>
  <c r="AJ868" i="1"/>
  <c r="AK868" i="1" s="1"/>
  <c r="AJ1841" i="1"/>
  <c r="AK1841" i="1" s="1"/>
  <c r="AJ1844" i="1"/>
  <c r="AK1844" i="1" s="1"/>
  <c r="AJ874" i="1"/>
  <c r="AK874" i="1" s="1"/>
  <c r="AJ877" i="1"/>
  <c r="AK877" i="1" s="1"/>
  <c r="AJ1839" i="1"/>
  <c r="AK1839" i="1" s="1"/>
  <c r="AJ651" i="1"/>
  <c r="AK651" i="1" s="1"/>
  <c r="AJ35" i="1"/>
  <c r="AK35" i="1" s="1"/>
  <c r="AJ50" i="1"/>
  <c r="AK50" i="1" s="1"/>
  <c r="AJ51" i="1"/>
  <c r="AK51" i="1" s="1"/>
  <c r="AJ1840" i="1"/>
  <c r="AK1840" i="1" s="1"/>
  <c r="AJ1316" i="1"/>
  <c r="AK1316" i="1" s="1"/>
  <c r="AJ1328" i="1"/>
  <c r="AK1328" i="1" s="1"/>
  <c r="AJ295" i="1"/>
  <c r="AK295" i="1" s="1"/>
  <c r="AJ411" i="1"/>
  <c r="AK411" i="1" s="1"/>
  <c r="AJ674" i="1"/>
  <c r="AK674" i="1" s="1"/>
  <c r="AJ156" i="1"/>
  <c r="AK156" i="1" s="1"/>
  <c r="AJ934" i="1"/>
  <c r="AK934" i="1" s="1"/>
  <c r="AJ1144" i="1"/>
  <c r="AK1144" i="1" s="1"/>
  <c r="AJ244" i="1"/>
  <c r="AK244" i="1" s="1"/>
  <c r="AJ2349" i="1"/>
  <c r="AK2349" i="1" s="1"/>
  <c r="AJ955" i="1"/>
  <c r="AK955" i="1" s="1"/>
  <c r="AJ2480" i="1"/>
  <c r="AK2480" i="1" s="1"/>
  <c r="AJ541" i="1"/>
  <c r="AK541" i="1" s="1"/>
  <c r="AJ2395" i="1"/>
  <c r="AK2395" i="1" s="1"/>
  <c r="AJ97" i="1"/>
  <c r="AK97" i="1" s="1"/>
  <c r="AJ709" i="1"/>
  <c r="AK709" i="1" s="1"/>
  <c r="AJ1664" i="1"/>
  <c r="AK1664" i="1" s="1"/>
  <c r="AJ1624" i="1"/>
  <c r="AK1624" i="1" s="1"/>
  <c r="AJ1660" i="1"/>
  <c r="AK1660" i="1" s="1"/>
  <c r="AJ1851" i="1"/>
  <c r="AK1851" i="1" s="1"/>
  <c r="AJ555" i="1"/>
  <c r="AK555" i="1" s="1"/>
  <c r="AJ1568" i="1"/>
  <c r="AK1568" i="1" s="1"/>
  <c r="AJ771" i="1"/>
  <c r="AK771" i="1" s="1"/>
  <c r="AJ1073" i="1"/>
  <c r="AK1073" i="1" s="1"/>
  <c r="AJ2392" i="1"/>
  <c r="AK2392" i="1" s="1"/>
  <c r="AJ178" i="1"/>
  <c r="AK178" i="1" s="1"/>
  <c r="AJ1948" i="1"/>
  <c r="AK1948" i="1" s="1"/>
  <c r="AJ435" i="1"/>
  <c r="AK435" i="1" s="1"/>
  <c r="AJ497" i="1"/>
  <c r="AK497" i="1" s="1"/>
  <c r="AJ965" i="1"/>
  <c r="AK965" i="1" s="1"/>
  <c r="AJ1100" i="1"/>
  <c r="AK1100" i="1" s="1"/>
  <c r="AJ1473" i="1"/>
  <c r="AK1473" i="1" s="1"/>
  <c r="AJ636" i="1"/>
  <c r="AK636" i="1" s="1"/>
  <c r="AJ1875" i="1"/>
  <c r="AK1875" i="1" s="1"/>
  <c r="AJ1224" i="1"/>
  <c r="AK1224" i="1" s="1"/>
  <c r="AJ1685" i="1"/>
  <c r="AK1685" i="1" s="1"/>
  <c r="AJ2512" i="1"/>
  <c r="AK2512" i="1" s="1"/>
  <c r="AJ1390" i="1"/>
  <c r="AK1390" i="1" s="1"/>
  <c r="AJ2025" i="1"/>
  <c r="AK2025" i="1" s="1"/>
  <c r="AJ392" i="1"/>
  <c r="AK392" i="1" s="1"/>
  <c r="AJ454" i="1"/>
  <c r="AK454" i="1" s="1"/>
  <c r="AJ288" i="1"/>
  <c r="AK288" i="1" s="1"/>
  <c r="AJ1564" i="1"/>
  <c r="AK1564" i="1" s="1"/>
  <c r="AJ2524" i="1"/>
  <c r="AK2524" i="1" s="1"/>
  <c r="AJ975" i="1"/>
  <c r="AK975" i="1" s="1"/>
  <c r="AJ1949" i="1"/>
  <c r="AK1949" i="1" s="1"/>
  <c r="AJ879" i="1"/>
  <c r="AK879" i="1" s="1"/>
  <c r="AJ2394" i="1"/>
  <c r="AK2394" i="1" s="1"/>
  <c r="AJ1925" i="1"/>
  <c r="AK1925" i="1" s="1"/>
  <c r="AJ928" i="1"/>
  <c r="AK928" i="1" s="1"/>
  <c r="AJ1971" i="1"/>
  <c r="AK1971" i="1" s="1"/>
  <c r="AJ1173" i="1"/>
  <c r="AK1173" i="1" s="1"/>
  <c r="AJ54" i="1"/>
  <c r="AK54" i="1" s="1"/>
  <c r="AJ1212" i="1"/>
  <c r="AK1212" i="1" s="1"/>
  <c r="AJ1781" i="1"/>
  <c r="AK1781" i="1" s="1"/>
  <c r="AJ2187" i="1"/>
  <c r="AK2187" i="1" s="1"/>
  <c r="AJ1878" i="1"/>
  <c r="AK1878" i="1" s="1"/>
  <c r="AJ2123" i="1"/>
  <c r="AK2123" i="1" s="1"/>
  <c r="AJ207" i="1"/>
  <c r="AK207" i="1" s="1"/>
  <c r="AJ1823" i="1"/>
  <c r="AK1823" i="1" s="1"/>
  <c r="AJ1577" i="1"/>
  <c r="AK1577" i="1" s="1"/>
  <c r="AJ959" i="1"/>
  <c r="AK959" i="1" s="1"/>
  <c r="AJ235" i="1"/>
  <c r="AK235" i="1" s="1"/>
  <c r="AJ2397" i="1"/>
  <c r="AK2397" i="1" s="1"/>
  <c r="AJ2195" i="1"/>
  <c r="AK2195" i="1" s="1"/>
  <c r="AJ1937" i="1"/>
  <c r="AK1937" i="1" s="1"/>
  <c r="AJ2079" i="1"/>
  <c r="AK2079" i="1" s="1"/>
  <c r="AJ981" i="1"/>
  <c r="AK981" i="1" s="1"/>
  <c r="AJ2499" i="1"/>
  <c r="AK2499" i="1" s="1"/>
  <c r="AJ439" i="1"/>
  <c r="AK439" i="1" s="1"/>
  <c r="AJ2386" i="1"/>
  <c r="AK2386" i="1" s="1"/>
  <c r="AJ2457" i="1"/>
  <c r="AK2457" i="1" s="1"/>
  <c r="AJ1855" i="1"/>
  <c r="AK1855" i="1" s="1"/>
  <c r="AJ1700" i="1"/>
  <c r="AK1700" i="1" s="1"/>
  <c r="AJ1075" i="1"/>
  <c r="AK1075" i="1" s="1"/>
  <c r="AJ1083" i="1"/>
  <c r="AK1083" i="1" s="1"/>
  <c r="AJ520" i="1"/>
  <c r="AK520" i="1" s="1"/>
  <c r="AJ519" i="1"/>
  <c r="AK519" i="1" s="1"/>
  <c r="AJ508" i="1"/>
  <c r="AK508" i="1" s="1"/>
  <c r="AJ690" i="1"/>
  <c r="AK690" i="1" s="1"/>
  <c r="AJ882" i="1"/>
  <c r="AK882" i="1" s="1"/>
  <c r="AJ2467" i="1"/>
  <c r="AK2467" i="1" s="1"/>
  <c r="AJ2158" i="1"/>
  <c r="AK2158" i="1" s="1"/>
  <c r="AJ2203" i="1"/>
  <c r="AK2203" i="1" s="1"/>
  <c r="AJ2202" i="1"/>
  <c r="AK2202" i="1" s="1"/>
  <c r="AJ1364" i="1"/>
  <c r="AK1364" i="1" s="1"/>
  <c r="AJ2230" i="1"/>
  <c r="AK2230" i="1" s="1"/>
  <c r="AJ2157" i="1"/>
  <c r="AK2157" i="1" s="1"/>
  <c r="AJ2495" i="1"/>
  <c r="AK2495" i="1" s="1"/>
  <c r="AJ351" i="1"/>
  <c r="AK351" i="1" s="1"/>
  <c r="AJ892" i="1"/>
  <c r="AK892" i="1" s="1"/>
  <c r="AJ2188" i="1"/>
  <c r="AK2188" i="1" s="1"/>
  <c r="AJ361" i="1"/>
  <c r="AK361" i="1" s="1"/>
  <c r="AJ1445" i="1"/>
  <c r="AK1445" i="1" s="1"/>
  <c r="AJ854" i="1"/>
  <c r="AK854" i="1" s="1"/>
  <c r="AJ1310" i="1"/>
  <c r="AK1310" i="1" s="1"/>
  <c r="AJ1426" i="1"/>
  <c r="AK1426" i="1" s="1"/>
  <c r="AJ2190" i="1"/>
  <c r="AK2190" i="1" s="1"/>
  <c r="AJ2017" i="1"/>
  <c r="AK2017" i="1" s="1"/>
  <c r="AJ2413" i="1"/>
  <c r="AK2413" i="1" s="1"/>
  <c r="AJ2418" i="1"/>
  <c r="AK2418" i="1" s="1"/>
  <c r="AJ2427" i="1"/>
  <c r="AK2427" i="1" s="1"/>
  <c r="AJ2428" i="1"/>
  <c r="AK2428" i="1" s="1"/>
  <c r="AJ788" i="1"/>
  <c r="AK788" i="1" s="1"/>
  <c r="AJ791" i="1"/>
  <c r="AK791" i="1" s="1"/>
  <c r="AJ796" i="1"/>
  <c r="AK796" i="1" s="1"/>
  <c r="AJ2363" i="1"/>
  <c r="AK2363" i="1" s="1"/>
  <c r="AJ129" i="1"/>
  <c r="AK129" i="1" s="1"/>
  <c r="AJ1808" i="1"/>
  <c r="AK1808" i="1" s="1"/>
  <c r="AJ673" i="1"/>
  <c r="AK673" i="1" s="1"/>
  <c r="AJ2117" i="1"/>
  <c r="AK2117" i="1" s="1"/>
  <c r="AJ1061" i="1"/>
  <c r="AK1061" i="1" s="1"/>
  <c r="AJ1325" i="1"/>
  <c r="AK1325" i="1" s="1"/>
  <c r="AJ2006" i="1"/>
  <c r="AK2006" i="1" s="1"/>
  <c r="AJ1264" i="1"/>
  <c r="AK1264" i="1" s="1"/>
  <c r="AJ1119" i="1"/>
  <c r="AK1119" i="1" s="1"/>
  <c r="AJ1357" i="1"/>
  <c r="AK1357" i="1" s="1"/>
  <c r="AJ219" i="1"/>
  <c r="AK219" i="1" s="1"/>
  <c r="AJ953" i="1"/>
  <c r="AK953" i="1" s="1"/>
  <c r="AJ2361" i="1"/>
  <c r="AK2361" i="1" s="1"/>
  <c r="AJ2460" i="1"/>
  <c r="AK2460" i="1" s="1"/>
  <c r="AJ2325" i="1"/>
  <c r="AK2325" i="1" s="1"/>
  <c r="AJ1398" i="1"/>
  <c r="AK1398" i="1" s="1"/>
  <c r="AJ2041" i="1"/>
  <c r="AK2041" i="1" s="1"/>
  <c r="AJ949" i="1"/>
  <c r="AK949" i="1" s="1"/>
  <c r="AJ1860" i="1"/>
  <c r="AK1860" i="1" s="1"/>
  <c r="AJ1062" i="1"/>
  <c r="AK1062" i="1" s="1"/>
  <c r="AJ2007" i="1"/>
  <c r="AK2007" i="1" s="1"/>
  <c r="AJ302" i="1"/>
  <c r="AK302" i="1" s="1"/>
  <c r="AJ1999" i="1"/>
  <c r="AK1999" i="1" s="1"/>
  <c r="AJ766" i="1"/>
  <c r="AK766" i="1" s="1"/>
  <c r="AJ104" i="1"/>
  <c r="AK104" i="1" s="1"/>
  <c r="AJ2372" i="1"/>
  <c r="AK2372" i="1" s="1"/>
  <c r="AJ1389" i="1"/>
  <c r="AK1389" i="1" s="1"/>
  <c r="AJ300" i="1"/>
  <c r="AK300" i="1" s="1"/>
  <c r="AJ571" i="1"/>
  <c r="AK571" i="1" s="1"/>
  <c r="AJ871" i="1"/>
  <c r="AK871" i="1" s="1"/>
  <c r="AJ123" i="1"/>
  <c r="AK123" i="1" s="1"/>
  <c r="AJ872" i="1"/>
  <c r="AK872" i="1" s="1"/>
  <c r="AJ667" i="1"/>
  <c r="AK667" i="1" s="1"/>
  <c r="AJ1233" i="1"/>
  <c r="AK1233" i="1" s="1"/>
  <c r="AJ36" i="1"/>
  <c r="AK36" i="1" s="1"/>
  <c r="AJ52" i="1"/>
  <c r="AK52" i="1" s="1"/>
  <c r="AJ55" i="1"/>
  <c r="AK55" i="1" s="1"/>
  <c r="AJ668" i="1"/>
  <c r="AK668" i="1" s="1"/>
  <c r="AJ1706" i="1"/>
  <c r="AK1706" i="1" s="1"/>
  <c r="AJ1318" i="1"/>
  <c r="AK1318" i="1" s="1"/>
  <c r="AJ1337" i="1"/>
  <c r="AK1337" i="1" s="1"/>
  <c r="AJ644" i="1"/>
  <c r="AK644" i="1" s="1"/>
  <c r="AJ19" i="1"/>
  <c r="AK19" i="1" s="1"/>
  <c r="AJ213" i="1"/>
  <c r="AK213" i="1" s="1"/>
  <c r="AJ1201" i="1"/>
  <c r="AK1201" i="1" s="1"/>
  <c r="AJ1661" i="1"/>
  <c r="AK1661" i="1" s="1"/>
  <c r="AJ1260" i="1"/>
  <c r="AK1260" i="1" s="1"/>
  <c r="AJ2161" i="1"/>
  <c r="AK2161" i="1" s="1"/>
  <c r="AJ1198" i="1"/>
  <c r="AK1198" i="1" s="1"/>
  <c r="AJ1650" i="1"/>
  <c r="AK1650" i="1" s="1"/>
  <c r="AJ662" i="1"/>
  <c r="AK662" i="1" s="1"/>
  <c r="AJ2164" i="1"/>
  <c r="AK2164" i="1" s="1"/>
  <c r="AJ1547" i="1"/>
  <c r="AK1547" i="1" s="1"/>
  <c r="AJ2175" i="1"/>
  <c r="AK2175" i="1" s="1"/>
  <c r="AJ1114" i="1"/>
  <c r="AK1114" i="1" s="1"/>
  <c r="AJ1500" i="1"/>
  <c r="AK1500" i="1" s="1"/>
  <c r="AJ843" i="1"/>
  <c r="AK843" i="1" s="1"/>
  <c r="AJ1663" i="1"/>
  <c r="AK1663" i="1" s="1"/>
  <c r="AJ572" i="1"/>
  <c r="AK572" i="1" s="1"/>
  <c r="AJ2494" i="1"/>
  <c r="AK2494" i="1" s="1"/>
  <c r="AJ2493" i="1"/>
  <c r="AK2493" i="1" s="1"/>
  <c r="AJ60" i="1"/>
  <c r="AK60" i="1" s="1"/>
  <c r="AJ59" i="1"/>
  <c r="AK59" i="1" s="1"/>
  <c r="AJ1669" i="1"/>
  <c r="AK1669" i="1" s="1"/>
  <c r="AJ1769" i="1"/>
  <c r="AK1769" i="1" s="1"/>
  <c r="AJ1667" i="1"/>
  <c r="AK1667" i="1" s="1"/>
  <c r="AJ1670" i="1"/>
  <c r="AK1670" i="1" s="1"/>
  <c r="AJ2207" i="1"/>
  <c r="AK2207" i="1" s="1"/>
  <c r="AJ1368" i="1"/>
  <c r="AK1368" i="1" s="1"/>
  <c r="AJ609" i="1"/>
  <c r="AK609" i="1" s="1"/>
  <c r="AJ1162" i="1"/>
  <c r="AK1162" i="1" s="1"/>
  <c r="AJ2506" i="1"/>
  <c r="AK2506" i="1" s="1"/>
  <c r="AJ1696" i="1"/>
  <c r="AK1696" i="1" s="1"/>
  <c r="AJ266" i="1"/>
  <c r="AK266" i="1" s="1"/>
  <c r="AJ459" i="1"/>
  <c r="AK459" i="1" s="1"/>
  <c r="AJ41" i="1"/>
  <c r="AK41" i="1" s="1"/>
  <c r="AJ1231" i="1"/>
  <c r="AK1231" i="1" s="1"/>
  <c r="AJ1166" i="1"/>
  <c r="AK1166" i="1" s="1"/>
  <c r="AJ618" i="1"/>
  <c r="AK618" i="1" s="1"/>
  <c r="AJ891" i="1"/>
  <c r="AK891" i="1" s="1"/>
  <c r="AJ634" i="1"/>
  <c r="AK634" i="1" s="1"/>
  <c r="AJ1169" i="1"/>
  <c r="AK1169" i="1" s="1"/>
  <c r="AJ232" i="1"/>
  <c r="AK232" i="1" s="1"/>
  <c r="AJ208" i="1"/>
  <c r="AK208" i="1" s="1"/>
  <c r="AJ1411" i="1"/>
  <c r="AK1411" i="1" s="1"/>
  <c r="AJ2518" i="1"/>
  <c r="AK2518" i="1" s="1"/>
  <c r="AJ1750" i="1"/>
  <c r="AK1750" i="1" s="1"/>
  <c r="AJ1219" i="1"/>
  <c r="AK1219" i="1" s="1"/>
  <c r="AJ109" i="1"/>
  <c r="AK109" i="1" s="1"/>
  <c r="AJ2450" i="1"/>
  <c r="AK2450" i="1" s="1"/>
  <c r="AJ2378" i="1"/>
  <c r="AK2378" i="1" s="1"/>
  <c r="AJ1401" i="1"/>
  <c r="AK1401" i="1" s="1"/>
  <c r="AJ44" i="1"/>
  <c r="AK44" i="1" s="1"/>
  <c r="AJ2509" i="1"/>
  <c r="AK2509" i="1" s="1"/>
  <c r="AJ1571" i="1"/>
  <c r="AK1571" i="1" s="1"/>
  <c r="AJ1519" i="1"/>
  <c r="AK1519" i="1" s="1"/>
  <c r="AJ1560" i="1"/>
  <c r="AK1560" i="1" s="1"/>
  <c r="AJ1609" i="1"/>
  <c r="AK1609" i="1" s="1"/>
  <c r="AJ2122" i="1"/>
  <c r="AK2122" i="1" s="1"/>
  <c r="AJ2483" i="1"/>
  <c r="AK2483" i="1" s="1"/>
  <c r="AJ1312" i="1"/>
  <c r="AK1312" i="1" s="1"/>
  <c r="AJ2471" i="1"/>
  <c r="AK2471" i="1" s="1"/>
  <c r="AJ360" i="1"/>
  <c r="AK360" i="1" s="1"/>
  <c r="AJ925" i="1"/>
  <c r="AK925" i="1" s="1"/>
  <c r="AJ119" i="1"/>
  <c r="AK119" i="1" s="1"/>
  <c r="AJ964" i="1"/>
  <c r="AK964" i="1" s="1"/>
  <c r="AJ666" i="1"/>
  <c r="AK666" i="1" s="1"/>
  <c r="AJ1848" i="1"/>
  <c r="AK1848" i="1" s="1"/>
  <c r="AJ1498" i="1"/>
  <c r="AK1498" i="1" s="1"/>
  <c r="AJ265" i="1"/>
  <c r="AK265" i="1" s="1"/>
  <c r="AJ45" i="1"/>
  <c r="AK45" i="1" s="1"/>
  <c r="AJ554" i="1"/>
  <c r="AK554" i="1" s="1"/>
  <c r="AJ2473" i="1"/>
  <c r="AK2473" i="1" s="1"/>
  <c r="AJ625" i="1"/>
  <c r="AK625" i="1" s="1"/>
  <c r="AJ1725" i="1"/>
  <c r="AK1725" i="1" s="1"/>
  <c r="AJ216" i="1"/>
  <c r="AK216" i="1" s="1"/>
  <c r="AJ395" i="1"/>
  <c r="AK395" i="1" s="1"/>
  <c r="AJ32" i="1"/>
  <c r="AK32" i="1" s="1"/>
  <c r="AJ1176" i="1"/>
  <c r="AK1176" i="1" s="1"/>
  <c r="AJ95" i="1"/>
  <c r="AK95" i="1" s="1"/>
  <c r="AJ861" i="1"/>
  <c r="AK861" i="1" s="1"/>
  <c r="AJ550" i="1"/>
  <c r="AK550" i="1" s="1"/>
  <c r="AJ1606" i="1"/>
  <c r="AK1606" i="1" s="1"/>
  <c r="AJ1695" i="1"/>
  <c r="AK1695" i="1" s="1"/>
  <c r="AJ1872" i="1"/>
  <c r="AK1872" i="1" s="1"/>
  <c r="AJ26" i="1"/>
  <c r="AK26" i="1" s="1"/>
  <c r="AJ1207" i="1"/>
  <c r="AK1207" i="1" s="1"/>
  <c r="AJ2339" i="1"/>
  <c r="AK2339" i="1" s="1"/>
  <c r="AJ963" i="1"/>
  <c r="AK963" i="1" s="1"/>
  <c r="AJ1766" i="1"/>
  <c r="AK1766" i="1" s="1"/>
  <c r="AJ621" i="1"/>
  <c r="AK621" i="1" s="1"/>
  <c r="AJ716" i="1"/>
  <c r="AK716" i="1" s="1"/>
  <c r="AJ1163" i="1"/>
  <c r="AK1163" i="1" s="1"/>
  <c r="AJ1686" i="1"/>
  <c r="AK1686" i="1" s="1"/>
  <c r="AJ631" i="1"/>
  <c r="AK631" i="1" s="1"/>
  <c r="AJ1529" i="1"/>
  <c r="AK1529" i="1" s="1"/>
  <c r="AJ1170" i="1"/>
  <c r="AK1170" i="1" s="1"/>
  <c r="AJ1000" i="1"/>
  <c r="AK1000" i="1" s="1"/>
  <c r="AJ502" i="1"/>
  <c r="AK502" i="1" s="1"/>
  <c r="AJ860" i="1"/>
  <c r="AK860" i="1" s="1"/>
  <c r="AJ46" i="1"/>
  <c r="AK46" i="1" s="1"/>
  <c r="AJ2530" i="1"/>
  <c r="AK2530" i="1" s="1"/>
  <c r="AJ627" i="1"/>
  <c r="AK627" i="1" s="1"/>
  <c r="AJ116" i="1"/>
  <c r="AK116" i="1" s="1"/>
  <c r="AJ1566" i="1"/>
  <c r="AK1566" i="1" s="1"/>
  <c r="AJ436" i="1"/>
  <c r="AK436" i="1" s="1"/>
  <c r="AJ2362" i="1"/>
  <c r="AK2362" i="1" s="1"/>
  <c r="AJ267" i="1"/>
  <c r="AK267" i="1" s="1"/>
  <c r="AJ1494" i="1"/>
  <c r="AK1494" i="1" s="1"/>
  <c r="AJ1218" i="1"/>
  <c r="AK1218" i="1" s="1"/>
  <c r="AJ132" i="1"/>
  <c r="AK132" i="1" s="1"/>
  <c r="AJ122" i="1"/>
  <c r="AK122" i="1" s="1"/>
  <c r="AJ1573" i="1"/>
  <c r="AK1573" i="1" s="1"/>
  <c r="AJ2405" i="1"/>
  <c r="AK2405" i="1" s="1"/>
  <c r="AJ1363" i="1"/>
  <c r="AK1363" i="1" s="1"/>
  <c r="AJ1774" i="1"/>
  <c r="AK1774" i="1" s="1"/>
  <c r="AJ500" i="1"/>
  <c r="AK500" i="1" s="1"/>
  <c r="AJ539" i="1"/>
  <c r="AK539" i="1" s="1"/>
  <c r="AJ961" i="1"/>
  <c r="AK961" i="1" s="1"/>
  <c r="AJ43" i="1"/>
  <c r="AK43" i="1" s="1"/>
  <c r="AJ117" i="1"/>
  <c r="AK117" i="1" s="1"/>
  <c r="AJ1304" i="1"/>
  <c r="AK1304" i="1" s="1"/>
  <c r="AJ986" i="1"/>
  <c r="AK986" i="1" s="1"/>
  <c r="AJ1412" i="1"/>
  <c r="AK1412" i="1" s="1"/>
  <c r="AJ2029" i="1"/>
  <c r="AK2029" i="1" s="1"/>
  <c r="AJ1004" i="1"/>
  <c r="AK1004" i="1" s="1"/>
  <c r="AJ211" i="1"/>
  <c r="AK211" i="1" s="1"/>
  <c r="AJ1809" i="1"/>
  <c r="AK1809" i="1" s="1"/>
  <c r="AJ1527" i="1"/>
  <c r="AK1527" i="1" s="1"/>
  <c r="AJ1524" i="1"/>
  <c r="AK1524" i="1" s="1"/>
  <c r="AJ632" i="1"/>
  <c r="AK632" i="1" s="1"/>
  <c r="AJ2194" i="1"/>
  <c r="AK2194" i="1" s="1"/>
  <c r="AJ1081" i="1"/>
  <c r="AK1081" i="1" s="1"/>
  <c r="AJ620" i="1"/>
  <c r="AK620" i="1" s="1"/>
  <c r="AJ573" i="1"/>
  <c r="AK573" i="1" s="1"/>
  <c r="AJ1518" i="1"/>
  <c r="AK1518" i="1" s="1"/>
  <c r="AJ714" i="1"/>
  <c r="AK714" i="1" s="1"/>
  <c r="AJ646" i="1"/>
  <c r="AK646" i="1" s="1"/>
  <c r="AJ1391" i="1"/>
  <c r="AK1391" i="1" s="1"/>
  <c r="AJ1393" i="1"/>
  <c r="AK1393" i="1" s="1"/>
  <c r="AJ1615" i="1"/>
  <c r="AK1615" i="1" s="1"/>
  <c r="AJ468" i="1"/>
  <c r="AK468" i="1" s="1"/>
  <c r="AJ2364" i="1"/>
  <c r="AK2364" i="1" s="1"/>
  <c r="AJ2305" i="1"/>
  <c r="AK2305" i="1" s="1"/>
  <c r="AJ1039" i="1"/>
  <c r="AK1039" i="1" s="1"/>
  <c r="AJ1684" i="1"/>
  <c r="AK1684" i="1" s="1"/>
  <c r="AJ49" i="1"/>
  <c r="AK49" i="1" s="1"/>
  <c r="AJ2244" i="1"/>
  <c r="AK2244" i="1" s="1"/>
  <c r="AJ48" i="1"/>
  <c r="AK48" i="1" s="1"/>
  <c r="AJ856" i="1"/>
  <c r="AK856" i="1" s="1"/>
  <c r="AJ1079" i="1"/>
  <c r="AK1079" i="1" s="1"/>
  <c r="AJ543" i="1"/>
  <c r="AK543" i="1" s="1"/>
  <c r="AJ1217" i="1"/>
  <c r="AK1217" i="1" s="1"/>
  <c r="AJ642" i="1"/>
  <c r="AK642" i="1" s="1"/>
  <c r="AJ2234" i="1"/>
  <c r="AK2234" i="1" s="1"/>
  <c r="AJ42" i="1"/>
  <c r="AK42" i="1" s="1"/>
  <c r="AJ1140" i="1"/>
  <c r="AK1140" i="1" s="1"/>
  <c r="AJ1124" i="1"/>
  <c r="AK1124" i="1" s="1"/>
  <c r="AJ2379" i="1"/>
  <c r="AK2379" i="1" s="1"/>
  <c r="AJ2026" i="1"/>
  <c r="AK2026" i="1" s="1"/>
  <c r="AJ158" i="1"/>
  <c r="AK158" i="1" s="1"/>
  <c r="AJ231" i="1"/>
  <c r="AK231" i="1" s="1"/>
  <c r="AJ705" i="1"/>
  <c r="AK705" i="1" s="1"/>
  <c r="AJ1558" i="1"/>
  <c r="AK1558" i="1" s="1"/>
  <c r="AJ2119" i="1"/>
  <c r="AK2119" i="1" s="1"/>
  <c r="AJ2374" i="1"/>
  <c r="AK2374" i="1" s="1"/>
  <c r="AJ2451" i="1"/>
  <c r="AK2451" i="1" s="1"/>
  <c r="AJ2517" i="1"/>
  <c r="AK2517" i="1" s="1"/>
  <c r="AJ2307" i="1"/>
  <c r="AK2307" i="1" s="1"/>
  <c r="AJ160" i="1"/>
  <c r="AK160" i="1" s="1"/>
  <c r="AJ239" i="1"/>
  <c r="AK239" i="1" s="1"/>
  <c r="AJ719" i="1"/>
  <c r="AK719" i="1" s="1"/>
  <c r="AJ2197" i="1"/>
  <c r="AK2197" i="1" s="1"/>
  <c r="AJ649" i="1"/>
  <c r="AK649" i="1" s="1"/>
  <c r="AJ159" i="1"/>
  <c r="AK159" i="1" s="1"/>
  <c r="AJ2462" i="1"/>
  <c r="AK2462" i="1" s="1"/>
  <c r="AJ2508" i="1"/>
  <c r="AK2508" i="1" s="1"/>
  <c r="AJ1817" i="1"/>
  <c r="AK1817" i="1" s="1"/>
  <c r="AJ1457" i="1"/>
  <c r="AK1457" i="1" s="1"/>
  <c r="AJ811" i="1"/>
  <c r="AK811" i="1" s="1"/>
  <c r="AJ706" i="1"/>
  <c r="AK706" i="1" s="1"/>
  <c r="AJ2120" i="1"/>
  <c r="AK2120" i="1" s="1"/>
  <c r="AJ1805" i="1"/>
  <c r="AK1805" i="1" s="1"/>
  <c r="AJ67" i="1"/>
  <c r="AK67" i="1" s="1"/>
  <c r="AJ1995" i="1"/>
  <c r="AK1995" i="1" s="1"/>
  <c r="AJ1149" i="1"/>
  <c r="AK1149" i="1" s="1"/>
  <c r="AJ665" i="1"/>
  <c r="AK665" i="1" s="1"/>
  <c r="AJ65" i="1"/>
  <c r="AK65" i="1" s="1"/>
  <c r="AJ2320" i="1"/>
  <c r="AK2320" i="1" s="1"/>
  <c r="AJ2514" i="1"/>
  <c r="AK2514" i="1" s="1"/>
  <c r="AJ1450" i="1"/>
  <c r="AK1450" i="1" s="1"/>
  <c r="AJ124" i="1"/>
  <c r="AK124" i="1" s="1"/>
  <c r="AJ268" i="1"/>
  <c r="AK268" i="1" s="1"/>
  <c r="AJ1520" i="1"/>
  <c r="AK1520" i="1" s="1"/>
  <c r="AJ1693" i="1"/>
  <c r="AK1693" i="1" s="1"/>
  <c r="AJ220" i="1"/>
  <c r="AK220" i="1" s="1"/>
  <c r="AJ1040" i="1"/>
  <c r="AK1040" i="1" s="1"/>
  <c r="AJ1912" i="1"/>
  <c r="AK1912" i="1" s="1"/>
  <c r="AJ1613" i="1"/>
  <c r="AK1613" i="1" s="1"/>
  <c r="AJ2039" i="1"/>
  <c r="AK2039" i="1" s="1"/>
  <c r="AJ2116" i="1"/>
  <c r="AK2116" i="1" s="1"/>
  <c r="AJ927" i="1"/>
  <c r="AK927" i="1" s="1"/>
  <c r="AJ1522" i="1"/>
  <c r="AK1522" i="1" s="1"/>
  <c r="AJ982" i="1"/>
  <c r="AK982" i="1" s="1"/>
  <c r="AJ2023" i="1"/>
  <c r="AK2023" i="1" s="1"/>
  <c r="AJ28" i="1"/>
  <c r="AK28" i="1" s="1"/>
  <c r="AJ352" i="1"/>
  <c r="AK352" i="1" s="1"/>
  <c r="AJ504" i="1"/>
  <c r="AK504" i="1" s="1"/>
  <c r="AJ2384" i="1"/>
  <c r="AK2384" i="1" s="1"/>
  <c r="AJ2140" i="1"/>
  <c r="AK2140" i="1" s="1"/>
  <c r="AJ823" i="1"/>
  <c r="AK823" i="1" s="1"/>
  <c r="AJ829" i="1"/>
  <c r="AK829" i="1" s="1"/>
  <c r="AJ832" i="1"/>
  <c r="AK832" i="1" s="1"/>
  <c r="AJ1014" i="1"/>
  <c r="AK1014" i="1" s="1"/>
  <c r="AJ1569" i="1"/>
  <c r="AK1569" i="1" s="1"/>
  <c r="AJ303" i="1"/>
  <c r="AK303" i="1" s="1"/>
  <c r="AJ1418" i="1"/>
  <c r="AK1418" i="1" s="1"/>
  <c r="AJ424" i="1"/>
  <c r="AK424" i="1" s="1"/>
  <c r="AJ357" i="1"/>
  <c r="AK357" i="1" s="1"/>
  <c r="AJ2313" i="1"/>
  <c r="AK2313" i="1" s="1"/>
  <c r="AJ1116" i="1"/>
  <c r="AK1116" i="1" s="1"/>
  <c r="AJ1120" i="1"/>
  <c r="AK1120" i="1" s="1"/>
  <c r="AJ2310" i="1"/>
  <c r="AK2310" i="1" s="1"/>
  <c r="AJ400" i="1"/>
  <c r="AK400" i="1" s="1"/>
  <c r="AJ1265" i="1"/>
  <c r="AK1265" i="1" s="1"/>
  <c r="AJ992" i="1"/>
  <c r="AK992" i="1" s="1"/>
  <c r="AJ1960" i="1"/>
  <c r="AK1960" i="1" s="1"/>
  <c r="AJ1811" i="1"/>
  <c r="AK1811" i="1" s="1"/>
  <c r="AJ1838" i="1"/>
  <c r="AK1838" i="1" s="1"/>
  <c r="AJ408" i="1"/>
  <c r="AK408" i="1" s="1"/>
  <c r="AJ1118" i="1"/>
  <c r="AK1118" i="1" s="1"/>
  <c r="AJ397" i="1"/>
  <c r="AK397" i="1" s="1"/>
  <c r="AJ1611" i="1"/>
  <c r="AK1611" i="1" s="1"/>
  <c r="AJ30" i="1"/>
  <c r="AK30" i="1" s="1"/>
  <c r="AJ40" i="1"/>
  <c r="AK40" i="1" s="1"/>
  <c r="AJ428" i="1"/>
  <c r="AK428" i="1" s="1"/>
  <c r="AJ870" i="1"/>
  <c r="AK870" i="1" s="1"/>
  <c r="AJ996" i="1"/>
  <c r="AK996" i="1" s="1"/>
  <c r="AJ1944" i="1"/>
  <c r="AK1944" i="1" s="1"/>
  <c r="AJ165" i="1"/>
  <c r="AK165" i="1" s="1"/>
  <c r="AJ2016" i="1"/>
  <c r="AK2016" i="1" s="1"/>
  <c r="AJ47" i="1"/>
  <c r="AK47" i="1" s="1"/>
  <c r="AJ1807" i="1"/>
  <c r="AK1807" i="1" s="1"/>
  <c r="AJ1404" i="1"/>
  <c r="AK1404" i="1" s="1"/>
  <c r="AJ2114" i="1"/>
  <c r="AK2114" i="1" s="1"/>
  <c r="AJ1471" i="1"/>
  <c r="AK1471" i="1" s="1"/>
  <c r="AJ287" i="1"/>
  <c r="AK287" i="1" s="1"/>
  <c r="AJ1168" i="1"/>
  <c r="AK1168" i="1" s="1"/>
  <c r="AJ1673" i="1"/>
  <c r="AK1673" i="1" s="1"/>
  <c r="AJ1172" i="1"/>
  <c r="AK1172" i="1" s="1"/>
  <c r="AJ426" i="1"/>
  <c r="AK426" i="1" s="1"/>
  <c r="AJ2516" i="1"/>
  <c r="AK2516" i="1" s="1"/>
  <c r="AJ1263" i="1"/>
  <c r="AK1263" i="1" s="1"/>
  <c r="AJ1303" i="1"/>
  <c r="AK1303" i="1" s="1"/>
  <c r="AJ168" i="1"/>
  <c r="AK168" i="1" s="1"/>
  <c r="AJ2013" i="1"/>
  <c r="AK2013" i="1" s="1"/>
  <c r="AJ993" i="1"/>
  <c r="AK993" i="1" s="1"/>
  <c r="AJ34" i="1"/>
  <c r="AK34" i="1" s="1"/>
  <c r="AJ1718" i="1"/>
  <c r="AK1718" i="1" s="1"/>
  <c r="AJ2519" i="1"/>
  <c r="AK2519" i="1" s="1"/>
  <c r="AJ25" i="1"/>
  <c r="AK25" i="1" s="1"/>
  <c r="AJ1143" i="1"/>
  <c r="AK1143" i="1" s="1"/>
  <c r="AJ1290" i="1"/>
  <c r="AK1290" i="1" s="1"/>
  <c r="AJ1125" i="1"/>
  <c r="AK1125" i="1" s="1"/>
  <c r="AJ237" i="1"/>
  <c r="AK237" i="1" s="1"/>
  <c r="AJ162" i="1"/>
  <c r="AK162" i="1" s="1"/>
  <c r="AJ1071" i="1"/>
  <c r="AK1071" i="1" s="1"/>
  <c r="AJ108" i="1"/>
  <c r="AK108" i="1" s="1"/>
  <c r="AJ611" i="1"/>
  <c r="AK611" i="1" s="1"/>
  <c r="AJ236" i="1"/>
  <c r="AK236" i="1" s="1"/>
  <c r="AJ923" i="1"/>
  <c r="AK923" i="1" s="1"/>
  <c r="AJ33" i="1"/>
  <c r="AK33" i="1" s="1"/>
  <c r="AJ189" i="1"/>
  <c r="AK189" i="1" s="1"/>
  <c r="AJ2507" i="1"/>
  <c r="AK2507" i="1" s="1"/>
  <c r="AJ1138" i="1"/>
  <c r="AK1138" i="1" s="1"/>
  <c r="AJ2232" i="1"/>
  <c r="AK2232" i="1" s="1"/>
  <c r="AJ1274" i="1"/>
  <c r="AK1274" i="1" s="1"/>
  <c r="AJ1453" i="1"/>
  <c r="AK1453" i="1" s="1"/>
  <c r="AJ1470" i="1"/>
  <c r="AK1470" i="1" s="1"/>
  <c r="AJ1439" i="1"/>
  <c r="AK1439" i="1" s="1"/>
  <c r="AJ2215" i="1"/>
  <c r="AK2215" i="1" s="1"/>
  <c r="AJ1523" i="1"/>
  <c r="AK1523" i="1" s="1"/>
  <c r="AJ813" i="1"/>
  <c r="AK813" i="1" s="1"/>
  <c r="AJ260" i="1"/>
  <c r="AK260" i="1" s="1"/>
  <c r="AJ1451" i="1"/>
  <c r="AK1451" i="1" s="1"/>
  <c r="AJ163" i="1"/>
  <c r="AK163" i="1" s="1"/>
  <c r="AJ1074" i="1"/>
  <c r="AK1074" i="1" s="1"/>
  <c r="AJ2399" i="1"/>
  <c r="AK2399" i="1" s="1"/>
  <c r="AJ29" i="1"/>
  <c r="AK29" i="1" s="1"/>
  <c r="AJ464" i="1"/>
  <c r="AK464" i="1" s="1"/>
  <c r="AJ1262" i="1"/>
  <c r="AK1262" i="1" s="1"/>
  <c r="AJ2504" i="1"/>
  <c r="AK2504" i="1" s="1"/>
  <c r="AJ2452" i="1"/>
  <c r="AK2452" i="1" s="1"/>
  <c r="AJ1582" i="1"/>
  <c r="AK1582" i="1" s="1"/>
  <c r="AJ1110" i="1"/>
  <c r="AK1110" i="1" s="1"/>
  <c r="AJ1043" i="1"/>
  <c r="AK1043" i="1" s="1"/>
  <c r="AJ2373" i="1"/>
  <c r="AK2373" i="1" s="1"/>
  <c r="AJ2487" i="1"/>
  <c r="AK2487" i="1" s="1"/>
  <c r="AJ118" i="1"/>
  <c r="AK118" i="1" s="1"/>
  <c r="AJ2118" i="1"/>
  <c r="AK2118" i="1" s="1"/>
  <c r="AJ1668" i="1"/>
  <c r="AK1668" i="1" s="1"/>
  <c r="AJ206" i="1"/>
  <c r="AK206" i="1" s="1"/>
  <c r="AJ2402" i="1"/>
  <c r="AK2402" i="1" s="1"/>
  <c r="AJ1161" i="1"/>
  <c r="AK1161" i="1" s="1"/>
  <c r="AJ2008" i="1"/>
  <c r="AK2008" i="1" s="1"/>
  <c r="AJ293" i="1"/>
  <c r="AK293" i="1" s="1"/>
  <c r="AJ518" i="1"/>
  <c r="AK518" i="1" s="1"/>
  <c r="AJ536" i="1"/>
  <c r="AK536" i="1" s="1"/>
  <c r="AJ1526" i="1"/>
  <c r="AK1526" i="1" s="1"/>
  <c r="AJ347" i="1"/>
  <c r="AK347" i="1" s="1"/>
  <c r="AJ2360" i="1"/>
  <c r="AK2360" i="1" s="1"/>
  <c r="AJ2465" i="1"/>
  <c r="AK2465" i="1" s="1"/>
  <c r="AJ234" i="1"/>
  <c r="AK234" i="1" s="1"/>
  <c r="AJ723" i="1"/>
  <c r="AK723" i="1" s="1"/>
  <c r="AJ1626" i="1"/>
  <c r="AK1626" i="1" s="1"/>
  <c r="AJ920" i="1"/>
  <c r="AK920" i="1" s="1"/>
  <c r="AJ1151" i="1"/>
  <c r="AK1151" i="1" s="1"/>
  <c r="AJ201" i="1"/>
  <c r="AK201" i="1" s="1"/>
  <c r="AJ1853" i="1"/>
  <c r="AK1853" i="1" s="1"/>
  <c r="AJ1961" i="1"/>
  <c r="AK1961" i="1" s="1"/>
  <c r="AJ2227" i="1"/>
  <c r="AK2227" i="1" s="1"/>
  <c r="AJ1497" i="1"/>
  <c r="AK1497" i="1" s="1"/>
  <c r="AJ284" i="1"/>
  <c r="AK284" i="1" s="1"/>
  <c r="AJ1559" i="1"/>
  <c r="AK1559" i="1" s="1"/>
  <c r="AJ2503" i="1"/>
  <c r="AK2503" i="1" s="1"/>
  <c r="AJ535" i="1"/>
  <c r="AK535" i="1" s="1"/>
  <c r="AJ1225" i="1"/>
  <c r="AK1225" i="1" s="1"/>
  <c r="AJ121" i="1"/>
  <c r="AK121" i="1" s="1"/>
  <c r="AJ1722" i="1"/>
  <c r="AK1722" i="1" s="1"/>
  <c r="AJ1863" i="1"/>
  <c r="AK1863" i="1" s="1"/>
  <c r="AJ2359" i="1"/>
  <c r="AK2359" i="1" s="1"/>
  <c r="AJ292" i="1"/>
  <c r="AK292" i="1" s="1"/>
  <c r="AJ1776" i="1"/>
  <c r="AK1776" i="1" s="1"/>
  <c r="AJ120" i="1"/>
  <c r="AK120" i="1" s="1"/>
  <c r="AJ1452" i="1"/>
  <c r="AK1452" i="1" s="1"/>
  <c r="AJ2303" i="1"/>
  <c r="AK2303" i="1" s="1"/>
  <c r="AJ1780" i="1"/>
  <c r="AK1780" i="1" s="1"/>
  <c r="AJ968" i="1"/>
  <c r="AK968" i="1" s="1"/>
  <c r="AJ1107" i="1"/>
  <c r="AK1107" i="1" s="1"/>
  <c r="AJ209" i="1"/>
  <c r="AK209" i="1" s="1"/>
  <c r="AJ281" i="1"/>
  <c r="AK281" i="1" s="1"/>
  <c r="AJ240" i="1"/>
  <c r="AK240" i="1" s="1"/>
  <c r="AJ2156" i="1"/>
  <c r="AK2156" i="1" s="1"/>
  <c r="AJ610" i="1"/>
  <c r="AK610" i="1" s="1"/>
  <c r="AJ1528" i="1"/>
  <c r="AK1528" i="1" s="1"/>
  <c r="AJ962" i="1"/>
  <c r="AK962" i="1" s="1"/>
  <c r="AJ161" i="1"/>
  <c r="AK161" i="1" s="1"/>
  <c r="AJ512" i="1"/>
  <c r="AK512" i="1" s="1"/>
  <c r="AJ1633" i="1"/>
  <c r="AK1633" i="1" s="1"/>
  <c r="AJ630" i="1"/>
  <c r="AK630" i="1" s="1"/>
  <c r="AJ2449" i="1"/>
  <c r="AK2449" i="1" s="1"/>
  <c r="AJ1227" i="1"/>
  <c r="AK1227" i="1" s="1"/>
  <c r="AJ270" i="1"/>
  <c r="AK270" i="1" s="1"/>
  <c r="AJ1517" i="1"/>
  <c r="AK1517" i="1" s="1"/>
  <c r="AJ2406" i="1"/>
  <c r="AK2406" i="1" s="1"/>
  <c r="AJ2347" i="1"/>
  <c r="AK2347" i="1" s="1"/>
  <c r="AJ1683" i="1"/>
  <c r="AK1683" i="1" s="1"/>
  <c r="AJ210" i="1"/>
  <c r="AK210" i="1" s="1"/>
  <c r="AJ27" i="1"/>
  <c r="AK27" i="1" s="1"/>
  <c r="AJ2198" i="1"/>
  <c r="AK2198" i="1" s="1"/>
  <c r="AJ24" i="1"/>
  <c r="AK24" i="1" s="1"/>
  <c r="AJ164" i="1"/>
  <c r="AK164" i="1" s="1"/>
  <c r="AJ2472" i="1"/>
  <c r="AK2472" i="1" s="1"/>
  <c r="AJ704" i="1"/>
  <c r="AK704" i="1" s="1"/>
  <c r="AJ826" i="1"/>
  <c r="AK826" i="1" s="1"/>
  <c r="AJ1171" i="1"/>
  <c r="AK1171" i="1" s="1"/>
  <c r="AJ2231" i="1"/>
  <c r="AK2231" i="1" s="1"/>
  <c r="AJ1492" i="1"/>
  <c r="AK1492" i="1" s="1"/>
  <c r="AJ2546" i="1"/>
  <c r="AK2546" i="1" s="1"/>
  <c r="AJ1589" i="1"/>
  <c r="AK1589" i="1" s="1"/>
  <c r="AJ648" i="1"/>
  <c r="AK648" i="1" s="1"/>
  <c r="AJ1469" i="1"/>
  <c r="AK1469" i="1" s="1"/>
  <c r="AJ1175" i="1"/>
  <c r="AK1175" i="1" s="1"/>
  <c r="AJ2432" i="1"/>
  <c r="AK2432" i="1" s="1"/>
  <c r="AJ623" i="1"/>
  <c r="AK623" i="1" s="1"/>
  <c r="AJ2447" i="1"/>
  <c r="AK2447" i="1" s="1"/>
  <c r="AJ1525" i="1"/>
  <c r="AK1525" i="1" s="1"/>
  <c r="AJ1181" i="1"/>
  <c r="AK1181" i="1" s="1"/>
  <c r="AJ937" i="1"/>
  <c r="AK937" i="1" s="1"/>
  <c r="AJ2121" i="1"/>
  <c r="AK2121" i="1" s="1"/>
  <c r="AJ2028" i="1"/>
  <c r="AK2028" i="1" s="1"/>
  <c r="AJ12" i="1"/>
  <c r="AK12" i="1" s="1"/>
  <c r="AJ1874" i="1"/>
  <c r="AK1874" i="1" s="1"/>
  <c r="AJ2366" i="1"/>
  <c r="AK2366" i="1" s="1"/>
  <c r="AJ2505" i="1"/>
  <c r="AK2505" i="1" s="1"/>
  <c r="AJ2381" i="1"/>
  <c r="AK2381" i="1" s="1"/>
  <c r="AJ958" i="1"/>
  <c r="AK958" i="1" s="1"/>
  <c r="AJ2130" i="1"/>
  <c r="AK2130" i="1" s="1"/>
  <c r="AJ262" i="1"/>
  <c r="AK262" i="1" s="1"/>
  <c r="AJ1273" i="1"/>
  <c r="AK1273" i="1" s="1"/>
  <c r="AJ1607" i="1"/>
  <c r="AK1607" i="1" s="1"/>
  <c r="AJ1302" i="1"/>
  <c r="AK1302" i="1" s="1"/>
  <c r="AJ203" i="1"/>
  <c r="AK203" i="1" s="1"/>
  <c r="AJ111" i="1"/>
  <c r="AK111" i="1" s="1"/>
  <c r="AJ1976" i="1"/>
  <c r="AK1976" i="1" s="1"/>
  <c r="AJ1634" i="1"/>
  <c r="AK1634" i="1" s="1"/>
  <c r="AJ230" i="1"/>
  <c r="AK230" i="1" s="1"/>
  <c r="AJ537" i="1"/>
  <c r="AK537" i="1" s="1"/>
  <c r="AJ242" i="1"/>
  <c r="AK242" i="1" s="1"/>
  <c r="AJ1410" i="1"/>
  <c r="AK1410" i="1" s="1"/>
  <c r="AJ194" i="1"/>
  <c r="AK194" i="1" s="1"/>
  <c r="AJ676" i="1"/>
  <c r="AK676" i="1" s="1"/>
  <c r="AJ1352" i="1"/>
  <c r="AK1352" i="1" s="1"/>
  <c r="AJ635" i="1"/>
  <c r="AK635" i="1" s="1"/>
  <c r="AJ765" i="1"/>
  <c r="AK765" i="1" s="1"/>
  <c r="AJ259" i="1"/>
  <c r="AK259" i="1" s="1"/>
  <c r="AJ2071" i="1"/>
  <c r="AK2071" i="1" s="1"/>
  <c r="AJ1429" i="1"/>
  <c r="AK1429" i="1" s="1"/>
  <c r="AJ995" i="1"/>
  <c r="AK995" i="1" s="1"/>
  <c r="AJ467" i="1"/>
  <c r="AK467" i="1" s="1"/>
  <c r="AJ1724" i="1"/>
  <c r="AK1724" i="1" s="1"/>
  <c r="AJ2302" i="1"/>
  <c r="AK2302" i="1" s="1"/>
  <c r="AJ1859" i="1"/>
  <c r="AK1859" i="1" s="1"/>
  <c r="AJ2393" i="1"/>
  <c r="AK2393" i="1" s="1"/>
  <c r="AJ291" i="1"/>
  <c r="AK291" i="1" s="1"/>
  <c r="AJ2277" i="1"/>
  <c r="AK2277" i="1" s="1"/>
  <c r="AJ2300" i="1"/>
  <c r="AK2300" i="1" s="1"/>
  <c r="AJ2172" i="1"/>
  <c r="AK2172" i="1" s="1"/>
  <c r="AJ1167" i="1"/>
  <c r="AK1167" i="1" s="1"/>
  <c r="AJ615" i="1"/>
  <c r="AK615" i="1" s="1"/>
  <c r="AJ880" i="1"/>
  <c r="AK880" i="1" s="1"/>
  <c r="AJ983" i="1"/>
  <c r="AK983" i="1" s="1"/>
  <c r="AJ1397" i="1"/>
  <c r="AK1397" i="1" s="1"/>
  <c r="AJ2550" i="1"/>
  <c r="AK2550" i="1" s="1"/>
  <c r="AJ2391" i="1"/>
  <c r="AK2391" i="1" s="1"/>
  <c r="AJ1064" i="1"/>
  <c r="AK1064" i="1" s="1"/>
  <c r="AJ2150" i="1"/>
  <c r="AK2150" i="1" s="1"/>
  <c r="AJ721" i="1"/>
  <c r="AK721" i="1" s="1"/>
  <c r="AJ501" i="1"/>
  <c r="AK501" i="1" s="1"/>
  <c r="AJ1521" i="1"/>
  <c r="AK1521" i="1" s="1"/>
  <c r="AJ324" i="1"/>
  <c r="AK324" i="1" s="1"/>
  <c r="AJ2385" i="1"/>
  <c r="AK2385" i="1" s="1"/>
  <c r="AJ718" i="1"/>
  <c r="AK718" i="1" s="1"/>
  <c r="AJ629" i="1"/>
  <c r="AK629" i="1" s="1"/>
  <c r="AJ1392" i="1"/>
  <c r="AK1392" i="1" s="1"/>
  <c r="AJ1608" i="1"/>
  <c r="AK1608" i="1" s="1"/>
  <c r="AJ624" i="1"/>
  <c r="AK624" i="1" s="1"/>
  <c r="AJ472" i="1"/>
  <c r="AK472" i="1" s="1"/>
  <c r="AJ204" i="1"/>
  <c r="AK204" i="1" s="1"/>
  <c r="AJ506" i="1"/>
  <c r="AK506" i="1" s="1"/>
  <c r="AJ226" i="1"/>
  <c r="AK226" i="1" s="1"/>
  <c r="AJ503" i="1"/>
  <c r="AK503" i="1" s="1"/>
  <c r="AJ2424" i="1"/>
  <c r="AK2424" i="1" s="1"/>
  <c r="AJ1192" i="1"/>
  <c r="AK1192" i="1" s="1"/>
  <c r="AJ1174" i="1"/>
  <c r="AK1174" i="1" s="1"/>
  <c r="AJ197" i="1"/>
  <c r="AK197" i="1" s="1"/>
  <c r="AJ1672" i="1"/>
  <c r="AK1672" i="1" s="1"/>
  <c r="AJ1951" i="1"/>
  <c r="AK1951" i="1" s="1"/>
  <c r="AJ1601" i="1"/>
  <c r="AK1601" i="1" s="1"/>
  <c r="AJ707" i="1"/>
  <c r="AK707" i="1" s="1"/>
  <c r="AJ2308" i="1"/>
  <c r="AK2308" i="1" s="1"/>
  <c r="AJ940" i="1"/>
  <c r="AK940" i="1" s="1"/>
  <c r="AJ2189" i="1"/>
  <c r="AK2189" i="1" s="1"/>
  <c r="AJ2454" i="1"/>
  <c r="AK2454" i="1" s="1"/>
  <c r="AJ393" i="1"/>
  <c r="AK393" i="1" s="1"/>
  <c r="AJ1309" i="1"/>
  <c r="AK1309" i="1" s="1"/>
  <c r="AJ844" i="1"/>
  <c r="AK844" i="1" s="1"/>
  <c r="AJ227" i="1"/>
  <c r="AK227" i="1" s="1"/>
  <c r="AJ2370" i="1"/>
  <c r="AK2370" i="1" s="1"/>
  <c r="AJ1837" i="1"/>
  <c r="AK1837" i="1" s="1"/>
  <c r="AJ1126" i="1"/>
  <c r="AK1126" i="1" s="1"/>
  <c r="AJ2510" i="1"/>
  <c r="AK2510" i="1" s="1"/>
  <c r="AJ1109" i="1"/>
  <c r="AK1109" i="1" s="1"/>
  <c r="AJ460" i="1"/>
  <c r="AK460" i="1" s="1"/>
  <c r="AJ1704" i="1"/>
  <c r="AK1704" i="1" s="1"/>
  <c r="AJ720" i="1"/>
  <c r="AK720" i="1" s="1"/>
  <c r="AJ1084" i="1"/>
  <c r="AK1084" i="1" s="1"/>
  <c r="AJ485" i="1"/>
  <c r="AK485" i="1" s="1"/>
  <c r="AJ1108" i="1"/>
  <c r="AK1108" i="1" s="1"/>
  <c r="AJ1106" i="1"/>
  <c r="AK1106" i="1" s="1"/>
  <c r="AJ2132" i="1"/>
  <c r="AK2132" i="1" s="1"/>
  <c r="AJ2200" i="1"/>
  <c r="AK2200" i="1" s="1"/>
  <c r="AJ1152" i="1"/>
  <c r="AK1152" i="1" s="1"/>
  <c r="AJ1443" i="1"/>
  <c r="AK1443" i="1" s="1"/>
  <c r="AJ224" i="1"/>
  <c r="AK224" i="1" s="1"/>
  <c r="AJ1087" i="1"/>
  <c r="AK1087" i="1" s="1"/>
  <c r="AJ960" i="1"/>
  <c r="AK960" i="1" s="1"/>
  <c r="AJ1495" i="1"/>
  <c r="AK1495" i="1" s="1"/>
  <c r="AJ134" i="1"/>
  <c r="AK134" i="1" s="1"/>
  <c r="AJ2304" i="1"/>
  <c r="AK2304" i="1" s="1"/>
  <c r="AJ1952" i="1"/>
  <c r="AK1952" i="1" s="1"/>
  <c r="AJ617" i="1"/>
  <c r="AK617" i="1" s="1"/>
  <c r="AL2009" i="1" l="1"/>
  <c r="AK2009" i="1"/>
  <c r="AL1552" i="1"/>
  <c r="AK1552" i="1"/>
  <c r="AL542" i="1"/>
  <c r="AK542" i="1"/>
  <c r="AL901" i="1"/>
  <c r="AK901" i="1"/>
  <c r="AL820" i="1"/>
  <c r="AK820" i="1"/>
  <c r="AL1898" i="1"/>
  <c r="AK1898" i="1"/>
  <c r="AL1942" i="1"/>
  <c r="AK1942" i="1"/>
  <c r="AL527" i="1"/>
  <c r="AK527" i="1"/>
  <c r="AL1852" i="1"/>
  <c r="AK1852" i="1"/>
  <c r="AL1880" i="1"/>
  <c r="AK1880" i="1"/>
  <c r="AL1934" i="1"/>
  <c r="AK1934" i="1"/>
  <c r="AL1746" i="1"/>
  <c r="AK1746" i="1"/>
  <c r="AL1867" i="1"/>
  <c r="AK1867" i="1"/>
  <c r="AL1868" i="1"/>
  <c r="AK1868" i="1"/>
  <c r="AL907" i="1"/>
  <c r="AK907" i="1"/>
  <c r="AL2570" i="1" l="1"/>
  <c r="AK2570" i="1"/>
  <c r="AL1892" i="1"/>
  <c r="AK1892" i="1"/>
  <c r="AL1056" i="1"/>
  <c r="AK1056" i="1"/>
  <c r="AL365" i="1"/>
  <c r="AK365" i="1"/>
  <c r="AL1278" i="1"/>
  <c r="AK1278" i="1"/>
  <c r="AL1885" i="1"/>
  <c r="AK1885" i="1"/>
  <c r="AL1549" i="1"/>
  <c r="AK1549" i="1"/>
  <c r="AL1884" i="1"/>
  <c r="AK1884" i="1"/>
  <c r="AL2131" i="1"/>
  <c r="AK2131" i="1"/>
  <c r="AL1094" i="1"/>
  <c r="AK1094" i="1"/>
  <c r="AL1556" i="1"/>
  <c r="AK1556" i="1"/>
  <c r="AL1899" i="1"/>
  <c r="AK1899" i="1"/>
  <c r="AL2034" i="1"/>
  <c r="AK2034" i="1"/>
  <c r="AL756" i="1"/>
  <c r="AK756" i="1"/>
  <c r="AL1091" i="1"/>
  <c r="AK1091" i="1"/>
  <c r="AL1546" i="1"/>
  <c r="AK1546" i="1"/>
  <c r="AL1550" i="1"/>
  <c r="AK1550" i="1"/>
  <c r="AL1901" i="1"/>
  <c r="AK1901" i="1"/>
  <c r="AL2059" i="1"/>
  <c r="AK2059" i="1"/>
  <c r="AL558" i="1"/>
  <c r="AK558" i="1"/>
  <c r="AL1090" i="1"/>
  <c r="AK1090" i="1"/>
  <c r="AL1881" i="1"/>
  <c r="AK1881" i="1"/>
  <c r="AL1555" i="1"/>
  <c r="AK1555" i="1"/>
  <c r="AL1908" i="1"/>
  <c r="AK1908" i="1"/>
  <c r="AL2068" i="1"/>
  <c r="AK2068" i="1"/>
  <c r="AL403" i="1"/>
  <c r="AK403" i="1"/>
  <c r="AL1044" i="1"/>
  <c r="AK1044" i="1"/>
  <c r="AL1883" i="1"/>
  <c r="AK1883" i="1"/>
  <c r="AL1759" i="1"/>
  <c r="AK1759" i="1"/>
  <c r="AL1886" i="1"/>
  <c r="AK1886" i="1"/>
  <c r="AL370" i="1"/>
  <c r="AK370" i="1"/>
  <c r="AL1086" i="1"/>
  <c r="AK1086" i="1"/>
  <c r="AL1092" i="1"/>
  <c r="AK1092" i="1"/>
  <c r="AL2044" i="1"/>
  <c r="AK2044" i="1"/>
  <c r="AL1887" i="1"/>
  <c r="AK1887" i="1"/>
  <c r="AL1891" i="1"/>
  <c r="AK1891" i="1"/>
  <c r="AL1296" i="1"/>
  <c r="AK1296" i="1"/>
  <c r="AL309" i="1"/>
  <c r="AK309" i="1"/>
  <c r="AL1093" i="1"/>
  <c r="AK1093" i="1"/>
  <c r="AL1551" i="1"/>
  <c r="AK1551" i="1"/>
  <c r="AL1512" i="1"/>
  <c r="AK1512" i="1"/>
  <c r="AL1893" i="1"/>
  <c r="AK1893" i="1"/>
  <c r="AL1900" i="1"/>
  <c r="AK1900" i="1"/>
  <c r="AL1301" i="1"/>
  <c r="AK1301" i="1"/>
  <c r="AL1882" i="1"/>
  <c r="AK1882" i="1"/>
  <c r="AL1644" i="1"/>
  <c r="AK1644" i="1"/>
  <c r="AL1890" i="1"/>
  <c r="AK1890" i="1"/>
  <c r="AL1889" i="1"/>
  <c r="AK1889" i="1"/>
  <c r="AL1907" i="1"/>
  <c r="AK1907" i="1"/>
  <c r="AL2185" i="1"/>
  <c r="AK2185" i="1"/>
  <c r="AL383" i="1"/>
  <c r="AH383" i="1"/>
  <c r="AJ383" i="1" s="1"/>
  <c r="AK383" i="1" s="1"/>
  <c r="AL2329" i="1"/>
  <c r="AH2329" i="1"/>
  <c r="AJ2329" i="1" s="1"/>
  <c r="AK2329" i="1" s="1"/>
  <c r="AH750" i="1"/>
  <c r="AJ750" i="1" s="1"/>
  <c r="AK750" i="1" s="1"/>
  <c r="AL750" i="1"/>
  <c r="AL754" i="1"/>
  <c r="AH754" i="1"/>
  <c r="AJ754" i="1" s="1"/>
  <c r="AK754" i="1" s="1"/>
  <c r="AL1005" i="1"/>
  <c r="AH1005" i="1"/>
  <c r="AJ1005" i="1" s="1"/>
  <c r="AK1005" i="1" s="1"/>
  <c r="AH1241" i="1"/>
  <c r="AJ1241" i="1" s="1"/>
  <c r="AK1241" i="1" s="1"/>
  <c r="AL1241" i="1"/>
  <c r="AL1242" i="1"/>
  <c r="AH1242" i="1"/>
  <c r="AJ1242" i="1" s="1"/>
  <c r="AK1242" i="1" s="1"/>
  <c r="AH1243" i="1"/>
  <c r="AJ1243" i="1" s="1"/>
  <c r="AK1243" i="1" s="1"/>
  <c r="AL1243" i="1"/>
  <c r="AH1244" i="1"/>
  <c r="AJ1244" i="1" s="1"/>
  <c r="AK1244" i="1" s="1"/>
  <c r="AL1244" i="1"/>
  <c r="AL782" i="1"/>
  <c r="AH782" i="1"/>
  <c r="AJ782" i="1" s="1"/>
  <c r="AK782" i="1" s="1"/>
  <c r="AH445" i="1"/>
  <c r="AJ445" i="1" s="1"/>
  <c r="AK445" i="1" s="1"/>
  <c r="AL445" i="1"/>
  <c r="AL1072" i="1"/>
  <c r="AH1072" i="1"/>
  <c r="AJ1072" i="1" s="1"/>
  <c r="AK1072" i="1" s="1"/>
  <c r="AL1293" i="1"/>
  <c r="AH1293" i="1"/>
  <c r="AJ1293" i="1" s="1"/>
  <c r="AK1293" i="1" s="1"/>
  <c r="AH2431" i="1"/>
  <c r="AJ2431" i="1" s="1"/>
  <c r="AK2431" i="1" s="1"/>
  <c r="AL2431" i="1"/>
  <c r="AL941" i="1"/>
  <c r="AH941" i="1"/>
  <c r="AJ941" i="1" s="1"/>
  <c r="AK941" i="1" s="1"/>
  <c r="AH21" i="1"/>
  <c r="AJ21" i="1" s="1"/>
  <c r="AK21" i="1" s="1"/>
  <c r="AL21" i="1"/>
  <c r="AH1643" i="1"/>
  <c r="AJ1643" i="1" s="1"/>
  <c r="AK1643" i="1" s="1"/>
  <c r="AL1643" i="1"/>
  <c r="AH1204" i="1"/>
  <c r="AJ1204" i="1" s="1"/>
  <c r="AK1204" i="1" s="1"/>
  <c r="AL1204" i="1"/>
  <c r="AL1286" i="1"/>
  <c r="AH1286" i="1"/>
  <c r="AJ1286" i="1" s="1"/>
  <c r="AK1286" i="1" s="1"/>
  <c r="AL1446" i="1"/>
  <c r="AH1446" i="1"/>
  <c r="AJ1446" i="1" s="1"/>
  <c r="AK1446" i="1" s="1"/>
  <c r="AH246" i="1"/>
  <c r="AJ246" i="1" s="1"/>
  <c r="AK246" i="1" s="1"/>
  <c r="AL246" i="1"/>
  <c r="AH1719" i="1"/>
  <c r="AJ1719" i="1" s="1"/>
  <c r="AK1719" i="1" s="1"/>
  <c r="AL1719" i="1"/>
  <c r="AL1802" i="1"/>
  <c r="AH1802" i="1"/>
  <c r="AJ1802" i="1" s="1"/>
  <c r="AK1802" i="1" s="1"/>
  <c r="AH2481" i="1"/>
  <c r="AJ2481" i="1" s="1"/>
  <c r="AK2481" i="1" s="1"/>
  <c r="AL2481" i="1"/>
  <c r="AH809" i="1"/>
  <c r="AJ809" i="1" s="1"/>
  <c r="AK809" i="1" s="1"/>
  <c r="AL809" i="1"/>
  <c r="AL1022" i="1"/>
  <c r="AH1022" i="1"/>
  <c r="AJ1022" i="1" s="1"/>
  <c r="AK1022" i="1" s="1"/>
  <c r="AL2482" i="1"/>
  <c r="N2482" i="1"/>
  <c r="AH2482" i="1"/>
  <c r="AJ2482" i="1" s="1"/>
  <c r="AK2482" i="1" s="1"/>
  <c r="AH1506" i="1"/>
  <c r="AJ1506" i="1" s="1"/>
  <c r="AK1506" i="1" s="1"/>
  <c r="AL1506" i="1"/>
  <c r="AH893" i="1"/>
  <c r="AJ893" i="1" s="1"/>
  <c r="AK893" i="1" s="1"/>
  <c r="AL893" i="1"/>
  <c r="AH1160" i="1"/>
  <c r="AJ1160" i="1" s="1"/>
  <c r="AK1160" i="1" s="1"/>
  <c r="AL1160" i="1"/>
  <c r="AL1097" i="1"/>
  <c r="AH1097" i="1"/>
  <c r="AJ1097" i="1" s="1"/>
  <c r="AK1097" i="1" s="1"/>
  <c r="AH957" i="1"/>
  <c r="AJ957" i="1" s="1"/>
  <c r="AK957" i="1" s="1"/>
  <c r="AL957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Cooke</author>
    <author>tc={7BAAB25E-E7A5-AD42-AA46-FD23F225AE8B}</author>
    <author>tc={81C78D11-678A-2D46-BAA3-13C1DF4ABB0A}</author>
    <author>tc={C34469AF-1A76-244A-9074-DDC213323785}</author>
    <author>tc={9DB813D7-04FA-C741-8589-D454C0B71ACF}</author>
    <author>tc={5C50053C-1DCC-0342-8418-4BBC70BADF9E}</author>
    <author>tc={D020CEEF-9947-1945-8AE8-EE307900A0E1}</author>
    <author>tc={84971804-4F77-524D-823A-0BB73BAEEA53}</author>
    <author>tc={8DA56558-6441-D840-ACF5-6399F9F25AF0}</author>
    <author>tc={7FC3F7C1-D7E5-234D-8845-18D12C0DDC3E}</author>
    <author>tc={2918270B-60F8-454B-B6C0-556FB59D52B8}</author>
    <author>tc={97DC726F-0B50-474A-8B40-627AE49E8B8B}</author>
    <author>tc={081D8958-BA4B-A94E-8193-32956B6D5539}</author>
    <author>tc={28207CDF-D292-6E4A-8320-940E997F14AF}</author>
    <author>tc={7526BA3F-977F-204E-8172-834082444193}</author>
    <author>tc={42BE5D86-8A96-5D48-BE4C-58173735D809}</author>
    <author>tc={54D9DF0D-C4D9-2843-9392-8CB09981F850}</author>
    <author>tc={185A6A99-C1C2-7E4B-89B5-026CEBB9B7AC}</author>
    <author>tc={B7E4F914-24AB-D64D-BF3C-CC9625B06E1E}</author>
    <author>tc={595974EC-09A8-ED45-919F-19289AA4183D}</author>
    <author>tc={36655647-4C0B-FE48-A598-1BFD9BCB1EE8}</author>
    <author>tc={6DAE2261-5133-B44C-820F-73BC9E96BF03}</author>
    <author>tc={0F7A4C99-C0E3-604D-BF07-24EFFE675CD2}</author>
    <author>tc={36FA0D3C-1283-DE4B-BDFB-E9503FF760F9}</author>
    <author>tc={483A392B-EDF7-474B-90DF-A366F9D437FD}</author>
    <author>tc={5CB82A7A-475B-BF4A-BE66-1F012758E955}</author>
    <author>tc={88D635F1-B7A3-4840-879F-4E7B0D3C42E1}</author>
    <author>Tiffany Foster</author>
    <author>tc={297B36A1-113E-054C-93C9-93B0B91E9E4F}</author>
    <author>tc={9A13EE67-5FA8-A348-8532-65D1A9B2E150}</author>
    <author>tc={4349092C-6494-8641-87DC-3254D0E360D1}</author>
    <author>tc={81CBFB58-9415-334B-9817-37999CB6C8AE}</author>
    <author>tc={24421711-78A7-4245-8EF2-659D60C35638}</author>
    <author>tc={C7B0B5B4-07DA-E042-9900-BA1F4E2B00F1}</author>
    <author>tc={AB3D6428-D3CA-7441-A858-1E86A0B44FCB}</author>
    <author>tc={2C6A25EE-4D09-2D40-9C86-F9F58DB383FC}</author>
    <author>tc={03B8357D-8E89-3A4B-AE9C-7337E16741BD}</author>
    <author>tc={4A126C6C-CE67-3E43-9336-46BB81F0A843}</author>
    <author>tc={5E336471-CB0B-E846-99DD-FD5365EED98E}</author>
    <author>tc={CB829F40-93E6-F545-817D-448EDF0D1E35}</author>
    <author>tc={3CE1AC3E-52AA-8C4D-ABEF-890C6B3E2910}</author>
    <author>tc={E3F93393-5F9E-CA4C-A56D-75A40E2D85C7}</author>
    <author>tc={71BDDAAA-A366-AC46-BD8E-D95A4CF4B18E}</author>
    <author>tc={1BEF73A0-63BD-524D-AB25-232D7DE0D124}</author>
    <author>tc={966D0E13-D5C1-D448-ABE2-CFECFB127937}</author>
    <author>tc={B6D1E326-F956-4D4B-BC1C-382646DFC8C0}</author>
    <author>tc={3748FF2C-7764-EA4C-8982-29ECC3375BED}</author>
    <author>tc={3A5432D9-A883-2E44-85D4-7063FBE778A7}</author>
    <author>tc={D17C5839-23DE-B240-91C4-CE11A6739DB3}</author>
    <author>tc={716E1F15-1BF9-BC48-857F-BFEBC24BED18}</author>
    <author>tc={ED376718-B299-8A44-A4A3-C27084AC1FF6}</author>
    <author>tc={9C918338-13AA-B449-B0C9-EB617F60E895}</author>
    <author>tc={AD654A95-6CDA-DC4F-B0CC-54B96BF36B2E}</author>
    <author>tc={0F660F3A-B1CE-FF49-AFBE-9B75D0CF21F9}</author>
    <author>tc={09CCA5C9-F5C9-ED43-ABDD-168ECC5CB28B}</author>
    <author>tc={70CC8E54-5052-4147-9DED-F2258ECD7005}</author>
    <author>tc={E9F1C000-DCD8-8544-8A82-4DC95241F00B}</author>
    <author>tc={19C16E08-9402-6941-BFA1-545BCB9CD10B}</author>
    <author>tc={4799A0C3-A17F-3E4F-9C26-5F4F1F65DE32}</author>
    <author>tc={01FFD870-74B2-6742-8261-332F35780D3B}</author>
    <author>tc={446F60B4-F0FB-4346-8950-25EB439144A8}</author>
    <author>tc={24E51642-C17B-694B-B6A0-EE2A5618CFDD}</author>
    <author>tc={F050A7D2-0DB9-7445-B282-0384F5FA6018}</author>
    <author>tc={7A12B920-7919-EF4E-94FE-08771BA37107}</author>
    <author>tc={7353E9E4-6C76-B54F-AEBE-0D30461F626C}</author>
    <author>tc={5E406EB7-BC69-DB47-9EA9-9FEB3DD5DA98}</author>
    <author>tc={A2906811-A0F1-418D-BC4F-0655A4E2E000}</author>
    <author>tc={DBC104BF-3903-2840-95DA-3A7E358432C6}</author>
    <author>tc={18C4BDC2-6780-E643-B44F-48BDD5548217}</author>
    <author>tc={A2CDCCCE-3A5E-744B-9619-B5327556C7B9}</author>
    <author>tc={FA24E0EA-6A7F-9A49-B95F-37C68B9D98C3}</author>
    <author>tc={3826145A-9643-214F-BD3E-8EEC5F0DE171}</author>
    <author>tc={8CE80DB2-77AB-6C49-AC81-26D76AC16E95}</author>
    <author>tc={85AD19C7-1D63-C34D-93D4-680A431A5401}</author>
    <author>tc={4041C3CA-6714-C943-957C-EBC3C9359D8D}</author>
    <author>tc={AF1C568A-FB62-9448-B824-0A0A5ED80D76}</author>
    <author>tc={D3E1B60A-B606-3149-98F8-575311D2856B}</author>
    <author>tc={8115BCEA-4767-434B-B074-4444EDB454D0}</author>
    <author>tc={46AD50D2-E5DB-5047-8707-72991AB2A4EA}</author>
    <author>tc={B5F5F30A-C0FD-3C46-A12E-60BA0846C8C3}</author>
    <author>tc={9E87C7C5-8EC4-F749-B43B-F48D513E030A}</author>
    <author>tc={3DD5DA59-4AAE-7247-A492-4E94389F5F07}</author>
    <author>tc={4BBDD5DB-5F42-FB47-9C9E-76737D0DCC78}</author>
    <author>tc={EF511764-99A6-6B49-B7B7-A900591307EF}</author>
    <author>tc={D427C9E6-DDA8-B040-B13F-C012687D5B11}</author>
    <author>tc={B7B69158-6273-0A42-A8BD-32665D864A6C}</author>
    <author>tc={A238D969-9DFA-0C40-A559-BE2730938691}</author>
    <author>tc={2C38F4CD-D5C3-744D-B748-B12079F0FE53}</author>
    <author>tc={105A93FD-D8BA-5E45-9632-CAFB0C65A428}</author>
    <author>tc={C5807346-A666-E245-8F02-F163A8DB839D}</author>
    <author>tc={6A1F2686-8C5B-6F4E-A3FD-C2EB21967AD7}</author>
    <author>tc={CCB1C06D-D6C3-A943-83D9-F2497866B492}</author>
    <author>tc={539F83C0-7D53-6B46-982B-CE3749057DC1}</author>
    <author>tc={A392AB4B-9160-3448-94DC-471D2BBF6752}</author>
    <author>tc={70BE7EDD-58FA-FB45-A31D-7C881EA25198}</author>
    <author>tc={5928FFE6-CDCE-454E-A0F3-3B37783D4523}</author>
    <author>tc={D2BCC27C-0F86-AF47-9772-CD3E4EDE06D1}</author>
    <author>tc={EA87B942-0CA9-5E49-99E3-164CA1A916F2}</author>
    <author>tc={9F144CCF-FF71-DC48-AF0B-C607F9BB1765}</author>
    <author>tc={9EB67F11-9BF9-8B48-A199-50933F5B92BB}</author>
    <author>tc={F0AD18D5-797F-AA43-9E21-378E047E09F2}</author>
    <author>tc={02EAD0AF-78F6-E944-9B34-01C185D892B2}</author>
    <author>tc={C1632DF1-101F-9646-AC5C-E5FDF36A6400}</author>
    <author>tc={FC11774A-8720-1B4A-B5BD-43E0E3704585}</author>
    <author>tc={B940399F-DCE3-8D4C-AA36-127074C29E79}</author>
    <author>tc={B1A358FC-54C1-3C4B-A5FC-C8C4F2B1D3AB}</author>
    <author>tc={916364D5-13A3-974E-8DF7-E1A7CAF6F11E}</author>
    <author>tc={C48D17FB-065D-E74F-A00F-5755A9849634}</author>
    <author>tc={78E8EC3F-4128-EA45-A1AC-00838C69CB35}</author>
    <author>tc={DEEF954D-DC28-AD46-AE99-693F5BE96A80}</author>
    <author>tc={863F662E-3DD3-0747-A7BA-6182D80A6555}</author>
    <author>tc={34A39CF5-D1DF-654D-863B-172AADB15B60}</author>
    <author>tc={622B572B-C063-C64E-AC0A-6CFF89E920F2}</author>
    <author>tc={9B395CBE-27AF-BA49-9C8F-3F7D58E755D9}</author>
    <author>tc={DBFA3074-FFD5-524F-A59A-7B1CE885DF0E}</author>
    <author>tc={DAA097E1-94E9-8645-BFF1-CD0F212BCB8B}</author>
    <author>tc={E160950C-645E-1E42-9890-92C2B0F7697C}</author>
    <author>tc={28D648D0-6E42-AB4B-9A6D-529F0A0B7C0E}</author>
    <author>tc={A32A7048-6FEC-4B43-A2B7-5FAF132EA06F}</author>
    <author>tc={9E404C68-CE71-7541-8303-8F736EECFA23}</author>
    <author>tc={9939B8DC-00E0-6E43-8A9C-8B4956EDFABE}</author>
    <author>tc={6A835BA1-1B8D-1947-98DC-55F0CF53CE10}</author>
    <author>tc={112E11A1-1E0D-FF49-878D-F04FCD056333}</author>
    <author>tc={1404204E-1A31-8146-8D30-BDA60C2363C9}</author>
    <author>tc={ED0F4A43-F369-F84E-BFBC-44B2DC75DC76}</author>
    <author>tc={7158C6A5-F2C1-A94A-95D4-4CAF48DEFFFB}</author>
    <author>tc={C5B92EBF-1EBE-F64A-A4D5-2718F901FB63}</author>
    <author>tc={2912282F-9FA7-254D-8C23-DE6372A20201}</author>
    <author>tc={C8352436-A06E-D44A-A64E-3E8239EBACD3}</author>
    <author>tc={EE9A6FF8-EAC6-DC4C-8197-131C79B58C20}</author>
    <author>tc={DAF7CEC4-B156-B14E-8142-A246E8A81BD3}</author>
    <author>tc={9E9C8822-0471-B249-B0EC-BDC59FEFB601}</author>
    <author>tc={3CF209CC-395A-DE44-9181-1338763E98C7}</author>
    <author>tc={79389E5D-212E-2643-B22E-7EEF729CABEB}</author>
    <author>tc={A64AAB79-6F16-2948-8A21-69369C9EC23D}</author>
    <author>tc={E3763792-C591-C449-A3E2-528E9B65F292}</author>
    <author>tc={E1FF3EBB-AFD8-F449-AA3C-1B8D4A442E64}</author>
    <author>tc={E93BBEBB-EADD-5940-BFD4-E276A91F5E2C}</author>
    <author>tc={876798A5-C8C5-DD40-A1AA-976E921E3F4D}</author>
    <author>tc={696F187B-D51E-874F-A7AC-B0366CC18848}</author>
    <author>tc={39D1E232-8C1B-7745-ADC1-E7659F4EB5EF}</author>
    <author>tc={794FD858-AB53-6646-A152-FCB1F51510B0}</author>
  </authors>
  <commentList>
    <comment ref="L76" authorId="0" shapeId="0" xr:uid="{34D650E4-8E6E-DF4D-935D-6F13630E01A9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CHAMPAGNE FLOAT</t>
        </r>
      </text>
    </comment>
    <comment ref="L77" authorId="0" shapeId="0" xr:uid="{2296DD38-7102-0E43-8728-751D436636E7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CHAMPAGNE FLOAT</t>
        </r>
      </text>
    </comment>
    <comment ref="B78" authorId="1" shapeId="0" xr:uid="{7BAAB25E-E7A5-AD42-AA46-FD23F225AE8B}">
      <text>
        <t>[Threaded comment]
Your version of Excel allows you to read this threaded comment; however, any edits to it will get removed if the file is opened in a newer version of Excel. Learn more: https://go.microsoft.com/fwlink/?linkid=870924
Comment:
    RH Dropped from FEB23</t>
      </text>
    </comment>
    <comment ref="O92" authorId="2" shapeId="0" xr:uid="{81C78D11-678A-2D46-BAA3-13C1DF4ABB0A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4.4.23 per NC</t>
      </text>
    </comment>
    <comment ref="O93" authorId="3" shapeId="0" xr:uid="{C34469AF-1A76-244A-9074-DDC213323785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4.4.23 per NC</t>
      </text>
    </comment>
    <comment ref="O94" authorId="4" shapeId="0" xr:uid="{9DB813D7-04FA-C741-8589-D454C0B71ACF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4.4.23 per NC</t>
      </text>
    </comment>
    <comment ref="C123" authorId="5" shapeId="0" xr:uid="{5C50053C-1DCC-0342-8418-4BBC70BADF9E}">
      <text>
        <t>[Threaded comment]
Your version of Excel allows you to read this threaded comment; however, any edits to it will get removed if the file is opened in a newer version of Excel. Learn more: https://go.microsoft.com/fwlink/?linkid=870924
Comment:
    Dropped from line</t>
      </text>
    </comment>
    <comment ref="O124" authorId="6" shapeId="0" xr:uid="{D020CEEF-9947-1945-8AE8-EE307900A0E1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change to swiss from inca 11/11/21</t>
      </text>
    </comment>
    <comment ref="C149" authorId="7" shapeId="0" xr:uid="{84971804-4F77-524D-823A-0BB73BAEEA5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WALNUT CAP ACRYLIC NO MAT </t>
      </text>
    </comment>
    <comment ref="C150" authorId="8" shapeId="0" xr:uid="{8DA56558-6441-D840-ACF5-6399F9F25AF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WHITE ACYRLIC no mat
</t>
      </text>
    </comment>
    <comment ref="C154" authorId="9" shapeId="0" xr:uid="{7FC3F7C1-D7E5-234D-8845-18D12C0DDC3E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WHITE ACYRLIC no mat
</t>
      </text>
    </comment>
    <comment ref="A162" authorId="10" shapeId="0" xr:uid="{2918270B-60F8-454B-B6C0-556FB59D52B8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Codarus from RH 4.19.23</t>
      </text>
    </comment>
    <comment ref="A198" authorId="11" shapeId="0" xr:uid="{97DC726F-0B50-474A-8B40-627AE49E8B8B}">
      <text>
        <t>[Threaded comment]
Your version of Excel allows you to read this threaded comment; however, any edits to it will get removed if the file is opened in a newer version of Excel. Learn more: https://go.microsoft.com/fwlink/?linkid=870924
Comment:
    HOME SENSE TO CODARUS 8.21.23</t>
      </text>
    </comment>
    <comment ref="L213" authorId="12" shapeId="0" xr:uid="{081D8958-BA4B-A94E-8193-32956B6D5539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BLK TO NAT 4.20.22</t>
      </text>
    </comment>
    <comment ref="A281" authorId="13" shapeId="0" xr:uid="{28207CDF-D292-6E4A-8320-940E997F14AF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Codarus from RH 4.19.23</t>
      </text>
    </comment>
    <comment ref="O285" authorId="14" shapeId="0" xr:uid="{7526BA3F-977F-204E-8172-83408244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for production 5/23</t>
      </text>
    </comment>
    <comment ref="A362" authorId="15" shapeId="0" xr:uid="{42BE5D86-8A96-5D48-BE4C-58173735D809}">
      <text>
        <t>[Threaded comment]
Your version of Excel allows you to read this threaded comment; however, any edits to it will get removed if the file is opened in a newer version of Excel. Learn more: https://go.microsoft.com/fwlink/?linkid=870924
Comment:
    HP SKU SEPT22</t>
      </text>
    </comment>
    <comment ref="G368" authorId="16" shapeId="0" xr:uid="{54D9DF0D-C4D9-2843-9392-8CB09981F850}">
      <text>
        <t>[Threaded comment]
Your version of Excel allows you to read this threaded comment; however, any edits to it will get removed if the file is opened in a newer version of Excel. Learn more: https://go.microsoft.com/fwlink/?linkid=870924
Comment:
    size updated 7.14.22</t>
      </text>
    </comment>
    <comment ref="B378" authorId="17" shapeId="0" xr:uid="{185A6A99-C1C2-7E4B-89B5-026CEBB9B7AC}">
      <text>
        <t>[Threaded comment]
Your version of Excel allows you to read this threaded comment; however, any edits to it will get removed if the file is opened in a newer version of Excel. Learn more: https://go.microsoft.com/fwlink/?linkid=870924
Comment:
    DONE FOR HP SEP22</t>
      </text>
    </comment>
    <comment ref="C410" authorId="18" shapeId="0" xr:uid="{B7E4F914-24AB-D64D-BF3C-CC9625B06E1E}">
      <text>
        <t>[Threaded comment]
Your version of Excel allows you to read this threaded comment; however, any edits to it will get removed if the file is opened in a newer version of Excel. Learn more: https://go.microsoft.com/fwlink/?linkid=870924
Comment:
    DUPLICATE OF COCO SKU</t>
      </text>
    </comment>
    <comment ref="L411" authorId="19" shapeId="0" xr:uid="{595974EC-09A8-ED45-919F-19289AA4183D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BF 4.20.22</t>
      </text>
    </comment>
    <comment ref="C413" authorId="20" shapeId="0" xr:uid="{36655647-4C0B-FE48-A598-1BFD9BCB1EE8}">
      <text>
        <t>[Threaded comment]
Your version of Excel allows you to read this threaded comment; however, any edits to it will get removed if the file is opened in a newer version of Excel. Learn more: https://go.microsoft.com/fwlink/?linkid=870924
Comment:
    DUPLICATE OF COCO SKU</t>
      </text>
    </comment>
    <comment ref="L414" authorId="21" shapeId="0" xr:uid="{6DAE2261-5133-B44C-820F-73BC9E96BF03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BF 4.20.22</t>
      </text>
    </comment>
    <comment ref="A445" authorId="22" shapeId="0" xr:uid="{0F7A4C99-C0E3-604D-BF07-24EFFE675CD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CODARUS TO REJ 7.10.23</t>
      </text>
    </comment>
    <comment ref="O445" authorId="23" shapeId="0" xr:uid="{36FA0D3C-1283-DE4B-BDFB-E9503FF760F9}">
      <text>
        <t>[Threaded comment]
Your version of Excel allows you to read this threaded comment; however, any edits to it will get removed if the file is opened in a newer version of Excel. Learn more: https://go.microsoft.com/fwlink/?linkid=870924
Comment:
    NICK CHG FROM INCA TO SWISS 6.27.23
Reply:
    NICK CHG TO EPSON 7.10.23</t>
      </text>
    </comment>
    <comment ref="C448" authorId="0" shapeId="0" xr:uid="{552AF8CE-0EA2-B546-8B87-B71BF909CF5B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DISCONTINUED 8.11.21 TR TO CANVAS</t>
        </r>
      </text>
    </comment>
    <comment ref="C450" authorId="0" shapeId="0" xr:uid="{435D6B45-A96B-C94E-AC07-A16D975C9C1E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DISCONTINUED 8.11.21 TR TO CANVAS</t>
        </r>
      </text>
    </comment>
    <comment ref="C452" authorId="0" shapeId="0" xr:uid="{B68BD256-F032-0940-AF21-EC99614651CA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DISCONTINUED 8.11.21 TR TO CANVAS</t>
        </r>
      </text>
    </comment>
    <comment ref="C454" authorId="0" shapeId="0" xr:uid="{ED255B8B-DCAF-E349-9E01-9D2C5690A08A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DISCONTINUED 8.11.21 TR TO CANVAS</t>
        </r>
      </text>
    </comment>
    <comment ref="L496" authorId="24" shapeId="0" xr:uid="{483A392B-EDF7-474B-90DF-A366F9D437FD}">
      <text>
        <t>[Threaded comment]
Your version of Excel allows you to read this threaded comment; however, any edits to it will get removed if the file is opened in a newer version of Excel. Learn more: https://go.microsoft.com/fwlink/?linkid=870924
Comment:
    CHAMPAGNE FLOAT</t>
      </text>
    </comment>
    <comment ref="C574" authorId="25" shapeId="0" xr:uid="{00000000-0006-0000-0000-00000F000000}">
      <text>
        <t>[Threaded comment]
Your version of Excel allows you to read this threaded comment; however, any edits to it will get removed if the file is opened in a newer version of Excel. Learn more: https://go.microsoft.com/fwlink/?linkid=870924
Comment:
    PDR 5.5.21 leave Sonder on Inca.  RH on SwissQ</t>
      </text>
    </comment>
    <comment ref="L644" authorId="26" shapeId="0" xr:uid="{88D635F1-B7A3-4840-879F-4E7B0D3C42E1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NF 4.20.22</t>
      </text>
    </comment>
    <comment ref="O665" authorId="27" shapeId="0" xr:uid="{00000000-0006-0000-0000-000006000000}">
      <text>
        <r>
          <rPr>
            <b/>
            <sz val="9"/>
            <color rgb="FF000000"/>
            <rFont val="Arial"/>
            <family val="2"/>
          </rPr>
          <t>Tiffany Foster: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Changed to Inca 8/21/20</t>
        </r>
      </text>
    </comment>
    <comment ref="B699" authorId="28" shapeId="0" xr:uid="{297B36A1-113E-054C-93C9-93B0B91E9E4F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MOVED FROM RH FL19</t>
      </text>
    </comment>
    <comment ref="D699" authorId="29" shapeId="0" xr:uid="{9A13EE67-5FA8-A348-8532-65D1A9B2E150}">
      <text>
        <t>[Threaded comment]
Your version of Excel allows you to read this threaded comment; however, any edits to it will get removed if the file is opened in a newer version of Excel. Learn more: https://go.microsoft.com/fwlink/?linkid=870924
Comment:
    RH 10029362GMNT</t>
      </text>
    </comment>
    <comment ref="B703" authorId="30" shapeId="0" xr:uid="{4349092C-6494-8641-87DC-3254D0E360D1}">
      <text>
        <t>[Threaded comment]
Your version of Excel allows you to read this threaded comment; however, any edits to it will get removed if the file is opened in a newer version of Excel. Learn more: https://go.microsoft.com/fwlink/?linkid=870924
Comment:
    RH DISCONTINUED</t>
      </text>
    </comment>
    <comment ref="L709" authorId="31" shapeId="0" xr:uid="{81CBFB58-9415-334B-9817-37999CB6C8AE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GW TO NF 4.20.22</t>
      </text>
    </comment>
    <comment ref="E739" authorId="32" shapeId="0" xr:uid="{24421711-78A7-4245-8EF2-659D60C35638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12X24 FROM 12X6 9.21.23 PER SL</t>
      </text>
    </comment>
    <comment ref="O747" authorId="33" shapeId="0" xr:uid="{C7B0B5B4-07DA-E042-9900-BA1F4E2B00F1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4.4.23 per NC</t>
      </text>
    </comment>
    <comment ref="O748" authorId="34" shapeId="0" xr:uid="{AB3D6428-D3CA-7441-A858-1E86A0B44FC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4.4.23 per NC</t>
      </text>
    </comment>
    <comment ref="O749" authorId="35" shapeId="0" xr:uid="{2C6A25EE-4D09-2D40-9C86-F9F58DB383FC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4.4.23 per NC</t>
      </text>
    </comment>
    <comment ref="O751" authorId="36" shapeId="0" xr:uid="{03B8357D-8E89-3A4B-AE9C-7337E16741BD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4.4.23 per NC</t>
      </text>
    </comment>
    <comment ref="O752" authorId="37" shapeId="0" xr:uid="{4A126C6C-CE67-3E43-9336-46BB81F0A843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4.4.23 per NC</t>
      </text>
    </comment>
    <comment ref="O753" authorId="38" shapeId="0" xr:uid="{5E336471-CB0B-E846-99DD-FD5365EED98E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4.4.23 per NC</t>
      </text>
    </comment>
    <comment ref="K845" authorId="39" shapeId="0" xr:uid="{CB829F40-93E6-F545-817D-448EDF0D1E3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CHG FROM BA TO SHADOW BOX PER RH Deckle Edge
</t>
      </text>
    </comment>
    <comment ref="K846" authorId="40" shapeId="0" xr:uid="{3CE1AC3E-52AA-8C4D-ABEF-890C6B3E291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CHG FROM BA TO SHADOW BOX PER RH Deckle Edge
</t>
      </text>
    </comment>
    <comment ref="M855" authorId="41" shapeId="0" xr:uid="{E3F93393-5F9E-CA4C-A56D-75A40E2D85C7}">
      <text>
        <t>[Threaded comment]
Your version of Excel allows you to read this threaded comment; however, any edits to it will get removed if the file is opened in a newer version of Excel. Learn more: https://go.microsoft.com/fwlink/?linkid=870924
Comment:
    ACU HAS $900 Default 2.2.22</t>
      </text>
    </comment>
    <comment ref="O855" authorId="42" shapeId="0" xr:uid="{71BDDAAA-A366-AC46-BD8E-D95A4CF4B18E}">
      <text>
        <t>[Threaded comment]
Your version of Excel allows you to read this threaded comment; however, any edits to it will get removed if the file is opened in a newer version of Excel. Learn more: https://go.microsoft.com/fwlink/?linkid=870924
Comment:
    60x48 print on Swiss</t>
      </text>
    </comment>
    <comment ref="AF867" authorId="43" shapeId="0" xr:uid="{1BEF73A0-63BD-524D-AB25-232D7DE0D124}">
      <text>
        <t>[Threaded comment]
Your version of Excel allows you to read this threaded comment; however, any edits to it will get removed if the file is opened in a newer version of Excel. Learn more: https://go.microsoft.com/fwlink/?linkid=870924
Comment:
    $75 EST 2.11.22 MC</t>
      </text>
    </comment>
    <comment ref="AF868" authorId="44" shapeId="0" xr:uid="{966D0E13-D5C1-D448-ABE2-CFECFB127937}">
      <text>
        <t>[Threaded comment]
Your version of Excel allows you to read this threaded comment; however, any edits to it will get removed if the file is opened in a newer version of Excel. Learn more: https://go.microsoft.com/fwlink/?linkid=870924
Comment:
    $75 EST 2.11.22 MC</t>
      </text>
    </comment>
    <comment ref="X912" authorId="45" shapeId="0" xr:uid="{B6D1E326-F956-4D4B-BC1C-382646DFC8C0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913" authorId="46" shapeId="0" xr:uid="{3748FF2C-7764-EA4C-8982-29ECC3375BED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914" authorId="47" shapeId="0" xr:uid="{3A5432D9-A883-2E44-85D4-7063FBE778A7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A941" authorId="48" shapeId="0" xr:uid="{D17C5839-23DE-B240-91C4-CE11A6739DB3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SONDER TO REJ 7.12.23</t>
      </text>
    </comment>
    <comment ref="D941" authorId="49" shapeId="0" xr:uid="{716E1F15-1BF9-BC48-857F-BFEBC24BED18}">
      <text>
        <t>[Threaded comment]
Your version of Excel allows you to read this threaded comment; however, any edits to it will get removed if the file is opened in a newer version of Excel. Learn more: https://go.microsoft.com/fwlink/?linkid=870924
Comment:
    SR-ART-11513-C SONDER #</t>
      </text>
    </comment>
    <comment ref="A945" authorId="50" shapeId="0" xr:uid="{ED376718-B299-8A44-A4A3-C27084AC1FF6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Codarus from HP 4.19.23</t>
      </text>
    </comment>
    <comment ref="X994" authorId="51" shapeId="0" xr:uid="{9C918338-13AA-B449-B0C9-EB617F60E895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O1006" authorId="52" shapeId="0" xr:uid="{AD654A95-6CDA-DC4F-B0CC-54B96BF36B2E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4.4.23 per NC</t>
      </text>
    </comment>
    <comment ref="M1007" authorId="53" shapeId="0" xr:uid="{0F660F3A-B1CE-FF49-AFBE-9B75D0CF21F9}">
      <text>
        <t>[Threaded comment]
Your version of Excel allows you to read this threaded comment; however, any edits to it will get removed if the file is opened in a newer version of Excel. Learn more: https://go.microsoft.com/fwlink/?linkid=870924
Comment:
    Randi append 375 from 400 8.4.23</t>
      </text>
    </comment>
    <comment ref="O1007" authorId="54" shapeId="0" xr:uid="{09CCA5C9-F5C9-ED43-ABDD-168ECC5CB28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4.4.23 per NC</t>
      </text>
    </comment>
    <comment ref="M1008" authorId="55" shapeId="0" xr:uid="{70CC8E54-5052-4147-9DED-F2258ECD7005}">
      <text>
        <t>[Threaded comment]
Your version of Excel allows you to read this threaded comment; however, any edits to it will get removed if the file is opened in a newer version of Excel. Learn more: https://go.microsoft.com/fwlink/?linkid=870924
Comment:
    Randi jut from 400 to 350 6.28.23</t>
      </text>
    </comment>
    <comment ref="O1008" authorId="56" shapeId="0" xr:uid="{E9F1C000-DCD8-8544-8A82-4DC95241F00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 FROM INCA 4.4.23 per NC</t>
      </text>
    </comment>
    <comment ref="O1030" authorId="57" shapeId="0" xr:uid="{19C16E08-9402-6941-BFA1-545BCB9CD10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inca 5.9.23</t>
      </text>
    </comment>
    <comment ref="O1031" authorId="58" shapeId="0" xr:uid="{4799A0C3-A17F-3E4F-9C26-5F4F1F65DE3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inca 5.9.23</t>
      </text>
    </comment>
    <comment ref="A1072" authorId="59" shapeId="0" xr:uid="{01FFD870-74B2-6742-8261-332F35780D3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REJ 7.12.23</t>
      </text>
    </comment>
    <comment ref="B1085" authorId="60" shapeId="0" xr:uid="{446F60B4-F0FB-4346-8950-25EB439144A8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CODARUS 5.15.23</t>
      </text>
    </comment>
    <comment ref="A1097" authorId="61" shapeId="0" xr:uid="{24E51642-C17B-694B-B6A0-EE2A5618CFDD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CODARUS TO REJ 7.12.23</t>
      </text>
    </comment>
    <comment ref="O1161" authorId="27" shapeId="0" xr:uid="{00000000-0006-0000-0000-000009000000}">
      <text>
        <r>
          <rPr>
            <b/>
            <sz val="9"/>
            <color indexed="81"/>
            <rFont val="Arial"/>
            <family val="2"/>
          </rPr>
          <t>Tiffany Foster:</t>
        </r>
        <r>
          <rPr>
            <sz val="9"/>
            <color indexed="81"/>
            <rFont val="Arial"/>
            <family val="2"/>
          </rPr>
          <t xml:space="preserve">
Changed to print on Inca 8/21/20</t>
        </r>
      </text>
    </comment>
    <comment ref="O1186" authorId="62" shapeId="0" xr:uid="{F050A7D2-0DB9-7445-B282-0384F5FA6018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TO SWISS FROM INCA 7.27.23 PER NICK</t>
      </text>
    </comment>
    <comment ref="B1191" authorId="63" shapeId="0" xr:uid="{7A12B920-7919-EF4E-94FE-08771BA37107}">
      <text>
        <t>[Threaded comment]
Your version of Excel allows you to read this threaded comment; however, any edits to it will get removed if the file is opened in a newer version of Excel. Learn more: https://go.microsoft.com/fwlink/?linkid=870924
Comment:
    RH FL19 chg to Codarus 3/23</t>
      </text>
    </comment>
    <comment ref="D1191" authorId="64" shapeId="0" xr:uid="{7353E9E4-6C76-B54F-AEBE-0D30461F626C}">
      <text>
        <t>[Threaded comment]
Your version of Excel allows you to read this threaded comment; however, any edits to it will get removed if the file is opened in a newer version of Excel. Learn more: https://go.microsoft.com/fwlink/?linkid=870924
Comment:
    RH 10062462GMNT</t>
      </text>
    </comment>
    <comment ref="B1289" authorId="65" shapeId="0" xr:uid="{5E406EB7-BC69-DB47-9EA9-9FEB3DD5DA98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CODARUS 5.15.23</t>
      </text>
    </comment>
    <comment ref="O1289" authorId="27" shapeId="0" xr:uid="{00000000-0006-0000-0000-00000C000000}">
      <text>
        <r>
          <rPr>
            <b/>
            <sz val="9"/>
            <color indexed="81"/>
            <rFont val="Arial"/>
            <family val="2"/>
          </rPr>
          <t>Tiffany Foster:</t>
        </r>
        <r>
          <rPr>
            <sz val="9"/>
            <color indexed="81"/>
            <rFont val="Arial"/>
            <family val="2"/>
          </rPr>
          <t xml:space="preserve">
Moved from SwissQ to Inca. 8/21/20</t>
        </r>
      </text>
    </comment>
    <comment ref="O1309" authorId="27" shapeId="0" xr:uid="{00000000-0006-0000-0000-00000D000000}">
      <text>
        <r>
          <rPr>
            <b/>
            <sz val="9"/>
            <color rgb="FF000000"/>
            <rFont val="Arial"/>
            <family val="2"/>
          </rPr>
          <t>Tiffany Foster: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Changed from Swiss to Inca per MR 7/28/20</t>
        </r>
      </text>
    </comment>
    <comment ref="A1313" authorId="66" shapeId="0" xr:uid="{A2906811-A0F1-418D-BC4F-0655A4E2E000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FROM RH TO CODARUS 4/23</t>
      </text>
    </comment>
    <comment ref="B1340" authorId="67" shapeId="0" xr:uid="{DBC104BF-3903-2840-95DA-3A7E358432C6}">
      <text>
        <t>[Threaded comment]
Your version of Excel allows you to read this threaded comment; however, any edits to it will get removed if the file is opened in a newer version of Excel. Learn more: https://go.microsoft.com/fwlink/?linkid=870924
Comment:
    RH AUG20 chg to Codarus3/23</t>
      </text>
    </comment>
    <comment ref="D1340" authorId="68" shapeId="0" xr:uid="{18C4BDC2-6780-E643-B44F-48BDD5548217}">
      <text>
        <t>[Threaded comment]
Your version of Excel allows you to read this threaded comment; however, any edits to it will get removed if the file is opened in a newer version of Excel. Learn more: https://go.microsoft.com/fwlink/?linkid=870924
Comment:
    10062048GMNT RH removed 3/23</t>
      </text>
    </comment>
    <comment ref="C1390" authorId="0" shapeId="0" xr:uid="{00000000-0006-0000-0000-00000A000000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chg'd 8.13.20 to match SO56 and Acu system from GP2001709</t>
        </r>
      </text>
    </comment>
    <comment ref="C1391" authorId="0" shapeId="0" xr:uid="{00000000-0006-0000-0000-00000B000000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chg'd 8.13.20 to match SO56 and Acu system from GP2001709</t>
        </r>
      </text>
    </comment>
    <comment ref="E1408" authorId="69" shapeId="0" xr:uid="{A2CDCCCE-3A5E-744B-9619-B5327556C7B9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16x24 to 20x30 1.31.22
Reply:
    resize to 16x20 2.28.22</t>
      </text>
    </comment>
    <comment ref="O1450" authorId="70" shapeId="0" xr:uid="{FA24E0EA-6A7F-9A49-B95F-37C68B9D98C3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to Swiss 121421</t>
      </text>
    </comment>
    <comment ref="O1451" authorId="71" shapeId="0" xr:uid="{3826145A-9643-214F-BD3E-8EEC5F0DE171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to Swiss 121421</t>
      </text>
    </comment>
    <comment ref="O1452" authorId="72" shapeId="0" xr:uid="{8CE80DB2-77AB-6C49-AC81-26D76AC16E95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to Swiss 121421</t>
      </text>
    </comment>
    <comment ref="O1453" authorId="73" shapeId="0" xr:uid="{85AD19C7-1D63-C34D-93D4-680A431A5401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to swiss 121421</t>
      </text>
    </comment>
    <comment ref="O1520" authorId="74" shapeId="0" xr:uid="{4041C3CA-6714-C943-957C-EBC3C9359D8D}">
      <text>
        <t>[Threaded comment]
Your version of Excel allows you to read this threaded comment; however, any edits to it will get removed if the file is opened in a newer version of Excel. Learn more: https://go.microsoft.com/fwlink/?linkid=870924
Comment:
    switch to Swiss 1.5.21</t>
      </text>
    </comment>
    <comment ref="O1521" authorId="75" shapeId="0" xr:uid="{AF1C568A-FB62-9448-B824-0A0A5ED80D76}">
      <text>
        <t>[Threaded comment]
Your version of Excel allows you to read this threaded comment; however, any edits to it will get removed if the file is opened in a newer version of Excel. Learn more: https://go.microsoft.com/fwlink/?linkid=870924
Comment:
    switch to Swiss 11.16.21</t>
      </text>
    </comment>
    <comment ref="B1537" authorId="76" shapeId="0" xr:uid="{D3E1B60A-B606-3149-98F8-575311D2856B}">
      <text>
        <t>[Threaded comment]
Your version of Excel allows you to read this threaded comment; however, any edits to it will get removed if the file is opened in a newer version of Excel. Learn more: https://go.microsoft.com/fwlink/?linkid=870924
Comment:
    HOMESENSE OCT22 chg to Codarus 3/23</t>
      </text>
    </comment>
    <comment ref="A1553" authorId="77" shapeId="0" xr:uid="{8115BCEA-4767-434B-B074-4444EDB454D0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FROM ED 7.11.22
Reply:
    ADD TO HP 8.23.22</t>
      </text>
    </comment>
    <comment ref="E1610" authorId="78" shapeId="0" xr:uid="{46AD50D2-E5DB-5047-8707-72991AB2A4EA}">
      <text>
        <t>[Threaded comment]
Your version of Excel allows you to read this threaded comment; however, any edits to it will get removed if the file is opened in a newer version of Excel. Learn more: https://go.microsoft.com/fwlink/?linkid=870924
Comment:
    possible change to 20x16. Laura to confirm 3.2.22</t>
      </text>
    </comment>
    <comment ref="AB1610" authorId="79" shapeId="0" xr:uid="{B5F5F30A-C0FD-3C46-A12E-60BA0846C8C3}">
      <text>
        <t>[Threaded comment]
Your version of Excel allows you to read this threaded comment; however, any edits to it will get removed if the file is opened in a newer version of Excel. Learn more: https://go.microsoft.com/fwlink/?linkid=870924
Comment:
    CHECK ML ON ACU BOM and Calc here</t>
      </text>
    </comment>
    <comment ref="O1613" authorId="80" shapeId="0" xr:uid="{9E87C7C5-8EC4-F749-B43B-F48D513E030A}">
      <text>
        <t>[Threaded comment]
Your version of Excel allows you to read this threaded comment; however, any edits to it will get removed if the file is opened in a newer version of Excel. Learn more: https://go.microsoft.com/fwlink/?linkid=870924
Comment:
    perm change from Inca to Swiss 8.10.23 per NC</t>
      </text>
    </comment>
    <comment ref="O1614" authorId="81" shapeId="0" xr:uid="{3DD5DA59-4AAE-7247-A492-4E94389F5F07}">
      <text>
        <t>[Threaded comment]
Your version of Excel allows you to read this threaded comment; however, any edits to it will get removed if the file is opened in a newer version of Excel. Learn more: https://go.microsoft.com/fwlink/?linkid=870924
Comment:
    perm change from Inca to Swiss per NC</t>
      </text>
    </comment>
    <comment ref="E1617" authorId="82" shapeId="0" xr:uid="{4BBDD5DB-5F42-FB47-9C9E-76737D0DCC78}">
      <text>
        <t>[Threaded comment]
Your version of Excel allows you to read this threaded comment; however, any edits to it will get removed if the file is opened in a newer version of Excel. Learn more: https://go.microsoft.com/fwlink/?linkid=870924
Comment:
    Canvas swatch 6”x6”
Card printed 6.25”x7.5”</t>
      </text>
    </comment>
    <comment ref="B1640" authorId="83" shapeId="0" xr:uid="{EF511764-99A6-6B49-B7B7-A900591307EF}">
      <text>
        <t>[Threaded comment]
Your version of Excel allows you to read this threaded comment; however, any edits to it will get removed if the file is opened in a newer version of Excel. Learn more: https://go.microsoft.com/fwlink/?linkid=870924
Comment:
    RH FL19 CHG TO CODARUS 3/23</t>
      </text>
    </comment>
    <comment ref="A1642" authorId="84" shapeId="0" xr:uid="{D427C9E6-DDA8-B040-B13F-C012687D5B11}">
      <text>
        <t>[Threaded comment]
Your version of Excel allows you to read this threaded comment; however, any edits to it will get removed if the file is opened in a newer version of Excel. Learn more: https://go.microsoft.com/fwlink/?linkid=870924
Comment:
    REMOVED FROM ED 7.11.22</t>
      </text>
    </comment>
    <comment ref="B1643" authorId="85" shapeId="0" xr:uid="{B7B69158-6273-0A42-A8BD-32665D864A6C}">
      <text>
        <t>[Threaded comment]
Your version of Excel allows you to read this threaded comment; however, any edits to it will get removed if the file is opened in a newer version of Excel. Learn more: https://go.microsoft.com/fwlink/?linkid=870924
Comment:
    RH FL19 CHG TO CODARUS 3/23</t>
      </text>
    </comment>
    <comment ref="L1648" authorId="86" shapeId="0" xr:uid="{A238D969-9DFA-0C40-A559-BE2730938691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GW 4.20.22</t>
      </text>
    </comment>
    <comment ref="L1649" authorId="87" shapeId="0" xr:uid="{2C38F4CD-D5C3-744D-B748-B12079F0FE53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GW 4.20.22</t>
      </text>
    </comment>
    <comment ref="L1650" authorId="88" shapeId="0" xr:uid="{105A93FD-D8BA-5E45-9632-CAFB0C65A428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GW 4.20.22</t>
      </text>
    </comment>
    <comment ref="O1651" authorId="0" shapeId="0" xr:uid="{78A59B2B-6832-1B43-9023-93144DADD233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CHG TO SWISS 3.4.22 PER ES Too big for INCA</t>
        </r>
      </text>
    </comment>
    <comment ref="O1655" authorId="0" shapeId="0" xr:uid="{AFC2CEE8-91D1-A84B-81D6-CE9B1187F154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Chg to Swiss 3.4.22  per ES too big for INCA
</t>
        </r>
      </text>
    </comment>
    <comment ref="O1656" authorId="0" shapeId="0" xr:uid="{B59D88ED-A235-0441-8544-FF3D96E8521A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Chg to Swiss 3.4.22  per ES too big for INCA
</t>
        </r>
      </text>
    </comment>
    <comment ref="M1666" authorId="27" shapeId="0" xr:uid="{00000000-0006-0000-0000-000010000000}">
      <text>
        <r>
          <rPr>
            <b/>
            <sz val="9"/>
            <color rgb="FF000000"/>
            <rFont val="Arial"/>
            <family val="2"/>
          </rPr>
          <t>Tiffany Foster:</t>
        </r>
        <r>
          <rPr>
            <sz val="9"/>
            <color rgb="FF000000"/>
            <rFont val="Arial"/>
            <family val="2"/>
          </rPr>
          <t xml:space="preserve">
</t>
        </r>
        <r>
          <rPr>
            <sz val="9"/>
            <color rgb="FF000000"/>
            <rFont val="Arial"/>
            <family val="2"/>
          </rPr>
          <t>Original proice to RH was $192.50. It was decided to lower the price to $150 in 06-2021.</t>
        </r>
      </text>
    </comment>
    <comment ref="O1693" authorId="89" shapeId="0" xr:uid="{C5807346-A666-E245-8F02-F163A8DB839D}">
      <text>
        <t>[Threaded comment]
Your version of Excel allows you to read this threaded comment; however, any edits to it will get removed if the file is opened in a newer version of Excel. Learn more: https://go.microsoft.com/fwlink/?linkid=870924
Comment:
    Switch to SwissQ 10.8.21</t>
      </text>
    </comment>
    <comment ref="O1694" authorId="90" shapeId="0" xr:uid="{6A1F2686-8C5B-6F4E-A3FD-C2EB21967AD7}">
      <text>
        <t>[Threaded comment]
Your version of Excel allows you to read this threaded comment; however, any edits to it will get removed if the file is opened in a newer version of Excel. Learn more: https://go.microsoft.com/fwlink/?linkid=870924
Comment:
    Switch to SwissQ 10.8.21</t>
      </text>
    </comment>
    <comment ref="L1761" authorId="91" shapeId="0" xr:uid="{CCB1C06D-D6C3-A943-83D9-F2497866B49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GF 6.14.22</t>
      </text>
    </comment>
    <comment ref="A1764" authorId="92" shapeId="0" xr:uid="{539F83C0-7D53-6B46-982B-CE374905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HP 8.23.22
Reply:
    chg to Codarus 4.19.23</t>
      </text>
    </comment>
    <comment ref="A1765" authorId="93" shapeId="0" xr:uid="{A392AB4B-9160-3448-94DC-471D2BBF675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HP 8.23.22</t>
      </text>
    </comment>
    <comment ref="B1827" authorId="94" shapeId="0" xr:uid="{70BE7EDD-58FA-FB45-A31D-7C881EA25198}">
      <text>
        <t>[Threaded comment]
Your version of Excel allows you to read this threaded comment; however, any edits to it will get removed if the file is opened in a newer version of Excel. Learn more: https://go.microsoft.com/fwlink/?linkid=870924
Comment:
    Inactive 8.23.23. RH does not want the larger size, although produced for them</t>
      </text>
    </comment>
    <comment ref="B1829" authorId="95" shapeId="0" xr:uid="{5928FFE6-CDCE-454E-A0F3-3B37783D4523}">
      <text>
        <t>[Threaded comment]
Your version of Excel allows you to read this threaded comment; however, any edits to it will get removed if the file is opened in a newer version of Excel. Learn more: https://go.microsoft.com/fwlink/?linkid=870924
Comment:
    Inactive 8.23.23. RH does not want the larger size, although produced for them</t>
      </text>
    </comment>
    <comment ref="A1846" authorId="96" shapeId="0" xr:uid="{D2BCC27C-0F86-AF47-9772-CD3E4EDE06D1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HP 8.23.22</t>
      </text>
    </comment>
    <comment ref="O1851" authorId="97" shapeId="0" xr:uid="{EA87B942-0CA9-5E49-99E3-164CA1A916F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SwissQ 5.26.22 per Nick</t>
      </text>
    </comment>
    <comment ref="X1863" authorId="98" shapeId="0" xr:uid="{9F144CCF-FF71-DC48-AF0B-C607F9BB1765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I1895" authorId="99" shapeId="0" xr:uid="{9EB67F11-9BF9-8B48-A199-50933F5B92B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Chg’d to Syno to Red+ 9.5.23 per SH</t>
      </text>
    </comment>
    <comment ref="I1896" authorId="100" shapeId="0" xr:uid="{F0AD18D5-797F-AA43-9E21-378E047E09F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Chg’d to Syno to Red+ 9.5.23 per SH</t>
      </text>
    </comment>
    <comment ref="M1902" authorId="101" shapeId="0" xr:uid="{02EAD0AF-78F6-E944-9B34-01C185D892B2}">
      <text>
        <t>[Threaded comment]
Your version of Excel allows you to read this threaded comment; however, any edits to it will get removed if the file is opened in a newer version of Excel. Learn more: https://go.microsoft.com/fwlink/?linkid=870924
Comment:
    margin only 23%</t>
      </text>
    </comment>
    <comment ref="C1907" authorId="102" shapeId="0" xr:uid="{C1632DF1-101F-9646-AC5C-E5FDF36A6400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20x16 6.15.23 from 16x20 per hannah</t>
      </text>
    </comment>
    <comment ref="J1928" authorId="103" shapeId="0" xr:uid="{FC11774A-8720-1B4A-B5BD-43E0E3704585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 12.6.21 per ES</t>
      </text>
    </comment>
    <comment ref="J1929" authorId="104" shapeId="0" xr:uid="{B940399F-DCE3-8D4C-AA36-127074C29E79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 12.6.21 per ES</t>
      </text>
    </comment>
    <comment ref="J1931" authorId="105" shapeId="0" xr:uid="{B1A358FC-54C1-3C4B-A5FC-C8C4F2B1D3AB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 12.6.21 per ES</t>
      </text>
    </comment>
    <comment ref="B1937" authorId="106" shapeId="0" xr:uid="{916364D5-13A3-974E-8DF7-E1A7CAF6F11E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RH TO CODARUS 4.18.23 FROMSP19</t>
      </text>
    </comment>
    <comment ref="L1980" authorId="107" shapeId="0" xr:uid="{C48D17FB-065D-E74F-A00F-5755A9849634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GF 6.14.22</t>
      </text>
    </comment>
    <comment ref="O1981" authorId="108" shapeId="0" xr:uid="{78E8EC3F-4128-EA45-A1AC-00838C69CB35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Inca 3.28.23 per EV</t>
      </text>
    </comment>
    <comment ref="E2086" authorId="109" shapeId="0" xr:uid="{DEEF954D-DC28-AD46-AE99-693F5BE96A80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UNTITLED I 111/20/23</t>
      </text>
    </comment>
    <comment ref="M2086" authorId="110" shapeId="0" xr:uid="{863F662E-3DD3-0747-A7BA-6182D80A6555}">
      <text>
        <t>[Threaded comment]
Your version of Excel allows you to read this threaded comment; however, any edits to it will get removed if the file is opened in a newer version of Excel. Learn more: https://go.microsoft.com/fwlink/?linkid=870924
Comment:
    adj price from $400 to $275 11.2.23 MC</t>
      </text>
    </comment>
    <comment ref="E2087" authorId="111" shapeId="0" xr:uid="{34A39CF5-D1DF-654D-863B-172AADB15B60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UNTITLED I 111/20/23</t>
      </text>
    </comment>
    <comment ref="E2088" authorId="112" shapeId="0" xr:uid="{622B572B-C063-C64E-AC0A-6CFF89E920F2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UNTITLED I 111/20/23</t>
      </text>
    </comment>
    <comment ref="L2105" authorId="113" shapeId="0" xr:uid="{9B395CBE-27AF-BA49-9C8F-3F7D58E755D9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WF to NF 4.20.22</t>
      </text>
    </comment>
    <comment ref="X2106" authorId="114" shapeId="0" xr:uid="{DBFA3074-FFD5-524F-A59A-7B1CE885DF0E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07" authorId="115" shapeId="0" xr:uid="{DAA097E1-94E9-8645-BFF1-CD0F212BCB8B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08" authorId="116" shapeId="0" xr:uid="{E160950C-645E-1E42-9890-92C2B0F7697C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09" authorId="117" shapeId="0" xr:uid="{28D648D0-6E42-AB4B-9A6D-529F0A0B7C0E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10" authorId="118" shapeId="0" xr:uid="{A32A7048-6FEC-4B43-A2B7-5FAF132EA06F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11" authorId="119" shapeId="0" xr:uid="{9E404C68-CE71-7541-8303-8F736EECFA23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12" authorId="120" shapeId="0" xr:uid="{9939B8DC-00E0-6E43-8A9C-8B4956EDFABE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13" authorId="121" shapeId="0" xr:uid="{6A835BA1-1B8D-1947-98DC-55F0CF53CE10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B2165" authorId="122" shapeId="0" xr:uid="{112E11A1-1E0D-FF49-878D-F04FCD056333}">
      <text>
        <t>[Threaded comment]
Your version of Excel allows you to read this threaded comment; however, any edits to it will get removed if the file is opened in a newer version of Excel. Learn more: https://go.microsoft.com/fwlink/?linkid=870924
Comment:
    previous RH DEC20</t>
      </text>
    </comment>
    <comment ref="B2166" authorId="123" shapeId="0" xr:uid="{1404204E-1A31-8146-8D30-BDA60C2363C9}">
      <text>
        <t>[Threaded comment]
Your version of Excel allows you to read this threaded comment; however, any edits to it will get removed if the file is opened in a newer version of Excel. Learn more: https://go.microsoft.com/fwlink/?linkid=870924
Comment:
    previous RH DEC20</t>
      </text>
    </comment>
    <comment ref="B2186" authorId="124" shapeId="0" xr:uid="{ED0F4A43-F369-F84E-BFBC-44B2DC75DC76}">
      <text>
        <t>[Threaded comment]
Your version of Excel allows you to read this threaded comment; however, any edits to it will get removed if the file is opened in a newer version of Excel. Learn more: https://go.microsoft.com/fwlink/?linkid=870924
Comment:
    RH FL19 chg to Codarus 3/23</t>
      </text>
    </comment>
    <comment ref="D2186" authorId="125" shapeId="0" xr:uid="{7158C6A5-F2C1-A94A-95D4-4CAF48DEFFFB}">
      <text>
        <t>[Threaded comment]
Your version of Excel allows you to read this threaded comment; however, any edits to it will get removed if the file is opened in a newer version of Excel. Learn more: https://go.microsoft.com/fwlink/?linkid=870924
Comment:
    RH 10014684GMNT</t>
      </text>
    </comment>
    <comment ref="X2194" authorId="126" shapeId="0" xr:uid="{C5B92EBF-1EBE-F64A-A4D5-2718F901FB63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95" authorId="127" shapeId="0" xr:uid="{2912282F-9FA7-254D-8C23-DE6372A20201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97" authorId="128" shapeId="0" xr:uid="{C8352436-A06E-D44A-A64E-3E8239EBACD3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X2198" authorId="129" shapeId="0" xr:uid="{EE9A6FF8-EAC6-DC4C-8197-131C79B58C20}">
      <text>
        <t>[Threaded comment]
Your version of Excel allows you to read this threaded comment; however, any edits to it will get removed if the file is opened in a newer version of Excel. Learn more: https://go.microsoft.com/fwlink/?linkid=870924
Comment:
    requires 122 format</t>
      </text>
    </comment>
    <comment ref="O2200" authorId="130" shapeId="0" xr:uid="{DAF7CEC4-B156-B14E-8142-A246E8A81BD3}">
      <text>
        <t>[Threaded comment]
Your version of Excel allows you to read this threaded comment; however, any edits to it will get removed if the file is opened in a newer version of Excel. Learn more: https://go.microsoft.com/fwlink/?linkid=870924
Comment:
    CHNGE TO SWISS 12.1.21</t>
      </text>
    </comment>
    <comment ref="V2230" authorId="27" shapeId="0" xr:uid="{787767B5-D1DE-DA45-847A-C876F91EE9CB}">
      <text>
        <r>
          <rPr>
            <b/>
            <sz val="9"/>
            <color indexed="81"/>
            <rFont val="Arial"/>
            <family val="2"/>
          </rPr>
          <t>Tiffany Foster:</t>
        </r>
        <r>
          <rPr>
            <sz val="9"/>
            <color indexed="81"/>
            <rFont val="Arial"/>
            <family val="2"/>
          </rPr>
          <t xml:space="preserve">
use 2" stretcher bar to match full size 112918</t>
        </r>
      </text>
    </comment>
    <comment ref="V2231" authorId="27" shapeId="0" xr:uid="{00000000-0006-0000-0000-000017000000}">
      <text>
        <r>
          <rPr>
            <b/>
            <sz val="9"/>
            <color indexed="81"/>
            <rFont val="Arial"/>
            <family val="2"/>
          </rPr>
          <t>Tiffany Foster:</t>
        </r>
        <r>
          <rPr>
            <sz val="9"/>
            <color indexed="81"/>
            <rFont val="Arial"/>
            <family val="2"/>
          </rPr>
          <t xml:space="preserve">
use 2" stretcher bar to match full size 112918</t>
        </r>
      </text>
    </comment>
    <comment ref="A2358" authorId="131" shapeId="0" xr:uid="{9E9C8822-0471-B249-B0EC-BDC59FEFB601}">
      <text>
        <t>[Threaded comment]
Your version of Excel allows you to read this threaded comment; however, any edits to it will get removed if the file is opened in a newer version of Excel. Learn more: https://go.microsoft.com/fwlink/?linkid=870924
Comment:
    PER LAURA 8.17.23 NO LONGER RH</t>
      </text>
    </comment>
    <comment ref="O2396" authorId="27" shapeId="0" xr:uid="{00000000-0006-0000-0000-000018000000}">
      <text>
        <r>
          <rPr>
            <b/>
            <sz val="9"/>
            <color indexed="81"/>
            <rFont val="Arial"/>
            <family val="2"/>
          </rPr>
          <t>Tiffany Foster:</t>
        </r>
        <r>
          <rPr>
            <sz val="9"/>
            <color indexed="81"/>
            <rFont val="Arial"/>
            <family val="2"/>
          </rPr>
          <t xml:space="preserve">
SwissQ to match large Villa</t>
        </r>
      </text>
    </comment>
    <comment ref="L2439" authorId="132" shapeId="0" xr:uid="{3CF209CC-395A-DE44-9181-1338763E98C7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GF 6.14.22</t>
      </text>
    </comment>
    <comment ref="L2443" authorId="133" shapeId="0" xr:uid="{79389E5D-212E-2643-B22E-7EEF729CABEB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to GF 6.14.22</t>
      </text>
    </comment>
    <comment ref="A2480" authorId="134" shapeId="0" xr:uid="{A64AAB79-6F16-2948-8A21-69369C9EC23D}">
      <text>
        <t>[Threaded comment]
Your version of Excel allows you to read this threaded comment; however, any edits to it will get removed if the file is opened in a newer version of Excel. Learn more: https://go.microsoft.com/fwlink/?linkid=870924
Comment:
    chg from Coco to Codarus 4.19.23</t>
      </text>
    </comment>
    <comment ref="A2482" authorId="135" shapeId="0" xr:uid="{E3763792-C591-C449-A3E2-528E9B65F292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FROM ARH TO REJ 7.17.23</t>
      </text>
    </comment>
    <comment ref="E2489" authorId="136" shapeId="0" xr:uid="{E1FF3EBB-AFD8-F449-AA3C-1B8D4A442E64}">
      <text>
        <t>[Threaded comment]
Your version of Excel allows you to read this threaded comment; however, any edits to it will get removed if the file is opened in a newer version of Excel. Learn more: https://go.microsoft.com/fwlink/?linkid=870924
Comment:
    Name change from FAIL to FALL</t>
      </text>
    </comment>
    <comment ref="B2493" authorId="137" shapeId="0" xr:uid="{E93BBEBB-EADD-5940-BFD4-E276A91F5E2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ORIG JUL21 collection
Reply:
    REMOVED FROM COLLECTION 2.25.22
Reply:
    ADD TO IMJUN23 RH 4.4.23
</t>
      </text>
    </comment>
    <comment ref="B2494" authorId="138" shapeId="0" xr:uid="{876798A5-C8C5-DD40-A1AA-976E921E3F4D}">
      <text>
        <t>[Threaded comment]
Your version of Excel allows you to read this threaded comment; however, any edits to it will get removed if the file is opened in a newer version of Excel. Learn more: https://go.microsoft.com/fwlink/?linkid=870924
Comment:
    ORIG JUL21 collection
Reply:
    REMOVED FROM COLLECTION 2.25.22
Reply:
    ADD TO RH IMJUN23 4.4.23</t>
      </text>
    </comment>
    <comment ref="A2498" authorId="139" shapeId="0" xr:uid="{696F187B-D51E-874F-A7AC-B0366CC18848}">
      <text>
        <t>[Threaded comment]
Your version of Excel allows you to read this threaded comment; however, any edits to it will get removed if the file is opened in a newer version of Excel. Learn more: https://go.microsoft.com/fwlink/?linkid=870924
Comment:
    MOVE FROM AP TO REJ 7.17.23</t>
      </text>
    </comment>
    <comment ref="B2555" authorId="140" shapeId="0" xr:uid="{39D1E232-8C1B-7745-ADC1-E7659F4EB5E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CHG FROM RH JUN21 TO CODARUS 3/23	</t>
      </text>
    </comment>
    <comment ref="D2555" authorId="141" shapeId="0" xr:uid="{794FD858-AB53-6646-A152-FCB1F51510B0}">
      <text>
        <t>[Threaded comment]
Your version of Excel allows you to read this threaded comment; however, any edits to it will get removed if the file is opened in a newer version of Excel. Learn more: https://go.microsoft.com/fwlink/?linkid=870924
Comment:
    RH 10088635GMNT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tc={B18AA621-9AFB-A341-866A-D213E853FFB7}</author>
    <author>tc={3307FAD9-C4D0-5949-AE7D-FEF7762529ED}</author>
    <author>tc={464634E0-847F-5346-84D4-A9B2C6C87AFC}</author>
    <author>tc={97DDBCB1-1408-8B4A-819E-24F9F1E19199}</author>
    <author>tc={FF4C4165-CB1D-7943-9D74-0FAC1DB9335D}</author>
    <author>tc={AE627C7F-DB35-D041-A715-C9155B456D2C}</author>
    <author>tc={FD8AA526-C2B8-224C-A03D-F5F2CD3E0D50}</author>
    <author>tc={0BFA6F91-8DAB-2040-9BB6-0E5A8C92F907}</author>
    <author>tc={1150A089-56DF-6C4A-81F4-C4FB66EF4828}</author>
  </authors>
  <commentList>
    <comment ref="D12" authorId="0" shapeId="0" xr:uid="{B18AA621-9AFB-A341-866A-D213E853FFB7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canvas cost 10.15.21 from  $ .43
Reply:
    5/2/22 Price inc. to 0.55 for 122”
Reply:
    10.3.23 price decrease to 0.53 for 122”</t>
      </text>
    </comment>
    <comment ref="D28" authorId="1" shapeId="0" xr:uid="{3307FAD9-C4D0-5949-AE7D-FEF7762529ED}">
      <text>
        <t>[Threaded comment]
Your version of Excel allows you to read this threaded comment; however, any edits to it will get removed if the file is opened in a newer version of Excel. Learn more: https://go.microsoft.com/fwlink/?linkid=870924
Comment:
    Inca data 11/22</t>
      </text>
    </comment>
    <comment ref="C29" authorId="2" shapeId="0" xr:uid="{464634E0-847F-5346-84D4-A9B2C6C87AFC}">
      <text>
        <t>[Threaded comment]
Your version of Excel allows you to read this threaded comment; however, any edits to it will get removed if the file is opened in a newer version of Excel. Learn more: https://go.microsoft.com/fwlink/?linkid=870924
Comment:
    landed ink cost 9/22</t>
      </text>
    </comment>
    <comment ref="D31" authorId="3" shapeId="0" xr:uid="{97DDBCB1-1408-8B4A-819E-24F9F1E19199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 11/22</t>
      </text>
    </comment>
    <comment ref="B36" authorId="4" shapeId="0" xr:uid="{FF4C4165-CB1D-7943-9D74-0FAC1DB9335D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 11/22 landed cost (9/22)</t>
      </text>
    </comment>
    <comment ref="C36" authorId="5" shapeId="0" xr:uid="{AE627C7F-DB35-D041-A715-C9155B456D2C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updated 11/22</t>
      </text>
    </comment>
    <comment ref="C37" authorId="6" shapeId="0" xr:uid="{FD8AA526-C2B8-224C-A03D-F5F2CD3E0D50}">
      <text>
        <t>[Threaded comment]
Your version of Excel allows you to read this threaded comment; however, any edits to it will get removed if the file is opened in a newer version of Excel. Learn more: https://go.microsoft.com/fwlink/?linkid=870924
Comment:
    New ink profile. Reduce $5.55 to $5.0 5/2/22
Reply:
    New ink profile cost  11/22 from $5.55</t>
      </text>
    </comment>
    <comment ref="B40" authorId="7" shapeId="0" xr:uid="{0BFA6F91-8DAB-2040-9BB6-0E5A8C92F907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 11/22 landed cost (9/22)</t>
      </text>
    </comment>
    <comment ref="C40" authorId="8" shapeId="0" xr:uid="{1150A089-56DF-6C4A-81F4-C4FB66EF4828}">
      <text>
        <t>[Threaded comment]
Your version of Excel allows you to read this threaded comment; however, any edits to it will get removed if the file is opened in a newer version of Excel. Learn more: https://go.microsoft.com/fwlink/?linkid=870924
Comment:
    update 11/30/21 new calc Zephyr
Reply:
    update 9/30 data on 11/22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Michael Cooke</author>
  </authors>
  <commentList>
    <comment ref="H1" authorId="0" shapeId="0" xr:uid="{00000000-0006-0000-0500-000001000000}">
      <text>
        <r>
          <rPr>
            <b/>
            <sz val="10"/>
            <color rgb="FF000000"/>
            <rFont val="Tahoma"/>
            <family val="2"/>
          </rPr>
          <t>Michael Cooke: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Includes stretch and FPS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tock_Items" type="4" refreshedVersion="1" background="1" saveData="1">
    <webPr firstRow="1" xl2000="1" url="https://generalpublic.acumatica.com//Export/GenInqExcelQuery.axd?companyid=PILOT" post="requestData=%7B%22company%22%3A%22PILOT%22%2C%22parameters%22%3A%7B%7D%2C%22filter_name%22%3A%22Saved%20Filter%22%2C%22filters%22%3A%7B%7D%2C%22data%22%3A%7B%22design_id%22%3A%22e4352bbd-a53a-42c4-9b96-e9f0fda070c7%22%2C%22parameters%22%3Anull%2C%22filters%22%3A%5B%5D%2C%22fields%22%3A%22InventoryItem_inventoryCD%2CInventoryItem_descr%2CInventoryItem_itemType%2CInventoryItem_itemClassID%2CInventoryItem_postClassID%2CInventoryItem_taxCategoryID%2CInventoryItem_dfltSiteID%2CInventoryItem_baseUnit%2CInventoryItem_basePrice%2CInventoryItem_itemStatus%22%7D%7D" htmlFormat="all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<sst xmlns="http://schemas.openxmlformats.org/spreadsheetml/2006/main" count="34829" uniqueCount="7995">
  <si>
    <t>Customer</t>
  </si>
  <si>
    <t>Collection</t>
  </si>
  <si>
    <t>INVENTORY ID</t>
  </si>
  <si>
    <t>ALTERNATE ID</t>
  </si>
  <si>
    <t>Description</t>
  </si>
  <si>
    <t>Artist</t>
  </si>
  <si>
    <t>VO</t>
  </si>
  <si>
    <t>OD</t>
  </si>
  <si>
    <t>Print Type</t>
  </si>
  <si>
    <t>Substrate</t>
  </si>
  <si>
    <t>Frame</t>
  </si>
  <si>
    <t>Color</t>
  </si>
  <si>
    <t>WSP/Dealer</t>
  </si>
  <si>
    <t>WSP 4/22</t>
  </si>
  <si>
    <t>Work Center</t>
  </si>
  <si>
    <t>VO Wdth</t>
  </si>
  <si>
    <t>VO Hgt</t>
  </si>
  <si>
    <t>Min VO</t>
  </si>
  <si>
    <t>Max VO</t>
  </si>
  <si>
    <t>OD Wdth</t>
  </si>
  <si>
    <t>OD Hgt</t>
  </si>
  <si>
    <t>Print Wth</t>
  </si>
  <si>
    <t>Print Ht</t>
  </si>
  <si>
    <t>Canvas Roll</t>
  </si>
  <si>
    <t>Cut Width</t>
  </si>
  <si>
    <t>Cut Height</t>
  </si>
  <si>
    <t>Substrate SF</t>
  </si>
  <si>
    <t>Ink g/mL</t>
  </si>
  <si>
    <t>Substrate $</t>
  </si>
  <si>
    <t>Ink $</t>
  </si>
  <si>
    <t>GP Labor/unit</t>
  </si>
  <si>
    <t>CALI FINISH</t>
  </si>
  <si>
    <t>GP FINISH</t>
  </si>
  <si>
    <t>Royalty</t>
  </si>
  <si>
    <t>Rep Comm</t>
  </si>
  <si>
    <t>Total Cost</t>
  </si>
  <si>
    <t>Margin</t>
  </si>
  <si>
    <t>Price/Sinch</t>
  </si>
  <si>
    <t>OD Sq Inch</t>
  </si>
  <si>
    <t>Frame2</t>
  </si>
  <si>
    <t>Print</t>
  </si>
  <si>
    <t>Desgnr/Retail P</t>
  </si>
  <si>
    <t>Retail Royalty</t>
  </si>
  <si>
    <t>Retail$Comm</t>
  </si>
  <si>
    <t>Ttl Cost Retail</t>
  </si>
  <si>
    <t>Retail Margin</t>
  </si>
  <si>
    <t>Column9</t>
  </si>
  <si>
    <t>GP10547-GW</t>
  </si>
  <si>
    <t>10061989GMNT</t>
  </si>
  <si>
    <t>16 DAYS OF RAIN 30X40</t>
  </si>
  <si>
    <t>Kim Frances</t>
  </si>
  <si>
    <t>30X40</t>
  </si>
  <si>
    <t>Synograph</t>
  </si>
  <si>
    <t>Canvas</t>
  </si>
  <si>
    <t>Gallery Wrap</t>
  </si>
  <si>
    <t>GW</t>
  </si>
  <si>
    <t>Inca</t>
  </si>
  <si>
    <t>40 (2-Up)</t>
  </si>
  <si>
    <t>RH</t>
  </si>
  <si>
    <t>IMAPR23</t>
  </si>
  <si>
    <t>GP1054701-GW</t>
  </si>
  <si>
    <t>10156613GMNT</t>
  </si>
  <si>
    <t>16 DAYS OF RAIN 68X90</t>
  </si>
  <si>
    <t>68X90</t>
  </si>
  <si>
    <t>SwissQ</t>
  </si>
  <si>
    <t>JUN23</t>
  </si>
  <si>
    <t>GP1054701-BF</t>
  </si>
  <si>
    <t>10156613BLK</t>
  </si>
  <si>
    <t>69X91</t>
  </si>
  <si>
    <t>Floater Frame</t>
  </si>
  <si>
    <t>BF</t>
  </si>
  <si>
    <t>GP1054701-NF</t>
  </si>
  <si>
    <t>10156613NATL</t>
  </si>
  <si>
    <t>NF</t>
  </si>
  <si>
    <t>GP1054701-GF</t>
  </si>
  <si>
    <t>10156613GLD</t>
  </si>
  <si>
    <t>GF</t>
  </si>
  <si>
    <t>GP1054702-GW</t>
  </si>
  <si>
    <t>16 DAYS OF RAIN 72X96</t>
  </si>
  <si>
    <t>72X96</t>
  </si>
  <si>
    <t>GP1054702-BC</t>
  </si>
  <si>
    <t>74X98</t>
  </si>
  <si>
    <t>Cap Frame</t>
  </si>
  <si>
    <t>BC</t>
  </si>
  <si>
    <t>GP1054702-BF</t>
  </si>
  <si>
    <t>73X97</t>
  </si>
  <si>
    <t>GP1054702-NF</t>
  </si>
  <si>
    <t>GP1054702-GF</t>
  </si>
  <si>
    <t>SP18</t>
  </si>
  <si>
    <t>GP10035-BC</t>
  </si>
  <si>
    <t>41450831BLK</t>
  </si>
  <si>
    <t>44  48X55</t>
  </si>
  <si>
    <t>Seb Sweatman</t>
  </si>
  <si>
    <t>48X55</t>
  </si>
  <si>
    <t>50X57</t>
  </si>
  <si>
    <t>COCO</t>
  </si>
  <si>
    <t>JUL22</t>
  </si>
  <si>
    <t>GP2002912-GW</t>
  </si>
  <si>
    <t>7AM 24X36</t>
  </si>
  <si>
    <t>Atlasbaba</t>
  </si>
  <si>
    <t>24X36</t>
  </si>
  <si>
    <t>REJ</t>
  </si>
  <si>
    <t>JUL23</t>
  </si>
  <si>
    <t>GP2010130-NF</t>
  </si>
  <si>
    <t>A BROWN AND A WHITE HORSE 14X10</t>
  </si>
  <si>
    <t>GP Public Domain</t>
  </si>
  <si>
    <t>14X10</t>
  </si>
  <si>
    <t>15X11</t>
  </si>
  <si>
    <t>Reductive</t>
  </si>
  <si>
    <t>Epson</t>
  </si>
  <si>
    <t>Codarus</t>
  </si>
  <si>
    <t>MAY23</t>
  </si>
  <si>
    <t>GP2000633-GW</t>
  </si>
  <si>
    <t>A DIFFERENT SHADE OF BLUE I 48X48</t>
  </si>
  <si>
    <t>Dustin Rousseau</t>
  </si>
  <si>
    <t>48X48</t>
  </si>
  <si>
    <t>GP2010121-GT</t>
  </si>
  <si>
    <t>A DOG ON A CHAIR 9X12</t>
  </si>
  <si>
    <t>9X12</t>
  </si>
  <si>
    <t>Gallery Wrap + Tacks</t>
  </si>
  <si>
    <t>GT</t>
  </si>
  <si>
    <t>IMFEB23</t>
  </si>
  <si>
    <t>GP2001940-GW</t>
  </si>
  <si>
    <t>A MOMENT OF MIST  II 42X52 (original)</t>
  </si>
  <si>
    <t>Kristin Brin</t>
  </si>
  <si>
    <t>42X52</t>
  </si>
  <si>
    <t>GP2001939-GW</t>
  </si>
  <si>
    <t>A MOMENT OF MIST I 42X52 (contemporary)</t>
  </si>
  <si>
    <t xml:space="preserve"> </t>
  </si>
  <si>
    <t>GP2001617-BF</t>
  </si>
  <si>
    <t>A WEAVER OF TALES 36X48</t>
  </si>
  <si>
    <t>Keren Toledano</t>
  </si>
  <si>
    <t>36X48</t>
  </si>
  <si>
    <t>37X49</t>
  </si>
  <si>
    <t>APR23</t>
  </si>
  <si>
    <t>GP2001617-GW</t>
  </si>
  <si>
    <t>GP10350-GW</t>
  </si>
  <si>
    <t>ABEDARE IN SPRING 24X24</t>
  </si>
  <si>
    <t>Leslie Nix</t>
  </si>
  <si>
    <t>24X24</t>
  </si>
  <si>
    <t>ARH</t>
  </si>
  <si>
    <t>AUG22</t>
  </si>
  <si>
    <t>GP2000317-BF</t>
  </si>
  <si>
    <t>ABSENT 48X48</t>
  </si>
  <si>
    <t>Christian Klingeler</t>
  </si>
  <si>
    <t>49X49</t>
  </si>
  <si>
    <t>SP21-SIZE ADD</t>
  </si>
  <si>
    <t>GP1013001-GW</t>
  </si>
  <si>
    <t>10079114GMNT</t>
  </si>
  <si>
    <t>ABSTRACT 1757 36X53 NEW SIZE</t>
  </si>
  <si>
    <t>Koen Lybaert</t>
  </si>
  <si>
    <t>36x53</t>
  </si>
  <si>
    <t>122 (2 up)</t>
  </si>
  <si>
    <t>GP1013001-NF</t>
  </si>
  <si>
    <t>10079114NATL</t>
  </si>
  <si>
    <t>37x54</t>
  </si>
  <si>
    <t>GP1013001-BC</t>
  </si>
  <si>
    <t>10079114BLK</t>
  </si>
  <si>
    <t>38x55</t>
  </si>
  <si>
    <t>SP21-FRAME ADD</t>
  </si>
  <si>
    <t>GP10130-NF</t>
  </si>
  <si>
    <t>41450799NATL</t>
  </si>
  <si>
    <t>ABSTRACT 1757 47X69</t>
  </si>
  <si>
    <t>47x69</t>
  </si>
  <si>
    <t>48X70</t>
  </si>
  <si>
    <t>59 (2 up)</t>
  </si>
  <si>
    <t>GP10130-BC</t>
  </si>
  <si>
    <t>41450799BLK</t>
  </si>
  <si>
    <t>47X69</t>
  </si>
  <si>
    <t>49X71</t>
  </si>
  <si>
    <t>GP10130-GW</t>
  </si>
  <si>
    <t>41450799GMNT</t>
  </si>
  <si>
    <t>ABSTRACT 1757 47X69 NEW FRAME</t>
  </si>
  <si>
    <t>GP1013301-GW</t>
  </si>
  <si>
    <t>10079112GMNT</t>
  </si>
  <si>
    <t>ABSTRACT 1759 36X53 NEW SIZE</t>
  </si>
  <si>
    <t>GP1013301-NF</t>
  </si>
  <si>
    <t>10079112NATL</t>
  </si>
  <si>
    <t>GP1013301-BC</t>
  </si>
  <si>
    <t>10079112BLK</t>
  </si>
  <si>
    <t>GP10133-GW</t>
  </si>
  <si>
    <t>41450775GMNT</t>
  </si>
  <si>
    <t>ABSTRACT 1759 47X69</t>
  </si>
  <si>
    <t>GP10133-NF</t>
  </si>
  <si>
    <t>41450775NATL</t>
  </si>
  <si>
    <t>GP10133-BC</t>
  </si>
  <si>
    <t>41450775BLK</t>
  </si>
  <si>
    <t>EC</t>
  </si>
  <si>
    <t>SP22</t>
  </si>
  <si>
    <t>GP1013302S-GW</t>
  </si>
  <si>
    <t>ABSTRACT 1759 48X60</t>
  </si>
  <si>
    <t>48X60</t>
  </si>
  <si>
    <t>GP1013302S-BF</t>
  </si>
  <si>
    <t>49X61</t>
  </si>
  <si>
    <t>GP1013302S-NF</t>
  </si>
  <si>
    <t>GP1013302AP-UF</t>
  </si>
  <si>
    <t>ABSTRACT 1759 48X60 ARTPROOF UNFRAMED</t>
  </si>
  <si>
    <t>Poster Paper</t>
  </si>
  <si>
    <t>Unframed</t>
  </si>
  <si>
    <t>UF</t>
  </si>
  <si>
    <t>GP1005601-GW</t>
  </si>
  <si>
    <t>ABSTRACT 2055 36X55 NEW SIZE</t>
  </si>
  <si>
    <t>GP1005601-NF</t>
  </si>
  <si>
    <t>GP1005601-BC</t>
  </si>
  <si>
    <t>GP10056-GW</t>
  </si>
  <si>
    <t>41450795GMNT</t>
  </si>
  <si>
    <t>ABSTRACT 2055 47X69</t>
  </si>
  <si>
    <t>122(2UP)</t>
  </si>
  <si>
    <t>GP10056-BC</t>
  </si>
  <si>
    <t>41450795BLK</t>
  </si>
  <si>
    <t>GP1015601-BC</t>
  </si>
  <si>
    <t>10079111BLK</t>
  </si>
  <si>
    <t>ABSTRACT 2056 36X53  NEW SIZE</t>
  </si>
  <si>
    <t>GP1015601-GW</t>
  </si>
  <si>
    <t>10079111GMNT</t>
  </si>
  <si>
    <t>ABSTRACT 2056 36X53 NEW SIZE</t>
  </si>
  <si>
    <t>GP1015601-NF</t>
  </si>
  <si>
    <t>10079111NATL</t>
  </si>
  <si>
    <t>GP10055-GW</t>
  </si>
  <si>
    <t>41450803GMNT</t>
  </si>
  <si>
    <t>ABSTRACT 2056 47X69</t>
  </si>
  <si>
    <t>GP10055-BC</t>
  </si>
  <si>
    <t>41450803BLK</t>
  </si>
  <si>
    <t>GP10055-NF</t>
  </si>
  <si>
    <t>41450803NATL</t>
  </si>
  <si>
    <t>ABSTRACT 2056 47X69 NEW FRAME</t>
  </si>
  <si>
    <t>GP1005501S-GW</t>
  </si>
  <si>
    <t>ABSTRACT 2056 48X60</t>
  </si>
  <si>
    <t>GP1005501S-BF</t>
  </si>
  <si>
    <t>GP1005501S-NF</t>
  </si>
  <si>
    <t>GP1005501AP-UF</t>
  </si>
  <si>
    <t>ABSTRACT 2056 48X60 ARTPROOF UNFRAMED</t>
  </si>
  <si>
    <t>GP10002-BC</t>
  </si>
  <si>
    <t>41450763BLK</t>
  </si>
  <si>
    <t>ABSTRACT 583  48X62</t>
  </si>
  <si>
    <t>48X62</t>
  </si>
  <si>
    <t>50X64</t>
  </si>
  <si>
    <t>GP1000201S-GW</t>
  </si>
  <si>
    <t>ABSTRACT 583 48X60</t>
  </si>
  <si>
    <t>GP1000201S-BF</t>
  </si>
  <si>
    <t>GP1000201S-NF</t>
  </si>
  <si>
    <t>GP1000201AP-UF</t>
  </si>
  <si>
    <t>ABSTRACT 583 48X60 ARTPROOF UNFRAMED</t>
  </si>
  <si>
    <t>GP10030-GW</t>
  </si>
  <si>
    <t>41450767GMNT</t>
  </si>
  <si>
    <t>ABSTRACT 779  39X55</t>
  </si>
  <si>
    <t>39X55</t>
  </si>
  <si>
    <t>GP10030-BC</t>
  </si>
  <si>
    <t>41450767BLK</t>
  </si>
  <si>
    <t>41X57</t>
  </si>
  <si>
    <t>SEP23</t>
  </si>
  <si>
    <t>GP2005550101-BA</t>
  </si>
  <si>
    <t>ACROBAT 32X44</t>
  </si>
  <si>
    <t>Henri Matisse/ARS</t>
  </si>
  <si>
    <t>32X44</t>
  </si>
  <si>
    <t>34X46</t>
  </si>
  <si>
    <t>Work on Paper</t>
  </si>
  <si>
    <t>Paper</t>
  </si>
  <si>
    <t>Cap Acrylic (No Mat)</t>
  </si>
  <si>
    <t>BA</t>
  </si>
  <si>
    <t>Canon</t>
  </si>
  <si>
    <t>NOV21</t>
  </si>
  <si>
    <t>GP2005501PO-BA</t>
  </si>
  <si>
    <t>ACROBAT 36X48 Poster Black Cap with Acrylic</t>
  </si>
  <si>
    <t>38X50</t>
  </si>
  <si>
    <t>Black Cap with Acrylic</t>
  </si>
  <si>
    <t>GP2005501PO-NA</t>
  </si>
  <si>
    <t>ACROBAT 36X48 Poster Natural Cap with Acrylic</t>
  </si>
  <si>
    <t>Natural Cap with Acrylic</t>
  </si>
  <si>
    <t>NA</t>
  </si>
  <si>
    <t>GP2005501PO-UF</t>
  </si>
  <si>
    <t>ACROBAT 36X48 Poster Unframed</t>
  </si>
  <si>
    <t>SONDER</t>
  </si>
  <si>
    <t>SO20</t>
  </si>
  <si>
    <t>GP10217R-GW</t>
  </si>
  <si>
    <t>ACROSS THE BRIDGE 16X16 R TRIPTYCH</t>
  </si>
  <si>
    <t>16x16</t>
  </si>
  <si>
    <t>SM</t>
  </si>
  <si>
    <t>GP1021701-NGM</t>
  </si>
  <si>
    <t>ACROSS THE BRIDGE 24X24</t>
  </si>
  <si>
    <t>Panel</t>
  </si>
  <si>
    <t>Gallery Mount</t>
  </si>
  <si>
    <t>NGM</t>
  </si>
  <si>
    <t>MDF</t>
  </si>
  <si>
    <t>GP10217-GW</t>
  </si>
  <si>
    <t>ACROSS THE BRIDGE A 16X16 TRIPTYCH</t>
  </si>
  <si>
    <t>40 (4-Up)</t>
  </si>
  <si>
    <t>GP200427801-NF</t>
  </si>
  <si>
    <t>ADAGIO 70X110</t>
  </si>
  <si>
    <t>Charlie Leal</t>
  </si>
  <si>
    <t>70X110</t>
  </si>
  <si>
    <t>71X111</t>
  </si>
  <si>
    <t>JUN22</t>
  </si>
  <si>
    <t>GP2004278-GC</t>
  </si>
  <si>
    <t>10123993GLD</t>
  </si>
  <si>
    <t>ADAGIO 80X64</t>
  </si>
  <si>
    <t>80X64</t>
  </si>
  <si>
    <t>81X65</t>
  </si>
  <si>
    <t>GC</t>
  </si>
  <si>
    <t xml:space="preserve">	GP2002621-NA</t>
  </si>
  <si>
    <t>AERIAL 24X32</t>
  </si>
  <si>
    <t>Mark Davies</t>
  </si>
  <si>
    <t>24X32</t>
  </si>
  <si>
    <t>26X34</t>
  </si>
  <si>
    <t>Ink Print</t>
  </si>
  <si>
    <t>OCT23</t>
  </si>
  <si>
    <t>GP2006819-GW</t>
  </si>
  <si>
    <t>AERIAL I 32X24</t>
  </si>
  <si>
    <t>Carlotta Orta</t>
  </si>
  <si>
    <t>32X24</t>
  </si>
  <si>
    <t>NOV23</t>
  </si>
  <si>
    <t>GP2006819-GF</t>
  </si>
  <si>
    <t>33X25</t>
  </si>
  <si>
    <t>GP2006819-BF</t>
  </si>
  <si>
    <t>GP2006819-WF</t>
  </si>
  <si>
    <t>WF</t>
  </si>
  <si>
    <t>GP2006820-GW</t>
  </si>
  <si>
    <t>AERIAL II 32X24</t>
  </si>
  <si>
    <t>CB2</t>
  </si>
  <si>
    <t>FL23</t>
  </si>
  <si>
    <t>GP2001106-GW</t>
  </si>
  <si>
    <t>AFTER MID MORNING 36X24</t>
  </si>
  <si>
    <t>Jeffrey Fitzgerald</t>
  </si>
  <si>
    <t>36X24</t>
  </si>
  <si>
    <t>GP2001106-CF</t>
  </si>
  <si>
    <t>37X25</t>
  </si>
  <si>
    <t>CF</t>
  </si>
  <si>
    <t>GP2001935-GW</t>
  </si>
  <si>
    <t>AFTER THE RAIN 24X24</t>
  </si>
  <si>
    <t>GP2001935-BF</t>
  </si>
  <si>
    <t>GP2001935-NF</t>
  </si>
  <si>
    <t>GP2001935-GF</t>
  </si>
  <si>
    <t>GP2001935-BC</t>
  </si>
  <si>
    <t>GP2001935-NC</t>
  </si>
  <si>
    <t>NC</t>
  </si>
  <si>
    <t>GP2001935-GC</t>
  </si>
  <si>
    <t>GP2001710-GW</t>
  </si>
  <si>
    <t>10156610GMNT</t>
  </si>
  <si>
    <t>AFTER THE RAIN 36X48</t>
  </si>
  <si>
    <t>GP2001710-GF</t>
  </si>
  <si>
    <t>10156610GLD</t>
  </si>
  <si>
    <t>GP2001710-NF</t>
  </si>
  <si>
    <t>10156610NATL</t>
  </si>
  <si>
    <t>GP2001710-BF</t>
  </si>
  <si>
    <t>10156610BLK</t>
  </si>
  <si>
    <t>EA</t>
  </si>
  <si>
    <t>JAN23</t>
  </si>
  <si>
    <t>GP2005004S-NF</t>
  </si>
  <si>
    <t>AGENT JAR 12X16</t>
  </si>
  <si>
    <t>Brian Blackham</t>
  </si>
  <si>
    <t>12X16</t>
  </si>
  <si>
    <t>13X17</t>
  </si>
  <si>
    <t>GP200500401-GW</t>
  </si>
  <si>
    <t>AGENT JAR 24X30</t>
  </si>
  <si>
    <t>24X30</t>
  </si>
  <si>
    <t>GP2005004</t>
  </si>
  <si>
    <t>AGENT JAR 26X32</t>
  </si>
  <si>
    <t>26X32</t>
  </si>
  <si>
    <t>27X32</t>
  </si>
  <si>
    <t>GP10269-BC</t>
  </si>
  <si>
    <t>AHEAD OF YOURSELF 30X40</t>
  </si>
  <si>
    <t>Suzie Jellinek</t>
  </si>
  <si>
    <t>32X42</t>
  </si>
  <si>
    <t>GP10269-BF</t>
  </si>
  <si>
    <t>31X41</t>
  </si>
  <si>
    <t>GP10269-GW</t>
  </si>
  <si>
    <t>SP19</t>
  </si>
  <si>
    <t>GP10395-NF</t>
  </si>
  <si>
    <t>10011749NATL</t>
  </si>
  <si>
    <t>AHEAD OF YOURSELF BLUE  40X30</t>
  </si>
  <si>
    <t>40X30</t>
  </si>
  <si>
    <t>41X31</t>
  </si>
  <si>
    <t>GP2003912-GW</t>
  </si>
  <si>
    <t>AKASHA I 48X48</t>
  </si>
  <si>
    <t>Tricia French</t>
  </si>
  <si>
    <t>GP2003913-GW</t>
  </si>
  <si>
    <t>AKASHA II 48X48</t>
  </si>
  <si>
    <t>GP2006834-GW</t>
  </si>
  <si>
    <t>ALABASTER 01 48X72</t>
  </si>
  <si>
    <t>48X72</t>
  </si>
  <si>
    <t>GP2006834-BF</t>
  </si>
  <si>
    <t>49X72</t>
  </si>
  <si>
    <t>GP2006835-GW</t>
  </si>
  <si>
    <t>ALABASTER 02 48X72</t>
  </si>
  <si>
    <t>GP1028201-BC</t>
  </si>
  <si>
    <t>ALL FALL DOWN   48X48</t>
  </si>
  <si>
    <t>Sallie White</t>
  </si>
  <si>
    <t>50X50</t>
  </si>
  <si>
    <t>GP10282-BC</t>
  </si>
  <si>
    <t>10011743BLK</t>
  </si>
  <si>
    <t>ALL FALL DOWN   72X72</t>
  </si>
  <si>
    <t>72X72</t>
  </si>
  <si>
    <t>74X74</t>
  </si>
  <si>
    <t>GP102821AP-UF</t>
  </si>
  <si>
    <t>ALL FALL DOWN 60X60 Art Proof Unframed</t>
  </si>
  <si>
    <t>60X60</t>
  </si>
  <si>
    <t>61X61</t>
  </si>
  <si>
    <t>GP102821S-BF</t>
  </si>
  <si>
    <t>ALL FALL DOWN 60X60 Synograph Black Float</t>
  </si>
  <si>
    <t>GP102821S-GW</t>
  </si>
  <si>
    <t>ALL FALL DOWN 60X60 Synograph Gallery Mount</t>
  </si>
  <si>
    <t>GP102821S-NF</t>
  </si>
  <si>
    <t>ALL FALL DOWN 60X60 Synograph Natural Float</t>
  </si>
  <si>
    <t>GP10285-GW</t>
  </si>
  <si>
    <t>ALL THAT REMAINS 48X48</t>
  </si>
  <si>
    <t>48x48</t>
  </si>
  <si>
    <t>FL19</t>
  </si>
  <si>
    <t>GP10158-GW</t>
  </si>
  <si>
    <t>41050854GMNT</t>
  </si>
  <si>
    <t>ALMOST BLUE IX  54X72</t>
  </si>
  <si>
    <t>54X72</t>
  </si>
  <si>
    <t>GP10158-BC</t>
  </si>
  <si>
    <t>41050854BLK</t>
  </si>
  <si>
    <t>56X74</t>
  </si>
  <si>
    <t>GP10031-GW</t>
  </si>
  <si>
    <t>41450759GMNT</t>
  </si>
  <si>
    <t>ALMOST BLUE VII  54X72</t>
  </si>
  <si>
    <t>GP10031-BC</t>
  </si>
  <si>
    <t>41450759BLK</t>
  </si>
  <si>
    <t>GP1003101S-BF</t>
  </si>
  <si>
    <t>ALMOST BLUE VII 48X60</t>
  </si>
  <si>
    <t>GP1003101S-GW</t>
  </si>
  <si>
    <t>GP1003101S-NF</t>
  </si>
  <si>
    <t>GP1003101AP-UF</t>
  </si>
  <si>
    <t>ALMOST BLUE VII 48X60 ARTPROOF UNFRAMED</t>
  </si>
  <si>
    <t>GP10159-GW</t>
  </si>
  <si>
    <t>41050848GMNT</t>
  </si>
  <si>
    <t>ALMOST BLUE VIII  54X72</t>
  </si>
  <si>
    <t>GP10159-BC</t>
  </si>
  <si>
    <t>41050848BLK</t>
  </si>
  <si>
    <t>GP10155-BC</t>
  </si>
  <si>
    <t>41050858BLK</t>
  </si>
  <si>
    <t>ALMOST BLUE X  54X48</t>
  </si>
  <si>
    <t>54X48</t>
  </si>
  <si>
    <t>56X50</t>
  </si>
  <si>
    <t>GP10156-GW</t>
  </si>
  <si>
    <t>41050859GMNT</t>
  </si>
  <si>
    <t>ALMOST BLUE XI  54X48</t>
  </si>
  <si>
    <t>GP10156-BC</t>
  </si>
  <si>
    <t>41050859BLK</t>
  </si>
  <si>
    <t>GP10157-GW</t>
  </si>
  <si>
    <t>41050856GMNT</t>
  </si>
  <si>
    <t>ALMOST BLUE XII  54X48</t>
  </si>
  <si>
    <t>GP10157-BC</t>
  </si>
  <si>
    <t>41050856BLK</t>
  </si>
  <si>
    <t>APR22</t>
  </si>
  <si>
    <t>GP10315-GW</t>
  </si>
  <si>
    <t>ALREADY THERE 36X36</t>
  </si>
  <si>
    <t>Alexandra Rose</t>
  </si>
  <si>
    <t>36X36</t>
  </si>
  <si>
    <t>SP20</t>
  </si>
  <si>
    <t>GP10386-SA</t>
  </si>
  <si>
    <t>10062091GMNT</t>
  </si>
  <si>
    <t>AME 48X48</t>
  </si>
  <si>
    <t>Michalle Sessions</t>
  </si>
  <si>
    <t>GP2001620-BF</t>
  </si>
  <si>
    <t>AN ERUDITE DELIUSION 40X30</t>
  </si>
  <si>
    <t>GP2001620-GW</t>
  </si>
  <si>
    <t>GP2003438-GW</t>
  </si>
  <si>
    <t>AN UNEXPECTED MEMORY 36X48</t>
  </si>
  <si>
    <t>GPCB169</t>
  </si>
  <si>
    <t>ANCIENT WISDOM 18X24</t>
  </si>
  <si>
    <t>18X24</t>
  </si>
  <si>
    <t>GP10525S-BF</t>
  </si>
  <si>
    <t>ANCIENT WISDOM 48X36</t>
  </si>
  <si>
    <t>48x36</t>
  </si>
  <si>
    <t>50X38</t>
  </si>
  <si>
    <t>XL</t>
  </si>
  <si>
    <t>GP10525S-GW</t>
  </si>
  <si>
    <t>GP10525S-NF</t>
  </si>
  <si>
    <t>GP10525-GW</t>
  </si>
  <si>
    <t>GP10525AP-UF</t>
  </si>
  <si>
    <t>ANCIENT WISDOM 48X36 ART PROOF</t>
  </si>
  <si>
    <t>GP10525R-GW</t>
  </si>
  <si>
    <t>ANCIENT WISDOM 48X36 R</t>
  </si>
  <si>
    <t>GP2003445-GW</t>
  </si>
  <si>
    <t>AND LATER WE'LL REMEMBER 80X64</t>
  </si>
  <si>
    <t>GP2003445-NF</t>
  </si>
  <si>
    <t>GP2003445-BF</t>
  </si>
  <si>
    <t>GP2003445-GF</t>
  </si>
  <si>
    <t>GP2003440-GW</t>
  </si>
  <si>
    <t>AND THEN LOVE I KNEW I 40X60</t>
  </si>
  <si>
    <t>40X60</t>
  </si>
  <si>
    <t>40x60</t>
  </si>
  <si>
    <t>SEP22</t>
  </si>
  <si>
    <t>GP2003440-NF</t>
  </si>
  <si>
    <t>AUG23</t>
  </si>
  <si>
    <t>GP2003440-BF</t>
  </si>
  <si>
    <t>41X61</t>
  </si>
  <si>
    <t>GP2003441-GW</t>
  </si>
  <si>
    <t>AND THEN LOVE I KNEW II 40X60</t>
  </si>
  <si>
    <t>GP2003441-NF</t>
  </si>
  <si>
    <t>GP2003441-BF</t>
  </si>
  <si>
    <t>GP2003442-GW</t>
  </si>
  <si>
    <t>AND YOU WILL SAY NO WONDER THE BIRDS FLEW AWAY 110X72</t>
  </si>
  <si>
    <t>110X72</t>
  </si>
  <si>
    <t>GP2003442-GF</t>
  </si>
  <si>
    <t>111X73</t>
  </si>
  <si>
    <t>GPCB46</t>
  </si>
  <si>
    <t>ANOTHER PLACE</t>
  </si>
  <si>
    <t>16x20</t>
  </si>
  <si>
    <t>GPCB47</t>
  </si>
  <si>
    <t>GP2010122-WA</t>
  </si>
  <si>
    <t>ANTIQUE BUST OF CONSPICUOUS WOMAN 10X12</t>
  </si>
  <si>
    <t>10X12</t>
  </si>
  <si>
    <t>12X14</t>
  </si>
  <si>
    <t>WA</t>
  </si>
  <si>
    <t>GP2010122-WHCA</t>
  </si>
  <si>
    <t>WHCA</t>
  </si>
  <si>
    <t>GP201012201-BA</t>
  </si>
  <si>
    <t>ANTIQUE BUST OF CONSPICUOUS WOMAN 16X20</t>
  </si>
  <si>
    <t>19x23</t>
  </si>
  <si>
    <t>Black Shadow Box</t>
  </si>
  <si>
    <t>PIW.5</t>
  </si>
  <si>
    <t>GP201012201-NA</t>
  </si>
  <si>
    <t>Natural Shadow Box</t>
  </si>
  <si>
    <t>GP201012201-WA</t>
  </si>
  <si>
    <t>19X23</t>
  </si>
  <si>
    <t>GP201012201-WHCA</t>
  </si>
  <si>
    <t>16X20</t>
  </si>
  <si>
    <t>18x22</t>
  </si>
  <si>
    <t>GP10433-GW</t>
  </si>
  <si>
    <t>10029357GMNT</t>
  </si>
  <si>
    <t>ANYONE YOU OPEN  48X60</t>
  </si>
  <si>
    <t>GP2001104-GW</t>
  </si>
  <si>
    <t>APRIL INTO MAY 40X30</t>
  </si>
  <si>
    <t>GP2001104-GW        B</t>
  </si>
  <si>
    <t>NOV20</t>
  </si>
  <si>
    <t>GP200460801-GW</t>
  </si>
  <si>
    <t>10076045GMNT</t>
  </si>
  <si>
    <t>ARCHITECTONIC 21 48X35</t>
  </si>
  <si>
    <t>Loren Yagoda</t>
  </si>
  <si>
    <t>48x35</t>
  </si>
  <si>
    <t>JUN21</t>
  </si>
  <si>
    <t>GP200460801S-GW</t>
  </si>
  <si>
    <t>SR-ART-79454-U</t>
  </si>
  <si>
    <t>GP2004608-GW</t>
  </si>
  <si>
    <t>10076043GMNT</t>
  </si>
  <si>
    <t>ARCHITECTONIC 21 64X46</t>
  </si>
  <si>
    <t>64x46</t>
  </si>
  <si>
    <t>GP2004608S-GW</t>
  </si>
  <si>
    <t>SR-ART-48435-P</t>
  </si>
  <si>
    <t>GP10497-GW</t>
  </si>
  <si>
    <t>10062103GMNT</t>
  </si>
  <si>
    <t>ARTIFICE 40X54</t>
  </si>
  <si>
    <t>40X54</t>
  </si>
  <si>
    <t>GP2002629-BF</t>
  </si>
  <si>
    <t>10097795BLK</t>
  </si>
  <si>
    <t>ARTIFICE BLACK 40X54</t>
  </si>
  <si>
    <t>40x54</t>
  </si>
  <si>
    <t>41X55</t>
  </si>
  <si>
    <t xml:space="preserve">       </t>
  </si>
  <si>
    <t>GP2002630-BF</t>
  </si>
  <si>
    <t>ARTIFICE GREY 40X54</t>
  </si>
  <si>
    <t>GP10497-NF</t>
  </si>
  <si>
    <t>10062103NATL</t>
  </si>
  <si>
    <t>ARTIFICE WHITE 40X54</t>
  </si>
  <si>
    <t>GP2003437-GW</t>
  </si>
  <si>
    <t>AS WE ARE NO LONGER 30X40</t>
  </si>
  <si>
    <t>GP10337-BF</t>
  </si>
  <si>
    <t>ASLEEP IN THE FIELD   36X48</t>
  </si>
  <si>
    <t>Isabella Innis</t>
  </si>
  <si>
    <t>RH DSC</t>
  </si>
  <si>
    <t>GP10224-BC</t>
  </si>
  <si>
    <t>10011719BLK</t>
  </si>
  <si>
    <t>GP2005205-BF</t>
  </si>
  <si>
    <t>ATLAND 48X48</t>
  </si>
  <si>
    <t>Garrett Low</t>
  </si>
  <si>
    <t>MALIBU SEP23</t>
  </si>
  <si>
    <t>GP2004807-BF</t>
  </si>
  <si>
    <t>ATMOSPHERIC CURRENTS 60X40</t>
  </si>
  <si>
    <t>Mark Russell Jones</t>
  </si>
  <si>
    <t>60X40</t>
  </si>
  <si>
    <t>61X41</t>
  </si>
  <si>
    <t>Reductive+</t>
  </si>
  <si>
    <t>SwissQ V</t>
  </si>
  <si>
    <t>PL</t>
  </si>
  <si>
    <t>GP1006206-GC</t>
  </si>
  <si>
    <t>10123994GOLD</t>
  </si>
  <si>
    <t>AUGEAT 48X60</t>
  </si>
  <si>
    <t>Vito Lorusso</t>
  </si>
  <si>
    <t>RHC</t>
  </si>
  <si>
    <t>GP1006206-GW</t>
  </si>
  <si>
    <t>GP2005111S-NGM</t>
  </si>
  <si>
    <t>AUSPEX 24X30</t>
  </si>
  <si>
    <t>Alison Van Pelt</t>
  </si>
  <si>
    <t>24x30</t>
  </si>
  <si>
    <t>OCT21</t>
  </si>
  <si>
    <t>GP2005111-NGM</t>
  </si>
  <si>
    <t>GP2005111AP-UF</t>
  </si>
  <si>
    <t>AUSPEX 24X30 Art Proof Unframed</t>
  </si>
  <si>
    <t>AUG20</t>
  </si>
  <si>
    <t>GP10341-GW</t>
  </si>
  <si>
    <t>10062104GMNT</t>
  </si>
  <si>
    <t>AUTUMN 30X40</t>
  </si>
  <si>
    <t>SO21</t>
  </si>
  <si>
    <t>GP1034101-GW</t>
  </si>
  <si>
    <t>AUTUMN 45X60</t>
  </si>
  <si>
    <t>45x60</t>
  </si>
  <si>
    <t>IMJUN23</t>
  </si>
  <si>
    <t>GP2000320-GW</t>
  </si>
  <si>
    <t>AUTUMN CREEK 25X31</t>
  </si>
  <si>
    <t>25X31</t>
  </si>
  <si>
    <t>GP200032001-GW</t>
  </si>
  <si>
    <t>10180206GMNT</t>
  </si>
  <si>
    <t>AUTUMN CREEK 48X60</t>
  </si>
  <si>
    <t>GP200032001-BC</t>
  </si>
  <si>
    <t>50X62</t>
  </si>
  <si>
    <t>GP200032001-GC</t>
  </si>
  <si>
    <t>10180206GLD</t>
  </si>
  <si>
    <t>GP2000321-GW</t>
  </si>
  <si>
    <t>AUTUMN RESOLVE 25X31</t>
  </si>
  <si>
    <t>GP20038091S-BF</t>
  </si>
  <si>
    <t>BALANCE OF NATURE I 48X60</t>
  </si>
  <si>
    <t>Tania Dibbs</t>
  </si>
  <si>
    <t>GP20038091S-GW</t>
  </si>
  <si>
    <t>GP20038091S-NF</t>
  </si>
  <si>
    <t>GP20038091AP-UF</t>
  </si>
  <si>
    <t>BALANCE OF NATURE I 48X60 ART PROOF</t>
  </si>
  <si>
    <t>JUL20</t>
  </si>
  <si>
    <t>GP2003809-GW</t>
  </si>
  <si>
    <t>10063425GMNT</t>
  </si>
  <si>
    <t>BALANCE OF NATURE I 60X72</t>
  </si>
  <si>
    <t>60X72</t>
  </si>
  <si>
    <t>GP2003810-BF</t>
  </si>
  <si>
    <t>BALANCE OF NATURE II 48X60</t>
  </si>
  <si>
    <t>GP2003810-GW</t>
  </si>
  <si>
    <t>GP2003810-NF</t>
  </si>
  <si>
    <t>GP20038101AP-UF</t>
  </si>
  <si>
    <t>BALANCE OF NATURE II 48X60 ART PROOF</t>
  </si>
  <si>
    <t>10063424GMNT</t>
  </si>
  <si>
    <t>BALANCE OF NATURE II 60X72</t>
  </si>
  <si>
    <t>GP1003901-GW</t>
  </si>
  <si>
    <t>BARCELONA 40X30</t>
  </si>
  <si>
    <t>Kali Sanders</t>
  </si>
  <si>
    <t>GP10039-GW</t>
  </si>
  <si>
    <t>BARCELONA 60X48</t>
  </si>
  <si>
    <t>60X48</t>
  </si>
  <si>
    <t>GP10039-BC</t>
  </si>
  <si>
    <t>41450847BLK</t>
  </si>
  <si>
    <t>62X50</t>
  </si>
  <si>
    <t>GP1006701-GW</t>
  </si>
  <si>
    <t>BARN 20X16</t>
  </si>
  <si>
    <t>20X16</t>
  </si>
  <si>
    <t>AP</t>
  </si>
  <si>
    <t>GP10067-GW</t>
  </si>
  <si>
    <t>BARN 20X24</t>
  </si>
  <si>
    <t>20X24</t>
  </si>
  <si>
    <t>GP103581S-GW</t>
  </si>
  <si>
    <t>BASIN 36X30</t>
  </si>
  <si>
    <t>Wes Aderhold</t>
  </si>
  <si>
    <t>36X30</t>
  </si>
  <si>
    <t>GP10358-GW</t>
  </si>
  <si>
    <t>10062033GMNT</t>
  </si>
  <si>
    <t>BASIN 72X60</t>
  </si>
  <si>
    <t>72X60</t>
  </si>
  <si>
    <t>GP10358-GC</t>
  </si>
  <si>
    <t>73X61</t>
  </si>
  <si>
    <t>GP2001907-GW</t>
  </si>
  <si>
    <t>BEACH  60X40</t>
  </si>
  <si>
    <t>60x40</t>
  </si>
  <si>
    <t>GP10148R01-GW</t>
  </si>
  <si>
    <t>10079118GMNT</t>
  </si>
  <si>
    <t>BEATA  36X53</t>
  </si>
  <si>
    <t>GP10148R01-NF</t>
  </si>
  <si>
    <t>10079118NATL</t>
  </si>
  <si>
    <t>63 (2-UP)</t>
  </si>
  <si>
    <t>GP10148R01-BC</t>
  </si>
  <si>
    <t>10079118BLK</t>
  </si>
  <si>
    <t>DISC</t>
  </si>
  <si>
    <t>X-SP18</t>
  </si>
  <si>
    <t>GP10148-NF</t>
  </si>
  <si>
    <t>10001966NATL</t>
  </si>
  <si>
    <t>BEATA  49X72</t>
  </si>
  <si>
    <t>50x73</t>
  </si>
  <si>
    <t>PETG48</t>
  </si>
  <si>
    <t>GP10148R-GW</t>
  </si>
  <si>
    <t>10062468GMNT</t>
  </si>
  <si>
    <t>GP10148R-BC</t>
  </si>
  <si>
    <t>10062468BLK</t>
  </si>
  <si>
    <t>51X74</t>
  </si>
  <si>
    <t>GP2001433R-GW</t>
  </si>
  <si>
    <t>BEATA 40X60 R SONDER</t>
  </si>
  <si>
    <t>XXL</t>
  </si>
  <si>
    <t>GP2001433-GW</t>
  </si>
  <si>
    <t>BEATA 40X60 SONDER</t>
  </si>
  <si>
    <t>GP2004802-BF</t>
  </si>
  <si>
    <t>BEFORE NOW 16X20</t>
  </si>
  <si>
    <t>17X21</t>
  </si>
  <si>
    <t>GP2000226-NF</t>
  </si>
  <si>
    <t>BEFORE THE STORM 30X40</t>
  </si>
  <si>
    <t>GP200193801-GW</t>
  </si>
  <si>
    <t>BEFORE THE SUN 12X12</t>
  </si>
  <si>
    <t>12X12</t>
  </si>
  <si>
    <t>GP2001938-GW</t>
  </si>
  <si>
    <t>BEFORE THE SUN 24X24</t>
  </si>
  <si>
    <t>GP1050201L-GW</t>
  </si>
  <si>
    <t>BEGINNINGS 36X36 L</t>
  </si>
  <si>
    <t>Low Texture</t>
  </si>
  <si>
    <t>53 (2 UP)</t>
  </si>
  <si>
    <t>GP10502-GW</t>
  </si>
  <si>
    <t>10062032GMNT</t>
  </si>
  <si>
    <t>BEGINNINGS 60X60</t>
  </si>
  <si>
    <t>GP10502L-GW</t>
  </si>
  <si>
    <t>BEGINNINGS 60X60 L</t>
  </si>
  <si>
    <t>GP200192401-GW</t>
  </si>
  <si>
    <t>BELIEVE IN THE BEACH 56X34</t>
  </si>
  <si>
    <t>56X34</t>
  </si>
  <si>
    <t>GP2001924-GW</t>
  </si>
  <si>
    <t>BELIEVE IN THE BEACH 70X43</t>
  </si>
  <si>
    <t>70X43</t>
  </si>
  <si>
    <t>GP2005109-NGM</t>
  </si>
  <si>
    <t>BELONGING TO DREAMTIME 24X30</t>
  </si>
  <si>
    <t>GP2005109AP-UF</t>
  </si>
  <si>
    <t xml:space="preserve">BELONGING TO DREAMTIME 24X30 Art Proof </t>
  </si>
  <si>
    <t>GP10503-SA</t>
  </si>
  <si>
    <t>10062031GMNT</t>
  </si>
  <si>
    <t>BERLIN 36X48</t>
  </si>
  <si>
    <t>FEB22</t>
  </si>
  <si>
    <t>GP1000001-GW</t>
  </si>
  <si>
    <t>BERLINER  32X26</t>
  </si>
  <si>
    <t>32X26</t>
  </si>
  <si>
    <t>GP10000-GW</t>
  </si>
  <si>
    <t>41450839GMNT</t>
  </si>
  <si>
    <t>BERLINER  76X54</t>
  </si>
  <si>
    <t>76X54</t>
  </si>
  <si>
    <t>GP10000-BC</t>
  </si>
  <si>
    <t>41450839BLK</t>
  </si>
  <si>
    <t>78X56</t>
  </si>
  <si>
    <t>GP2004801-BF</t>
  </si>
  <si>
    <t>BEYOND THE CLEARING 30X20</t>
  </si>
  <si>
    <t>30X20</t>
  </si>
  <si>
    <t>31X21</t>
  </si>
  <si>
    <t>GP2004801-NF</t>
  </si>
  <si>
    <t>JAN22</t>
  </si>
  <si>
    <t>GP200450801-BF</t>
  </si>
  <si>
    <t>BIANCO DESERTO   36X45</t>
  </si>
  <si>
    <t>Fabian Albertini</t>
  </si>
  <si>
    <t>36X45</t>
  </si>
  <si>
    <t>37X46</t>
  </si>
  <si>
    <t>JAN 21</t>
  </si>
  <si>
    <t>GP2004508-BF</t>
  </si>
  <si>
    <t>BIANCO DESERTO   47X59</t>
  </si>
  <si>
    <t>47X59</t>
  </si>
  <si>
    <t>GP200450901-BF</t>
  </si>
  <si>
    <t>BIANCO DESERTO VII 36X45</t>
  </si>
  <si>
    <t>GP2004509-BF</t>
  </si>
  <si>
    <t>BIANCO DESERTO VII 47X59</t>
  </si>
  <si>
    <t>GP2004510-BF</t>
  </si>
  <si>
    <t>BIANCO DESERTO XI 39X39</t>
  </si>
  <si>
    <t>39X39</t>
  </si>
  <si>
    <t>40X40</t>
  </si>
  <si>
    <t>GP200451101-BF</t>
  </si>
  <si>
    <t>BIANCO DESERTO XV 36X45</t>
  </si>
  <si>
    <t>GP2004511-BF</t>
  </si>
  <si>
    <t>BIANCO DESERTO XV 47X59</t>
  </si>
  <si>
    <t>GP200450201-BF</t>
  </si>
  <si>
    <t>10076294BLK</t>
  </si>
  <si>
    <t>BIANCO I 36X27</t>
  </si>
  <si>
    <t>36X27</t>
  </si>
  <si>
    <t>37X28</t>
  </si>
  <si>
    <t>40 (3 UP)</t>
  </si>
  <si>
    <t>GP2004502-BF</t>
  </si>
  <si>
    <t>10076297BLK</t>
  </si>
  <si>
    <t>BIANCO I 52X39</t>
  </si>
  <si>
    <t>52X39</t>
  </si>
  <si>
    <t>53X40</t>
  </si>
  <si>
    <t>GP2004503-BF</t>
  </si>
  <si>
    <t>10076300BLK</t>
  </si>
  <si>
    <t>BIANCO V 39X39</t>
  </si>
  <si>
    <t>GP200450101-BF</t>
  </si>
  <si>
    <t>10076302BLK</t>
  </si>
  <si>
    <t>BIANCO VI 36X27</t>
  </si>
  <si>
    <t>GP2004501-BF</t>
  </si>
  <si>
    <t>10076295BLK</t>
  </si>
  <si>
    <t>BIANCO VI 52X39</t>
  </si>
  <si>
    <t>GP200183301-GW</t>
  </si>
  <si>
    <t>10093225GMNT</t>
  </si>
  <si>
    <t>BIG SUR 48X33</t>
  </si>
  <si>
    <t>48x33</t>
  </si>
  <si>
    <t>GP2001833-GW</t>
  </si>
  <si>
    <t>10088667GMNT</t>
  </si>
  <si>
    <t>BIG SUR 68X47</t>
  </si>
  <si>
    <t>68x47</t>
  </si>
  <si>
    <t>GP2001616-BF</t>
  </si>
  <si>
    <t>BIRD ON A WIRE 36X48</t>
  </si>
  <si>
    <t>GP2001616-GW</t>
  </si>
  <si>
    <t>GP10498-GW</t>
  </si>
  <si>
    <t>BLACK AND WHITE 12X12</t>
  </si>
  <si>
    <t>Ruth Shively</t>
  </si>
  <si>
    <t>GP10025-BF</t>
  </si>
  <si>
    <t>41450835BLK</t>
  </si>
  <si>
    <t>BLACK DIESEL  36X48</t>
  </si>
  <si>
    <t>37x49</t>
  </si>
  <si>
    <t>Textures</t>
  </si>
  <si>
    <t>TX</t>
  </si>
  <si>
    <t>PVC</t>
  </si>
  <si>
    <t>GP10136-BF</t>
  </si>
  <si>
    <t>41450807BLK</t>
  </si>
  <si>
    <t>BLACK DRIFTWOOD  39X39</t>
  </si>
  <si>
    <t>Paul Van Rij</t>
  </si>
  <si>
    <t>MAR23</t>
  </si>
  <si>
    <t>GP11288-GW</t>
  </si>
  <si>
    <t>BLACK HORSE 20X16</t>
  </si>
  <si>
    <t>GP11288-GT</t>
  </si>
  <si>
    <t>GP11288-NF</t>
  </si>
  <si>
    <t>21X17</t>
  </si>
  <si>
    <t>GP11288-WF</t>
  </si>
  <si>
    <t>GP11288-BF</t>
  </si>
  <si>
    <t>GP11288-NC</t>
  </si>
  <si>
    <t>22X18</t>
  </si>
  <si>
    <t>GP11288-BC</t>
  </si>
  <si>
    <t>GP11288-CB</t>
  </si>
  <si>
    <t>23X19</t>
  </si>
  <si>
    <t>Capitol B</t>
  </si>
  <si>
    <t>CB</t>
  </si>
  <si>
    <t>GP1128801-WF</t>
  </si>
  <si>
    <t>BLACK HORSE 31X39</t>
  </si>
  <si>
    <t>31X39</t>
  </si>
  <si>
    <t>32X40</t>
  </si>
  <si>
    <t>GP10474-BA</t>
  </si>
  <si>
    <t>10062058BLK</t>
  </si>
  <si>
    <t>BLACK NOTE I 26X35 WAS BLUE NOTE</t>
  </si>
  <si>
    <t>26X35</t>
  </si>
  <si>
    <t>28X37</t>
  </si>
  <si>
    <t>GP10475-BA</t>
  </si>
  <si>
    <t>10062055BLK</t>
  </si>
  <si>
    <t>BLACK NOTE II 26X35 WAS BLUE NOTE</t>
  </si>
  <si>
    <t>ARH/Codaras</t>
  </si>
  <si>
    <t>GP10222-NGM</t>
  </si>
  <si>
    <t>BLACK SEA 24X24</t>
  </si>
  <si>
    <t>GP200450401-BF</t>
  </si>
  <si>
    <t>BLACK SEA I 36X45</t>
  </si>
  <si>
    <t>GP2004504-BF</t>
  </si>
  <si>
    <t>BLACK SEA I 47X59</t>
  </si>
  <si>
    <t>GP200450501-BF</t>
  </si>
  <si>
    <t>BLACK SEA II 36X45</t>
  </si>
  <si>
    <t>GP2004505-BF</t>
  </si>
  <si>
    <t>BLACK SEA II 47X59</t>
  </si>
  <si>
    <t>GP200450601-BF</t>
  </si>
  <si>
    <t>BLACK SEA III 36X45</t>
  </si>
  <si>
    <t>GP2004506-BF</t>
  </si>
  <si>
    <t>BLACK SEA III 47X59</t>
  </si>
  <si>
    <t>GP2004523-BF</t>
  </si>
  <si>
    <t>BLACK SEA IV 55X70</t>
  </si>
  <si>
    <t>55X70</t>
  </si>
  <si>
    <t>56X71</t>
  </si>
  <si>
    <t>GP2004524-BF</t>
  </si>
  <si>
    <t>BLACK SEA V 39X47</t>
  </si>
  <si>
    <t>39X47</t>
  </si>
  <si>
    <t>40X48</t>
  </si>
  <si>
    <t>GP2004525-BF</t>
  </si>
  <si>
    <t>BLACK SEA VI 39X47</t>
  </si>
  <si>
    <t>GP2006831-GW</t>
  </si>
  <si>
    <t>BLISS 48X48</t>
  </si>
  <si>
    <t>GP2006831-BF</t>
  </si>
  <si>
    <t>GPCB07</t>
  </si>
  <si>
    <t>BLOCKAGE (YELLOW)</t>
  </si>
  <si>
    <t>John Baldessari</t>
  </si>
  <si>
    <t>52x71</t>
  </si>
  <si>
    <t>GPCB08</t>
  </si>
  <si>
    <t>GP2004526-BF</t>
  </si>
  <si>
    <t>BLUE E ROSSO V 48X60</t>
  </si>
  <si>
    <t>GP2004526-GW</t>
  </si>
  <si>
    <t>GP2004526-NF</t>
  </si>
  <si>
    <t>GP2004526AP-UF</t>
  </si>
  <si>
    <t>BLUE E ROSSO V 48X60 Art Proof Unframed</t>
  </si>
  <si>
    <t>GP10476-BA</t>
  </si>
  <si>
    <t>10062056BLK</t>
  </si>
  <si>
    <t>BLUE NOTE III 26X35</t>
  </si>
  <si>
    <t>GP10477-BA</t>
  </si>
  <si>
    <t>10062061BLK</t>
  </si>
  <si>
    <t>BLUE NOTE IV 26X35</t>
  </si>
  <si>
    <t>CBT20</t>
  </si>
  <si>
    <t>GP2004201-GW</t>
  </si>
  <si>
    <t>BLUE SCRIBBLES  42X42</t>
  </si>
  <si>
    <t>42x42</t>
  </si>
  <si>
    <t>GPCB13</t>
  </si>
  <si>
    <t>BLUE WHITE</t>
  </si>
  <si>
    <t>Ellsworth Kelly</t>
  </si>
  <si>
    <t>67x85</t>
  </si>
  <si>
    <t>GPCB14</t>
  </si>
  <si>
    <t>GP10426-GW</t>
  </si>
  <si>
    <t>10029677GMNT</t>
  </si>
  <si>
    <t>BLUED  58X72</t>
  </si>
  <si>
    <t>58X72</t>
  </si>
  <si>
    <t>Sedona</t>
  </si>
  <si>
    <t>GP2000814-BF</t>
  </si>
  <si>
    <t>BLUR II 24X36</t>
  </si>
  <si>
    <t>George Glass</t>
  </si>
  <si>
    <t>25X37</t>
  </si>
  <si>
    <t>GP200081401-BA</t>
  </si>
  <si>
    <t>26X38</t>
  </si>
  <si>
    <t>PAPER</t>
  </si>
  <si>
    <t>GP10353-BC</t>
  </si>
  <si>
    <t>10011697BLK</t>
  </si>
  <si>
    <t>BLURSKOPPLE   48X72</t>
  </si>
  <si>
    <t>Jason Adkins</t>
  </si>
  <si>
    <t>50X74</t>
  </si>
  <si>
    <t>GP2003433-GW</t>
  </si>
  <si>
    <t>10088661GMNT</t>
  </si>
  <si>
    <t>BORROWED MEMORY 60X30</t>
  </si>
  <si>
    <t>60x30</t>
  </si>
  <si>
    <t xml:space="preserve">	GP2002618-NA</t>
  </si>
  <si>
    <t>BOTANIST 24X32</t>
  </si>
  <si>
    <t>24 x 32</t>
  </si>
  <si>
    <t>26 x 34</t>
  </si>
  <si>
    <t xml:space="preserve">  </t>
  </si>
  <si>
    <t>GP10500X-GW</t>
  </si>
  <si>
    <t>BOTTOM OF THE LAKE I 36X48</t>
  </si>
  <si>
    <t>GP10500-GW</t>
  </si>
  <si>
    <t>10062027GMNT</t>
  </si>
  <si>
    <t>BOTTOM OF THE LAKE I 60X72</t>
  </si>
  <si>
    <t>60x72</t>
  </si>
  <si>
    <t>GP10501X-P</t>
  </si>
  <si>
    <t>BOTTOM OF THE LAKE II 36X48</t>
  </si>
  <si>
    <t>GP10501-GW</t>
  </si>
  <si>
    <t>BOTTOM OF THE LAKE II 60X72</t>
  </si>
  <si>
    <t>GPCB65</t>
  </si>
  <si>
    <t>BOUQUET II</t>
  </si>
  <si>
    <t>Peter Halasz</t>
  </si>
  <si>
    <t>20x28</t>
  </si>
  <si>
    <t>GP1024003-GW</t>
  </si>
  <si>
    <t>BOXED MOON 36X36</t>
  </si>
  <si>
    <t>GP10240S-NGM</t>
  </si>
  <si>
    <t>36x36</t>
  </si>
  <si>
    <t>GP10240-NGM</t>
  </si>
  <si>
    <t>GP10240AP-UF</t>
  </si>
  <si>
    <t>BOXED MOON 36X36 Art Proof Unframed</t>
  </si>
  <si>
    <t>GP1024002-GW</t>
  </si>
  <si>
    <t>BOXED MOON 60X60</t>
  </si>
  <si>
    <t>GP1024001-GW</t>
  </si>
  <si>
    <t>BOXED MOON 72X72</t>
  </si>
  <si>
    <t>GP2010132-BA</t>
  </si>
  <si>
    <t>BRANCH WITH YOUNG SHOOTS 8X12</t>
  </si>
  <si>
    <t>8X12</t>
  </si>
  <si>
    <t>10X14</t>
  </si>
  <si>
    <t>GP200191001-GW</t>
  </si>
  <si>
    <t>10103370GMNT</t>
  </si>
  <si>
    <t>BRIGHT MOMENT 48X48</t>
  </si>
  <si>
    <t>GP2001910-GW</t>
  </si>
  <si>
    <t>BRIGHT MOMENT 72X72</t>
  </si>
  <si>
    <t>72x72</t>
  </si>
  <si>
    <t>GP2001711-GW</t>
  </si>
  <si>
    <t>BRONZE BRICK ROAD 36X48</t>
  </si>
  <si>
    <t>GP200171101-GW</t>
  </si>
  <si>
    <t>10156611GMNT</t>
  </si>
  <si>
    <t>BRONZE BRICK ROAD 48X64</t>
  </si>
  <si>
    <t>48X64</t>
  </si>
  <si>
    <t>GP200171101-NF</t>
  </si>
  <si>
    <t>10156611NATL</t>
  </si>
  <si>
    <t>49X65</t>
  </si>
  <si>
    <t>GP200171101-GF</t>
  </si>
  <si>
    <t>10156611GLD</t>
  </si>
  <si>
    <t>GP200171101-BF</t>
  </si>
  <si>
    <t>10156611BLK</t>
  </si>
  <si>
    <t>GP2010124-GT</t>
  </si>
  <si>
    <t>BROOK  IN THE WOODS NEAR OOSTERBEEK 16X20</t>
  </si>
  <si>
    <t>GP2005302WP-BA</t>
  </si>
  <si>
    <t xml:space="preserve">BROOKLYN WOOD II 16X20 </t>
  </si>
  <si>
    <t>Mary Reilly</t>
  </si>
  <si>
    <t>GP2005302WP-NA</t>
  </si>
  <si>
    <t>GP2005302WP-UF</t>
  </si>
  <si>
    <t>GPCB36</t>
  </si>
  <si>
    <t>BROOKLYN WOODS II</t>
  </si>
  <si>
    <t>18x24</t>
  </si>
  <si>
    <t>GPCB37</t>
  </si>
  <si>
    <t>GP1128401-GW</t>
  </si>
  <si>
    <t>BROWN HORSE 16X20</t>
  </si>
  <si>
    <t>GP1128401-GT</t>
  </si>
  <si>
    <t>GP1128401-NF</t>
  </si>
  <si>
    <t>GP1128401-WF</t>
  </si>
  <si>
    <t>GP1128401-BF</t>
  </si>
  <si>
    <t>GP1128401-NC</t>
  </si>
  <si>
    <t>18X22</t>
  </si>
  <si>
    <t>GP1128401-BC</t>
  </si>
  <si>
    <t>GP1128401-CB</t>
  </si>
  <si>
    <t>GP11284-WF</t>
  </si>
  <si>
    <t>BROWN HORSE 30X20</t>
  </si>
  <si>
    <t>GP10354R-BF</t>
  </si>
  <si>
    <t>10062469BLK</t>
  </si>
  <si>
    <t>BUILDT (PROCESSION)   72X48</t>
  </si>
  <si>
    <t>72x48</t>
  </si>
  <si>
    <t>73X49</t>
  </si>
  <si>
    <t>GP10354-GW</t>
  </si>
  <si>
    <t>10029388GMNT</t>
  </si>
  <si>
    <t>BUILDT (PROCESSION)  48X72</t>
  </si>
  <si>
    <t>X-FL19</t>
  </si>
  <si>
    <t>GP10354-BF</t>
  </si>
  <si>
    <t>10029388BLK</t>
  </si>
  <si>
    <t>49X73</t>
  </si>
  <si>
    <t>GP10142-CB</t>
  </si>
  <si>
    <t>BUSTER 12X16</t>
  </si>
  <si>
    <t>15X19</t>
  </si>
  <si>
    <t>GP10142R-GW</t>
  </si>
  <si>
    <t>BUSTER 16X20</t>
  </si>
  <si>
    <t>HP</t>
  </si>
  <si>
    <t>GP10142R-CB</t>
  </si>
  <si>
    <t>GP10142R-BF</t>
  </si>
  <si>
    <t>GP10142R-GT</t>
  </si>
  <si>
    <t>GP11875-BA</t>
  </si>
  <si>
    <t>BUTTERFLY STUDY II 14X20</t>
  </si>
  <si>
    <t>14X20</t>
  </si>
  <si>
    <t>16X22</t>
  </si>
  <si>
    <t>GP11874-BA</t>
  </si>
  <si>
    <t>BUTTERLFY STUDY I 14X20</t>
  </si>
  <si>
    <t>GP10343-NGM</t>
  </si>
  <si>
    <t>BUZIOS SUNRISE 24X24</t>
  </si>
  <si>
    <t>GP2004277-GA</t>
  </si>
  <si>
    <t>10123773GLD</t>
  </si>
  <si>
    <t>CADENCE 48X60</t>
  </si>
  <si>
    <t>Shadow Box</t>
  </si>
  <si>
    <t>GA</t>
  </si>
  <si>
    <t>FEB23 size ex</t>
  </si>
  <si>
    <t>GP200427701-GA</t>
  </si>
  <si>
    <t>CADENCE 60X75 (straight mount 2' mat to show)</t>
  </si>
  <si>
    <t>60X75</t>
  </si>
  <si>
    <t>65X80</t>
  </si>
  <si>
    <t>paper</t>
  </si>
  <si>
    <t>CAIRN I 16X20</t>
  </si>
  <si>
    <t>ENK</t>
  </si>
  <si>
    <t>OCT22</t>
  </si>
  <si>
    <t>GP2004253-BF</t>
  </si>
  <si>
    <t>CAIRN III 16X20</t>
  </si>
  <si>
    <t>GP200425301-GW</t>
  </si>
  <si>
    <t>CAIRN III 30X40</t>
  </si>
  <si>
    <t>30x40</t>
  </si>
  <si>
    <t>GP2004254-BF</t>
  </si>
  <si>
    <t>CAIRN IV 16X20</t>
  </si>
  <si>
    <t>GP2004255-GW</t>
  </si>
  <si>
    <t>CAIRN V 30X40</t>
  </si>
  <si>
    <t>GP2004256-BF</t>
  </si>
  <si>
    <t>CAIRN VI 16X20</t>
  </si>
  <si>
    <t>GP200425601-GW</t>
  </si>
  <si>
    <t>CAIRN VI 30X40</t>
  </si>
  <si>
    <t>GP2004257-GW</t>
  </si>
  <si>
    <t>CAIRN VII 30X40</t>
  </si>
  <si>
    <t>GP2000616-GW</t>
  </si>
  <si>
    <t>10088643GMNT</t>
  </si>
  <si>
    <t>CALLIGRAPHY 48X48</t>
  </si>
  <si>
    <t>59 (2 rolls)</t>
  </si>
  <si>
    <t>GP10248-BF</t>
  </si>
  <si>
    <t>CANAL LUST 48X60</t>
  </si>
  <si>
    <t>GP10248-NF</t>
  </si>
  <si>
    <t>CARMEL BY THE SEA 60X60</t>
  </si>
  <si>
    <t xml:space="preserve">	GP2003427-GW</t>
  </si>
  <si>
    <t>10088695GMNT</t>
  </si>
  <si>
    <t>CAUGHT IN THE LIGHT I 48X60</t>
  </si>
  <si>
    <t>48x60</t>
  </si>
  <si>
    <t xml:space="preserve">	GP2003428-GW</t>
  </si>
  <si>
    <t>10088669GMNT</t>
  </si>
  <si>
    <t>CAUGHT IN THE LIGHT II 48X60</t>
  </si>
  <si>
    <t>GP2005211-GW</t>
  </si>
  <si>
    <t>CEIL 48X60</t>
  </si>
  <si>
    <t xml:space="preserve">	GP2004623-GW</t>
  </si>
  <si>
    <t>10088666GMNT</t>
  </si>
  <si>
    <t>CENTERED 101 54X63</t>
  </si>
  <si>
    <t>54x63</t>
  </si>
  <si>
    <t xml:space="preserve">	GP2004623R-GW</t>
  </si>
  <si>
    <t>GP2004622-GW</t>
  </si>
  <si>
    <t>10088686GMNT</t>
  </si>
  <si>
    <t>CENTERED I 54X63</t>
  </si>
  <si>
    <t>AUG21</t>
  </si>
  <si>
    <t>GP2004622S-GW</t>
  </si>
  <si>
    <t>SR-ART-23120-8</t>
  </si>
  <si>
    <t>GP2003313-BF</t>
  </si>
  <si>
    <t>CHANEL NO.5  24X24</t>
  </si>
  <si>
    <t>25X25</t>
  </si>
  <si>
    <t>GP2003313-GW</t>
  </si>
  <si>
    <t>24x24</t>
  </si>
  <si>
    <t>40 (3-Up)</t>
  </si>
  <si>
    <t>GP2001615-NF</t>
  </si>
  <si>
    <t>CHARCOAL AND FENNEL 24X36</t>
  </si>
  <si>
    <t>24x36</t>
  </si>
  <si>
    <t>GP2010101-CB</t>
  </si>
  <si>
    <t>CHARLES 20X16</t>
  </si>
  <si>
    <t>GP2001905-GW</t>
  </si>
  <si>
    <t>10062098GMNT</t>
  </si>
  <si>
    <t>CHARMED WATERS RISE 48X60</t>
  </si>
  <si>
    <t>GP200190501-GW</t>
  </si>
  <si>
    <t>10145077GMNT</t>
  </si>
  <si>
    <t>CHARMED WATERS RISE 56X70</t>
  </si>
  <si>
    <t>56X70</t>
  </si>
  <si>
    <t>GP2010133-GT</t>
  </si>
  <si>
    <t>CHESTNUT 20X16</t>
  </si>
  <si>
    <t>GP11872-BA</t>
  </si>
  <si>
    <t>CHESTNUT LEAVES 12X16</t>
  </si>
  <si>
    <t>14X18</t>
  </si>
  <si>
    <t>GP11872-CBA</t>
  </si>
  <si>
    <t>CBA</t>
  </si>
  <si>
    <t>GP2005007-NF</t>
  </si>
  <si>
    <t>CHILLED WATER 24X24</t>
  </si>
  <si>
    <t>25x25</t>
  </si>
  <si>
    <t>69 (2-UP)</t>
  </si>
  <si>
    <t>GP2005007</t>
  </si>
  <si>
    <t>CHILLED WATER 32X36</t>
  </si>
  <si>
    <t>32X36</t>
  </si>
  <si>
    <t>33X36</t>
  </si>
  <si>
    <t>GP2010134-WF</t>
  </si>
  <si>
    <t>CHRISTOPHLE LE MORE 8X12</t>
  </si>
  <si>
    <t>9X13</t>
  </si>
  <si>
    <t>GPCB15</t>
  </si>
  <si>
    <t>CIRCLE FROM THE NEW YORK COLLECTION</t>
  </si>
  <si>
    <t>Sol LeWitt</t>
  </si>
  <si>
    <t>9x9</t>
  </si>
  <si>
    <t>GPCB16</t>
  </si>
  <si>
    <t>GP2002627-NA</t>
  </si>
  <si>
    <t>CISTERN 24X32</t>
  </si>
  <si>
    <t>GPCB09</t>
  </si>
  <si>
    <t>CITY</t>
  </si>
  <si>
    <t>Phillip Guston</t>
  </si>
  <si>
    <t>30x20</t>
  </si>
  <si>
    <t>GPCB10</t>
  </si>
  <si>
    <t>GP2005001</t>
  </si>
  <si>
    <t>CITY BOTTLES</t>
  </si>
  <si>
    <t>54X42</t>
  </si>
  <si>
    <t>55X43</t>
  </si>
  <si>
    <t>GP2005001-NF</t>
  </si>
  <si>
    <t>CITY BOTTLES 60X48</t>
  </si>
  <si>
    <t>61X49</t>
  </si>
  <si>
    <t>GP2005001-GW</t>
  </si>
  <si>
    <t>GP2005001-BF</t>
  </si>
  <si>
    <t>GP2005001-BC</t>
  </si>
  <si>
    <t>GP2005001-NC</t>
  </si>
  <si>
    <t>GP2010135-WA</t>
  </si>
  <si>
    <t>CITYSCAPE 12X8</t>
  </si>
  <si>
    <t>12X8</t>
  </si>
  <si>
    <t>GP200010301-NF</t>
  </si>
  <si>
    <t>CLARITY II 24X36</t>
  </si>
  <si>
    <t>Adriana Jimenez Blanchet</t>
  </si>
  <si>
    <t>GP200010301-GW</t>
  </si>
  <si>
    <t>GP2000103-GW</t>
  </si>
  <si>
    <t>CLARITY II 36X47</t>
  </si>
  <si>
    <t>36X47</t>
  </si>
  <si>
    <t>GP2000105-GW</t>
  </si>
  <si>
    <t>CLARITY V 47X47</t>
  </si>
  <si>
    <t>47X47</t>
  </si>
  <si>
    <t>GP2000112-GW</t>
  </si>
  <si>
    <t>CLARITY VI 36X36</t>
  </si>
  <si>
    <t>GP2000107-GW</t>
  </si>
  <si>
    <t>CLARITY VII 39X47</t>
  </si>
  <si>
    <t>GP10223-GW</t>
  </si>
  <si>
    <t>10011724GMNT</t>
  </si>
  <si>
    <t>CLAY ROMANCE   36X48</t>
  </si>
  <si>
    <t>GP10223-BC</t>
  </si>
  <si>
    <t>10011724BLK</t>
  </si>
  <si>
    <t>GP2005016</t>
  </si>
  <si>
    <t>CLEAR WATER 9X10</t>
  </si>
  <si>
    <t>9X10</t>
  </si>
  <si>
    <t>10X11</t>
  </si>
  <si>
    <t>GP2001923-GW</t>
  </si>
  <si>
    <t>CLEAR WHISPER 38X23</t>
  </si>
  <si>
    <t>38X23</t>
  </si>
  <si>
    <t>63 (tile 4)</t>
  </si>
  <si>
    <t>MAR22</t>
  </si>
  <si>
    <t>GP2001923R-GW</t>
  </si>
  <si>
    <t>GP2001915-GW</t>
  </si>
  <si>
    <t>CLIFTON BLUFF 16X20</t>
  </si>
  <si>
    <t>53 (tile 6)</t>
  </si>
  <si>
    <t>GP2001915R-GW</t>
  </si>
  <si>
    <t>GP200191501-GW</t>
  </si>
  <si>
    <t>CLIFTON BLUFF 32X40</t>
  </si>
  <si>
    <t>32x40</t>
  </si>
  <si>
    <t>GP2001916-GW</t>
  </si>
  <si>
    <t>CLIFTON CANYON 16X20</t>
  </si>
  <si>
    <t>GP200191601-GW</t>
  </si>
  <si>
    <t>CLIFTON CANYON 32X40</t>
  </si>
  <si>
    <t>GP2006510-NA</t>
  </si>
  <si>
    <t>CLOUDS AGAINST BLUE SKY 20X16</t>
  </si>
  <si>
    <t>GP2010136-GT</t>
  </si>
  <si>
    <t>CLOVER FLOWERS 13X11</t>
  </si>
  <si>
    <t>13X11</t>
  </si>
  <si>
    <t>GP2004273-GF</t>
  </si>
  <si>
    <t>CODA 48X60</t>
  </si>
  <si>
    <t>GP2004273-GC</t>
  </si>
  <si>
    <t>10123501GLD</t>
  </si>
  <si>
    <t>GP200427301-GC</t>
  </si>
  <si>
    <t>CODA 56X70</t>
  </si>
  <si>
    <t>GP200427302-BF</t>
  </si>
  <si>
    <t>CODA 65X90</t>
  </si>
  <si>
    <t>65X90</t>
  </si>
  <si>
    <t>66X91</t>
  </si>
  <si>
    <t>GP2001919-GW</t>
  </si>
  <si>
    <t>COFFEE CANYON 12X14</t>
  </si>
  <si>
    <t>40 (tile 6)</t>
  </si>
  <si>
    <t>GP200191901-GW</t>
  </si>
  <si>
    <t>COFFEE CANYON 24X28</t>
  </si>
  <si>
    <t>24x28</t>
  </si>
  <si>
    <t>GP2000313-BF</t>
  </si>
  <si>
    <t>COFFEE ON CANVAS I 60X48</t>
  </si>
  <si>
    <t>IMSEP23</t>
  </si>
  <si>
    <t>GP2000313-GW</t>
  </si>
  <si>
    <t>GP2000314-BF</t>
  </si>
  <si>
    <t>COFFEE ON CANVAS II 60X48</t>
  </si>
  <si>
    <t>GP2000314-GW</t>
  </si>
  <si>
    <t>GP2006103-GW</t>
  </si>
  <si>
    <t>COLLAGE BiANCO  A 30X40</t>
  </si>
  <si>
    <t>Kim Fonder</t>
  </si>
  <si>
    <t>GP200610301-GW</t>
  </si>
  <si>
    <t>COLLAGE BIANCO A 60X80</t>
  </si>
  <si>
    <t>60X80</t>
  </si>
  <si>
    <t>GP200610301-GF</t>
  </si>
  <si>
    <t>61X81</t>
  </si>
  <si>
    <t>NOV24</t>
  </si>
  <si>
    <t>GP200610301-BF</t>
  </si>
  <si>
    <t>NOV25</t>
  </si>
  <si>
    <t>GP200610301-WF</t>
  </si>
  <si>
    <t>GP200610301-BC</t>
  </si>
  <si>
    <t>62X82</t>
  </si>
  <si>
    <t>olorblind</t>
  </si>
  <si>
    <t>GP10012-BF</t>
  </si>
  <si>
    <t>41450871BLK</t>
  </si>
  <si>
    <t>COLLAGE I  20X24</t>
  </si>
  <si>
    <t>21X25</t>
  </si>
  <si>
    <t>Update Print to GP</t>
  </si>
  <si>
    <t>GP10013-BF</t>
  </si>
  <si>
    <t>41450863BLK</t>
  </si>
  <si>
    <t>COLLAGE II  20X24</t>
  </si>
  <si>
    <t>GP10014-BF</t>
  </si>
  <si>
    <t>41450859BLK</t>
  </si>
  <si>
    <t>COLLAGE III  20X24</t>
  </si>
  <si>
    <t>GP10015-BF</t>
  </si>
  <si>
    <t>41450855BLK</t>
  </si>
  <si>
    <t>COLLAGE IV  20X24</t>
  </si>
  <si>
    <t>KUSH</t>
  </si>
  <si>
    <t>GP10015-GC</t>
  </si>
  <si>
    <t>22X26</t>
  </si>
  <si>
    <t>GP1001501S-BF</t>
  </si>
  <si>
    <t>COLORBLIND 60X36</t>
  </si>
  <si>
    <t>60X36</t>
  </si>
  <si>
    <t>61X37</t>
  </si>
  <si>
    <t>GP1001501S-GW</t>
  </si>
  <si>
    <t>GP1001501S-NF</t>
  </si>
  <si>
    <t>GP100501AP-UF</t>
  </si>
  <si>
    <t>COLORBLIND 60X36 ARTPROOF UNFRAMED</t>
  </si>
  <si>
    <t>GP200460701-GW</t>
  </si>
  <si>
    <t>10076021GMNT</t>
  </si>
  <si>
    <t>COLORBLIND 72X42</t>
  </si>
  <si>
    <t>72x42</t>
  </si>
  <si>
    <t>GP2004607-GW</t>
  </si>
  <si>
    <t>10076026GMNT</t>
  </si>
  <si>
    <t>COLORBLIND 96X56</t>
  </si>
  <si>
    <t>96x56</t>
  </si>
  <si>
    <t>GP1024301S-NF</t>
  </si>
  <si>
    <t>COLOSSEUM   48X60</t>
  </si>
  <si>
    <t>GP1024301S-NGM</t>
  </si>
  <si>
    <t>GP10243-NGM</t>
  </si>
  <si>
    <t>10011729GMNT</t>
  </si>
  <si>
    <t>GP10243-NF</t>
  </si>
  <si>
    <t>10011729NATL</t>
  </si>
  <si>
    <t>GP1024301S-BF</t>
  </si>
  <si>
    <t>GP10243-BF</t>
  </si>
  <si>
    <t>10011729BLCK</t>
  </si>
  <si>
    <t>GP1024301AP-UF</t>
  </si>
  <si>
    <t xml:space="preserve">   </t>
  </si>
  <si>
    <t>COLOSSEUM   48X60 ARTPROOF UNFRAMED</t>
  </si>
  <si>
    <t>COMING HOME 60X60</t>
  </si>
  <si>
    <t>GP10079-GW</t>
  </si>
  <si>
    <t>COMMODORE 64 30X40</t>
  </si>
  <si>
    <t>GP2010120-WA</t>
  </si>
  <si>
    <t>COMPOSITION 16X24</t>
  </si>
  <si>
    <t>16X24</t>
  </si>
  <si>
    <t>18X26</t>
  </si>
  <si>
    <t>WC</t>
  </si>
  <si>
    <t>GP201012001-WA</t>
  </si>
  <si>
    <t>COMPOSITION 24X36</t>
  </si>
  <si>
    <t>GP10294-BF</t>
  </si>
  <si>
    <t>10011734BLK</t>
  </si>
  <si>
    <t>COMPOSITION IN BLACK &amp; WHITE I   20X24</t>
  </si>
  <si>
    <t>Daniela Schweinsberg</t>
  </si>
  <si>
    <t>GP2000401-BF</t>
  </si>
  <si>
    <t>10103747BLK</t>
  </si>
  <si>
    <t>GP10296-BF</t>
  </si>
  <si>
    <t>10011735BLK</t>
  </si>
  <si>
    <t>COMPOSITION IN BLACK &amp; WHITE II  20X24</t>
  </si>
  <si>
    <t>GP2000402-BF</t>
  </si>
  <si>
    <t>10103748BLK</t>
  </si>
  <si>
    <t>GP10293-BF</t>
  </si>
  <si>
    <t>10011732BLK</t>
  </si>
  <si>
    <t>COMPOSITION IN BLACK &amp; WHITE III  20X24</t>
  </si>
  <si>
    <t>GP2000403-BF</t>
  </si>
  <si>
    <t>10103745BLK</t>
  </si>
  <si>
    <t>GP10295-BF</t>
  </si>
  <si>
    <t>10011733BLK</t>
  </si>
  <si>
    <t>COMPOSITION IN BLACK &amp; WHITE IV  20X24</t>
  </si>
  <si>
    <t>GP2000404-BF</t>
  </si>
  <si>
    <t>10103746BLK</t>
  </si>
  <si>
    <t>Steward</t>
  </si>
  <si>
    <t>GP1022501-GW</t>
  </si>
  <si>
    <t>CONEJO I 20X30</t>
  </si>
  <si>
    <t>20X30</t>
  </si>
  <si>
    <t>GP10225-GW</t>
  </si>
  <si>
    <t>CONEJO I 36X48</t>
  </si>
  <si>
    <t>GP10299-GW</t>
  </si>
  <si>
    <t>CONEJO II 36X48</t>
  </si>
  <si>
    <t>GP2004017-GW</t>
  </si>
  <si>
    <t>10062029GMNT</t>
  </si>
  <si>
    <t>CONFINEMENT I 28X35</t>
  </si>
  <si>
    <t>28X35</t>
  </si>
  <si>
    <t>GP2004018-GW</t>
  </si>
  <si>
    <t>10063412GMNT</t>
  </si>
  <si>
    <t>CONFINEMENT II 28X35</t>
  </si>
  <si>
    <t>GP2004019-GW</t>
  </si>
  <si>
    <t>10063413GMNT</t>
  </si>
  <si>
    <t>CONFINEMENT III 28X35</t>
  </si>
  <si>
    <t>GP2004020-GW</t>
  </si>
  <si>
    <t>10063410GMNT</t>
  </si>
  <si>
    <t>CONFINEMENT IV 28X35</t>
  </si>
  <si>
    <t>GP10270-GW</t>
  </si>
  <si>
    <t>10011718GMNT</t>
  </si>
  <si>
    <t>CONNOTATIONS   48X48</t>
  </si>
  <si>
    <t>GP10270-NC</t>
  </si>
  <si>
    <t>10011718NATL</t>
  </si>
  <si>
    <t>GP2000803-WA</t>
  </si>
  <si>
    <t>CONTACT III 8X12</t>
  </si>
  <si>
    <t>Cap Acrylic w/Matt</t>
  </si>
  <si>
    <t>GP2000807-WA</t>
  </si>
  <si>
    <t>CONTACT VII 8X12</t>
  </si>
  <si>
    <t>GP10509-SA</t>
  </si>
  <si>
    <t>10062092GMNT</t>
  </si>
  <si>
    <t>CONTINUALLY YOU 60X48</t>
  </si>
  <si>
    <t>GP200461501-GW</t>
  </si>
  <si>
    <t>10076025GMNT</t>
  </si>
  <si>
    <t>CONUNDRUM 17 36X45</t>
  </si>
  <si>
    <t>36x45</t>
  </si>
  <si>
    <t>GP20046151S-BF</t>
  </si>
  <si>
    <t>CONUNDRUM 17 48X60</t>
  </si>
  <si>
    <t>GP20046151S-GW</t>
  </si>
  <si>
    <t>GP20046151S-NF</t>
  </si>
  <si>
    <t>GP2004615-GW</t>
  </si>
  <si>
    <t>10076029GMNT</t>
  </si>
  <si>
    <t>GP20046151AP-UF</t>
  </si>
  <si>
    <t>CONUNDRUM 17 48X60 ARTPROOF UNFRAMED</t>
  </si>
  <si>
    <t>GP2005012</t>
  </si>
  <si>
    <t>CORK, WOOD, METAL LID</t>
  </si>
  <si>
    <t>46X34</t>
  </si>
  <si>
    <t>47X35</t>
  </si>
  <si>
    <t>GP200501201-GW</t>
  </si>
  <si>
    <t>CORK, WOOD, METAL LID 30X20</t>
  </si>
  <si>
    <t>GP200501201-NF</t>
  </si>
  <si>
    <t>GP2005012-NF</t>
  </si>
  <si>
    <t>CORK, WOOD, METAL LID 48X36</t>
  </si>
  <si>
    <t>48X36</t>
  </si>
  <si>
    <t>49X37</t>
  </si>
  <si>
    <t>GP2002628-NA</t>
  </si>
  <si>
    <t>COTTAGE 24X32</t>
  </si>
  <si>
    <t>GP-10363-BA</t>
  </si>
  <si>
    <t>COUNTRYSIDE I</t>
  </si>
  <si>
    <t>19X19</t>
  </si>
  <si>
    <t>21X21</t>
  </si>
  <si>
    <t>GP10363-BA</t>
  </si>
  <si>
    <t xml:space="preserve">	GP10364-BA</t>
  </si>
  <si>
    <t>COUNTRYSIDE II</t>
  </si>
  <si>
    <t xml:space="preserve">	GP10365-BA</t>
  </si>
  <si>
    <t>COUNTRYSIDE III</t>
  </si>
  <si>
    <t>GP2006836-GW</t>
  </si>
  <si>
    <t>COURAGE 48X72</t>
  </si>
  <si>
    <t>GP2006836-BF</t>
  </si>
  <si>
    <t>GP2003808-SA</t>
  </si>
  <si>
    <t>COVERED SUNSET  48X60</t>
  </si>
  <si>
    <t>GP2005014</t>
  </si>
  <si>
    <t>CREAMER JAR</t>
  </si>
  <si>
    <t>GP2004911-GW</t>
  </si>
  <si>
    <t>CRÈME TRIPTYCH  I 26X26</t>
  </si>
  <si>
    <t>Marcia Priestley</t>
  </si>
  <si>
    <t>26X26</t>
  </si>
  <si>
    <t>GP2004911-BF</t>
  </si>
  <si>
    <t>27X27</t>
  </si>
  <si>
    <t>GP2004911-BC</t>
  </si>
  <si>
    <t>28X28</t>
  </si>
  <si>
    <t>GP2004912-GW</t>
  </si>
  <si>
    <t>CRÈME TRIPTYCH II 26X26</t>
  </si>
  <si>
    <t>GP2004913-GW</t>
  </si>
  <si>
    <t>CRÈME TRIPTYCH III 26X26</t>
  </si>
  <si>
    <t>GPCB137</t>
  </si>
  <si>
    <t>DAISIES</t>
  </si>
  <si>
    <t>GP11871-BA</t>
  </si>
  <si>
    <t>DANCING WOMAN 16x20</t>
  </si>
  <si>
    <t>GP11871-CBA</t>
  </si>
  <si>
    <t>Capitol B W/GLAZE</t>
  </si>
  <si>
    <t>GP2010137-BA</t>
  </si>
  <si>
    <t>DANDELION 7X11</t>
  </si>
  <si>
    <t>7X11</t>
  </si>
  <si>
    <t>GP2002909-CF</t>
  </si>
  <si>
    <t>DAPHNE 40X30</t>
  </si>
  <si>
    <t>GP2002909-GW</t>
  </si>
  <si>
    <t>10088694GMNT</t>
  </si>
  <si>
    <t>40x30</t>
  </si>
  <si>
    <t>GP10114-GW</t>
  </si>
  <si>
    <t>DARK MOON 60X48</t>
  </si>
  <si>
    <t>GP10513-GW</t>
  </si>
  <si>
    <t>DARKENED 12X12</t>
  </si>
  <si>
    <t>GP2004512-BF</t>
  </si>
  <si>
    <t>DEEPER STILL I 35X47</t>
  </si>
  <si>
    <t>35X47</t>
  </si>
  <si>
    <t>GP200451501-BF</t>
  </si>
  <si>
    <t>DEEPER STILL II 36X45</t>
  </si>
  <si>
    <t>GP2004515-BF</t>
  </si>
  <si>
    <t>DEEPER STILL II 47X59</t>
  </si>
  <si>
    <t>GP200451601-BF</t>
  </si>
  <si>
    <t>DEEPER STILL III 36X45</t>
  </si>
  <si>
    <t>GP2004516-BF</t>
  </si>
  <si>
    <t>DEEPER STILL III 47X59</t>
  </si>
  <si>
    <t>GP2004513-BF</t>
  </si>
  <si>
    <t>DEEPER STILL IV 35X47</t>
  </si>
  <si>
    <t>GP2004514-BF</t>
  </si>
  <si>
    <t>DEEPER STILL V  35X47</t>
  </si>
  <si>
    <t>GP20045141S-GW</t>
  </si>
  <si>
    <t xml:space="preserve">DEEPER STILL V 36X48   </t>
  </si>
  <si>
    <t>GP20045141S-BF</t>
  </si>
  <si>
    <t>Black Float</t>
  </si>
  <si>
    <t>GP20045141S-NF</t>
  </si>
  <si>
    <t>Natural Float</t>
  </si>
  <si>
    <t>GP20045141AP-UF</t>
  </si>
  <si>
    <t>DEEPER STILL V 36X48   Art Proof Unframed</t>
  </si>
  <si>
    <t>GP200451701-BF</t>
  </si>
  <si>
    <t>DEEPER STILL VI 36X45</t>
  </si>
  <si>
    <t>GP2004517-BF</t>
  </si>
  <si>
    <t>DEEPER STILL VI 47X59</t>
  </si>
  <si>
    <t>GP20045171S-GW</t>
  </si>
  <si>
    <t xml:space="preserve">DEEPER STILL VI 48X60 </t>
  </si>
  <si>
    <t>GP20045171S-BF</t>
  </si>
  <si>
    <t>49x59</t>
  </si>
  <si>
    <t>GP20045171S-NF</t>
  </si>
  <si>
    <t>GP20045171AP-UF</t>
  </si>
  <si>
    <t>DEEPER STILL VI 48X60 Art Proof Unframed</t>
  </si>
  <si>
    <t>GP200451801-BF</t>
  </si>
  <si>
    <t>DEEPER STILL VII 36X45</t>
  </si>
  <si>
    <t>GP2004518-BF</t>
  </si>
  <si>
    <t>DEEPER STILL VII 47X59</t>
  </si>
  <si>
    <t>GP20045181S-GW</t>
  </si>
  <si>
    <t xml:space="preserve">DEEPER STILL VII 48X60 </t>
  </si>
  <si>
    <t>GP20045181S-BF</t>
  </si>
  <si>
    <t>GP20045181S-NF</t>
  </si>
  <si>
    <t>GP20045181AP-UF</t>
  </si>
  <si>
    <t>DEEPER STILL VII 48X60 Art Proof Unframed</t>
  </si>
  <si>
    <t>IMJUL23</t>
  </si>
  <si>
    <t>GP2006821-GW</t>
  </si>
  <si>
    <t>DENSITY I 60X48</t>
  </si>
  <si>
    <t>GP2006821-BF</t>
  </si>
  <si>
    <t>GP2006822-GW</t>
  </si>
  <si>
    <t>DENSITY II 60X48</t>
  </si>
  <si>
    <t>GP11303-BA</t>
  </si>
  <si>
    <t>DESIGN FOR A CHAIR I 16X20</t>
  </si>
  <si>
    <t>Cap Acrylic</t>
  </si>
  <si>
    <t>GP2010128-NA</t>
  </si>
  <si>
    <t>DESIGN FOR A HALL PIECE 7X11</t>
  </si>
  <si>
    <t>GP11302-BA</t>
  </si>
  <si>
    <t>DESIGN FOR A MONUMENTAL BENCH 16X20</t>
  </si>
  <si>
    <t>GP2006001-BF</t>
  </si>
  <si>
    <t>DISCOVERY 48X48</t>
  </si>
  <si>
    <t>Toni Scott</t>
  </si>
  <si>
    <t>GP2006001-WF</t>
  </si>
  <si>
    <t>GP2006001-GW</t>
  </si>
  <si>
    <t>GP2006841-GW</t>
  </si>
  <si>
    <t>DISSENT 48X72</t>
  </si>
  <si>
    <t>GP2006841-BF</t>
  </si>
  <si>
    <t>OCT20</t>
  </si>
  <si>
    <t>GP2004229-GW</t>
  </si>
  <si>
    <t>10074844GMNT</t>
  </si>
  <si>
    <t>DISTANCE I 80X64</t>
  </si>
  <si>
    <t>80x64</t>
  </si>
  <si>
    <t>82 CUT</t>
  </si>
  <si>
    <t>GP2004230-GW</t>
  </si>
  <si>
    <t>10074842GMNT</t>
  </si>
  <si>
    <t>DISTANCE II 80X64</t>
  </si>
  <si>
    <t>GP2004237-GW</t>
  </si>
  <si>
    <t>10074841GMNT</t>
  </si>
  <si>
    <t>DISTANCE III 80X64</t>
  </si>
  <si>
    <t>GP2004238-GW</t>
  </si>
  <si>
    <t>10074850GMNT</t>
  </si>
  <si>
    <t>DISTANCE IV 80X64</t>
  </si>
  <si>
    <t>GP2001931-NF</t>
  </si>
  <si>
    <t>DISTANT SHORE 60X40</t>
  </si>
  <si>
    <t>GP10542-SA</t>
  </si>
  <si>
    <t>10062080GMNT</t>
  </si>
  <si>
    <t>DO NOT GO QUIETLY 36X72</t>
  </si>
  <si>
    <t>72x36</t>
  </si>
  <si>
    <t>GP2005602</t>
  </si>
  <si>
    <t>DOLLAR SIGN 12X17</t>
  </si>
  <si>
    <t>Andy Warhol</t>
  </si>
  <si>
    <t>12x17</t>
  </si>
  <si>
    <t>GP2001435-NF</t>
  </si>
  <si>
    <t>DOMME 60X40</t>
  </si>
  <si>
    <t>GP2010207-CB</t>
  </si>
  <si>
    <t>DON MIGUEL DE CASTRO, EMISSARY OF KONGO 9X10</t>
  </si>
  <si>
    <t>12X13</t>
  </si>
  <si>
    <t>GP10431-GW</t>
  </si>
  <si>
    <t>10029363GMNT</t>
  </si>
  <si>
    <t>DON'T LOOK DOWN  60X48</t>
  </si>
  <si>
    <t>GP1043101-GW</t>
  </si>
  <si>
    <t>10145076GMNT</t>
  </si>
  <si>
    <t>DON'T LOOK DOWN 70X56</t>
  </si>
  <si>
    <t>70X56</t>
  </si>
  <si>
    <t>GP2005701-UF</t>
  </si>
  <si>
    <t>DOVE OF PEACE 20X16</t>
  </si>
  <si>
    <t>Pablo Picasso</t>
  </si>
  <si>
    <t>20x16</t>
  </si>
  <si>
    <t>GP2005701-BA</t>
  </si>
  <si>
    <t>GP2005701-NA</t>
  </si>
  <si>
    <t>GP2005701-AP</t>
  </si>
  <si>
    <t>DOVE OF PEACE 20X16 ART PROOF</t>
  </si>
  <si>
    <t>GP2010138-BA</t>
  </si>
  <si>
    <t>DRAWING OF NASTURTIUMS 7X10</t>
  </si>
  <si>
    <t>6X7</t>
  </si>
  <si>
    <t>GP10001-BC</t>
  </si>
  <si>
    <t>41450879BLK</t>
  </si>
  <si>
    <t>DRESSAGE  72X36</t>
  </si>
  <si>
    <t>72X36</t>
  </si>
  <si>
    <t>74X38</t>
  </si>
  <si>
    <t>GP10001-GF</t>
  </si>
  <si>
    <t>41450879GLD</t>
  </si>
  <si>
    <t>73X37</t>
  </si>
  <si>
    <t>GP2000232-BC</t>
  </si>
  <si>
    <t>10123769BLK</t>
  </si>
  <si>
    <t>DRIFT 72X48</t>
  </si>
  <si>
    <t>72X48</t>
  </si>
  <si>
    <t>GP2000232-GF</t>
  </si>
  <si>
    <t>GP2000411-GW</t>
  </si>
  <si>
    <t>DRIFT LINE  42X51</t>
  </si>
  <si>
    <t>42x51</t>
  </si>
  <si>
    <t>GP2003908-GW</t>
  </si>
  <si>
    <t>DRISHTI I 36X48</t>
  </si>
  <si>
    <t>GP2003909-GW</t>
  </si>
  <si>
    <t>DRISHTI II 36X48</t>
  </si>
  <si>
    <t>GP2010139-NA</t>
  </si>
  <si>
    <t>DUCHESSE D'ANGOULEME PEARS 6X5</t>
  </si>
  <si>
    <t>6X5</t>
  </si>
  <si>
    <t>GP2010140-WF</t>
  </si>
  <si>
    <t>DUNE LANDSCAPE 23X14</t>
  </si>
  <si>
    <t>23X14</t>
  </si>
  <si>
    <t>24X15</t>
  </si>
  <si>
    <t>GP2006826-GW</t>
  </si>
  <si>
    <t>10180199GMNT</t>
  </si>
  <si>
    <t>EARTHWARE I 48X60</t>
  </si>
  <si>
    <t>GP2006826-NF</t>
  </si>
  <si>
    <t>GP2006826-GF</t>
  </si>
  <si>
    <t>GP2006826-BF</t>
  </si>
  <si>
    <t>GP2006827-GW</t>
  </si>
  <si>
    <t>EARTHWARE II 48X60</t>
  </si>
  <si>
    <t>GP2006827-BF</t>
  </si>
  <si>
    <t>GP2006827-NF</t>
  </si>
  <si>
    <t>GPCB11</t>
  </si>
  <si>
    <t>EAST RIVER</t>
  </si>
  <si>
    <t>100x47</t>
  </si>
  <si>
    <t>GPCB12</t>
  </si>
  <si>
    <t>GP200022101-GW</t>
  </si>
  <si>
    <t>ECHO IN THE CANYON I 24X36</t>
  </si>
  <si>
    <t>GP2000221-GW</t>
  </si>
  <si>
    <t>ECHO IN THE CANYON I 40X60</t>
  </si>
  <si>
    <t>GP2000222-GW</t>
  </si>
  <si>
    <t>ECHO IN THE CANYON II 40X60</t>
  </si>
  <si>
    <t xml:space="preserve">	GP2002409-GW</t>
  </si>
  <si>
    <t>10088642GMNT</t>
  </si>
  <si>
    <t>ECLIPSE 48X48</t>
  </si>
  <si>
    <t>GP2002409R-GW</t>
  </si>
  <si>
    <t>SR-ART-71537-O</t>
  </si>
  <si>
    <t>ECLIPSE 48X48 R SONDER</t>
  </si>
  <si>
    <t>GP2002409S1-GW</t>
  </si>
  <si>
    <t>ECLIPSE 48X48 SONDER</t>
  </si>
  <si>
    <t>HS</t>
  </si>
  <si>
    <t>GP10041-GW</t>
  </si>
  <si>
    <t>EL TORO 24X36</t>
  </si>
  <si>
    <t>GP2005009</t>
  </si>
  <si>
    <t>EMERGING BOTTLES</t>
  </si>
  <si>
    <t>18X23</t>
  </si>
  <si>
    <t>19X24</t>
  </si>
  <si>
    <t>GP10462-GW</t>
  </si>
  <si>
    <t>EMOTIONS IN MOTION I 16X20</t>
  </si>
  <si>
    <t>Nicholas Tramontin</t>
  </si>
  <si>
    <t>GP10463-GW</t>
  </si>
  <si>
    <t>EMOTIONS IN MOTION II 16X20</t>
  </si>
  <si>
    <t>GP10464-GW</t>
  </si>
  <si>
    <t>EMOTIONS IN MOTION III 16X20</t>
  </si>
  <si>
    <t>GP10465-GW</t>
  </si>
  <si>
    <t>EMOTIONS IN MOTION IV 16X20</t>
  </si>
  <si>
    <t>GP10467-GW</t>
  </si>
  <si>
    <t>EMOTIONS IN MOTION VI 16X20</t>
  </si>
  <si>
    <t>GP10466-GW</t>
  </si>
  <si>
    <t>EMOTIONS IN MOTION-V 16X20</t>
  </si>
  <si>
    <t>GP2010141-NA</t>
  </si>
  <si>
    <t>EMPEROR ALEXANDER APPLES 3X4</t>
  </si>
  <si>
    <t>3X4</t>
  </si>
  <si>
    <t>8X10</t>
  </si>
  <si>
    <t>IMMAR23</t>
  </si>
  <si>
    <t>GP200630601-GW</t>
  </si>
  <si>
    <t>ENCAUSTIC SSTUDY IV 30X30</t>
  </si>
  <si>
    <t>Dara Barker</t>
  </si>
  <si>
    <t>30X30</t>
  </si>
  <si>
    <t>GP2006303-GW</t>
  </si>
  <si>
    <t>10156616GMNT</t>
  </si>
  <si>
    <t>ENCAUSTIC STUDY I 48X36</t>
  </si>
  <si>
    <t>GP2006304-GW</t>
  </si>
  <si>
    <t>10156615GMNT</t>
  </si>
  <si>
    <t>ENCAUSTIC STUDY II 48X36</t>
  </si>
  <si>
    <t>GP2006304-NF</t>
  </si>
  <si>
    <t>10156615NATL</t>
  </si>
  <si>
    <t>GP2006304-GF</t>
  </si>
  <si>
    <t>10156615GLD</t>
  </si>
  <si>
    <t>GP2006305-GW</t>
  </si>
  <si>
    <t>ENCAUSTIC STUDY III 20X30</t>
  </si>
  <si>
    <t>GP2006306-GW</t>
  </si>
  <si>
    <t>ENCAUSTIC STUDY IV 36X36</t>
  </si>
  <si>
    <t>GP2006307-GW</t>
  </si>
  <si>
    <t>10156621GMNT</t>
  </si>
  <si>
    <t>ENCAUSTIC STUDY V 30X30</t>
  </si>
  <si>
    <t>GP2006307-GF</t>
  </si>
  <si>
    <t>10156621GLD</t>
  </si>
  <si>
    <t>31X31</t>
  </si>
  <si>
    <t>GP2006308-GW</t>
  </si>
  <si>
    <t>10156620GMNT</t>
  </si>
  <si>
    <t>ENCAUSTIC STUDY VI 30X30</t>
  </si>
  <si>
    <t>GP2006310-GW</t>
  </si>
  <si>
    <t>ENCAUSTIC STUDY VIII 12X12</t>
  </si>
  <si>
    <t>GP200631401-GW</t>
  </si>
  <si>
    <t>ENCAUSTIC STUDY XII 30X30</t>
  </si>
  <si>
    <t>GP2006314-GW</t>
  </si>
  <si>
    <t>ENCAUSTIC STUDY XII 36X36</t>
  </si>
  <si>
    <t>GP2006314-BF</t>
  </si>
  <si>
    <t>37X37</t>
  </si>
  <si>
    <t>IMAUG23</t>
  </si>
  <si>
    <t>GP2006317-GW</t>
  </si>
  <si>
    <t>ENCAUSTIC STUDY XV 36X48</t>
  </si>
  <si>
    <t>GP2006317-GF</t>
  </si>
  <si>
    <t>GP2006317-BF</t>
  </si>
  <si>
    <t>GP2006317-WF</t>
  </si>
  <si>
    <t>GP2006318-GW</t>
  </si>
  <si>
    <t>ENCAUSTIC STUDY XVI 20X24</t>
  </si>
  <si>
    <t>GP2006319-GW</t>
  </si>
  <si>
    <t>ENCAUSTIC STUDY XVII 24X24</t>
  </si>
  <si>
    <t>GP2006330-GW</t>
  </si>
  <si>
    <t>ENCAUSTIC STUDY XXVIII 36X48</t>
  </si>
  <si>
    <t>GP2006333-GW</t>
  </si>
  <si>
    <t>ENCAUSTIC STUDY XXXI 20X30</t>
  </si>
  <si>
    <t>GP2006334-GW</t>
  </si>
  <si>
    <t>ENCAUSTIC STUDY XXXII 20X30</t>
  </si>
  <si>
    <t>GP200460101-GW</t>
  </si>
  <si>
    <t>10076039GMNT</t>
  </si>
  <si>
    <t>ENIGMA 18 36X44</t>
  </si>
  <si>
    <t>36x44</t>
  </si>
  <si>
    <t>GP2004601-GW</t>
  </si>
  <si>
    <t>10076038GMNT</t>
  </si>
  <si>
    <t>ENIGMA 18 56X68</t>
  </si>
  <si>
    <t>56x68</t>
  </si>
  <si>
    <t>GP200460201-GW</t>
  </si>
  <si>
    <t>10076041GMNT</t>
  </si>
  <si>
    <t>ENIGMA 24 48X38</t>
  </si>
  <si>
    <t>48x38</t>
  </si>
  <si>
    <t>GP2004602-GW</t>
  </si>
  <si>
    <t>10076040GMNT</t>
  </si>
  <si>
    <t>ENIGMA 24 60X48</t>
  </si>
  <si>
    <t>60x48</t>
  </si>
  <si>
    <t>GP2004602S-GW</t>
  </si>
  <si>
    <t>GP2004602R-GW</t>
  </si>
  <si>
    <t>ENIGMA 24 60X48 R</t>
  </si>
  <si>
    <t>GP200461001-GW</t>
  </si>
  <si>
    <t>10076048GMNT</t>
  </si>
  <si>
    <t>ENIGMA 26 48X38</t>
  </si>
  <si>
    <t>GP200461001S-GW</t>
  </si>
  <si>
    <t>GP200461001R-GW</t>
  </si>
  <si>
    <t>ENIGMA 26 48X38 R</t>
  </si>
  <si>
    <t>GP2004610-GW</t>
  </si>
  <si>
    <t>10076050GMNT</t>
  </si>
  <si>
    <t>ENIGMA 26 60X48</t>
  </si>
  <si>
    <t>GP2004610S-GW</t>
  </si>
  <si>
    <t>SR-ART=83886-Y</t>
  </si>
  <si>
    <t>GP2004610R-GW</t>
  </si>
  <si>
    <t>ENIGMA 26 60X48 R</t>
  </si>
  <si>
    <t>GP200461101-GW</t>
  </si>
  <si>
    <t>10076037GMNT</t>
  </si>
  <si>
    <t>ENIGMA 28 36X36</t>
  </si>
  <si>
    <t>GP200461101S-GW</t>
  </si>
  <si>
    <t>SR-ART 45792-S</t>
  </si>
  <si>
    <t>GP2004611-GW</t>
  </si>
  <si>
    <t>10076036GMNT</t>
  </si>
  <si>
    <t>ENIGMA 28 48X48</t>
  </si>
  <si>
    <t>GP200461201-GW</t>
  </si>
  <si>
    <t>10076028GMNT</t>
  </si>
  <si>
    <t>ENIGMA 29 36X45</t>
  </si>
  <si>
    <t>GP2004612-GW</t>
  </si>
  <si>
    <t>10076031GMNT</t>
  </si>
  <si>
    <t>ENIGMA 29 48X60</t>
  </si>
  <si>
    <t>GP2004613-GW</t>
  </si>
  <si>
    <t>10076030GMNT</t>
  </si>
  <si>
    <t>ENIGMA 32 36X36</t>
  </si>
  <si>
    <t>GP200460401-GW</t>
  </si>
  <si>
    <t>10076020GMNT</t>
  </si>
  <si>
    <t>ENIGMA 33 36X36</t>
  </si>
  <si>
    <t>GP2004604-GW</t>
  </si>
  <si>
    <t>10076023GMNT</t>
  </si>
  <si>
    <t>ENIGMA 33 48X48</t>
  </si>
  <si>
    <t>GP200460301-GW</t>
  </si>
  <si>
    <t>10076032GMNT</t>
  </si>
  <si>
    <t>ENIGMA 37 36X36</t>
  </si>
  <si>
    <t>GP2004603-GW</t>
  </si>
  <si>
    <t>10076033GMNT</t>
  </si>
  <si>
    <t>ENIGMA 37 48X48</t>
  </si>
  <si>
    <t>GP200460901-GW</t>
  </si>
  <si>
    <t>10076022GMNT</t>
  </si>
  <si>
    <t>ENIGMA 400 48X40</t>
  </si>
  <si>
    <t>48X40</t>
  </si>
  <si>
    <t>GP2004609-GW</t>
  </si>
  <si>
    <t>10076027GMNT</t>
  </si>
  <si>
    <t>ENIGMA 400 68X56</t>
  </si>
  <si>
    <t>68X56</t>
  </si>
  <si>
    <t>GP200460501-GW</t>
  </si>
  <si>
    <t>10076035GMNT</t>
  </si>
  <si>
    <t>ENIGMA 48 36X36</t>
  </si>
  <si>
    <t>GP2004605-GW</t>
  </si>
  <si>
    <t>10076034GMNT</t>
  </si>
  <si>
    <t>ENIGMA 48 48X48</t>
  </si>
  <si>
    <t>GP200461401-GW</t>
  </si>
  <si>
    <t>10076052GMNT</t>
  </si>
  <si>
    <t>ENIGMA 54 36X36</t>
  </si>
  <si>
    <t>GP200461401S-GW</t>
  </si>
  <si>
    <t>SR-ART-45792-S</t>
  </si>
  <si>
    <t>LG</t>
  </si>
  <si>
    <t>GP200461401R-GW</t>
  </si>
  <si>
    <t>ENIGMA 54 36X36 R</t>
  </si>
  <si>
    <t>GP2004614S-BF</t>
  </si>
  <si>
    <t>ENIGMA 54 48X48</t>
  </si>
  <si>
    <t>GP2004614S-GW</t>
  </si>
  <si>
    <t>GP2004614S-NF</t>
  </si>
  <si>
    <t>GP2004614AP-UF</t>
  </si>
  <si>
    <t>ENIGMA 54 48X48 ARTPROOF UNFRAMED</t>
  </si>
  <si>
    <t>GP2004614-GW</t>
  </si>
  <si>
    <t>10076042GMNT</t>
  </si>
  <si>
    <t>ENIGMA 54 54X54</t>
  </si>
  <si>
    <t>54x54</t>
  </si>
  <si>
    <t>GP2004816-BF</t>
  </si>
  <si>
    <t>ENIGMATIC SHADE 36X24</t>
  </si>
  <si>
    <t>GP2000229-NF</t>
  </si>
  <si>
    <t>ENTRANCE 30X40</t>
  </si>
  <si>
    <t>GP2001613-BF</t>
  </si>
  <si>
    <t>ENTROPIC POTENTIAL 16X20</t>
  </si>
  <si>
    <t xml:space="preserve">	GP2001207-GW</t>
  </si>
  <si>
    <t>10088688GMNT</t>
  </si>
  <si>
    <t>EQUAL TERMS 63X42</t>
  </si>
  <si>
    <t>Jennifer Janesko</t>
  </si>
  <si>
    <t>63X42</t>
  </si>
  <si>
    <t>63x42</t>
  </si>
  <si>
    <t>GP10242-GW</t>
  </si>
  <si>
    <t>EREBUS SEA STUDY 33X19</t>
  </si>
  <si>
    <t>33X19</t>
  </si>
  <si>
    <t>GP10385-SA</t>
  </si>
  <si>
    <t>10062089GMNT</t>
  </si>
  <si>
    <t>ESPERER 60X48</t>
  </si>
  <si>
    <t>GP2001920-GW</t>
  </si>
  <si>
    <t>ESPRESSO GLEN 12X14</t>
  </si>
  <si>
    <t>GP200192001-GW</t>
  </si>
  <si>
    <t>ESPRESSO GLEN 24X28</t>
  </si>
  <si>
    <t>GP2003613-GW</t>
  </si>
  <si>
    <t>ESSE 56X74</t>
  </si>
  <si>
    <t>GP2003613-BC</t>
  </si>
  <si>
    <t>58X76</t>
  </si>
  <si>
    <t>GP2005204-NF</t>
  </si>
  <si>
    <t>ETHER 24X24</t>
  </si>
  <si>
    <t>GP200520401-GW</t>
  </si>
  <si>
    <t>10180092GMNT</t>
  </si>
  <si>
    <t>ETHER 48X48</t>
  </si>
  <si>
    <t>GP200520401-BC</t>
  </si>
  <si>
    <t>10180092BLK</t>
  </si>
  <si>
    <t>GP200520401-GC</t>
  </si>
  <si>
    <t>10180092GLD</t>
  </si>
  <si>
    <t>GP200520401-NC</t>
  </si>
  <si>
    <t>10180092NATL</t>
  </si>
  <si>
    <t>GP2005104S-NGM</t>
  </si>
  <si>
    <t>EUPHORIA 24X30</t>
  </si>
  <si>
    <t>GP2005104-NGM</t>
  </si>
  <si>
    <t>GP2005104AP-UF</t>
  </si>
  <si>
    <t>EUPHORIA 24X30 Art Proof Unframed</t>
  </si>
  <si>
    <t>GP200242201-GW</t>
  </si>
  <si>
    <t>EVER + EVER 56X56</t>
  </si>
  <si>
    <t>56X56</t>
  </si>
  <si>
    <t>GP2002411-GW</t>
  </si>
  <si>
    <t>EVER + EVER 60X60</t>
  </si>
  <si>
    <t>GPCB17</t>
  </si>
  <si>
    <t>EXHIBITION CATALOGUE COVER FOR USING WALLS (INDOOR)</t>
  </si>
  <si>
    <t>GPCB18</t>
  </si>
  <si>
    <t>GP10188-GW</t>
  </si>
  <si>
    <t>41450851GMNT</t>
  </si>
  <si>
    <t>EXPLORATIONS  54X72</t>
  </si>
  <si>
    <t>GP10188-BC</t>
  </si>
  <si>
    <t>41450851BLK</t>
  </si>
  <si>
    <t>GP2003614-GW</t>
  </si>
  <si>
    <t>EXPLORUSTATION  56X74</t>
  </si>
  <si>
    <t>GP2003614-BC</t>
  </si>
  <si>
    <t>GP10045-BF</t>
  </si>
  <si>
    <t>FACTORY I  43X43</t>
  </si>
  <si>
    <t>43X43</t>
  </si>
  <si>
    <t>44X44</t>
  </si>
  <si>
    <t>GP10046-BF</t>
  </si>
  <si>
    <t>41450811BLK</t>
  </si>
  <si>
    <t>GP10185-BF</t>
  </si>
  <si>
    <t>42010993BLK</t>
  </si>
  <si>
    <t>FACTORY II  43X43</t>
  </si>
  <si>
    <t>GPCB58</t>
  </si>
  <si>
    <t>FADE</t>
  </si>
  <si>
    <t>18x22.5</t>
  </si>
  <si>
    <t>53 (2UP)</t>
  </si>
  <si>
    <t>GPCB59</t>
  </si>
  <si>
    <t>Coco</t>
  </si>
  <si>
    <t>GP2003435-NF</t>
  </si>
  <si>
    <t>FADING EFFIGY 60X40</t>
  </si>
  <si>
    <t>GP2003435-GW</t>
  </si>
  <si>
    <t>GP2002504-GW</t>
  </si>
  <si>
    <t>10070368GMNT</t>
  </si>
  <si>
    <t>FALLEN TREE 40X48</t>
  </si>
  <si>
    <t>Michela Sorrentino</t>
  </si>
  <si>
    <t>GP2001712-GW</t>
  </si>
  <si>
    <t>FAULTLINE 30X40</t>
  </si>
  <si>
    <t>GP200171201-GW</t>
  </si>
  <si>
    <t>10156609GMNT</t>
  </si>
  <si>
    <t>FAULTLINE 36X48</t>
  </si>
  <si>
    <t>GP200171201-GF</t>
  </si>
  <si>
    <t>10156609GLD</t>
  </si>
  <si>
    <t>GP200171201-NF</t>
  </si>
  <si>
    <t>10156609NATL</t>
  </si>
  <si>
    <t>GP200171201-BF</t>
  </si>
  <si>
    <t>10156609BLK</t>
  </si>
  <si>
    <t>GP2006847-GW</t>
  </si>
  <si>
    <t>FEAST 48X48</t>
  </si>
  <si>
    <t>GP2006847-BF</t>
  </si>
  <si>
    <t>GP10021-BF</t>
  </si>
  <si>
    <t>41450815BLK</t>
  </si>
  <si>
    <t>FENCES I (FENCES 5)  39X39</t>
  </si>
  <si>
    <t>GP10168-BF</t>
  </si>
  <si>
    <t>42010992BLK</t>
  </si>
  <si>
    <t>FENCES II (FENCES 5 NEUTRAL)  39X39</t>
  </si>
  <si>
    <t>GP2006844-GW</t>
  </si>
  <si>
    <t>FEVER 48X72</t>
  </si>
  <si>
    <t>GP2006844-BF</t>
  </si>
  <si>
    <t>GP20022161S-GW</t>
  </si>
  <si>
    <t xml:space="preserve">FICKLE FRIEND 30X40 </t>
  </si>
  <si>
    <t>Meighan Morrison</t>
  </si>
  <si>
    <t>GP20022161S-BF</t>
  </si>
  <si>
    <t>31x41</t>
  </si>
  <si>
    <t>GP20022161S-NF</t>
  </si>
  <si>
    <t>GP20022161AP-UF</t>
  </si>
  <si>
    <t>FICKLE FRIEND 30X40 Art Proof Unframed</t>
  </si>
  <si>
    <t>GP2002216-GW</t>
  </si>
  <si>
    <t>10088678GMNT</t>
  </si>
  <si>
    <t>FICKLE FRIEND 30X42</t>
  </si>
  <si>
    <t>30X42</t>
  </si>
  <si>
    <t>GP200010901-GW</t>
  </si>
  <si>
    <t>FIELDS 24X30</t>
  </si>
  <si>
    <t>GP2000109-GF</t>
  </si>
  <si>
    <t>10123499GLD</t>
  </si>
  <si>
    <t>FIELDS 48X60</t>
  </si>
  <si>
    <t>GP2005811-BA</t>
  </si>
  <si>
    <t>FIGURE STUDY I 16X20</t>
  </si>
  <si>
    <t>Steve Miner</t>
  </si>
  <si>
    <t>GP10391-BA</t>
  </si>
  <si>
    <t>FIGURE STUDY NO.1 16X20</t>
  </si>
  <si>
    <t>GP10432-GW</t>
  </si>
  <si>
    <t>FILL MY CUP  60X48</t>
  </si>
  <si>
    <t>GP10432-BF</t>
  </si>
  <si>
    <t>GP1043201-GW</t>
  </si>
  <si>
    <t>FILL MY CUP 48X36</t>
  </si>
  <si>
    <t>GP10267-GW</t>
  </si>
  <si>
    <t>FINDING A REASON  60X36</t>
  </si>
  <si>
    <t>60x36</t>
  </si>
  <si>
    <t>GP10393-NF</t>
  </si>
  <si>
    <t>10011745NATL</t>
  </si>
  <si>
    <t>GP2002907-GW</t>
  </si>
  <si>
    <t>602729GREY</t>
  </si>
  <si>
    <t>FIRST TIME  40X50</t>
  </si>
  <si>
    <t>40x50</t>
  </si>
  <si>
    <t>GP200290701-GW</t>
  </si>
  <si>
    <t>FIRST TIME 30X40</t>
  </si>
  <si>
    <t>GP200290702S-GW</t>
  </si>
  <si>
    <t>FIRST TIME 72X96</t>
  </si>
  <si>
    <t>XXXL</t>
  </si>
  <si>
    <t>GP200290702R-GW</t>
  </si>
  <si>
    <t>FIRST TIME 72X96 R</t>
  </si>
  <si>
    <t>GP10199-NF</t>
  </si>
  <si>
    <t>FISHBONE 48X56</t>
  </si>
  <si>
    <t>48X56</t>
  </si>
  <si>
    <t>49X57</t>
  </si>
  <si>
    <t>GP2000231-NF</t>
  </si>
  <si>
    <t>FLASH 30X40</t>
  </si>
  <si>
    <t xml:space="preserve">	GP200023101-GW</t>
  </si>
  <si>
    <t>FLASH 60X80</t>
  </si>
  <si>
    <t>GP200023101-NC</t>
  </si>
  <si>
    <t>GP200023101-BC</t>
  </si>
  <si>
    <t>GP200023101-GC</t>
  </si>
  <si>
    <t>GP2004901-NF</t>
  </si>
  <si>
    <t>FLEUR-DE-LYS I 32X42</t>
  </si>
  <si>
    <t>33x43</t>
  </si>
  <si>
    <t>40 (2-UP)</t>
  </si>
  <si>
    <t>FLEUR-DE-LYS I 32X42 PUR</t>
  </si>
  <si>
    <t>GP2004902-NF</t>
  </si>
  <si>
    <t>FLEUR-DE-LYS II 32X42</t>
  </si>
  <si>
    <t>FLEUR-DE-LYS II 32X42 PUR</t>
  </si>
  <si>
    <t>GP1054001-GW</t>
  </si>
  <si>
    <t>10079117GMNT</t>
  </si>
  <si>
    <t>FLIP SIDE 36X45</t>
  </si>
  <si>
    <t>GP1054001-BF</t>
  </si>
  <si>
    <t>10079117BLK</t>
  </si>
  <si>
    <t>37x46</t>
  </si>
  <si>
    <t>GP1054001-NF</t>
  </si>
  <si>
    <t>10079117NATL</t>
  </si>
  <si>
    <t>GP10540-GW</t>
  </si>
  <si>
    <t>10062008GMNT</t>
  </si>
  <si>
    <t>FLIP SIDE 48X60</t>
  </si>
  <si>
    <t>GP10540-BF</t>
  </si>
  <si>
    <t>10062008NATL</t>
  </si>
  <si>
    <t>49x61</t>
  </si>
  <si>
    <t>GP10540-NF</t>
  </si>
  <si>
    <t>GP2001941-GW</t>
  </si>
  <si>
    <t>FLOAT ABOVE IT ALL 72X36</t>
  </si>
  <si>
    <t>GP200194101-GW</t>
  </si>
  <si>
    <t>FLOAT ABOVE IT ALL 90X45</t>
  </si>
  <si>
    <t>90X45</t>
  </si>
  <si>
    <t xml:space="preserve">	GP10366-BA</t>
  </si>
  <si>
    <t>FLOWER FIELD I 20X16</t>
  </si>
  <si>
    <t xml:space="preserve">	GP10367-BA</t>
  </si>
  <si>
    <t>FLOWER FIELD II 20X16</t>
  </si>
  <si>
    <t>GP2005308</t>
  </si>
  <si>
    <t>FLOWER PETALS</t>
  </si>
  <si>
    <t>Black Cap Acrylic Matt</t>
  </si>
  <si>
    <t>BAM</t>
  </si>
  <si>
    <t>GP10410-GW</t>
  </si>
  <si>
    <t>FLOWER SKETCH 12 12X16</t>
  </si>
  <si>
    <t>GP10409-GW</t>
  </si>
  <si>
    <t>FLOWER SKETCH 13 12X16</t>
  </si>
  <si>
    <t>GP2010126-WHCA</t>
  </si>
  <si>
    <t>FLOWER STUDY I 16X20</t>
  </si>
  <si>
    <t>GP2010127-WHCA</t>
  </si>
  <si>
    <t>FLOWER STUDY II 16X20</t>
  </si>
  <si>
    <t>GP200530901-BA</t>
  </si>
  <si>
    <t>FLOWERING HILLSIDE I 12X12</t>
  </si>
  <si>
    <t>14X14</t>
  </si>
  <si>
    <t>GP200530301-BA</t>
  </si>
  <si>
    <t>FLOWERING HILLSIDE II 12X12</t>
  </si>
  <si>
    <t>GP20053030WP-BA</t>
  </si>
  <si>
    <t xml:space="preserve">FLOWERING HILLSIDE II 16X16 </t>
  </si>
  <si>
    <t>16X16</t>
  </si>
  <si>
    <t>18X18</t>
  </si>
  <si>
    <t>GP20053030WP-NA</t>
  </si>
  <si>
    <t>GP20053030WP-UF</t>
  </si>
  <si>
    <t>FLOWERING HILLSIDE II 16X16 Work on Paper Unframed</t>
  </si>
  <si>
    <t>GP200530401-BA</t>
  </si>
  <si>
    <t>FLOWERING HILLSIDE III 12X12</t>
  </si>
  <si>
    <t>GP1130001-CB</t>
  </si>
  <si>
    <t>FLOWERS 12X24 Claude Monet</t>
  </si>
  <si>
    <t>12X24</t>
  </si>
  <si>
    <t>15X27</t>
  </si>
  <si>
    <t>GP11300-WF</t>
  </si>
  <si>
    <t>14X26</t>
  </si>
  <si>
    <t>GP1130001-WF</t>
  </si>
  <si>
    <t>FLOWERS 12X36 Claude Monet</t>
  </si>
  <si>
    <t>12X36</t>
  </si>
  <si>
    <t>14X38</t>
  </si>
  <si>
    <t>GP2005601-</t>
  </si>
  <si>
    <t>FLOWERS 16X16</t>
  </si>
  <si>
    <t>Any Warhol</t>
  </si>
  <si>
    <t>GP2010142-BA</t>
  </si>
  <si>
    <t>FLOWERS IN GLASS VASE I 12X16</t>
  </si>
  <si>
    <t>GP2002624-BA</t>
  </si>
  <si>
    <t>FLY CATCHER 24X32</t>
  </si>
  <si>
    <t xml:space="preserve">	GP2002623-NA</t>
  </si>
  <si>
    <t>FOLIAGE 24X32</t>
  </si>
  <si>
    <t>GP10488-BF</t>
  </si>
  <si>
    <t>FOREST I 16X20</t>
  </si>
  <si>
    <t>GP10488-NF</t>
  </si>
  <si>
    <t>GP10488-WF</t>
  </si>
  <si>
    <t>GP10488-GW</t>
  </si>
  <si>
    <t>GP10487-BF</t>
  </si>
  <si>
    <t>FOREST II 16X20</t>
  </si>
  <si>
    <t>GP10487-NF</t>
  </si>
  <si>
    <t>GP10487-WF</t>
  </si>
  <si>
    <t>GP10487-GW</t>
  </si>
  <si>
    <t>GP2010143-NA</t>
  </si>
  <si>
    <t>FOREST LANDSCAPE 9X13</t>
  </si>
  <si>
    <t>11X15</t>
  </si>
  <si>
    <t>GP2010144-GT</t>
  </si>
  <si>
    <t>FOREST SCENE I 6X19</t>
  </si>
  <si>
    <t>6X19</t>
  </si>
  <si>
    <t>GP10177-GW</t>
  </si>
  <si>
    <t>FOREST STILL LIFE 16X20</t>
  </si>
  <si>
    <t>Sarah Bird</t>
  </si>
  <si>
    <t>GP10177-GT</t>
  </si>
  <si>
    <t>GP10177-NF</t>
  </si>
  <si>
    <t>GP10177-WF</t>
  </si>
  <si>
    <t>GP10177-BF</t>
  </si>
  <si>
    <t>GP10177-NC</t>
  </si>
  <si>
    <t>GP10177-BC</t>
  </si>
  <si>
    <t>GP10177-CB</t>
  </si>
  <si>
    <t>GP10444-GW</t>
  </si>
  <si>
    <t>10029361GMNT</t>
  </si>
  <si>
    <t>FOREVER AFTER I  36X48</t>
  </si>
  <si>
    <t>GP10444S-GW</t>
  </si>
  <si>
    <t>SR-ART-98245-T</t>
  </si>
  <si>
    <t>GP1044401AP-UF</t>
  </si>
  <si>
    <t>FOREVER AFTER I 48X60</t>
  </si>
  <si>
    <t>GP1044401S-BF</t>
  </si>
  <si>
    <t>GP1044401S-GW</t>
  </si>
  <si>
    <t>GP1044401S-NF</t>
  </si>
  <si>
    <t>GP10443-GW</t>
  </si>
  <si>
    <t>10029360GMNT</t>
  </si>
  <si>
    <t>FOREVER AFTER II  36X48</t>
  </si>
  <si>
    <t>GP1044301AP-UF</t>
  </si>
  <si>
    <t>FOREVER AFTER II 48X60</t>
  </si>
  <si>
    <t>GP1044301S-BF</t>
  </si>
  <si>
    <t>GP1044301S-GW</t>
  </si>
  <si>
    <t>GP1044301S-NF</t>
  </si>
  <si>
    <t>GP2004274-GC</t>
  </si>
  <si>
    <t>10123497GLD</t>
  </si>
  <si>
    <t>FORGE 51X64</t>
  </si>
  <si>
    <t>51X61</t>
  </si>
  <si>
    <t>52X62</t>
  </si>
  <si>
    <t>GP200427404-NC</t>
  </si>
  <si>
    <t>FORGE 60X80</t>
  </si>
  <si>
    <t>GP200427401-GC</t>
  </si>
  <si>
    <t>FORGE 64X80</t>
  </si>
  <si>
    <t>64X80</t>
  </si>
  <si>
    <t>66X82</t>
  </si>
  <si>
    <t>GP200427403-BF</t>
  </si>
  <si>
    <t>FORGE 65X90</t>
  </si>
  <si>
    <t>GP200427402-NF</t>
  </si>
  <si>
    <t>FORGE 70X110</t>
  </si>
  <si>
    <t>GP10391-NF</t>
  </si>
  <si>
    <t>FORM STUDY 12X16</t>
  </si>
  <si>
    <t>12x16</t>
  </si>
  <si>
    <t>GP1039101-BA</t>
  </si>
  <si>
    <t>FORM STUDY 20X30</t>
  </si>
  <si>
    <t>23X33</t>
  </si>
  <si>
    <t>Ink Wash</t>
  </si>
  <si>
    <t>GPCB30</t>
  </si>
  <si>
    <t>FORM XI</t>
  </si>
  <si>
    <t>55x79</t>
  </si>
  <si>
    <t>GPCB31</t>
  </si>
  <si>
    <t>FORM XV</t>
  </si>
  <si>
    <t>GPCB160</t>
  </si>
  <si>
    <t>FORME VII</t>
  </si>
  <si>
    <t>55X78</t>
  </si>
  <si>
    <t>GP2004529S-GW</t>
  </si>
  <si>
    <t>FORME VII 40X60</t>
  </si>
  <si>
    <t>GP2004529S-BF</t>
  </si>
  <si>
    <t xml:space="preserve">FORME VII 40X60 </t>
  </si>
  <si>
    <t>41x61</t>
  </si>
  <si>
    <t>GP2004529S-NF</t>
  </si>
  <si>
    <t>GP2004529AP-UF</t>
  </si>
  <si>
    <t>FORME VII 40X60 Art Proof Unframed</t>
  </si>
  <si>
    <t>GP2004530S-GW</t>
  </si>
  <si>
    <t xml:space="preserve">FORME XI 40X60 </t>
  </si>
  <si>
    <t>GP2004530S-BF</t>
  </si>
  <si>
    <t>GP2004530S-NF</t>
  </si>
  <si>
    <t>GP2004530AP-UF</t>
  </si>
  <si>
    <t>FORME XI 40X60 Art Proof Unframed</t>
  </si>
  <si>
    <t>GP2004531S-GW</t>
  </si>
  <si>
    <t xml:space="preserve">FORME XV 40X60 </t>
  </si>
  <si>
    <t>GP2004531S-BF</t>
  </si>
  <si>
    <t>GP2004531S-NF</t>
  </si>
  <si>
    <t>GP2004531AP-UF</t>
  </si>
  <si>
    <t>FORME XV 40X60 Art Proof Unframed</t>
  </si>
  <si>
    <t>GP2004532S-GW</t>
  </si>
  <si>
    <t xml:space="preserve">FORME XXI 40X60 </t>
  </si>
  <si>
    <t>GP2004532S-BF</t>
  </si>
  <si>
    <t>GP2004532S-NF</t>
  </si>
  <si>
    <t>GP2004532AP-UF</t>
  </si>
  <si>
    <t>FORME XXI 40X60 Art Proof Unframed</t>
  </si>
  <si>
    <t>GP2000626-GF</t>
  </si>
  <si>
    <t>10123494GLD</t>
  </si>
  <si>
    <t>FORMWORK 60X48</t>
  </si>
  <si>
    <t>GP200062601-GF</t>
  </si>
  <si>
    <t>10145073GOLD</t>
  </si>
  <si>
    <t>FORMWORK 80X64</t>
  </si>
  <si>
    <t>GP10184-CA</t>
  </si>
  <si>
    <t>10029401GOLD</t>
  </si>
  <si>
    <t>FOUNTAIN 16X20</t>
  </si>
  <si>
    <t>Capitol A</t>
  </si>
  <si>
    <t>CA</t>
  </si>
  <si>
    <t>GP10184-CB</t>
  </si>
  <si>
    <t>GP10184R-CB</t>
  </si>
  <si>
    <t>GP10310-BF</t>
  </si>
  <si>
    <t>GP10184R-WF</t>
  </si>
  <si>
    <t>Walnut Float</t>
  </si>
  <si>
    <t>GP10184AP-UF</t>
  </si>
  <si>
    <t>FOUNTAIN 16X20 Art Proof Unframed</t>
  </si>
  <si>
    <t>GP2000408-GW</t>
  </si>
  <si>
    <t>10088652GMNT</t>
  </si>
  <si>
    <t>FOUR ROSES 48X35 QUADRIPTYCH ?</t>
  </si>
  <si>
    <t>GP20004081-GW</t>
  </si>
  <si>
    <t>FOUR ROSES I 12X35</t>
  </si>
  <si>
    <t>12X35</t>
  </si>
  <si>
    <t>40 (Tile 4)</t>
  </si>
  <si>
    <t>GP20004082-GW</t>
  </si>
  <si>
    <t>FOUR ROSES II 12X35</t>
  </si>
  <si>
    <t>GP20004083-GW</t>
  </si>
  <si>
    <t>FOUR ROSES III 12X35</t>
  </si>
  <si>
    <t>GP20004084-GW</t>
  </si>
  <si>
    <t>FOUR ROSES IV 12X35</t>
  </si>
  <si>
    <t>GP2003819-GW</t>
  </si>
  <si>
    <t>FOUR SHADES I 12X16</t>
  </si>
  <si>
    <t>GP2003820-GW</t>
  </si>
  <si>
    <t>FOUR SHADES II 12X16</t>
  </si>
  <si>
    <t>GP2003821-GW</t>
  </si>
  <si>
    <t>FOUR SHADES III 12X16</t>
  </si>
  <si>
    <t>GP2003822-GW</t>
  </si>
  <si>
    <t>FOUR SHADES IV 12X16</t>
  </si>
  <si>
    <t>GP2010145-NA</t>
  </si>
  <si>
    <t>FOUR STUDIES OF PINK AND BLUE FLOWERS 8X12</t>
  </si>
  <si>
    <t>GP10445R-GW</t>
  </si>
  <si>
    <t>10062455GMNT</t>
  </si>
  <si>
    <t>FRAMEWORK I  30X30</t>
  </si>
  <si>
    <t>30x30</t>
  </si>
  <si>
    <t>GP10445-NF</t>
  </si>
  <si>
    <t>10029406NATL</t>
  </si>
  <si>
    <t>GP10445R-NF</t>
  </si>
  <si>
    <t>10062455NATL</t>
  </si>
  <si>
    <t>122 (tile)</t>
  </si>
  <si>
    <t>GP10446R-GW</t>
  </si>
  <si>
    <t>10062449GMNT</t>
  </si>
  <si>
    <t>FRAMEWORK II  30X30</t>
  </si>
  <si>
    <t>GP10446-NF</t>
  </si>
  <si>
    <t>10029396NATL</t>
  </si>
  <si>
    <t>GP10446R-NF</t>
  </si>
  <si>
    <t>10062449NATL</t>
  </si>
  <si>
    <t>GP10447R-GW</t>
  </si>
  <si>
    <t>10062451GMNT</t>
  </si>
  <si>
    <t>FRAMEWORK III  30X30</t>
  </si>
  <si>
    <t>GP10447-NF</t>
  </si>
  <si>
    <t>10029397NATL</t>
  </si>
  <si>
    <t>GP10447R-NF</t>
  </si>
  <si>
    <t>10062451NATL</t>
  </si>
  <si>
    <t>GP10448R-GW</t>
  </si>
  <si>
    <t>10062438GMNT</t>
  </si>
  <si>
    <t>FRAMEWORK IV  30X30</t>
  </si>
  <si>
    <t>GP10448-NF</t>
  </si>
  <si>
    <t>10029394NATL</t>
  </si>
  <si>
    <t>GP10448R-NF</t>
  </si>
  <si>
    <t>10062438NATL</t>
  </si>
  <si>
    <t>GP2005105S-NGM</t>
  </si>
  <si>
    <t>FREE FALL 24X30</t>
  </si>
  <si>
    <t>GP2005105-NGM</t>
  </si>
  <si>
    <t>GP20051001-GC</t>
  </si>
  <si>
    <t>GP2005105AP-UF</t>
  </si>
  <si>
    <t>FREE FALL 24X30 Art Proof Unframed</t>
  </si>
  <si>
    <t>GP200510-GC</t>
  </si>
  <si>
    <t>FREE FALL 36X48</t>
  </si>
  <si>
    <t xml:space="preserve"> RH</t>
  </si>
  <si>
    <t>GP2006806-GW</t>
  </si>
  <si>
    <t>FREQUENCY 36X48</t>
  </si>
  <si>
    <t>GP2006806-BF</t>
  </si>
  <si>
    <t>GP2005207-BF</t>
  </si>
  <si>
    <t>FROND I 36X48</t>
  </si>
  <si>
    <t>36x48</t>
  </si>
  <si>
    <t>GP2005208-BF</t>
  </si>
  <si>
    <t>FROND II 36X48</t>
  </si>
  <si>
    <t>GP2001618-GW</t>
  </si>
  <si>
    <t>FRUITS OF YOUR LABOR 36X24</t>
  </si>
  <si>
    <t>GP2001618-BF</t>
  </si>
  <si>
    <t>GP2002622-BA</t>
  </si>
  <si>
    <t>GALAPAGOS 24X32</t>
  </si>
  <si>
    <t>26X24</t>
  </si>
  <si>
    <t>GP2004244-BA</t>
  </si>
  <si>
    <t>GATHERINGS III 48X60</t>
  </si>
  <si>
    <t>BA Shadow Box</t>
  </si>
  <si>
    <t>GP2004245-BA</t>
  </si>
  <si>
    <t>GATHERINGS IV 48X60</t>
  </si>
  <si>
    <t>GP2004248-BA</t>
  </si>
  <si>
    <t>GATHERINGS VII 48X60</t>
  </si>
  <si>
    <t>GP1014301-BF</t>
  </si>
  <si>
    <t>GEOMETRIC STUDY I 23X28</t>
  </si>
  <si>
    <t>23X28</t>
  </si>
  <si>
    <t>24X39</t>
  </si>
  <si>
    <t>GP10144-BC</t>
  </si>
  <si>
    <t>GEOMETRIC STUDY II 11X13</t>
  </si>
  <si>
    <t>11X13</t>
  </si>
  <si>
    <t>13X15</t>
  </si>
  <si>
    <t>GP1014501-BC</t>
  </si>
  <si>
    <t>GEOMETRIC STUDY III 11X13</t>
  </si>
  <si>
    <t>GP2010113-WA</t>
  </si>
  <si>
    <t>GERANIUMS BICOLOR 16X20</t>
  </si>
  <si>
    <t>GP10392-BF</t>
  </si>
  <si>
    <t>GIRL BRUSHING 24X24</t>
  </si>
  <si>
    <t>GP200481301-BF</t>
  </si>
  <si>
    <t>GIVE RISE TO 60X48</t>
  </si>
  <si>
    <t>GP2004813-GW</t>
  </si>
  <si>
    <t>GIVE RISE TO 72X60</t>
  </si>
  <si>
    <t>72x60</t>
  </si>
  <si>
    <t>GP2004220-GW</t>
  </si>
  <si>
    <t>10074981GMNT</t>
  </si>
  <si>
    <t>GOLD SCRIBBLES 48X36</t>
  </si>
  <si>
    <t>ALL</t>
  </si>
  <si>
    <t>SALES COLLATERAL</t>
  </si>
  <si>
    <t>GPCOL004</t>
  </si>
  <si>
    <t xml:space="preserve">GP BOOKLET 5.5X8.5 </t>
  </si>
  <si>
    <t>GPCOL001</t>
  </si>
  <si>
    <t>GP SALES COLLATERAL DISPLAY BOX</t>
  </si>
  <si>
    <t>GPCB171</t>
  </si>
  <si>
    <t>GRAPHITE &amp; MADDER</t>
  </si>
  <si>
    <t>22X30</t>
  </si>
  <si>
    <t>SONDER/Codarus</t>
  </si>
  <si>
    <t>GP10526-GW</t>
  </si>
  <si>
    <t>GRAPHITE &amp; MADDER 22X30</t>
  </si>
  <si>
    <t>MD</t>
  </si>
  <si>
    <t>GP10526L-GW</t>
  </si>
  <si>
    <t>GRAPHITE &amp; MADDER 22X30 L</t>
  </si>
  <si>
    <t>GP10526R-GW</t>
  </si>
  <si>
    <t>GRAPHITE &amp; MADDER 22X30 R</t>
  </si>
  <si>
    <t>GP2000322-GW</t>
  </si>
  <si>
    <t>GRAUPEL ON RUST 70X56</t>
  </si>
  <si>
    <t>GP2000322-GC</t>
  </si>
  <si>
    <t>72X58</t>
  </si>
  <si>
    <t>GP2000322-BC</t>
  </si>
  <si>
    <t>GP2000322-WC</t>
  </si>
  <si>
    <t>GP11295-GT</t>
  </si>
  <si>
    <t>GREAT DANE 30X20</t>
  </si>
  <si>
    <t>32X22</t>
  </si>
  <si>
    <t>GP10483-GW</t>
  </si>
  <si>
    <t>GREY MOUNTAIN I 20X24</t>
  </si>
  <si>
    <t>GP10482-GW</t>
  </si>
  <si>
    <t>GREY MOUNTAIN II 20X24</t>
  </si>
  <si>
    <t>GP2004242-GW</t>
  </si>
  <si>
    <t xml:space="preserve">GREY ON WHITE SCRIBBLES I  16X16 </t>
  </si>
  <si>
    <t>GP2004258-GW</t>
  </si>
  <si>
    <t xml:space="preserve">GREY ON WHITE SCRIBBLES II  16X16 </t>
  </si>
  <si>
    <t>GP2004259-GW</t>
  </si>
  <si>
    <t xml:space="preserve">GREY ON WHITE SCRIBBLES III  16X16 </t>
  </si>
  <si>
    <t>GP2004260-GW</t>
  </si>
  <si>
    <t xml:space="preserve">GREY ON WHITE SCRIBBLES IV  16X16 </t>
  </si>
  <si>
    <t>GP2004262-GW</t>
  </si>
  <si>
    <t xml:space="preserve">GREY ON WHITE SCRIBBLES V 36X36 </t>
  </si>
  <si>
    <t>GP2004243-GW</t>
  </si>
  <si>
    <t xml:space="preserve">GREY ON WHITE SCRIBBLES VI  36X36 </t>
  </si>
  <si>
    <t>GP2004263-GW</t>
  </si>
  <si>
    <t xml:space="preserve">GREY ON WHITE SCRIBBLES VII 36X36 </t>
  </si>
  <si>
    <t>GP2004264-GW</t>
  </si>
  <si>
    <t>GREY ON WHITE SCRIBBLES VIII 36X36</t>
  </si>
  <si>
    <t>GP10481-GW</t>
  </si>
  <si>
    <t>10061988GMNT</t>
  </si>
  <si>
    <t>GREY VISTA I 54X54</t>
  </si>
  <si>
    <t>54X54</t>
  </si>
  <si>
    <t>GP10480-GW</t>
  </si>
  <si>
    <t>GREY VISTA II 54X54</t>
  </si>
  <si>
    <t>GPCB159</t>
  </si>
  <si>
    <t>GRIGIO E ARANCIONE</t>
  </si>
  <si>
    <t>GP2004528S-GW</t>
  </si>
  <si>
    <t>GRIGIO E ARANCIONE 48X60</t>
  </si>
  <si>
    <t>GP2004528S-BF</t>
  </si>
  <si>
    <t>GP2004528S-NF</t>
  </si>
  <si>
    <t xml:space="preserve">GRIGIO E ARANCIONE 48X60 </t>
  </si>
  <si>
    <t>GP2004528AP-UF</t>
  </si>
  <si>
    <t>GRIGIO E ARANCIONE 48X60 Art Proof Unframed</t>
  </si>
  <si>
    <t>GP200680701-GW</t>
  </si>
  <si>
    <t>GROUNDWORK I 48X48</t>
  </si>
  <si>
    <t>GP200680701-BF</t>
  </si>
  <si>
    <t>GP2006807-GW</t>
  </si>
  <si>
    <t>GROUNDWORK I 60X60</t>
  </si>
  <si>
    <t>GP200680801-GW</t>
  </si>
  <si>
    <t>GROUNDWORK II 48X48</t>
  </si>
  <si>
    <t>GP2006808-GW</t>
  </si>
  <si>
    <t>GROUNDWORK II 60X60</t>
  </si>
  <si>
    <t>GP10532-GW</t>
  </si>
  <si>
    <t>10062088GMNT</t>
  </si>
  <si>
    <t>HAIKU 48X40</t>
  </si>
  <si>
    <t>GP2004810-NF</t>
  </si>
  <si>
    <t>HALLOWED DOMAIN 20X16</t>
  </si>
  <si>
    <t>GP200481001-GW</t>
  </si>
  <si>
    <t>HALLOWED DOMAIN 30X24</t>
  </si>
  <si>
    <t>30X24</t>
  </si>
  <si>
    <t>GP2001932-GW</t>
  </si>
  <si>
    <t>HAPPENSTANCE 32X40</t>
  </si>
  <si>
    <t>GP200427502-P</t>
  </si>
  <si>
    <t>HARMONY 100X65</t>
  </si>
  <si>
    <t>100X65</t>
  </si>
  <si>
    <t>print only</t>
  </si>
  <si>
    <t>GP2004275-GC</t>
  </si>
  <si>
    <t>10123772GLD</t>
  </si>
  <si>
    <t>HARMONY 80X64</t>
  </si>
  <si>
    <t>81x65</t>
  </si>
  <si>
    <t>GP200427501-NF</t>
  </si>
  <si>
    <t>HARMONY 90X65</t>
  </si>
  <si>
    <t>90X65</t>
  </si>
  <si>
    <t>91X66</t>
  </si>
  <si>
    <t>GP10063-BF</t>
  </si>
  <si>
    <t>41450875BLK</t>
  </si>
  <si>
    <t>HASHTAG (WHITE)  43X43</t>
  </si>
  <si>
    <t>GP2002633-GW</t>
  </si>
  <si>
    <t>HASHTAG REPLACEMENT</t>
  </si>
  <si>
    <t>GP2010146-BA</t>
  </si>
  <si>
    <t>HAVER 6X15</t>
  </si>
  <si>
    <t>6X15</t>
  </si>
  <si>
    <t>8X17</t>
  </si>
  <si>
    <t>GP2006816-GW</t>
  </si>
  <si>
    <t>HAZE ON BLACK I</t>
  </si>
  <si>
    <t>GP2006817-GW</t>
  </si>
  <si>
    <t>HAZE ON BLACK II</t>
  </si>
  <si>
    <t>GP2006818-GW</t>
  </si>
  <si>
    <t>HAZE ON BLACK III</t>
  </si>
  <si>
    <t>GP2004026-GW</t>
  </si>
  <si>
    <t>HE BUILT A CAVE 60X48</t>
  </si>
  <si>
    <t>GP10197-NF</t>
  </si>
  <si>
    <t>HE IS ALSO FLESH 36X36</t>
  </si>
  <si>
    <t>GP11308-BA</t>
  </si>
  <si>
    <t>HEAD OF A HORSE (WHITE) 12X12</t>
  </si>
  <si>
    <t>GP1130801-BA</t>
  </si>
  <si>
    <t>GP2006843-GW</t>
  </si>
  <si>
    <t>HEEDFUL 72X48</t>
  </si>
  <si>
    <t>GP2006843-BF</t>
  </si>
  <si>
    <t>GP2003436-GW</t>
  </si>
  <si>
    <t>HELD ONTO ANOTHER 68X90</t>
  </si>
  <si>
    <t>GP2003436-NF</t>
  </si>
  <si>
    <t>GP2003436-BF</t>
  </si>
  <si>
    <t>GP2003436-GF</t>
  </si>
  <si>
    <t>GP200520601-GW</t>
  </si>
  <si>
    <t>HELM 40X50</t>
  </si>
  <si>
    <t>40X50</t>
  </si>
  <si>
    <t>GP2005206-GW</t>
  </si>
  <si>
    <t>HELM 60X80</t>
  </si>
  <si>
    <t>GP2005206-BF</t>
  </si>
  <si>
    <t>GP2004819-BF</t>
  </si>
  <si>
    <t>HEREAFTER 60X40</t>
  </si>
  <si>
    <t>GP2005118S-NGM</t>
  </si>
  <si>
    <t>HO'ONUI 24X30</t>
  </si>
  <si>
    <t>GP10179-BC</t>
  </si>
  <si>
    <t>41450819BLK</t>
  </si>
  <si>
    <t>HOBOKEN  54X48</t>
  </si>
  <si>
    <t>GP2005118AP-UF</t>
  </si>
  <si>
    <t>HO'ONUI 24X30 Art Proof Unframed</t>
  </si>
  <si>
    <t>GP10179-GW</t>
  </si>
  <si>
    <t>GP1051701-GW</t>
  </si>
  <si>
    <t>10079116GMNT</t>
  </si>
  <si>
    <t>HOLDING PATTERN 50X33</t>
  </si>
  <si>
    <t>50x33</t>
  </si>
  <si>
    <t>inca</t>
  </si>
  <si>
    <t>GP1051701-BF</t>
  </si>
  <si>
    <t>10079116BLK</t>
  </si>
  <si>
    <t>51x34</t>
  </si>
  <si>
    <t>GP1051701-NF</t>
  </si>
  <si>
    <t>10079116NATL</t>
  </si>
  <si>
    <t>GP10517-GW</t>
  </si>
  <si>
    <t>10062006GMNT</t>
  </si>
  <si>
    <t>HOLDING PATTERN 70X46</t>
  </si>
  <si>
    <t>70X46</t>
  </si>
  <si>
    <t>GP10517-BF</t>
  </si>
  <si>
    <t>10062006BLK</t>
  </si>
  <si>
    <t>71x47</t>
  </si>
  <si>
    <t>GP10517-NF</t>
  </si>
  <si>
    <t>10062006NATL</t>
  </si>
  <si>
    <t>GP2005118-NGM</t>
  </si>
  <si>
    <t>GP200031201-GW</t>
  </si>
  <si>
    <t>HOPE IS A PRISON 25X31</t>
  </si>
  <si>
    <t>GP200032101-GC</t>
  </si>
  <si>
    <t>27X33</t>
  </si>
  <si>
    <t>GP200032101-BC</t>
  </si>
  <si>
    <t>GP2000312-GW</t>
  </si>
  <si>
    <t>HOPE IS A PRISON 30X20</t>
  </si>
  <si>
    <t>GP2010108-BF</t>
  </si>
  <si>
    <t>HORN 16X12</t>
  </si>
  <si>
    <t>16X12</t>
  </si>
  <si>
    <t>17X13</t>
  </si>
  <si>
    <t>GP2002625-BA</t>
  </si>
  <si>
    <t>HOUND 24X32</t>
  </si>
  <si>
    <t>GP10359-GW</t>
  </si>
  <si>
    <t>10062028GMNT</t>
  </si>
  <si>
    <t>HOW YOU SEE 72X60</t>
  </si>
  <si>
    <t>GP103591-GW</t>
  </si>
  <si>
    <t>HOW YOU SEE 86X72</t>
  </si>
  <si>
    <t>86x72</t>
  </si>
  <si>
    <t>GPCB170</t>
  </si>
  <si>
    <t>HYDRUS</t>
  </si>
  <si>
    <t>GP10523-GW</t>
  </si>
  <si>
    <t>HYDRUS 30X40</t>
  </si>
  <si>
    <t>GP10523R-GW</t>
  </si>
  <si>
    <t>HYDRUS 30X40 R</t>
  </si>
  <si>
    <t>GPCB05</t>
  </si>
  <si>
    <t>I WILL NOT MAKE ANYMORE BORING ART</t>
  </si>
  <si>
    <t>30x22</t>
  </si>
  <si>
    <t>GPCB06</t>
  </si>
  <si>
    <t>GP2001619-GW</t>
  </si>
  <si>
    <t>I'D FOLLOW YOU TO TIMBUKTU 36X36</t>
  </si>
  <si>
    <t>GP2001619-BF</t>
  </si>
  <si>
    <t>GP2000216-BF</t>
  </si>
  <si>
    <t>I'VE BEEN HERE ALL ALONG 36X48</t>
  </si>
  <si>
    <t>GP10286S-BF</t>
  </si>
  <si>
    <t>IF YOU THINK SO  60X48</t>
  </si>
  <si>
    <t>GP10286S-GW</t>
  </si>
  <si>
    <t>GP10286S-NF</t>
  </si>
  <si>
    <t>GP10286-GW</t>
  </si>
  <si>
    <t>10029403GMNT</t>
  </si>
  <si>
    <t>GP10286R-BA</t>
  </si>
  <si>
    <t>GP10286R-NA</t>
  </si>
  <si>
    <t>GP10286AP-UF</t>
  </si>
  <si>
    <t>IF YOU THINK SO  60X48 ART PROOF</t>
  </si>
  <si>
    <t xml:space="preserve">GP2002412-GW       </t>
  </si>
  <si>
    <t>III 48X36</t>
  </si>
  <si>
    <t>GP2002412-GW</t>
  </si>
  <si>
    <t>GP2004815-BF</t>
  </si>
  <si>
    <t>ILLUSORY DIMENSION 36X24</t>
  </si>
  <si>
    <t>GP2004815-GW</t>
  </si>
  <si>
    <t>GP10377-BC</t>
  </si>
  <si>
    <t>10011730BLK</t>
  </si>
  <si>
    <t>IM STEINERNEN MEER I   60X72</t>
  </si>
  <si>
    <t>62X74</t>
  </si>
  <si>
    <t>GP10378-BC</t>
  </si>
  <si>
    <t>10011731BLK</t>
  </si>
  <si>
    <t>IM STEINERNEN MEER II   60X72</t>
  </si>
  <si>
    <t>GP2002405-GW</t>
  </si>
  <si>
    <t>IMOGENE DIPTYCH  60X24</t>
  </si>
  <si>
    <t>60X24</t>
  </si>
  <si>
    <t>GP2002405R-GW</t>
  </si>
  <si>
    <t>SR-ART-18529-Q</t>
  </si>
  <si>
    <t>IMOGENE DIPTYCH 60X24 R</t>
  </si>
  <si>
    <t>GP2002403-GW</t>
  </si>
  <si>
    <t>IMOGENE I 30X24</t>
  </si>
  <si>
    <t>GP2002405A-GW</t>
  </si>
  <si>
    <t>IMOGENE I 30X24 (DIPTYCH)</t>
  </si>
  <si>
    <t>GP2002403R-GW</t>
  </si>
  <si>
    <t>IMOGENE I 30X24 R</t>
  </si>
  <si>
    <t>GP2002405AR-GW</t>
  </si>
  <si>
    <t>IMOGENE I 30X24 R (DIPTYCH)</t>
  </si>
  <si>
    <t>GP20024031-GW</t>
  </si>
  <si>
    <t>IMOGENE I 64X48</t>
  </si>
  <si>
    <t>64X48</t>
  </si>
  <si>
    <t>GP2002405B-GW</t>
  </si>
  <si>
    <t>IMOGENE II 30X24 (DIPTYCH)</t>
  </si>
  <si>
    <t>GP2002405BR-GW</t>
  </si>
  <si>
    <t>IMOGENE II 30X24 R (DIPTYCH)</t>
  </si>
  <si>
    <t>GP20024041-GW</t>
  </si>
  <si>
    <t>IMOGENE II 64X48</t>
  </si>
  <si>
    <t>GP2005113S-NGM</t>
  </si>
  <si>
    <t>IMPLICIT MEMORY 30X40</t>
  </si>
  <si>
    <t>GP2005113-NGM</t>
  </si>
  <si>
    <t>GP2005113AP-UF</t>
  </si>
  <si>
    <t>IMPLICIT MEMORY 30X40 Art Proof Unframed</t>
  </si>
  <si>
    <t>GP2006805-GW</t>
  </si>
  <si>
    <t>IMPRINT 32X40</t>
  </si>
  <si>
    <t>GP10283-GW</t>
  </si>
  <si>
    <t>IN ALL THAT WAS  48X48</t>
  </si>
  <si>
    <t>GP10284-BC</t>
  </si>
  <si>
    <t>10011742BLK</t>
  </si>
  <si>
    <t>GP10281-BF</t>
  </si>
  <si>
    <t>IN OTHER WORDS   72X48</t>
  </si>
  <si>
    <t>GP10281-BC</t>
  </si>
  <si>
    <t>10011739BLK</t>
  </si>
  <si>
    <t>74X50</t>
  </si>
  <si>
    <t>GP1028101-GW</t>
  </si>
  <si>
    <t>IN OTHER WORDS 60X40</t>
  </si>
  <si>
    <t>GP2001222-GW</t>
  </si>
  <si>
    <t>IN RHYTHM 48X60</t>
  </si>
  <si>
    <t>GP2001222-BF</t>
  </si>
  <si>
    <t>GP10451-NF</t>
  </si>
  <si>
    <t>10029395NATL</t>
  </si>
  <si>
    <t>IN SITU  60X48</t>
  </si>
  <si>
    <t>GP10451R-GW</t>
  </si>
  <si>
    <t>10062440GMNT</t>
  </si>
  <si>
    <t>GP10451R-NF</t>
  </si>
  <si>
    <t>10062440NATL</t>
  </si>
  <si>
    <t>DEC20</t>
  </si>
  <si>
    <t>GP2003425-SA</t>
  </si>
  <si>
    <t>IN TERMS OF MEANING 48X48</t>
  </si>
  <si>
    <t>GP2003425-GW</t>
  </si>
  <si>
    <t>10088641GMNT</t>
  </si>
  <si>
    <t>IN TERMS OF MEANINIG 48X48</t>
  </si>
  <si>
    <t>GP10430-GW</t>
  </si>
  <si>
    <t>10029402GMNT</t>
  </si>
  <si>
    <t>IN THE LIGHT OF YOUR HALO  52X52</t>
  </si>
  <si>
    <t>52X52</t>
  </si>
  <si>
    <t>GP2010110R-GW</t>
  </si>
  <si>
    <t>IN THE PASTURE 20X16</t>
  </si>
  <si>
    <t>GP2010110R-WF</t>
  </si>
  <si>
    <t>GP2010110R-GT</t>
  </si>
  <si>
    <t>GP10397-BF</t>
  </si>
  <si>
    <t>10029380BLK</t>
  </si>
  <si>
    <t>IN THE SHADOW  50X68</t>
  </si>
  <si>
    <t>50X68</t>
  </si>
  <si>
    <t>51X69</t>
  </si>
  <si>
    <t>PETG60</t>
  </si>
  <si>
    <t>GP10397R-BF</t>
  </si>
  <si>
    <t>10062461BLK</t>
  </si>
  <si>
    <t>50x68</t>
  </si>
  <si>
    <t>GP2000310-BF</t>
  </si>
  <si>
    <t>10065918BLK</t>
  </si>
  <si>
    <t>IN THE SHADOW  60X80</t>
  </si>
  <si>
    <t>69 CUT</t>
  </si>
  <si>
    <t xml:space="preserve">	GP200031001-BF</t>
  </si>
  <si>
    <t>10145067BLK</t>
  </si>
  <si>
    <t>IN THE SHADOW 67X90</t>
  </si>
  <si>
    <t>67X90</t>
  </si>
  <si>
    <t>68X91</t>
  </si>
  <si>
    <t xml:space="preserve">	GP2003429-GW</t>
  </si>
  <si>
    <t>10088696GMNT</t>
  </si>
  <si>
    <t>IN THE SHADOW OF THE PAST 48X60</t>
  </si>
  <si>
    <t>GP2001914-GW</t>
  </si>
  <si>
    <t>IN THIS MOMENT 60X48</t>
  </si>
  <si>
    <t>GPCB38</t>
  </si>
  <si>
    <t>IN WHITE, OCULUS, NEW YORK 2017</t>
  </si>
  <si>
    <t>Antonella Sacconi</t>
  </si>
  <si>
    <t>TBD Photograph</t>
  </si>
  <si>
    <t>TBD</t>
  </si>
  <si>
    <t>GPCB39</t>
  </si>
  <si>
    <t>GP2000227-NF</t>
  </si>
  <si>
    <t>IN, THEN OUT 30X40</t>
  </si>
  <si>
    <t>GP10147-GW</t>
  </si>
  <si>
    <t>INACTION 16X20</t>
  </si>
  <si>
    <t xml:space="preserve">INACTION 16X20 </t>
  </si>
  <si>
    <t>GP10147S-BF</t>
  </si>
  <si>
    <t>INACTION 16X20 (SwissQ)</t>
  </si>
  <si>
    <t>NCL</t>
  </si>
  <si>
    <t>NOV22</t>
  </si>
  <si>
    <t>GP10147S-GW</t>
  </si>
  <si>
    <t>GP10147L-GW</t>
  </si>
  <si>
    <t>INACTION 16X20 L</t>
  </si>
  <si>
    <t>GP10512-GW</t>
  </si>
  <si>
    <t>INCLEMENT 48X48</t>
  </si>
  <si>
    <t>GP10078-BC</t>
  </si>
  <si>
    <t>INDIGO 38X48</t>
  </si>
  <si>
    <t>SWISSQ</t>
  </si>
  <si>
    <t>GP10078-BF</t>
  </si>
  <si>
    <t>38X49</t>
  </si>
  <si>
    <t>GP10078-GW</t>
  </si>
  <si>
    <t>GP10024-BF</t>
  </si>
  <si>
    <t>41450843BLK</t>
  </si>
  <si>
    <t>INDIGO DIESEL  36X48</t>
  </si>
  <si>
    <t>GP1002401-GW</t>
  </si>
  <si>
    <t>INDIGO DIESEL 20X30</t>
  </si>
  <si>
    <t>GP2005110S-NGM</t>
  </si>
  <si>
    <t>INFINITE DREAMWORLD 24X30</t>
  </si>
  <si>
    <t>GP2005110-NGM</t>
  </si>
  <si>
    <t>GP2005110AP-UF</t>
  </si>
  <si>
    <t>INFINITE DREAMWORLD 24X30 Art Proof Unframed</t>
  </si>
  <si>
    <t>GP2000617-GW</t>
  </si>
  <si>
    <t>10088653GMNT</t>
  </si>
  <si>
    <t>INFRASTRUCTURE 48X36</t>
  </si>
  <si>
    <t>GP10112-CB</t>
  </si>
  <si>
    <t>INGENUE 16X20</t>
  </si>
  <si>
    <t>GP10112-GT</t>
  </si>
  <si>
    <t>GP1017601-WF</t>
  </si>
  <si>
    <t>INKBERRY HOLLY  20X16</t>
  </si>
  <si>
    <t>GP10176-CA</t>
  </si>
  <si>
    <t>10029400GOLD</t>
  </si>
  <si>
    <t>INKBERRY HOLLY 24X20</t>
  </si>
  <si>
    <t>24X20</t>
  </si>
  <si>
    <t>27X23</t>
  </si>
  <si>
    <t>GP1017602-NF</t>
  </si>
  <si>
    <t>25X21</t>
  </si>
  <si>
    <t>GP1017602-CB</t>
  </si>
  <si>
    <t>GP10176R-CB</t>
  </si>
  <si>
    <t>GP2004630-GC</t>
  </si>
  <si>
    <t>10123504GLD</t>
  </si>
  <si>
    <t>INNER FOREST 72X42</t>
  </si>
  <si>
    <t>72X42</t>
  </si>
  <si>
    <t>73x43</t>
  </si>
  <si>
    <t>GP10360-GW</t>
  </si>
  <si>
    <t>INTENTION 36X36</t>
  </si>
  <si>
    <t>Meghan Starling</t>
  </si>
  <si>
    <t>GP200427603-P</t>
  </si>
  <si>
    <t>INTERLUDE 100X70</t>
  </si>
  <si>
    <t>100X70</t>
  </si>
  <si>
    <t>GP200427601-NF</t>
  </si>
  <si>
    <t>INTERLUDE 70X110</t>
  </si>
  <si>
    <t>GP2004276-BF</t>
  </si>
  <si>
    <t>INTERLUDE 80X64</t>
  </si>
  <si>
    <t>GP2004276-GC</t>
  </si>
  <si>
    <t>GP200427602-NF</t>
  </si>
  <si>
    <t>INTERLUDE 90X65</t>
  </si>
  <si>
    <t>GP2001221-GW</t>
  </si>
  <si>
    <t>INTO PLACE 60X60</t>
  </si>
  <si>
    <t>GP2001221-BF</t>
  </si>
  <si>
    <t>GP2001713-NF</t>
  </si>
  <si>
    <t>INTO THE ABYSS 36X48</t>
  </si>
  <si>
    <t>GP2001713-GF</t>
  </si>
  <si>
    <t>10156618GLD</t>
  </si>
  <si>
    <t>GP2001713-BF</t>
  </si>
  <si>
    <t>GP2001713-GW</t>
  </si>
  <si>
    <t>GP2003708-GW</t>
  </si>
  <si>
    <t>INTO THE BLUE 60X36</t>
  </si>
  <si>
    <t>GP2003708-BF</t>
  </si>
  <si>
    <t>GP2010147-BA</t>
  </si>
  <si>
    <t>IRISES AND OTHER FLOWERS 8X10</t>
  </si>
  <si>
    <t>9X11</t>
  </si>
  <si>
    <t>GP10161-BC</t>
  </si>
  <si>
    <t>41450900BLK</t>
  </si>
  <si>
    <t>IRON MOUNTAIN  47X68</t>
  </si>
  <si>
    <t>47X68</t>
  </si>
  <si>
    <t>49X70</t>
  </si>
  <si>
    <t>GP10355-BC</t>
  </si>
  <si>
    <t>10011701BLK</t>
  </si>
  <si>
    <t>IT HAD TO END LIKE THIS  60X60</t>
  </si>
  <si>
    <t>62X62</t>
  </si>
  <si>
    <t>GP1035501-GW</t>
  </si>
  <si>
    <t>IT HAD TO END LIKE THIS 48X48</t>
  </si>
  <si>
    <t>GP1035501-BC</t>
  </si>
  <si>
    <t>GP10283-BC</t>
  </si>
  <si>
    <t>10011738BLK</t>
  </si>
  <si>
    <t>IT WASN'T THAT AT ALL  60X72</t>
  </si>
  <si>
    <t>GP2010148-GT</t>
  </si>
  <si>
    <t>ITALIAN LANDSCAPE WITH UMBRELLA PINES 24X17</t>
  </si>
  <si>
    <t>24X17</t>
  </si>
  <si>
    <t>GPCB57</t>
  </si>
  <si>
    <t>IVE BEEN HERE ALL ALONG</t>
  </si>
  <si>
    <t>TBD synograph</t>
  </si>
  <si>
    <t>GP10105-WF</t>
  </si>
  <si>
    <t>IVY 24X40</t>
  </si>
  <si>
    <t>24X40</t>
  </si>
  <si>
    <t>21X41</t>
  </si>
  <si>
    <t>GP10105-CB</t>
  </si>
  <si>
    <t>26X42</t>
  </si>
  <si>
    <t>GP10214-CA</t>
  </si>
  <si>
    <t>10029411GOLD</t>
  </si>
  <si>
    <t>JANUARY ISLAND  24X20</t>
  </si>
  <si>
    <t>24x20</t>
  </si>
  <si>
    <t>GP10214-CB</t>
  </si>
  <si>
    <t>GP10494-CB</t>
  </si>
  <si>
    <t xml:space="preserve">	GP2002407-GW</t>
  </si>
  <si>
    <t>10088657GMNT</t>
  </si>
  <si>
    <t>JE TE VEUX I 48X24</t>
  </si>
  <si>
    <t>48x24</t>
  </si>
  <si>
    <t xml:space="preserve">	GP2002408-GW</t>
  </si>
  <si>
    <t>10088665GMNT</t>
  </si>
  <si>
    <t>JE TE VEUX II 48X24</t>
  </si>
  <si>
    <t>GP2004626-GW</t>
  </si>
  <si>
    <t>JOURNEY TO HOME I 56X72</t>
  </si>
  <si>
    <t>56X72</t>
  </si>
  <si>
    <t>GP200462701-GW</t>
  </si>
  <si>
    <t>JOURNEY TO HOME II 48X72</t>
  </si>
  <si>
    <t>STUDIOMARKS</t>
  </si>
  <si>
    <t>GP2004627-GW</t>
  </si>
  <si>
    <t>JOURNEY TO HOME II 57X72</t>
  </si>
  <si>
    <t>57X72</t>
  </si>
  <si>
    <t>GP2010208-CB</t>
  </si>
  <si>
    <t>JUAN DE PAREJA 11X13</t>
  </si>
  <si>
    <t>14X17</t>
  </si>
  <si>
    <t>GP2005114S-NGM</t>
  </si>
  <si>
    <t>JUMP 36X48</t>
  </si>
  <si>
    <t>GP2005114-NGM</t>
  </si>
  <si>
    <t>GP2005114AP-UF</t>
  </si>
  <si>
    <t>JUMP 36X48 Art Proof Unframed</t>
  </si>
  <si>
    <t>GP2001107-BF</t>
  </si>
  <si>
    <t>JUNE SAPLINGS FRAMED BY YOUK RIVER 60X60</t>
  </si>
  <si>
    <t>GP10545S-BF</t>
  </si>
  <si>
    <t>JUST SO YOU KNOW 48X36</t>
  </si>
  <si>
    <t>GP10545S-GW</t>
  </si>
  <si>
    <t>GP10545S-NF</t>
  </si>
  <si>
    <t>GP10545-GW</t>
  </si>
  <si>
    <t>10062082GMNT</t>
  </si>
  <si>
    <t>GP10545AP-UF</t>
  </si>
  <si>
    <t>JUST SO YOU KNOW 48X36 Art Proof Unframed</t>
  </si>
  <si>
    <t>GP2005121S-NGM</t>
  </si>
  <si>
    <t>KE ALA 24X30</t>
  </si>
  <si>
    <t>GP2005121-NGM</t>
  </si>
  <si>
    <t>GP2005121AP-UF</t>
  </si>
  <si>
    <t>KE ALA 24X30 Art Proof Unframed</t>
  </si>
  <si>
    <t>GP200512101-NGM</t>
  </si>
  <si>
    <t>KE ALA 48X60</t>
  </si>
  <si>
    <t>GP10428-GW</t>
  </si>
  <si>
    <t>10029405GMNT</t>
  </si>
  <si>
    <t>KEEPING TIME WITH MYSELF  48X48</t>
  </si>
  <si>
    <t>GP2003904-GW</t>
  </si>
  <si>
    <t>KENSHO 60X60</t>
  </si>
  <si>
    <t>GP10408-BF</t>
  </si>
  <si>
    <t>10029368BLK</t>
  </si>
  <si>
    <t>KNOT THEORY   60X40</t>
  </si>
  <si>
    <t>GP10408R-BF</t>
  </si>
  <si>
    <t>10062437BLK</t>
  </si>
  <si>
    <t>KNOT THEORY  60X40</t>
  </si>
  <si>
    <t>GP10408R-GW</t>
  </si>
  <si>
    <t>GP2005117S-NGM</t>
  </si>
  <si>
    <t>KUKUI 24X30</t>
  </si>
  <si>
    <t>GP2005117-NGM</t>
  </si>
  <si>
    <t>GP2005117AP-UF</t>
  </si>
  <si>
    <t>KUKUI 24X30 Art Proof Unframed</t>
  </si>
  <si>
    <t>GP2004216-BF</t>
  </si>
  <si>
    <t>10074848BLK</t>
  </si>
  <si>
    <t>LAGUNA I 60X48</t>
  </si>
  <si>
    <t>GP2004217-BF</t>
  </si>
  <si>
    <t>10074847BLK</t>
  </si>
  <si>
    <t>LAGUNA II 60X48</t>
  </si>
  <si>
    <t>GP2004219-BF</t>
  </si>
  <si>
    <t>10074852BLK</t>
  </si>
  <si>
    <t>LAGUNA IX 60X48</t>
  </si>
  <si>
    <t>GP2004218-BF</t>
  </si>
  <si>
    <t>10074846BLK</t>
  </si>
  <si>
    <t>LAGUNA VIII 60X48</t>
  </si>
  <si>
    <t>GP100081R-GW</t>
  </si>
  <si>
    <t>LAINE  36X36</t>
  </si>
  <si>
    <t>GP10008-BC</t>
  </si>
  <si>
    <t>41450787BLK</t>
  </si>
  <si>
    <t>LAINE  48X48</t>
  </si>
  <si>
    <t>GP10384-GW</t>
  </si>
  <si>
    <t>LAKIN 48X48</t>
  </si>
  <si>
    <t>GP2010149-BF</t>
  </si>
  <si>
    <t>LANDSCAPE BY MOONLIGHT 18X12</t>
  </si>
  <si>
    <t>18X12</t>
  </si>
  <si>
    <t>19X13</t>
  </si>
  <si>
    <t>GP10018-BC</t>
  </si>
  <si>
    <t>41050847BLK</t>
  </si>
  <si>
    <t>LANDSCAPE I  50X38</t>
  </si>
  <si>
    <t>52X40</t>
  </si>
  <si>
    <t>GP10110-BC</t>
  </si>
  <si>
    <t>41050846BLK</t>
  </si>
  <si>
    <t>LANDSCAPE II  50X38</t>
  </si>
  <si>
    <t>GP11234-CB</t>
  </si>
  <si>
    <t>LANDSCAPE NEAR WAALSDORP 16X12</t>
  </si>
  <si>
    <t>19X15</t>
  </si>
  <si>
    <t>GP2010150-GT</t>
  </si>
  <si>
    <t>LANDSCAPE WITH AN OLD OAK 16X11</t>
  </si>
  <si>
    <t>16X11</t>
  </si>
  <si>
    <t>GP2010151-GT</t>
  </si>
  <si>
    <t>LANDSCAPE WITH CASTLE 12X9</t>
  </si>
  <si>
    <t>12X9</t>
  </si>
  <si>
    <t>GP2010152-GT</t>
  </si>
  <si>
    <t>LANDSCAPE WITH POLLARD WILLOW 8X10</t>
  </si>
  <si>
    <t>GP2010153-GT</t>
  </si>
  <si>
    <t>LANDSCAPE WITH ROCKS AND WATERFALL 22X18</t>
  </si>
  <si>
    <t>GP2010154-NF</t>
  </si>
  <si>
    <t>LANDSCAPE WITH TREE 12X10</t>
  </si>
  <si>
    <t>12X10</t>
  </si>
  <si>
    <t>GP2010155-BA</t>
  </si>
  <si>
    <t>LANDSCAPE WITH WINDMILLS AND A CHURCH 11X7</t>
  </si>
  <si>
    <t>11X7</t>
  </si>
  <si>
    <t>GP2004820-BF</t>
  </si>
  <si>
    <t>LASTING INTERLUDE 60x40</t>
  </si>
  <si>
    <t>GP200482001-GW</t>
  </si>
  <si>
    <t>LASTING INTERLUDE 72X48</t>
  </si>
  <si>
    <t>GP2002503-GW</t>
  </si>
  <si>
    <t>10070369GMNT</t>
  </si>
  <si>
    <t>LATE SHADOW 48X40</t>
  </si>
  <si>
    <t>59 (2 UP)</t>
  </si>
  <si>
    <t>GP2010156-BA</t>
  </si>
  <si>
    <t>LATHYRUS 8X10</t>
  </si>
  <si>
    <t>GP10083-NF</t>
  </si>
  <si>
    <t>LAUD</t>
  </si>
  <si>
    <t>GP10083-GW</t>
  </si>
  <si>
    <t>LAUD 36X48</t>
  </si>
  <si>
    <t>GP2001714-GW</t>
  </si>
  <si>
    <t>LAVA 36X36</t>
  </si>
  <si>
    <t>GP2001714-GF</t>
  </si>
  <si>
    <t>GP2001714-BF</t>
  </si>
  <si>
    <t>GP2001714-NF</t>
  </si>
  <si>
    <t>GP10226-GW</t>
  </si>
  <si>
    <t>10011699GMNT</t>
  </si>
  <si>
    <t>LAVANDERIA I   36X48</t>
  </si>
  <si>
    <t>GP10226-BC</t>
  </si>
  <si>
    <t>10011699BLK</t>
  </si>
  <si>
    <t>GP10298-GW</t>
  </si>
  <si>
    <t>10011696GMNT</t>
  </si>
  <si>
    <t>LAVANDERIA II   36X48</t>
  </si>
  <si>
    <t>GP10298-BC</t>
  </si>
  <si>
    <t>10011696BLK</t>
  </si>
  <si>
    <t>GP2003423-SA</t>
  </si>
  <si>
    <t>LEAVING YOU LEAVING ME  48X48</t>
  </si>
  <si>
    <t>GP2003423-GW</t>
  </si>
  <si>
    <t>10088693GMNT</t>
  </si>
  <si>
    <t>LEAVING YOU LEAVING ME 48X48</t>
  </si>
  <si>
    <t>GP2004279-GC</t>
  </si>
  <si>
    <t>LENTO 64X80</t>
  </si>
  <si>
    <t>GP200427901-GC</t>
  </si>
  <si>
    <t>LENTO 66X82</t>
  </si>
  <si>
    <t>68X84</t>
  </si>
  <si>
    <t>GP20019130-NF</t>
  </si>
  <si>
    <t>LES JARDINS DE FRANCE 60X60</t>
  </si>
  <si>
    <t>GP200492101-GW</t>
  </si>
  <si>
    <t>LIBERTY I 20X30</t>
  </si>
  <si>
    <t>GP2004921-NF</t>
  </si>
  <si>
    <t>LIBERTY I 32X42</t>
  </si>
  <si>
    <t>LIBERTY I 32X42 PUR</t>
  </si>
  <si>
    <t>GP2004922-NF</t>
  </si>
  <si>
    <t>LIBERTY II 32X42</t>
  </si>
  <si>
    <t>LIBERTY II 32X42 PUR</t>
  </si>
  <si>
    <t>GP2004923-NF</t>
  </si>
  <si>
    <t>LIBERTY III 32X42</t>
  </si>
  <si>
    <t>LIBERTY III 32X42 PUR</t>
  </si>
  <si>
    <t>GP200461901-GW</t>
  </si>
  <si>
    <t>10076051GMNT</t>
  </si>
  <si>
    <t>LIFE'S LAYERS 1 48X38</t>
  </si>
  <si>
    <t>GP200461901S-GW</t>
  </si>
  <si>
    <t>SR-ART-45348-P</t>
  </si>
  <si>
    <t>GP2004619-GW</t>
  </si>
  <si>
    <t>10076046GMNT</t>
  </si>
  <si>
    <t>LIFE'S LAYERS 1 60X48</t>
  </si>
  <si>
    <t>GP200460601-GW</t>
  </si>
  <si>
    <t>10076024GMNT</t>
  </si>
  <si>
    <t>LIFE'S LAYERS 2 60X33</t>
  </si>
  <si>
    <t>60x33</t>
  </si>
  <si>
    <t>GP2004606-GW</t>
  </si>
  <si>
    <t>10076049GMNT</t>
  </si>
  <si>
    <t>LIFE'S LAYERS 2 72X40</t>
  </si>
  <si>
    <t>72x40</t>
  </si>
  <si>
    <t>GP2005010</t>
  </si>
  <si>
    <t>LIGHT, LABEL, TABLE</t>
  </si>
  <si>
    <t>GP2005010-NF</t>
  </si>
  <si>
    <t>LIGHT, LABEL, TABLE 30X20</t>
  </si>
  <si>
    <t>GP2003444-GW</t>
  </si>
  <si>
    <t>LIKE I KNEW YOU WOULD 70X50</t>
  </si>
  <si>
    <t>70X50</t>
  </si>
  <si>
    <t>71X51</t>
  </si>
  <si>
    <t xml:space="preserve">	GP2003444-NF</t>
  </si>
  <si>
    <t>GP2003444-BF</t>
  </si>
  <si>
    <t>GP2003444-GF</t>
  </si>
  <si>
    <t>LILYPAD</t>
  </si>
  <si>
    <t>18X14</t>
  </si>
  <si>
    <t>GP10237-GW</t>
  </si>
  <si>
    <t>LINEAR LANDSCAPE 30X40</t>
  </si>
  <si>
    <t>GP2003811-GW</t>
  </si>
  <si>
    <t>LIVING LARGE 24X36</t>
  </si>
  <si>
    <t>GP2000233-BF</t>
  </si>
  <si>
    <t>LIVING ROOM 40X52</t>
  </si>
  <si>
    <t>40X52</t>
  </si>
  <si>
    <t>41X53</t>
  </si>
  <si>
    <t>GP2005201-BF</t>
  </si>
  <si>
    <t>LODE 24X36</t>
  </si>
  <si>
    <t>GP10536-GW</t>
  </si>
  <si>
    <t>10062087GMNT</t>
  </si>
  <si>
    <t>LONG SHOT 80X58</t>
  </si>
  <si>
    <t>80X58</t>
  </si>
  <si>
    <t>GP10422-BF</t>
  </si>
  <si>
    <t>10029378BLK</t>
  </si>
  <si>
    <t>LOS ANGELES  32X36</t>
  </si>
  <si>
    <t>33X37</t>
  </si>
  <si>
    <t>\</t>
  </si>
  <si>
    <t>GP10422R-BF</t>
  </si>
  <si>
    <t>10062459BLK</t>
  </si>
  <si>
    <t>32x36</t>
  </si>
  <si>
    <t>GP10422-BC</t>
  </si>
  <si>
    <t>LOS ANGELES 32X36</t>
  </si>
  <si>
    <t>33x37</t>
  </si>
  <si>
    <t>GP10422-GW</t>
  </si>
  <si>
    <t>10011728BLK</t>
  </si>
  <si>
    <t>LOST PLACES NO. 3  72X60</t>
  </si>
  <si>
    <t>74X62</t>
  </si>
  <si>
    <t>GP2003914-GW</t>
  </si>
  <si>
    <t>LUMINEUX I 24X48</t>
  </si>
  <si>
    <t>24X48</t>
  </si>
  <si>
    <t>GP2003915-GW</t>
  </si>
  <si>
    <t>LUMINEUX II 24X48</t>
  </si>
  <si>
    <t>GP200482101-GW</t>
  </si>
  <si>
    <t>LUMINOUS FRAMEWORK 30X24</t>
  </si>
  <si>
    <t>GP2004821-BF</t>
  </si>
  <si>
    <t>LUMINOUS FRAMEWORK 60X48</t>
  </si>
  <si>
    <t>62x50</t>
  </si>
  <si>
    <t>GP10271-GW</t>
  </si>
  <si>
    <t>10011726GMNT</t>
  </si>
  <si>
    <t>LUMINOUS I   50X60</t>
  </si>
  <si>
    <t>50X60</t>
  </si>
  <si>
    <t>GP10271-BC</t>
  </si>
  <si>
    <t>10011726BLK</t>
  </si>
  <si>
    <t>GP10233-GW</t>
  </si>
  <si>
    <t>LUMINOUS II   50X60</t>
  </si>
  <si>
    <t>10011725GMNT</t>
  </si>
  <si>
    <t>GP10233-BC</t>
  </si>
  <si>
    <t>10011725BLK</t>
  </si>
  <si>
    <t>GP2006842-GW</t>
  </si>
  <si>
    <t>LUST 01 72X48</t>
  </si>
  <si>
    <t>GP2006842-BF</t>
  </si>
  <si>
    <t>GP2006840-GW</t>
  </si>
  <si>
    <t>LUST 02 72X48</t>
  </si>
  <si>
    <t>GP2006840-BF</t>
  </si>
  <si>
    <t>GP2005203</t>
  </si>
  <si>
    <t>LUX 24X30</t>
  </si>
  <si>
    <t>GP200480401-BF</t>
  </si>
  <si>
    <t>MAJESTIC RESPITE 48X28</t>
  </si>
  <si>
    <t>48X28</t>
  </si>
  <si>
    <t>49X29</t>
  </si>
  <si>
    <t>GP2004804-BF</t>
  </si>
  <si>
    <t>MAJESTIC RESPITE 60X40</t>
  </si>
  <si>
    <t>GP2004804-GW</t>
  </si>
  <si>
    <t>GP0105-GW</t>
  </si>
  <si>
    <t>41450867GMNT</t>
  </si>
  <si>
    <t>MAKEBA I  54X72</t>
  </si>
  <si>
    <t>GP0105-BC</t>
  </si>
  <si>
    <t>41450867BLK</t>
  </si>
  <si>
    <t>GP010501S-GW</t>
  </si>
  <si>
    <t>MAKEBA I 36X48</t>
  </si>
  <si>
    <t>GP010501-GW</t>
  </si>
  <si>
    <t>10079115GMNT</t>
  </si>
  <si>
    <t>MAKEBA I 36X48 NEW SIZE</t>
  </si>
  <si>
    <t>GP010501-NF</t>
  </si>
  <si>
    <t>10079115NATL</t>
  </si>
  <si>
    <t>GP010501-BC</t>
  </si>
  <si>
    <t>10079115BLK</t>
  </si>
  <si>
    <t>GP0105-NF</t>
  </si>
  <si>
    <t>41450867NATL</t>
  </si>
  <si>
    <t>MAKEBA I 54X72 NEW FRAME</t>
  </si>
  <si>
    <t>55X73</t>
  </si>
  <si>
    <t>GP10175-GW</t>
  </si>
  <si>
    <t>41050857GMNT</t>
  </si>
  <si>
    <t>MAKEBA II  54X72</t>
  </si>
  <si>
    <t>GP10175-NF</t>
  </si>
  <si>
    <t>41050857NATL</t>
  </si>
  <si>
    <t>GP10175-BC</t>
  </si>
  <si>
    <t>41050857BLK</t>
  </si>
  <si>
    <t>GP1017501S-GW</t>
  </si>
  <si>
    <t>SR-ART-12736-K</t>
  </si>
  <si>
    <t>MAKEBA II 36X48</t>
  </si>
  <si>
    <t>GP1017501-GW</t>
  </si>
  <si>
    <t>1079121GMNT</t>
  </si>
  <si>
    <t>MAKEBA II 36X48 NEW SIZE</t>
  </si>
  <si>
    <t>GP1017501-NF</t>
  </si>
  <si>
    <t>1079121NATL</t>
  </si>
  <si>
    <t>GP1017501-BC</t>
  </si>
  <si>
    <t>1079121BLK</t>
  </si>
  <si>
    <t>GP2002906-GW</t>
  </si>
  <si>
    <t>602730BLUE</t>
  </si>
  <si>
    <t>MALIBU  40X50</t>
  </si>
  <si>
    <t>GP200290601-GW</t>
  </si>
  <si>
    <t>SR-ART-46258-Q</t>
  </si>
  <si>
    <t>MALIBU 30X40</t>
  </si>
  <si>
    <t>GP11307-BA</t>
  </si>
  <si>
    <t>MAN WITH A SPOTTED HORSE IN COURTYARD 20X16</t>
  </si>
  <si>
    <t>GP10420-BC</t>
  </si>
  <si>
    <t>MANHATTAN  32X36</t>
  </si>
  <si>
    <t>GP10420-GW</t>
  </si>
  <si>
    <t>GP10420-BF</t>
  </si>
  <si>
    <t>10029377BLK</t>
  </si>
  <si>
    <t>GP10420R-BF</t>
  </si>
  <si>
    <t>10062458BLK</t>
  </si>
  <si>
    <t>GP2001217-GW</t>
  </si>
  <si>
    <t>MANIFEST 20X24</t>
  </si>
  <si>
    <t>GP200121601-NF</t>
  </si>
  <si>
    <t>MANTRA 48X60</t>
  </si>
  <si>
    <t>GP2001216-BF</t>
  </si>
  <si>
    <t>10180208BLK</t>
  </si>
  <si>
    <t>MANTRA 48X72</t>
  </si>
  <si>
    <t>GP2001216-GF</t>
  </si>
  <si>
    <t>GP2001216-GW</t>
  </si>
  <si>
    <t>10180208GMNT</t>
  </si>
  <si>
    <t>GP2005119S-NGM</t>
  </si>
  <si>
    <t>MANUAHI 28X36</t>
  </si>
  <si>
    <t>28x36</t>
  </si>
  <si>
    <t>GP2005119-NGM</t>
  </si>
  <si>
    <t>GP2005119AP-UF</t>
  </si>
  <si>
    <t>MANUAHI 28X36 Art Proof Unframed</t>
  </si>
  <si>
    <t>GP2001614-NF</t>
  </si>
  <si>
    <t>MARK MAKING STUDY 16X20</t>
  </si>
  <si>
    <t>GP10455-GW</t>
  </si>
  <si>
    <t>MARK OF EXISTENCE 40X60 CANVAS</t>
  </si>
  <si>
    <t>GP10455R-BF</t>
  </si>
  <si>
    <t>10062462BLK</t>
  </si>
  <si>
    <t>GP10455-BF</t>
  </si>
  <si>
    <t>10029381BLK</t>
  </si>
  <si>
    <t>MARK OF EXISTENCE 40X60 PANEL</t>
  </si>
  <si>
    <t>GP1045501-GW</t>
  </si>
  <si>
    <t>MARK OF EXISTENCE 60X48</t>
  </si>
  <si>
    <t>GP2000627-NA</t>
  </si>
  <si>
    <t>MARKINGS ON PAPER I 20X24</t>
  </si>
  <si>
    <t>22x26</t>
  </si>
  <si>
    <t>GP2000627-BA</t>
  </si>
  <si>
    <t>GP2000628-NA</t>
  </si>
  <si>
    <t>MARKINGS ON PAPER II 20X24</t>
  </si>
  <si>
    <t>GP2000629-NA</t>
  </si>
  <si>
    <t>MARKINGS ON PAPER III 20X24</t>
  </si>
  <si>
    <t>GP2000630-NA</t>
  </si>
  <si>
    <t>MARKINGS ON PAPER IV 20X24</t>
  </si>
  <si>
    <t>GP2000630-BA</t>
  </si>
  <si>
    <t>GP2000631-NA</t>
  </si>
  <si>
    <t>MARKINGS ON PAPER V 20X24</t>
  </si>
  <si>
    <t>GP2000632-BA</t>
  </si>
  <si>
    <t>MARKINGS ON PAPER VI 20X24</t>
  </si>
  <si>
    <t>GP2000632-NA</t>
  </si>
  <si>
    <t>GP1021601-GW</t>
  </si>
  <si>
    <t>MARSHLAND 24X24</t>
  </si>
  <si>
    <t>GP10216R-GW</t>
  </si>
  <si>
    <t>MARSHLAND B 16X16 R TRIPTYCH</t>
  </si>
  <si>
    <t>GP10216-GW</t>
  </si>
  <si>
    <t>MARSHLAND B 16X16 TRIPTYCH</t>
  </si>
  <si>
    <t>GP2002011-GW</t>
  </si>
  <si>
    <t>MARSHLAND TRIPTYCH  48X16</t>
  </si>
  <si>
    <t>48X16</t>
  </si>
  <si>
    <t>GP2002011R-GW</t>
  </si>
  <si>
    <t>MARSHLAND TRIPTYCH 48X16 R</t>
  </si>
  <si>
    <t xml:space="preserve">	GP2002620-BA</t>
  </si>
  <si>
    <t>MASON 24X32</t>
  </si>
  <si>
    <t>GP200461602-GW</t>
  </si>
  <si>
    <t>10145068GMNT</t>
  </si>
  <si>
    <t>MEDITATION THOIUGHT 24 I 50X80</t>
  </si>
  <si>
    <t>50X80</t>
  </si>
  <si>
    <t>GP200461702-GW</t>
  </si>
  <si>
    <t>10145075GMNT</t>
  </si>
  <si>
    <t>MEDITATION THOIUGHT 24 II 50X80</t>
  </si>
  <si>
    <t>GP2004616-GW</t>
  </si>
  <si>
    <t>10076053GMNT</t>
  </si>
  <si>
    <t>MEDITATION THOUGHT 24 I 30X48</t>
  </si>
  <si>
    <t>30x48</t>
  </si>
  <si>
    <t>GP200461602S-BF</t>
  </si>
  <si>
    <t>MEDITATION THOUGHT 24 I 36X48</t>
  </si>
  <si>
    <t>GP200461602S-GW</t>
  </si>
  <si>
    <t>GP200461602S-NF</t>
  </si>
  <si>
    <t>GP200461602AP-UF</t>
  </si>
  <si>
    <t>MEDITATION THOUGHT 24 I 36X48 ARTPROOF UNFRAMED</t>
  </si>
  <si>
    <t>GP200461601-GW</t>
  </si>
  <si>
    <t>MEDITATION THOUGHT 24 I 56X74</t>
  </si>
  <si>
    <t>56x74</t>
  </si>
  <si>
    <t>GP2004617-GW</t>
  </si>
  <si>
    <t>10076044GMNT</t>
  </si>
  <si>
    <t>MEDITATION THOUGHT 24 II 30X48</t>
  </si>
  <si>
    <t>GP2004617S-GW</t>
  </si>
  <si>
    <t>SR-ART-92001-D</t>
  </si>
  <si>
    <t>GP200461702S-BF</t>
  </si>
  <si>
    <t>MEDITATION THOUGHT 24 II 36X48</t>
  </si>
  <si>
    <t>GP200461702S-GW</t>
  </si>
  <si>
    <t>GP200461702S-NF</t>
  </si>
  <si>
    <t>GP200461702AP-UF</t>
  </si>
  <si>
    <t>MEDITATION THOUGHT 24 II 36X48 ARTPROOF UNFRAMED</t>
  </si>
  <si>
    <t>GP200461701-GW</t>
  </si>
  <si>
    <t>MEDITATION THOUGHT 24 II 56X74</t>
  </si>
  <si>
    <t>GP200461801-GW</t>
  </si>
  <si>
    <t>10076054GMNT</t>
  </si>
  <si>
    <t>MEDITATION THOUGHT 27 36X36</t>
  </si>
  <si>
    <t>GP2004618-GW</t>
  </si>
  <si>
    <t>10076047GMNT</t>
  </si>
  <si>
    <t>MEDITATION THOUGHT 27 48X48</t>
  </si>
  <si>
    <t>GP2004618R-GW</t>
  </si>
  <si>
    <t>GP2006168S-BF</t>
  </si>
  <si>
    <t>synograph</t>
  </si>
  <si>
    <t>canvas</t>
  </si>
  <si>
    <t>GP2006168S-GW</t>
  </si>
  <si>
    <t>GP2004618SAP-UF</t>
  </si>
  <si>
    <t>MEDITATION THOUGHT 27 48X48 Art Proof</t>
  </si>
  <si>
    <t>reductive</t>
  </si>
  <si>
    <t>GP2004618S-GW</t>
  </si>
  <si>
    <t>MEDITATION THOUGHT 27 48X48 R</t>
  </si>
  <si>
    <t>GP200462801-GW</t>
  </si>
  <si>
    <t>MEDITATION THOUGHT 28 30X48</t>
  </si>
  <si>
    <t>GP2004628-GW</t>
  </si>
  <si>
    <t>10118755GMNT</t>
  </si>
  <si>
    <r>
      <t xml:space="preserve">MEDITATION THOUGHT 28 36X36 </t>
    </r>
    <r>
      <rPr>
        <sz val="11"/>
        <color rgb="FF0043E5"/>
        <rFont val="Calibri (Body)"/>
      </rPr>
      <t>(27 reverse)</t>
    </r>
  </si>
  <si>
    <t>GP2005107S-NGM</t>
  </si>
  <si>
    <t>MEMENTO HUMANI 30X40</t>
  </si>
  <si>
    <t>GP2005107-NGM</t>
  </si>
  <si>
    <t>GP2005107AP-UF</t>
  </si>
  <si>
    <t>MEMENTO HUMANI 30X40 Art Proof Unframed</t>
  </si>
  <si>
    <t>GP2005108S-NGM</t>
  </si>
  <si>
    <t>MEMENTO VIVERE 30X40</t>
  </si>
  <si>
    <t>GP2005108-NGM</t>
  </si>
  <si>
    <t>GP2005108AP-UF</t>
  </si>
  <si>
    <t>MEMENTO VIVERE 30X40 Art Proof Unframed</t>
  </si>
  <si>
    <t>TEST</t>
  </si>
  <si>
    <t>GP200510801-BF</t>
  </si>
  <si>
    <t>MEMENTO VIVERE 48X60</t>
  </si>
  <si>
    <t>GP10229-GW</t>
  </si>
  <si>
    <t>MESSENGER I 24X30</t>
  </si>
  <si>
    <t>Elodie Klein</t>
  </si>
  <si>
    <t>GP10227-GW</t>
  </si>
  <si>
    <t>MESSENGER II 24X30</t>
  </si>
  <si>
    <t>GP10228-GW</t>
  </si>
  <si>
    <t>MESSENGER III 24X30</t>
  </si>
  <si>
    <t>GP10317-GW</t>
  </si>
  <si>
    <t>MESSENGER IV 24X30</t>
  </si>
  <si>
    <t>GP2005002</t>
  </si>
  <si>
    <t>METAL LID, WHITE BOTTLE</t>
  </si>
  <si>
    <t>GP2005002-NF</t>
  </si>
  <si>
    <t>METAL LID, WHITE BOTTLE 60X48</t>
  </si>
  <si>
    <t>GP2006849-GW</t>
  </si>
  <si>
    <t>METRO 01 32X40</t>
  </si>
  <si>
    <t>82 (2 UP)</t>
  </si>
  <si>
    <t>GP2006849-BF</t>
  </si>
  <si>
    <t>33X41</t>
  </si>
  <si>
    <t>GP2006850-GW</t>
  </si>
  <si>
    <t>METRO 02 32X40</t>
  </si>
  <si>
    <t>GP2006850-BF</t>
  </si>
  <si>
    <t>GP2006851-GW</t>
  </si>
  <si>
    <t>METRO 03 32X40</t>
  </si>
  <si>
    <t>GP2006851-BF</t>
  </si>
  <si>
    <t>GP2006852-GW</t>
  </si>
  <si>
    <t>METRO 04 32X40</t>
  </si>
  <si>
    <t>GP2006852-BF</t>
  </si>
  <si>
    <t>GP2006853-GW</t>
  </si>
  <si>
    <t>METRO 05 32X40</t>
  </si>
  <si>
    <t>GP2006853-BF</t>
  </si>
  <si>
    <t>GP2006854-GW</t>
  </si>
  <si>
    <t>METRO 06 32X40</t>
  </si>
  <si>
    <t>GP2006854-BF</t>
  </si>
  <si>
    <t>MIDNIGHT ASH 16X20</t>
  </si>
  <si>
    <t>GP2002911-BF</t>
  </si>
  <si>
    <t>MIDNIGHT ON THE BAY 24X36</t>
  </si>
  <si>
    <t>MIDSUMMER 64X69</t>
  </si>
  <si>
    <t>GP2001213-GW</t>
  </si>
  <si>
    <t>10088659GMNT</t>
  </si>
  <si>
    <t>MILES FROM HERE 24X36</t>
  </si>
  <si>
    <t>GP2004914-NF</t>
  </si>
  <si>
    <t>MILIEU I 32X42</t>
  </si>
  <si>
    <t>MILIEU I 32X42 PUR</t>
  </si>
  <si>
    <t>GP2004915-NF</t>
  </si>
  <si>
    <t>MILIEU II 32X42</t>
  </si>
  <si>
    <t>MILIEU II 32X42 PUR</t>
  </si>
  <si>
    <t>GP2010109-BF</t>
  </si>
  <si>
    <t>MILTON 12X16</t>
  </si>
  <si>
    <t>GP2002915-GC</t>
  </si>
  <si>
    <t>10123775GLD</t>
  </si>
  <si>
    <t>MIND 30X40</t>
  </si>
  <si>
    <t>GP2006832-GW</t>
  </si>
  <si>
    <t>MIRAGE 01 24X24</t>
  </si>
  <si>
    <t>GP2006832-BF</t>
  </si>
  <si>
    <t>GP2006833-GW</t>
  </si>
  <si>
    <t>MIRAGE 02 24X24</t>
  </si>
  <si>
    <t>GP2006833-BF</t>
  </si>
  <si>
    <t>GP200183201-GW</t>
  </si>
  <si>
    <t>10093224GMNT</t>
  </si>
  <si>
    <t>MONTEREY BAY 54X38</t>
  </si>
  <si>
    <t>54x38</t>
  </si>
  <si>
    <t>122 (2 UP)</t>
  </si>
  <si>
    <t>GP2001832-GW</t>
  </si>
  <si>
    <t>10088685GMNT</t>
  </si>
  <si>
    <t>MONTEREY BAY 78X55</t>
  </si>
  <si>
    <t>78x55</t>
  </si>
  <si>
    <t>GP2001909-GW</t>
  </si>
  <si>
    <t>MOODY BLUE 48X60</t>
  </si>
  <si>
    <t>GPCB120</t>
  </si>
  <si>
    <t>MOONLIT ARRANGEMENT</t>
  </si>
  <si>
    <t>20X28</t>
  </si>
  <si>
    <t>GPCB122</t>
  </si>
  <si>
    <t>MOONLIT ARRANGEMENT II</t>
  </si>
  <si>
    <t>28X20</t>
  </si>
  <si>
    <t>GP2010157-BF</t>
  </si>
  <si>
    <t>MOONLIT LANDSCAPE 12X8</t>
  </si>
  <si>
    <t>13X9</t>
  </si>
  <si>
    <t>GP10345-NGM</t>
  </si>
  <si>
    <t>10014764NATL</t>
  </si>
  <si>
    <t>MORGAN AT DUSK   18X18</t>
  </si>
  <si>
    <t>GP1034501-NGM</t>
  </si>
  <si>
    <t>MORGAN AT DUSK   24X24</t>
  </si>
  <si>
    <t>GP1034502-GW</t>
  </si>
  <si>
    <t>MORGAN AT DUSK   36X36</t>
  </si>
  <si>
    <t>GP2001715-GW</t>
  </si>
  <si>
    <t>MORNING FOG 36X48</t>
  </si>
  <si>
    <t>GP2001715-NF</t>
  </si>
  <si>
    <t>37XX49</t>
  </si>
  <si>
    <t>GP2001715-BF</t>
  </si>
  <si>
    <t>GP2001715-GF</t>
  </si>
  <si>
    <t>GP10218-GW</t>
  </si>
  <si>
    <t>MORNING SUN 24X24</t>
  </si>
  <si>
    <t>GP10218-NGM</t>
  </si>
  <si>
    <t>GP10154-NF</t>
  </si>
  <si>
    <t>MORRIS 16X20</t>
  </si>
  <si>
    <t>GP10312-GW</t>
  </si>
  <si>
    <t>MOTION   50X60</t>
  </si>
  <si>
    <t>GP10312-BC</t>
  </si>
  <si>
    <t>10011717BLK</t>
  </si>
  <si>
    <t>52X60</t>
  </si>
  <si>
    <t>GP2005209-GW</t>
  </si>
  <si>
    <t>MOTIVE I 25X33</t>
  </si>
  <si>
    <t>25X33</t>
  </si>
  <si>
    <t>GP2005210-GW</t>
  </si>
  <si>
    <t>MOTIVE II 25X33</t>
  </si>
  <si>
    <t>GP10490-GW</t>
  </si>
  <si>
    <t>MOUNTAIN II 24X36</t>
  </si>
  <si>
    <t>GP10389-BF</t>
  </si>
  <si>
    <t>MOUNTAIN III 20X30</t>
  </si>
  <si>
    <t>21X31</t>
  </si>
  <si>
    <t>GP2010158-BA</t>
  </si>
  <si>
    <t>MOUNTAIN LANDSCAPE WITH PINES IN THE FOREGROUND 11X7</t>
  </si>
  <si>
    <t>GP2010159-GT</t>
  </si>
  <si>
    <t>MOUNTAIN LANDSCAPE WITH WATERFALL 18X22</t>
  </si>
  <si>
    <t>Redutive</t>
  </si>
  <si>
    <t>GP2004917-NF</t>
  </si>
  <si>
    <t>MOUNTAIN RIDGE I 32X42</t>
  </si>
  <si>
    <t>MOUNTAIN RIDGE I 32X42 PUR</t>
  </si>
  <si>
    <t>GP2004918-NF</t>
  </si>
  <si>
    <t>MOUNTAIN RIDGE II 32X42</t>
  </si>
  <si>
    <t>MOUNTAIN RIDGE II 32X42 PUR</t>
  </si>
  <si>
    <t>GP2010160-WF</t>
  </si>
  <si>
    <t>MOUNTAINOUS LANDSCAPE 22X16</t>
  </si>
  <si>
    <t>22X16</t>
  </si>
  <si>
    <t>23X17</t>
  </si>
  <si>
    <t>GP10309-GW</t>
  </si>
  <si>
    <t>10011716GMNT</t>
  </si>
  <si>
    <t>MOVE   72X48</t>
  </si>
  <si>
    <t>GP10309-BC</t>
  </si>
  <si>
    <t>10011716BLK</t>
  </si>
  <si>
    <t>GP10530-GW</t>
  </si>
  <si>
    <t>10061996GMNT</t>
  </si>
  <si>
    <t>MOVING ON 44X60</t>
  </si>
  <si>
    <t>44X60</t>
  </si>
  <si>
    <t xml:space="preserve">GP201012101-CB  </t>
  </si>
  <si>
    <t>MUTE SWAN 20X20</t>
  </si>
  <si>
    <t>20X20</t>
  </si>
  <si>
    <t>23X23</t>
  </si>
  <si>
    <t>GP2010121-BA</t>
  </si>
  <si>
    <t>GP2010121-NA</t>
  </si>
  <si>
    <t>GP2010121-CB</t>
  </si>
  <si>
    <t>GP10289-NF</t>
  </si>
  <si>
    <t>10014686NATL</t>
  </si>
  <si>
    <t>MYSTIC   60X48</t>
  </si>
  <si>
    <t>GP2004809-NF</t>
  </si>
  <si>
    <t>MYSTIC REALM 30X20</t>
  </si>
  <si>
    <t>GP200480901</t>
  </si>
  <si>
    <t>MYSTIC REALM 60x48</t>
  </si>
  <si>
    <t>GP10160-BC</t>
  </si>
  <si>
    <t>41050855BLK</t>
  </si>
  <si>
    <t>NAPA VALLEY  47X68</t>
  </si>
  <si>
    <t>GP2000623-GW</t>
  </si>
  <si>
    <t>NAPKIN SKETCHES I 36X48</t>
  </si>
  <si>
    <t>GP200062301-GW</t>
  </si>
  <si>
    <t>NAPKIN SKETCHES I 56X74</t>
  </si>
  <si>
    <t>GP200062301-NF</t>
  </si>
  <si>
    <t>57X75</t>
  </si>
  <si>
    <t>GP200062301-BGF</t>
  </si>
  <si>
    <t>BGF</t>
  </si>
  <si>
    <t>BCT</t>
  </si>
  <si>
    <t>GP2000622-BF</t>
  </si>
  <si>
    <t>NAPKIN SKETCHES II 48X48</t>
  </si>
  <si>
    <t>GP2000622-BGF</t>
  </si>
  <si>
    <t>GP2000622-GW</t>
  </si>
  <si>
    <t>GP200622-GW</t>
  </si>
  <si>
    <t>Prestretch</t>
  </si>
  <si>
    <t>GP200622-NF</t>
  </si>
  <si>
    <t>GP2000624-BGF</t>
  </si>
  <si>
    <t>NAPKIN SKETCHES III 60X48</t>
  </si>
  <si>
    <t>GP2000624-GW</t>
  </si>
  <si>
    <t>GP2000625S-BF</t>
  </si>
  <si>
    <t>NAPKIN SKETCHES IV 60X40</t>
  </si>
  <si>
    <t>GP2000625S-GW</t>
  </si>
  <si>
    <t>GP2000625S-NF</t>
  </si>
  <si>
    <t xml:space="preserve">NAPKIN SKETCHES IV 60X40 </t>
  </si>
  <si>
    <t>GP2000625AP-UF</t>
  </si>
  <si>
    <t>NAPKIN SKETCHES IV 60X40 Art Proof Unframed</t>
  </si>
  <si>
    <t>GP200625-GW</t>
  </si>
  <si>
    <t>NAPKIN SKETCHES IV 60X48</t>
  </si>
  <si>
    <t>GP2000537-GF</t>
  </si>
  <si>
    <t>10123992GOLD</t>
  </si>
  <si>
    <t>NAPKIN SKETCHES IX 56X74</t>
  </si>
  <si>
    <t>GP2000635-BGF</t>
  </si>
  <si>
    <t>NAPKIN SKETCHES V 60X48</t>
  </si>
  <si>
    <t>GP2001218-GW</t>
  </si>
  <si>
    <t>NARRATIVE 24X24</t>
  </si>
  <si>
    <t>GP2010161-NA</t>
  </si>
  <si>
    <t>NASTURTIUMS IN WATERCOLOR 8X12</t>
  </si>
  <si>
    <t>GP10544-GW</t>
  </si>
  <si>
    <t>NATURE OF DUST 48X60</t>
  </si>
  <si>
    <t>GP1054401AP-UF</t>
  </si>
  <si>
    <t>GP1054401S-BF</t>
  </si>
  <si>
    <t>GP1054401S-GW</t>
  </si>
  <si>
    <t>GP1054401S-NF</t>
  </si>
  <si>
    <t>49X62</t>
  </si>
  <si>
    <t>GP2005305-BC</t>
  </si>
  <si>
    <t>NATURE STUDY</t>
  </si>
  <si>
    <t>GPCB143</t>
  </si>
  <si>
    <t>GP2005305WP-BA</t>
  </si>
  <si>
    <t xml:space="preserve">NATURE STUDY 12X16 </t>
  </si>
  <si>
    <t>GP2005305WP-NA</t>
  </si>
  <si>
    <t>GP2005305WP-UF</t>
  </si>
  <si>
    <t>NATURE STUDY 12X16 Work on Paper Unframed</t>
  </si>
  <si>
    <t>GP11298-WF</t>
  </si>
  <si>
    <t>NEIGHBORHOOD STREET IN RIJSWIJK 24X36</t>
  </si>
  <si>
    <t>GP11299-IGM</t>
  </si>
  <si>
    <t>NEIGHBORHOOD STREET IN THE HAGUE 12X24</t>
  </si>
  <si>
    <t>Inset Gallery Mount</t>
  </si>
  <si>
    <t>IGM</t>
  </si>
  <si>
    <t>GP10266-SA</t>
  </si>
  <si>
    <t>10062041GMNT</t>
  </si>
  <si>
    <t>NEPENTHE 48X60</t>
  </si>
  <si>
    <t>GP2006105-GW</t>
  </si>
  <si>
    <t>NERO FASCI DI LUCE SU TELA 36X60</t>
  </si>
  <si>
    <t>36X60</t>
  </si>
  <si>
    <t>GP2006105-GF</t>
  </si>
  <si>
    <t>37X61</t>
  </si>
  <si>
    <t>GP2006105-WF</t>
  </si>
  <si>
    <t>GPCB28</t>
  </si>
  <si>
    <t xml:space="preserve">NERO GRIGIO </t>
  </si>
  <si>
    <t>55x71</t>
  </si>
  <si>
    <t>GPCB29</t>
  </si>
  <si>
    <t>GP2004527S-BF</t>
  </si>
  <si>
    <t xml:space="preserve">NERO GRIGIO 48X60 </t>
  </si>
  <si>
    <t>GP2004527S-GW</t>
  </si>
  <si>
    <t>GP2004527S-NF</t>
  </si>
  <si>
    <t>GP2004527AP-UF</t>
  </si>
  <si>
    <t>NERO GRIGIO 48X60 Art Proof Unframed</t>
  </si>
  <si>
    <t>GP10236-GW</t>
  </si>
  <si>
    <t>NEUTRAL ZONE 30X40</t>
  </si>
  <si>
    <t>GP2004520-BF</t>
  </si>
  <si>
    <t>NEW PERCEPTIONS IX 47X63</t>
  </si>
  <si>
    <t>47X63</t>
  </si>
  <si>
    <t>GP2004520S-BF</t>
  </si>
  <si>
    <t xml:space="preserve">NEW PERCEPTIONS IX 48X60 </t>
  </si>
  <si>
    <t>GP2004520S-GW</t>
  </si>
  <si>
    <t>GP2004520S-NF</t>
  </si>
  <si>
    <t>GP2004520AP-UF</t>
  </si>
  <si>
    <t>NEW PERCEPTIONS IX 48X60 Art Proof Unframed</t>
  </si>
  <si>
    <t>GP2004519-BF</t>
  </si>
  <si>
    <t>NEW PERCEPTIONS VIII 47X63</t>
  </si>
  <si>
    <t>GP2004519S-BF</t>
  </si>
  <si>
    <t xml:space="preserve">NEW PERCEPTIONS VIII 48X60 </t>
  </si>
  <si>
    <t>GP2004519S-GW</t>
  </si>
  <si>
    <t>GP2004519S-NF</t>
  </si>
  <si>
    <t>GP2004519AP-UF</t>
  </si>
  <si>
    <t>NEW PERCEPTIONS VIII 48X60 Art Proof Unframed</t>
  </si>
  <si>
    <t>GP10434-CA</t>
  </si>
  <si>
    <t>10029407GOLD</t>
  </si>
  <si>
    <t>NEW YEAR TULIPS I  16X20</t>
  </si>
  <si>
    <t>GP10434-CB</t>
  </si>
  <si>
    <t>GP10434-BF</t>
  </si>
  <si>
    <t>GP10434S-CB</t>
  </si>
  <si>
    <t>GP10435-CA</t>
  </si>
  <si>
    <t>10029408GOLD</t>
  </si>
  <si>
    <t>NEW YEAR TULIPS II  16X20</t>
  </si>
  <si>
    <t>GP10435-CB</t>
  </si>
  <si>
    <t>GP10435-BF</t>
  </si>
  <si>
    <t>GP1043401-CB</t>
  </si>
  <si>
    <t>NEW YEAR TUPLIPS I 28X38</t>
  </si>
  <si>
    <t>28X38</t>
  </si>
  <si>
    <t>GP1043501-CB</t>
  </si>
  <si>
    <t>NEW YEAR TUPLIPS II 28X38</t>
  </si>
  <si>
    <t>GP2010162-BA</t>
  </si>
  <si>
    <t>NEW YEAR'S GREETING WITH ANEMONES 7X10</t>
  </si>
  <si>
    <t>7X10</t>
  </si>
  <si>
    <t>GP10434R-WF</t>
  </si>
  <si>
    <t>NEW YEARS TULIPS I  30X40</t>
  </si>
  <si>
    <t>GP10435R-WF</t>
  </si>
  <si>
    <t>NEW YEARS TULIPS II  30X40</t>
  </si>
  <si>
    <t>GP2001716-GW</t>
  </si>
  <si>
    <t>NEXT EXIT 36X48</t>
  </si>
  <si>
    <t>GP2001716-GF</t>
  </si>
  <si>
    <t>GP2001716-NF</t>
  </si>
  <si>
    <t>GP2001716-BF</t>
  </si>
  <si>
    <t>GP2001709-GW</t>
  </si>
  <si>
    <t>NIGHT BECOMES DAY 30X40</t>
  </si>
  <si>
    <t>GP10238R-GW</t>
  </si>
  <si>
    <t xml:space="preserve">NIGHT BECOMES DAY 40X53 R SONDER </t>
  </si>
  <si>
    <t>40x53</t>
  </si>
  <si>
    <t>GP10238-GW</t>
  </si>
  <si>
    <t xml:space="preserve">NIGHT BECOMES DAY 40X53 SONDER </t>
  </si>
  <si>
    <t>GP10357-GW</t>
  </si>
  <si>
    <t>10011747GMNT</t>
  </si>
  <si>
    <t>NIGHT I  48X36</t>
  </si>
  <si>
    <t>59 (2-UP)</t>
  </si>
  <si>
    <t>GP10357-BC</t>
  </si>
  <si>
    <t>10011747BLK</t>
  </si>
  <si>
    <t>GP2004021-GW</t>
  </si>
  <si>
    <t>NIGHT I 60X48</t>
  </si>
  <si>
    <t>GP200402101-BC</t>
  </si>
  <si>
    <t>10145071BLK</t>
  </si>
  <si>
    <t>NIGHT I 70X53</t>
  </si>
  <si>
    <t>70X53</t>
  </si>
  <si>
    <t>72X55</t>
  </si>
  <si>
    <t>GP10356-GC</t>
  </si>
  <si>
    <t>NIGHT II  48X36</t>
  </si>
  <si>
    <t>GP10356-BC</t>
  </si>
  <si>
    <t>10011748BLK</t>
  </si>
  <si>
    <t>GP2004022-GW</t>
  </si>
  <si>
    <t>NIGHT II 60X48</t>
  </si>
  <si>
    <t>GP200402201-BC</t>
  </si>
  <si>
    <t>10145066BLK</t>
  </si>
  <si>
    <t>NIGHT II 70X53</t>
  </si>
  <si>
    <t xml:space="preserve">	GP2001209-GW</t>
  </si>
  <si>
    <t>10088640GMNT</t>
  </si>
  <si>
    <t>NIGHT WALK 48X45</t>
  </si>
  <si>
    <t>48x45</t>
  </si>
  <si>
    <t>53 (2-up)</t>
  </si>
  <si>
    <t>GP2001911-GW</t>
  </si>
  <si>
    <t>NO WORRIES TODAY 60X48</t>
  </si>
  <si>
    <t>GP2005401-</t>
  </si>
  <si>
    <t>NO.26 18X30</t>
  </si>
  <si>
    <t>Jackson Pollack</t>
  </si>
  <si>
    <t>18x30</t>
  </si>
  <si>
    <t>GP2005402-</t>
  </si>
  <si>
    <t>NO.36 30X20</t>
  </si>
  <si>
    <t>GP2002910-GW</t>
  </si>
  <si>
    <t>10088656GMNT</t>
  </si>
  <si>
    <t>NOCTURNE 18X18</t>
  </si>
  <si>
    <t>18x18</t>
  </si>
  <si>
    <t>GP10347-NGM</t>
  </si>
  <si>
    <t>NORFOLD FIELDS 24X24</t>
  </si>
  <si>
    <t>GPCB142</t>
  </si>
  <si>
    <t>NORTH WOODS II</t>
  </si>
  <si>
    <t>GP2003707-BF</t>
  </si>
  <si>
    <t>NOT THE ENDING YOU WERE EXPECTING 20X30</t>
  </si>
  <si>
    <t>GP11233-BA</t>
  </si>
  <si>
    <t>NUDE I 16X20</t>
  </si>
  <si>
    <t>GP2010163-NA</t>
  </si>
  <si>
    <t>OAK 6X8</t>
  </si>
  <si>
    <t>6X8</t>
  </si>
  <si>
    <t>GP10527L-GW</t>
  </si>
  <si>
    <t xml:space="preserve">OBSIDIAN &amp; SAGE 16X20 L </t>
  </si>
  <si>
    <t>GP10527R-GW</t>
  </si>
  <si>
    <t>SR-ART-20544-G</t>
  </si>
  <si>
    <t>OBSIDIAN &amp; SAGE 42X53 R SONDER</t>
  </si>
  <si>
    <t>42x53</t>
  </si>
  <si>
    <t>GP10527-GW</t>
  </si>
  <si>
    <t>OBSIDIAN &amp; SAGE 42X53 SONDER</t>
  </si>
  <si>
    <t>GP1052701-NF</t>
  </si>
  <si>
    <t>OBSIDIAN &amp; SAGE 48X60</t>
  </si>
  <si>
    <t>GP1052701-GW</t>
  </si>
  <si>
    <t>GP2002631-BF</t>
  </si>
  <si>
    <t>OBTUSE 36X36</t>
  </si>
  <si>
    <t>GP10011-BF</t>
  </si>
  <si>
    <t>41450779BLK</t>
  </si>
  <si>
    <t>OBTUSE I  36X36</t>
  </si>
  <si>
    <t>GP200263101-BF</t>
  </si>
  <si>
    <t>OBTUSE I 60X60</t>
  </si>
  <si>
    <t>GP10109-BF</t>
  </si>
  <si>
    <t>41050849BLK</t>
  </si>
  <si>
    <t>OBTUSE II  36X36</t>
  </si>
  <si>
    <t>GP2002632-BF</t>
  </si>
  <si>
    <t>GP200263201-BF</t>
  </si>
  <si>
    <t>OBTUSE II 60X60</t>
  </si>
  <si>
    <t>GP10276-NGM</t>
  </si>
  <si>
    <t>OCULUS   48X60</t>
  </si>
  <si>
    <t>GP10276-BF</t>
  </si>
  <si>
    <t>10011727BLK</t>
  </si>
  <si>
    <t>GP10276-NF</t>
  </si>
  <si>
    <t>10011727NATL</t>
  </si>
  <si>
    <t>GP2004817-NF</t>
  </si>
  <si>
    <t>OF OTHERWORLDLY TERRAIN 20X16</t>
  </si>
  <si>
    <t>CH20</t>
  </si>
  <si>
    <t>GP2004215-GW</t>
  </si>
  <si>
    <t>OFF WHITE SCRIBBLES  32X32</t>
  </si>
  <si>
    <t>32x32</t>
  </si>
  <si>
    <t>GP200421501-GW</t>
  </si>
  <si>
    <t>OFF WHITE SCRIBBLES  40X40</t>
  </si>
  <si>
    <t>GP2004215L-GW</t>
  </si>
  <si>
    <t>OFF WHITE SCRIBBLES 16X16 L</t>
  </si>
  <si>
    <t>GP2005005</t>
  </si>
  <si>
    <t>OIL BOTTLE, CORK</t>
  </si>
  <si>
    <t>GP2005003</t>
  </si>
  <si>
    <t>OIL JAR WITH BOWL AND BOTTLES</t>
  </si>
  <si>
    <t>GP10045-CB</t>
  </si>
  <si>
    <t>OLD MAN 16X20</t>
  </si>
  <si>
    <t>GP10045S-CB</t>
  </si>
  <si>
    <t>GP10045-CA</t>
  </si>
  <si>
    <t>GP10045AP-UF</t>
  </si>
  <si>
    <t>OLD MAN 16X20 Art Proof Unframed</t>
  </si>
  <si>
    <t>GP2005115S-NGM</t>
  </si>
  <si>
    <t>OMORPHIA 33X42</t>
  </si>
  <si>
    <t>33x42</t>
  </si>
  <si>
    <t>GP2005115-NGM</t>
  </si>
  <si>
    <t>GP2005115AP-UF</t>
  </si>
  <si>
    <t>OMORPHIA 33X42 Art Proof Unframed</t>
  </si>
  <si>
    <t>GP2003434-GW</t>
  </si>
  <si>
    <t>10088691GMNT</t>
  </si>
  <si>
    <t>ON THE GHOST OF AN EVENING 48X48</t>
  </si>
  <si>
    <t>GP200161201-GW</t>
  </si>
  <si>
    <t>ONE WAY OR ANOTHER 24X36</t>
  </si>
  <si>
    <t>GP2001612-NF</t>
  </si>
  <si>
    <t>ONE WAY OR ANOTHER 40X60</t>
  </si>
  <si>
    <t>GP10288-GW</t>
  </si>
  <si>
    <t>10063414GMNT</t>
  </si>
  <si>
    <t>OPEN SKY 48X60</t>
  </si>
  <si>
    <t>GP1028801L-GW</t>
  </si>
  <si>
    <t>OPEN SKY L 38X48</t>
  </si>
  <si>
    <t>38x48</t>
  </si>
  <si>
    <t>GP2004808-BF</t>
  </si>
  <si>
    <t>OPENING LULL 60X40</t>
  </si>
  <si>
    <t>GP2004808-GW</t>
  </si>
  <si>
    <t>GP2005202-GW</t>
  </si>
  <si>
    <t>OPTED 48X60</t>
  </si>
  <si>
    <t>GP2005202-BF</t>
  </si>
  <si>
    <t>GP2005202-NF</t>
  </si>
  <si>
    <t>GP2000308-GW</t>
  </si>
  <si>
    <t>10061997GMNT</t>
  </si>
  <si>
    <t>OPTIMIST I 48X60</t>
  </si>
  <si>
    <t>GP200030801-GW</t>
  </si>
  <si>
    <t>10088006GMNT</t>
  </si>
  <si>
    <t>OPTIMIST I 52X58</t>
  </si>
  <si>
    <t>52x58</t>
  </si>
  <si>
    <t>GP2000309-GW</t>
  </si>
  <si>
    <t>10061998GMNT</t>
  </si>
  <si>
    <t>OPTIMIST II 48X60</t>
  </si>
  <si>
    <t>GP200030901-GW</t>
  </si>
  <si>
    <t>10088005GMNT</t>
  </si>
  <si>
    <t>OPTIMIST II 52X58</t>
  </si>
  <si>
    <t>GP2010164-BA</t>
  </si>
  <si>
    <t>ORCHIDS 8X8</t>
  </si>
  <si>
    <t>8X8</t>
  </si>
  <si>
    <t>ORDER OF CHAOS 48X48</t>
  </si>
  <si>
    <t>GP10327-BF</t>
  </si>
  <si>
    <t>10011704BLK</t>
  </si>
  <si>
    <t>OREGON COAST I  24X24</t>
  </si>
  <si>
    <t>GP10327R-BF</t>
  </si>
  <si>
    <t>10062471BLK</t>
  </si>
  <si>
    <t>GP10327-GW</t>
  </si>
  <si>
    <t>OREGON COAST I 24X24</t>
  </si>
  <si>
    <t>GP10327-NF</t>
  </si>
  <si>
    <t>GP10326-BF</t>
  </si>
  <si>
    <t>10011703BLK</t>
  </si>
  <si>
    <t>OREGON COAST II   24X24</t>
  </si>
  <si>
    <t>GP10326-NF</t>
  </si>
  <si>
    <t>OREGON COAST II  24X24</t>
  </si>
  <si>
    <t>GP10326R-BF</t>
  </si>
  <si>
    <t>10062473BLK</t>
  </si>
  <si>
    <t>GP10328-BF</t>
  </si>
  <si>
    <t>10011741BLK</t>
  </si>
  <si>
    <t>OREGON COAST III   24X24</t>
  </si>
  <si>
    <t>GP10328R-BF</t>
  </si>
  <si>
    <t>10062477BLK</t>
  </si>
  <si>
    <t>OREGON COAST III  24X24</t>
  </si>
  <si>
    <t>GP10328-GW</t>
  </si>
  <si>
    <t>OREGON COAST III 24X24</t>
  </si>
  <si>
    <t>GP10328-NF</t>
  </si>
  <si>
    <t>GP10329-BF</t>
  </si>
  <si>
    <t>10011740BLK</t>
  </si>
  <si>
    <t>OREGON COAST IV   24X24</t>
  </si>
  <si>
    <t>GP10329-NF</t>
  </si>
  <si>
    <t>OREGON COAST IV  24X24</t>
  </si>
  <si>
    <t>GP10329R-BF</t>
  </si>
  <si>
    <t>10062470BLK</t>
  </si>
  <si>
    <t>GP2000619-GW</t>
  </si>
  <si>
    <t>10088690GMNT</t>
  </si>
  <si>
    <t>ORIGAMI VI 48X48</t>
  </si>
  <si>
    <t>GP2000620-GW</t>
  </si>
  <si>
    <t>10088644GMNT</t>
  </si>
  <si>
    <t>ORIGAMI VII 48X48</t>
  </si>
  <si>
    <t>GP11286-BF</t>
  </si>
  <si>
    <t>OSTRICH 12X16</t>
  </si>
  <si>
    <t>GP2004308GW</t>
  </si>
  <si>
    <t>10062038GMNT</t>
  </si>
  <si>
    <t>OTHER SIDE OF THE SUN 56X26</t>
  </si>
  <si>
    <t>Verona Sorensen</t>
  </si>
  <si>
    <t>56x26</t>
  </si>
  <si>
    <t>GP2001220-GW</t>
  </si>
  <si>
    <t>OUTSIDE THE LINES 48X48</t>
  </si>
  <si>
    <t>GP2001220-BF</t>
  </si>
  <si>
    <t>GP2001220-BC</t>
  </si>
  <si>
    <t>GP2001220-GC</t>
  </si>
  <si>
    <t>GP2001220-NC</t>
  </si>
  <si>
    <t>GP10349-NGM</t>
  </si>
  <si>
    <t>OUTSKIRTS OF ESSAURIA 24X24</t>
  </si>
  <si>
    <t>PACE 20X24</t>
  </si>
  <si>
    <t>GP10301</t>
  </si>
  <si>
    <t>PAINTED FLOWERS 1 16X20</t>
  </si>
  <si>
    <t>BCA</t>
  </si>
  <si>
    <t>GP10301-BA</t>
  </si>
  <si>
    <t>GP10305</t>
  </si>
  <si>
    <t>PAINTED FLOWERS 2 16X20</t>
  </si>
  <si>
    <t>GP10305-BA</t>
  </si>
  <si>
    <t>GP10303-BA</t>
  </si>
  <si>
    <t>PAINTED FLOWERS 3 16X20</t>
  </si>
  <si>
    <t>GP10302-BA</t>
  </si>
  <si>
    <t>PAINTED FLOWERS 4 16X20</t>
  </si>
  <si>
    <t>GP10304-BA</t>
  </si>
  <si>
    <t>PAINTED FLOWERS 5 16X20</t>
  </si>
  <si>
    <t>GP10306-BA</t>
  </si>
  <si>
    <t>PAINTED FLOWERS 6 16X20</t>
  </si>
  <si>
    <t>GP2005120S-NGM</t>
  </si>
  <si>
    <t>PALU PALU 28X36</t>
  </si>
  <si>
    <t>GP2005120-NGM</t>
  </si>
  <si>
    <t>GP2005120AP-UF</t>
  </si>
  <si>
    <t>PALU PALU 28X36 Art Proof Unframed</t>
  </si>
  <si>
    <t>GP2004202-GW</t>
  </si>
  <si>
    <t>10074843GMNT</t>
  </si>
  <si>
    <t>PAPERWORK I 30X40</t>
  </si>
  <si>
    <t>GP2004203-GW</t>
  </si>
  <si>
    <t>PAPERWORK II 30X40</t>
  </si>
  <si>
    <t>GP2004208-GW</t>
  </si>
  <si>
    <t>10074829GMNT</t>
  </si>
  <si>
    <t>PAPERWORK III 30X40</t>
  </si>
  <si>
    <t>GP2004205-GW</t>
  </si>
  <si>
    <t>10074830GMNT</t>
  </si>
  <si>
    <t>PAPERWORK IV 40X30</t>
  </si>
  <si>
    <t>GP2004207-GW</t>
  </si>
  <si>
    <t>10074827GMNT</t>
  </si>
  <si>
    <t>PAPERWORK VI 19X24</t>
  </si>
  <si>
    <t>GP2004204-GW</t>
  </si>
  <si>
    <t>10074828GMNT</t>
  </si>
  <si>
    <t>PAPERWORK VII 19X24</t>
  </si>
  <si>
    <t>GP2004209-GW</t>
  </si>
  <si>
    <t>10074825GMNT</t>
  </si>
  <si>
    <t>PAPERWORK VIII 19X24</t>
  </si>
  <si>
    <t>GP2004818-BF</t>
  </si>
  <si>
    <t>PASSAGE IN BETWEEN 60X40</t>
  </si>
  <si>
    <t>GP2004027-GW</t>
  </si>
  <si>
    <t>PATCHWORK 60X48</t>
  </si>
  <si>
    <t>GP10419-GW</t>
  </si>
  <si>
    <t>10029372GMNT</t>
  </si>
  <si>
    <t>PEARL  48X48</t>
  </si>
  <si>
    <t>GP1041901-GW</t>
  </si>
  <si>
    <t>PEARL 24X24</t>
  </si>
  <si>
    <t>GP10436-CA</t>
  </si>
  <si>
    <t>10029409GOLD</t>
  </si>
  <si>
    <t>PEARS  16X20</t>
  </si>
  <si>
    <t>GP10436R-CB</t>
  </si>
  <si>
    <t>PEARS  20X16</t>
  </si>
  <si>
    <t>GP10436-NF</t>
  </si>
  <si>
    <t>GP10436-CB</t>
  </si>
  <si>
    <t>GP10346-NGM</t>
  </si>
  <si>
    <t>10014762NATL</t>
  </si>
  <si>
    <t>PENDERYN   18X18</t>
  </si>
  <si>
    <t>GP1034601-NGM</t>
  </si>
  <si>
    <t>PENDERYN 24X24</t>
  </si>
  <si>
    <t>GP2010111R-GW</t>
  </si>
  <si>
    <t>PIGEON 20X16</t>
  </si>
  <si>
    <t>GP2010111R-BF</t>
  </si>
  <si>
    <t>GP2010111R-WF</t>
  </si>
  <si>
    <t>GP2001717-GW</t>
  </si>
  <si>
    <t>PILGRIMAGE 36X48</t>
  </si>
  <si>
    <t>GP2001717-GF</t>
  </si>
  <si>
    <t>GP2001717-BF</t>
  </si>
  <si>
    <t>GP2001717-NF</t>
  </si>
  <si>
    <t>GP2004210-GW</t>
  </si>
  <si>
    <t>PILINGS I 72X90</t>
  </si>
  <si>
    <t>72X90</t>
  </si>
  <si>
    <t>GP2004211-GW</t>
  </si>
  <si>
    <t>PILINGS II 72X90</t>
  </si>
  <si>
    <t>GP2004212-GW</t>
  </si>
  <si>
    <t>PILINGS III 72X90</t>
  </si>
  <si>
    <t>GP2004233-GW</t>
  </si>
  <si>
    <t>10074983GMNT</t>
  </si>
  <si>
    <t>PILINGS VI   51X64</t>
  </si>
  <si>
    <t>51X64</t>
  </si>
  <si>
    <t>GP2004234-GW</t>
  </si>
  <si>
    <t>10074982GMNT</t>
  </si>
  <si>
    <t>PILINGS VII  51X64</t>
  </si>
  <si>
    <t>SEP20</t>
  </si>
  <si>
    <t>GP2004231-GW</t>
  </si>
  <si>
    <t>10074822GMNT</t>
  </si>
  <si>
    <t>PILINGS XIII 20X24</t>
  </si>
  <si>
    <t>GP2004232-GW</t>
  </si>
  <si>
    <t>10074832GMNT</t>
  </si>
  <si>
    <t>PILINGS XIV 20X24</t>
  </si>
  <si>
    <t>GP1051401-GW</t>
  </si>
  <si>
    <t>10079120GMNT</t>
  </si>
  <si>
    <t>PINACLE 36X36</t>
  </si>
  <si>
    <t>GP1051401-BF</t>
  </si>
  <si>
    <t>10079120BLK</t>
  </si>
  <si>
    <t>GP1051401-NF</t>
  </si>
  <si>
    <t>10079120NATL</t>
  </si>
  <si>
    <t>GP10514-GW</t>
  </si>
  <si>
    <t>10061984GMNT</t>
  </si>
  <si>
    <t>PINACLE 48X48</t>
  </si>
  <si>
    <t>GP10514-BF</t>
  </si>
  <si>
    <t>10061984BLK</t>
  </si>
  <si>
    <t>GP10514-NF</t>
  </si>
  <si>
    <t>10061984NATL</t>
  </si>
  <si>
    <t>GP11876-BA</t>
  </si>
  <si>
    <t>PINE NEEDLES 10X12</t>
  </si>
  <si>
    <t>GP2002813-GW</t>
  </si>
  <si>
    <t>PINKS IN THE FIELD 60X40</t>
  </si>
  <si>
    <t>GP11305-BA</t>
  </si>
  <si>
    <t>PLANT STUDY (NETTLE) 16X20</t>
  </si>
  <si>
    <t>GPCB21</t>
  </si>
  <si>
    <t>PLEDGE</t>
  </si>
  <si>
    <t>Robert Rauschenberg</t>
  </si>
  <si>
    <t>17x27</t>
  </si>
  <si>
    <t>GPCB22</t>
  </si>
  <si>
    <t>GPCB23</t>
  </si>
  <si>
    <t>GP10115-BC</t>
  </si>
  <si>
    <t>41450783BLK</t>
  </si>
  <si>
    <t>PLUS  50X38</t>
  </si>
  <si>
    <t>GP1011501-GW</t>
  </si>
  <si>
    <t>PLUS 30X20</t>
  </si>
  <si>
    <t>ARP23</t>
  </si>
  <si>
    <t>GP10115-GW</t>
  </si>
  <si>
    <t>PLUS 50X38</t>
  </si>
  <si>
    <t>GP2006106-GW</t>
  </si>
  <si>
    <t>PN PLUS 1 36X60</t>
  </si>
  <si>
    <t>GP2006107-GW</t>
  </si>
  <si>
    <t>PN PLUS 2 36X60</t>
  </si>
  <si>
    <t>GP2006108-GW</t>
  </si>
  <si>
    <t>PN PLUS 3 36X60</t>
  </si>
  <si>
    <t>GP2006109-GW</t>
  </si>
  <si>
    <t>PN PLUS 4 36X60</t>
  </si>
  <si>
    <t>GP2000323-GW</t>
  </si>
  <si>
    <t>POGONIP HOLLOW 70X56</t>
  </si>
  <si>
    <t>GP2000323-GC</t>
  </si>
  <si>
    <t>GP2000323-BC</t>
  </si>
  <si>
    <t>GP2010165-WF</t>
  </si>
  <si>
    <t>POLDER LANDSCAPE 24X16</t>
  </si>
  <si>
    <t>24X16</t>
  </si>
  <si>
    <t>25X17</t>
  </si>
  <si>
    <t>GP10091-NF</t>
  </si>
  <si>
    <t>POPPY 16X12</t>
  </si>
  <si>
    <t>60 (2up)</t>
  </si>
  <si>
    <t>GP2010166-GT</t>
  </si>
  <si>
    <t>PORTRAIT OF A GREYHOUND AND A PARTRIDGE DOG 22X18</t>
  </si>
  <si>
    <t>GP2010167-CB</t>
  </si>
  <si>
    <t>PORTRAIT OF A WOMAN I 9X12</t>
  </si>
  <si>
    <t>12X15</t>
  </si>
  <si>
    <t>GP2010168-CB</t>
  </si>
  <si>
    <t>PORTRAIT OF A WOMAN II 15X18</t>
  </si>
  <si>
    <t>15X18</t>
  </si>
  <si>
    <t>18X21</t>
  </si>
  <si>
    <t>GP2010206-WF</t>
  </si>
  <si>
    <t>PORTRAIT OF A YOUNG MAN 10X13</t>
  </si>
  <si>
    <t>10X13</t>
  </si>
  <si>
    <t>11X14</t>
  </si>
  <si>
    <t>GP11285-CB</t>
  </si>
  <si>
    <t>PORTRAIT OF A YOUNG WOMAN 24X24</t>
  </si>
  <si>
    <t>GP1128501-CB</t>
  </si>
  <si>
    <t>GP2010169-WF</t>
  </si>
  <si>
    <t>PORTRAIT OF EMMA JANE HODGES 16X20</t>
  </si>
  <si>
    <t>GP2010170-GT</t>
  </si>
  <si>
    <t>PORTRAIT OF LIZZY ANSINGH 13X17</t>
  </si>
  <si>
    <t>GP2010171-NA</t>
  </si>
  <si>
    <t>PORTRAIT OF SISTER NELLY 12X14</t>
  </si>
  <si>
    <t>14X16</t>
  </si>
  <si>
    <t>GP10265-SA</t>
  </si>
  <si>
    <t>10062039GMNT</t>
  </si>
  <si>
    <t>PORTRAIT OF TIME 48X48</t>
  </si>
  <si>
    <t>GP2004307-GW</t>
  </si>
  <si>
    <t>10062037GMNT</t>
  </si>
  <si>
    <t>POSEIDON LIFT 60X36</t>
  </si>
  <si>
    <t>GP2004306-GW</t>
  </si>
  <si>
    <t>10062036GMNT</t>
  </si>
  <si>
    <t>POSEIDON STORM 60X36</t>
  </si>
  <si>
    <t>GP2005006</t>
  </si>
  <si>
    <t>POTION JAR</t>
  </si>
  <si>
    <t>18X16</t>
  </si>
  <si>
    <t>19X17</t>
  </si>
  <si>
    <t>GP2005006-NF</t>
  </si>
  <si>
    <t>POTION JAR 20X16</t>
  </si>
  <si>
    <t>59 (2up)</t>
  </si>
  <si>
    <t>GP2004235-BF</t>
  </si>
  <si>
    <t>10074831BLK</t>
  </si>
  <si>
    <t>POURING V I 51X64</t>
  </si>
  <si>
    <t>52X65</t>
  </si>
  <si>
    <t>GP2004236-BF</t>
  </si>
  <si>
    <t>10074833BLK</t>
  </si>
  <si>
    <t>POURING V II 51X64</t>
  </si>
  <si>
    <t>NA - FL19</t>
  </si>
  <si>
    <t>GP10456-BF</t>
  </si>
  <si>
    <t>10029379BLK</t>
  </si>
  <si>
    <t>POWER OF COLLISION I  20X24</t>
  </si>
  <si>
    <t>GP10456R-BF</t>
  </si>
  <si>
    <t>10062460BLK</t>
  </si>
  <si>
    <t>POWER OF COLLISION I  60X40</t>
  </si>
  <si>
    <t>GP10356-GW</t>
  </si>
  <si>
    <t>POWER OF COLLISION I 20X24</t>
  </si>
  <si>
    <t>GP10457-BF</t>
  </si>
  <si>
    <t>10029355BLK</t>
  </si>
  <si>
    <t>POWER OF COLLISION II  20X24</t>
  </si>
  <si>
    <t>GP10457R-BF</t>
  </si>
  <si>
    <t>10062450BLK</t>
  </si>
  <si>
    <t>20x24</t>
  </si>
  <si>
    <t>GP10458-BF</t>
  </si>
  <si>
    <t>10029356BLK</t>
  </si>
  <si>
    <t>POWER OF COLLISION III  20X24</t>
  </si>
  <si>
    <t>GP10458R-BF</t>
  </si>
  <si>
    <t>10062452BLK</t>
  </si>
  <si>
    <t>GP10459-BF</t>
  </si>
  <si>
    <t>10029353BLK</t>
  </si>
  <si>
    <t>POWER OF COLLISION IV  20X24</t>
  </si>
  <si>
    <t>GP10459R-BF</t>
  </si>
  <si>
    <t>10062476BLK</t>
  </si>
  <si>
    <t>GP10460-BF</t>
  </si>
  <si>
    <t>10029354BLK</t>
  </si>
  <si>
    <t>POWER OF COLLISION V  20X24</t>
  </si>
  <si>
    <t>GP10460R-BF</t>
  </si>
  <si>
    <t>10062467BLK</t>
  </si>
  <si>
    <t>GP10461-BF</t>
  </si>
  <si>
    <t>10029358BLK</t>
  </si>
  <si>
    <t>POWER OF COLLISION VI  20X24</t>
  </si>
  <si>
    <t>GP10461R-BF</t>
  </si>
  <si>
    <t>10062447BLK</t>
  </si>
  <si>
    <t>GP10330-GW</t>
  </si>
  <si>
    <t>PRAIRIE SKY I 24X24</t>
  </si>
  <si>
    <t>GP10330-BF</t>
  </si>
  <si>
    <t>10062068BLK</t>
  </si>
  <si>
    <t>GP10331-GW</t>
  </si>
  <si>
    <t>PRARIE SKY II 24X24</t>
  </si>
  <si>
    <t>GP10331-BF</t>
  </si>
  <si>
    <t>10062076BLK</t>
  </si>
  <si>
    <t>GP10362R-BF</t>
  </si>
  <si>
    <t>10062454BLK</t>
  </si>
  <si>
    <t>PRELUDE  60X40</t>
  </si>
  <si>
    <t>GP2002908-GW</t>
  </si>
  <si>
    <t>10088664GMNT</t>
  </si>
  <si>
    <t>PRELUDE 30X40</t>
  </si>
  <si>
    <t>GP200290801-GW</t>
  </si>
  <si>
    <t>PRELUDE 60X80</t>
  </si>
  <si>
    <t>GPCOL003</t>
  </si>
  <si>
    <t>PRINT CARD 4X4 (2 SIDE)</t>
  </si>
  <si>
    <t>PROGRESSIVE RHYTHM 36X48</t>
  </si>
  <si>
    <t>GP2003431R-BA</t>
  </si>
  <si>
    <t>PROOF OF BEING 36X48</t>
  </si>
  <si>
    <t>GP2003431R-NA</t>
  </si>
  <si>
    <t>GP2003431-GW</t>
  </si>
  <si>
    <t>10088658GMNT</t>
  </si>
  <si>
    <t>GP2003431S-GW</t>
  </si>
  <si>
    <t xml:space="preserve">PROOF OF BEING 36X48 </t>
  </si>
  <si>
    <t>GP2003431S-BF</t>
  </si>
  <si>
    <t>GP2003431S-NF</t>
  </si>
  <si>
    <t>GP2003431AP-UF</t>
  </si>
  <si>
    <t>PROOF OF BEING 36X48 Art Proof Unframed</t>
  </si>
  <si>
    <t>GP2005318-BA</t>
  </si>
  <si>
    <t>QUEEN ANN'S LACE I 12X12</t>
  </si>
  <si>
    <t>GP2005319-BA</t>
  </si>
  <si>
    <t>QUEEN ANN'S LACE II 12X12</t>
  </si>
  <si>
    <t>GP10092-GW</t>
  </si>
  <si>
    <t>QUILT 16X20</t>
  </si>
  <si>
    <t>GP2010172-WA</t>
  </si>
  <si>
    <t>RACE HORSE WITH A JOCKEY I 14X12</t>
  </si>
  <si>
    <t>14X12</t>
  </si>
  <si>
    <t>16X14</t>
  </si>
  <si>
    <t>GP2010173-WA</t>
  </si>
  <si>
    <t>RACE HORSE WITH A JOCKEY II 14X12</t>
  </si>
  <si>
    <t>GP10533-GW</t>
  </si>
  <si>
    <t>10062086GMNT</t>
  </si>
  <si>
    <t>RAILROADED 48X40</t>
  </si>
  <si>
    <t>GP2006845-GW</t>
  </si>
  <si>
    <t>RAISE 01 48X72</t>
  </si>
  <si>
    <t>GP2006845-BF</t>
  </si>
  <si>
    <t>GP2006846-GW</t>
  </si>
  <si>
    <t>RAISE 02 48X72</t>
  </si>
  <si>
    <t>GP2006846-BF</t>
  </si>
  <si>
    <t>GP1034001-GW</t>
  </si>
  <si>
    <t>10088004GMNT</t>
  </si>
  <si>
    <t>REALIST I 48X60</t>
  </si>
  <si>
    <t>GP10340-GW</t>
  </si>
  <si>
    <t>10062000GMNT</t>
  </si>
  <si>
    <t>REALIST I 52X58</t>
  </si>
  <si>
    <t>GP200030701-GW</t>
  </si>
  <si>
    <t>10088007GMNT</t>
  </si>
  <si>
    <t>REALIST II 48X60</t>
  </si>
  <si>
    <t>GP2000307-GW</t>
  </si>
  <si>
    <t>10062004GMNT</t>
  </si>
  <si>
    <t>REALIST II 52X58</t>
  </si>
  <si>
    <t>GP11296-GT</t>
  </si>
  <si>
    <t>RECLINING NUDE 20x16</t>
  </si>
  <si>
    <t>GP10153-SA</t>
  </si>
  <si>
    <t>RED LINE 36X48</t>
  </si>
  <si>
    <t>GP2010174-BA</t>
  </si>
  <si>
    <t>RED ROSE 5X7</t>
  </si>
  <si>
    <t>5X7</t>
  </si>
  <si>
    <t>GP2001926-GW</t>
  </si>
  <si>
    <t>REDMOND BLUFF 24X28.5</t>
  </si>
  <si>
    <t>24X28.5</t>
  </si>
  <si>
    <t>40 (3-up)</t>
  </si>
  <si>
    <t>GP200192601-GW</t>
  </si>
  <si>
    <t>REDMOND BLUFF 48X56</t>
  </si>
  <si>
    <t>48x56</t>
  </si>
  <si>
    <t>GP10427-GW</t>
  </si>
  <si>
    <t>10029676GMNT</t>
  </si>
  <si>
    <t>REFLECTION  44X74</t>
  </si>
  <si>
    <t>44X74</t>
  </si>
  <si>
    <t>GP10132-BF</t>
  </si>
  <si>
    <t>41050853BLK</t>
  </si>
  <si>
    <t>REVERSE HASHTAG  43X43</t>
  </si>
  <si>
    <t>44x44</t>
  </si>
  <si>
    <t>RH SALES COLLATERAL</t>
  </si>
  <si>
    <t>GPCOL006</t>
  </si>
  <si>
    <t>RH SYNOGRAPH SWATCH 6X6 + MOUNT CARD</t>
  </si>
  <si>
    <t>e</t>
  </si>
  <si>
    <t>GPCOL007</t>
  </si>
  <si>
    <t>RH SYNOGRAPH SWATCH 7X12 w/grommet</t>
  </si>
  <si>
    <t>GP2003910-GW</t>
  </si>
  <si>
    <t>RHYTHM OF RELEASE I 30x40</t>
  </si>
  <si>
    <t>GP2003911-GW</t>
  </si>
  <si>
    <t>RHYTHM OF RELEASE II 30x40</t>
  </si>
  <si>
    <t>GP200031501-GC</t>
  </si>
  <si>
    <t>RHYTHMIC DRIP 25X31</t>
  </si>
  <si>
    <t>GP200031501-BC</t>
  </si>
  <si>
    <t>GP200031501-GW</t>
  </si>
  <si>
    <t>GP2000315-GW</t>
  </si>
  <si>
    <t>RHYTHMIC DRIP 60X48</t>
  </si>
  <si>
    <t>GP2000315-BF</t>
  </si>
  <si>
    <t>RHYTHMIC DRIP V 60X48</t>
  </si>
  <si>
    <t>GP10429-NF</t>
  </si>
  <si>
    <t>RIO 40X30</t>
  </si>
  <si>
    <t>Michael Cross</t>
  </si>
  <si>
    <t>GP10429R-NF</t>
  </si>
  <si>
    <t>RIO 40X30 R</t>
  </si>
  <si>
    <t>GP10429-BF</t>
  </si>
  <si>
    <t>RIO 60X48</t>
  </si>
  <si>
    <t>GP10429-GW</t>
  </si>
  <si>
    <t>SR-ART-86034-M</t>
  </si>
  <si>
    <t>RIO 66X52</t>
  </si>
  <si>
    <t>66x52</t>
  </si>
  <si>
    <t>`</t>
  </si>
  <si>
    <t>68x54</t>
  </si>
  <si>
    <t>GP10429-NC</t>
  </si>
  <si>
    <t>GP10200-BA</t>
  </si>
  <si>
    <t>RIPPED FLOWERS I 16X20</t>
  </si>
  <si>
    <t>GP1020003-BA</t>
  </si>
  <si>
    <t>RIPPED FLOWERS I 32X40</t>
  </si>
  <si>
    <t>30X38</t>
  </si>
  <si>
    <t>FEB23</t>
  </si>
  <si>
    <t>GP1020001-BA</t>
  </si>
  <si>
    <t>RIPPED FLOWERS I 44x57</t>
  </si>
  <si>
    <t>44x57</t>
  </si>
  <si>
    <t>46x59</t>
  </si>
  <si>
    <t>GP1020002-BA</t>
  </si>
  <si>
    <t>RIPPED FLOWERS I 48X60</t>
  </si>
  <si>
    <t>GP10437-CA</t>
  </si>
  <si>
    <t>10029410GOLD</t>
  </si>
  <si>
    <t>RIVER 20X16</t>
  </si>
  <si>
    <t>GP10437-CB</t>
  </si>
  <si>
    <t>GP10437-BF</t>
  </si>
  <si>
    <t>GP10437R-CB</t>
  </si>
  <si>
    <t>GP2010175-WF</t>
  </si>
  <si>
    <t>RIVER LANDSCAPE 15X10</t>
  </si>
  <si>
    <t>15X10</t>
  </si>
  <si>
    <t>GP10307-NF</t>
  </si>
  <si>
    <t>RIVER ROCKS 30X40</t>
  </si>
  <si>
    <t>GPCB153</t>
  </si>
  <si>
    <t>RIVERBANK V</t>
  </si>
  <si>
    <t>TBD Sketch</t>
  </si>
  <si>
    <t>GP10308-NF</t>
  </si>
  <si>
    <t>RIVERS BOW 30X40</t>
  </si>
  <si>
    <t>DEC23</t>
  </si>
  <si>
    <t>GP200230201-GW</t>
  </si>
  <si>
    <t>ROAD ICE 30X30</t>
  </si>
  <si>
    <t>GP2002302-GW</t>
  </si>
  <si>
    <t>ROAD ICE 36X36</t>
  </si>
  <si>
    <t>GP2001103-NF</t>
  </si>
  <si>
    <t>ROCKY HOME 60X60</t>
  </si>
  <si>
    <t>GP2006828-GW</t>
  </si>
  <si>
    <t>ROLLING FOG I 32X40</t>
  </si>
  <si>
    <t>GP2006830-GW</t>
  </si>
  <si>
    <t>ROLLING FOG II 32X40</t>
  </si>
  <si>
    <t>ROLLING FRIVOLITY 60X60</t>
  </si>
  <si>
    <t>GP2001102-NF</t>
  </si>
  <si>
    <t>ROLLING INTO SHORE 60X60</t>
  </si>
  <si>
    <t>GP2001102-GW</t>
  </si>
  <si>
    <t>GP2004924-GW</t>
  </si>
  <si>
    <t>ROLLING STONES I 20X30</t>
  </si>
  <si>
    <t>GP2004924-NF</t>
  </si>
  <si>
    <t>ROLLING STONES SERIES I 20X30</t>
  </si>
  <si>
    <t>pending # for series</t>
  </si>
  <si>
    <t>ROLLING STONES SERIES I-VI 63X42</t>
  </si>
  <si>
    <t>GP2004925-NF</t>
  </si>
  <si>
    <t>ROLLING STONES SERIES II 20X30</t>
  </si>
  <si>
    <t>GP2004926-NF</t>
  </si>
  <si>
    <t>ROLLING STONES SERIES III 20X30</t>
  </si>
  <si>
    <t>GP2004927-GW</t>
  </si>
  <si>
    <t>ROLLING STONES SERIES IV 20X30</t>
  </si>
  <si>
    <t>GP2004927-NF</t>
  </si>
  <si>
    <t>GP2004928-NF</t>
  </si>
  <si>
    <t>ROLLING STONES SERIES V 20X30</t>
  </si>
  <si>
    <t>GP2004929-NF</t>
  </si>
  <si>
    <t>ROLLING STONES SERIES VI 20X30</t>
  </si>
  <si>
    <t>GP10254-BA</t>
  </si>
  <si>
    <t>10003498BLK</t>
  </si>
  <si>
    <t>ROOMS 1  9X12</t>
  </si>
  <si>
    <t>Molly Snee</t>
  </si>
  <si>
    <t>17X20</t>
  </si>
  <si>
    <t>GP10255-BA</t>
  </si>
  <si>
    <t>10003497BLK</t>
  </si>
  <si>
    <t>ROOMS 2  9X12</t>
  </si>
  <si>
    <t>GP10256-BA</t>
  </si>
  <si>
    <t>10003496BLK</t>
  </si>
  <si>
    <t>ROOMS 3  9X12</t>
  </si>
  <si>
    <t>GP10257-BA</t>
  </si>
  <si>
    <t>10003501BLK</t>
  </si>
  <si>
    <t>ROOMS 4  9X12</t>
  </si>
  <si>
    <t>GP10258-BA</t>
  </si>
  <si>
    <t>10003500BLK</t>
  </si>
  <si>
    <t>ROOMS 5  9X12</t>
  </si>
  <si>
    <t>GP10259-BA</t>
  </si>
  <si>
    <t>10003485BLK</t>
  </si>
  <si>
    <t>ROOMS 6  9X12</t>
  </si>
  <si>
    <t>GP10260-BA</t>
  </si>
  <si>
    <t>10003491BLK</t>
  </si>
  <si>
    <t>ROOMS 7  9X12</t>
  </si>
  <si>
    <t>GP10261-BA</t>
  </si>
  <si>
    <t>10003492BLK</t>
  </si>
  <si>
    <t>ROOMS 8  9X12</t>
  </si>
  <si>
    <t>GP10262-BA</t>
  </si>
  <si>
    <t>10003489BLK</t>
  </si>
  <si>
    <t>ROOMS 9  9X12</t>
  </si>
  <si>
    <t>GP10390-BF</t>
  </si>
  <si>
    <t>ROSE 12X10</t>
  </si>
  <si>
    <t>Justine Hutchison</t>
  </si>
  <si>
    <t>GP10390-GW</t>
  </si>
  <si>
    <t>GP10390-NF</t>
  </si>
  <si>
    <t>GP10390-BC</t>
  </si>
  <si>
    <t>GP10390-NC</t>
  </si>
  <si>
    <t>GP1039001-BF</t>
  </si>
  <si>
    <t>ROSE 20X24</t>
  </si>
  <si>
    <t>GPCB174</t>
  </si>
  <si>
    <t>ROSEHIP &amp; ROYAL</t>
  </si>
  <si>
    <t>GP2001608-GW</t>
  </si>
  <si>
    <t>SR-ART-80148-M</t>
  </si>
  <si>
    <t>ROSEHIP &amp; ROYAL 53X35</t>
  </si>
  <si>
    <t>53X35</t>
  </si>
  <si>
    <t>GP2001608R-GW</t>
  </si>
  <si>
    <t>ROSEHIP &amp; ROYAL 53X35 R</t>
  </si>
  <si>
    <t>GP200160801-GW</t>
  </si>
  <si>
    <t>ROSEHIP &amp; ROYAL 60X40</t>
  </si>
  <si>
    <t>GP200160801R-GW</t>
  </si>
  <si>
    <t>ROSEHIP &amp; ROYAL 60X40 R</t>
  </si>
  <si>
    <t>GPCB119</t>
  </si>
  <si>
    <t>ROSES</t>
  </si>
  <si>
    <t>GPCB123</t>
  </si>
  <si>
    <t>ROSES GALACTIC</t>
  </si>
  <si>
    <t>GP2006207-GC</t>
  </si>
  <si>
    <t>10123766GLD</t>
  </si>
  <si>
    <t>RUGAM 72X60</t>
  </si>
  <si>
    <t>GP2005015</t>
  </si>
  <si>
    <t>RUGGED WATER</t>
  </si>
  <si>
    <t>GP2004811-BF</t>
  </si>
  <si>
    <t xml:space="preserve">SACRED IMPRINT </t>
  </si>
  <si>
    <t>GP2004811-GW</t>
  </si>
  <si>
    <t>SACRED IMPRINT 36X36</t>
  </si>
  <si>
    <t>GP10291-NF</t>
  </si>
  <si>
    <t>10014688NATL</t>
  </si>
  <si>
    <t>SADDLE BEACH   72X48</t>
  </si>
  <si>
    <t>GP10524-GW</t>
  </si>
  <si>
    <t>SAGITTA 15X20</t>
  </si>
  <si>
    <t>15X20</t>
  </si>
  <si>
    <t>GP10524R-GW</t>
  </si>
  <si>
    <t>SAGITTA 15X20 R</t>
  </si>
  <si>
    <t>GP1052401-NF</t>
  </si>
  <si>
    <t>SAGITTA 16X20</t>
  </si>
  <si>
    <t>GP1052401-GW</t>
  </si>
  <si>
    <t>GP1052401-OC</t>
  </si>
  <si>
    <t>OC</t>
  </si>
  <si>
    <t>cardstock</t>
  </si>
  <si>
    <t>GP10421-BC</t>
  </si>
  <si>
    <t>SAN FRANCISCO  32X36</t>
  </si>
  <si>
    <t>GP10421-GW</t>
  </si>
  <si>
    <t>GP10421-BF</t>
  </si>
  <si>
    <t>10029375BLK</t>
  </si>
  <si>
    <t>GP10421R-BF</t>
  </si>
  <si>
    <t>10062457BLK</t>
  </si>
  <si>
    <t>GP2003615-GW</t>
  </si>
  <si>
    <t>SANDLAND I 40X60</t>
  </si>
  <si>
    <t>GP2003615-BC</t>
  </si>
  <si>
    <t>42X62</t>
  </si>
  <si>
    <t>GP2003616-BF</t>
  </si>
  <si>
    <t>SANDLAND II 50X60</t>
  </si>
  <si>
    <t>GP2003617-GW</t>
  </si>
  <si>
    <t>SANDLAND III 50X60</t>
  </si>
  <si>
    <t>GP2006809-GW</t>
  </si>
  <si>
    <t>SANDSTONE I 50X70</t>
  </si>
  <si>
    <t>50X70</t>
  </si>
  <si>
    <t>GP2006810-GW</t>
  </si>
  <si>
    <t>SANDSTONE II 50X70</t>
  </si>
  <si>
    <t>GP200681101-GW</t>
  </si>
  <si>
    <t>SANDSTONE III 32X40</t>
  </si>
  <si>
    <t>GP200681102-GW</t>
  </si>
  <si>
    <t>SANDSTONE III 40x45</t>
  </si>
  <si>
    <t>40X45</t>
  </si>
  <si>
    <t>GP200681102-BF</t>
  </si>
  <si>
    <t>41x46</t>
  </si>
  <si>
    <t>GP2006811-GW</t>
  </si>
  <si>
    <t>SANDSTONE III 50X70</t>
  </si>
  <si>
    <t>GP200681201-GW</t>
  </si>
  <si>
    <t>SANDSTONE IV 32X40</t>
  </si>
  <si>
    <t>GP2006812-GW</t>
  </si>
  <si>
    <t>SANDSTONE IV 50X70</t>
  </si>
  <si>
    <t>GP200183101-GW</t>
  </si>
  <si>
    <t>10093226GMNT</t>
  </si>
  <si>
    <t>SANTA ROSA MOUNTAINS 42X33</t>
  </si>
  <si>
    <t>42x33</t>
  </si>
  <si>
    <t>GP2001831-GW</t>
  </si>
  <si>
    <t>10088668GMNT</t>
  </si>
  <si>
    <t>SANTA ROSA MOUNTAINS 62X47</t>
  </si>
  <si>
    <t>62x47</t>
  </si>
  <si>
    <t>GP10219-GW</t>
  </si>
  <si>
    <t>SAVANNAH 24X24</t>
  </si>
  <si>
    <t>GP10219-NGM</t>
  </si>
  <si>
    <t>GP2003424-GW</t>
  </si>
  <si>
    <t>10088637GMNT</t>
  </si>
  <si>
    <t>SCATTERED EVIDENCE 60X30</t>
  </si>
  <si>
    <t>60X30</t>
  </si>
  <si>
    <t>GP10094-GW</t>
  </si>
  <si>
    <t>SCRATCH 24X24</t>
  </si>
  <si>
    <t>GP10336-SA</t>
  </si>
  <si>
    <t>10062064GMNT</t>
  </si>
  <si>
    <t>SEA SKETCH 29 48X48</t>
  </si>
  <si>
    <t>GP10300-SA</t>
  </si>
  <si>
    <t>10062070GMNT</t>
  </si>
  <si>
    <t>SEA SKETCH 30 48X48</t>
  </si>
  <si>
    <t>GP11282-WF</t>
  </si>
  <si>
    <t>SEASCAPE IN GREEN 36X24</t>
  </si>
  <si>
    <t>GP11282S-WF</t>
  </si>
  <si>
    <t>GP1128201-GW</t>
  </si>
  <si>
    <t>GP1128201-GT</t>
  </si>
  <si>
    <t>GP1128201-NF</t>
  </si>
  <si>
    <t>GP1128201-WF</t>
  </si>
  <si>
    <t>GP1128201-BF</t>
  </si>
  <si>
    <t>GP1128201-NC</t>
  </si>
  <si>
    <t>38X26</t>
  </si>
  <si>
    <t>GP1128201-BC</t>
  </si>
  <si>
    <t>GP1128201-CB</t>
  </si>
  <si>
    <t>39X27</t>
  </si>
  <si>
    <t>GP1128202-GW</t>
  </si>
  <si>
    <t>SEASCAPE IN GREEN 36X36</t>
  </si>
  <si>
    <t>GP2005306</t>
  </si>
  <si>
    <t>SEASHELLS I</t>
  </si>
  <si>
    <t>GPCB147</t>
  </si>
  <si>
    <t>GP2005306WP-BA</t>
  </si>
  <si>
    <t>SEASHELLS I 12X16 Work on Paper Black Cap with Acrylic</t>
  </si>
  <si>
    <t>GP2005306WP-NA</t>
  </si>
  <si>
    <t>SEASHELLS I 12X16 Work on Paper Natural Cap with Acrylic</t>
  </si>
  <si>
    <t>GP2005306WP-UF</t>
  </si>
  <si>
    <t>SEASHELLS I 12X16 Work on Paper Unframed</t>
  </si>
  <si>
    <t>GPCB146</t>
  </si>
  <si>
    <t>SEASHELLS III</t>
  </si>
  <si>
    <t>26X18</t>
  </si>
  <si>
    <t>GPCB145</t>
  </si>
  <si>
    <t>SEASHELLS IV</t>
  </si>
  <si>
    <t>15X10.5</t>
  </si>
  <si>
    <t>GP11313-BA</t>
  </si>
  <si>
    <t>SEATED FEMALE NUDE 20X30</t>
  </si>
  <si>
    <t>22X32</t>
  </si>
  <si>
    <t>GP10423-BC</t>
  </si>
  <si>
    <t>SEATTLE  32X36</t>
  </si>
  <si>
    <t>GP10423-GW</t>
  </si>
  <si>
    <t>GP10423-BF</t>
  </si>
  <si>
    <t>10029383BLK</t>
  </si>
  <si>
    <t>GP10423R-BF</t>
  </si>
  <si>
    <t>10062464BLK</t>
  </si>
  <si>
    <t>GP2003430-GW</t>
  </si>
  <si>
    <t>10088699GMNT</t>
  </si>
  <si>
    <t>SEEN NOT SEEN 48X60</t>
  </si>
  <si>
    <t xml:space="preserve">	GP200343001-BF</t>
  </si>
  <si>
    <t>SEEN NOT SEEN 64X80</t>
  </si>
  <si>
    <t>65X81</t>
  </si>
  <si>
    <t xml:space="preserve">	GP200343001-NF</t>
  </si>
  <si>
    <t xml:space="preserve">	GP200343001-GF</t>
  </si>
  <si>
    <t xml:space="preserve">	GP200343001-GW</t>
  </si>
  <si>
    <t>10145476GMNT</t>
  </si>
  <si>
    <t xml:space="preserve">	GP200343001-BC</t>
  </si>
  <si>
    <t xml:space="preserve">	GP200343001-NC</t>
  </si>
  <si>
    <t xml:space="preserve">	GP200343001-GC</t>
  </si>
  <si>
    <t>GP2010176-GT</t>
  </si>
  <si>
    <t>SELF PORTRAIT OF EMILE BERNARD 16X20</t>
  </si>
  <si>
    <t>GP200291401-GC</t>
  </si>
  <si>
    <t>INACTIVE</t>
  </si>
  <si>
    <t>SENSE 36X36</t>
  </si>
  <si>
    <t>GP2002914-GF</t>
  </si>
  <si>
    <t>10123774GLD</t>
  </si>
  <si>
    <t>GP2001224-GW</t>
  </si>
  <si>
    <t>SENSUAL 60X48</t>
  </si>
  <si>
    <t>SEQUENCE 60X40</t>
  </si>
  <si>
    <t>GP2003903-GW</t>
  </si>
  <si>
    <t>SEREIN 48X60</t>
  </si>
  <si>
    <t>GP2004302-GW</t>
  </si>
  <si>
    <t>10062035GMNT</t>
  </si>
  <si>
    <t>SHADOW DANCE 72X60</t>
  </si>
  <si>
    <t>GP2004302-GC</t>
  </si>
  <si>
    <t>10062035GLD</t>
  </si>
  <si>
    <t>GP200191201-GW</t>
  </si>
  <si>
    <t>SHADOW SHORE 64X40</t>
  </si>
  <si>
    <t>64X40</t>
  </si>
  <si>
    <t>GP2001912-GW</t>
  </si>
  <si>
    <t>SHADOW SHORE 90X56</t>
  </si>
  <si>
    <t>90X56</t>
  </si>
  <si>
    <t>GP11866-BA</t>
  </si>
  <si>
    <t>SHAKING MODEL 12X20</t>
  </si>
  <si>
    <t>12X20</t>
  </si>
  <si>
    <t>14X22</t>
  </si>
  <si>
    <t>GP11297-CB</t>
  </si>
  <si>
    <t>SHEEP AT THE BARN 16X20</t>
  </si>
  <si>
    <t>GPCB168</t>
  </si>
  <si>
    <t>SHITBAG RENOIR</t>
  </si>
  <si>
    <t>48X38</t>
  </si>
  <si>
    <t>GP1023201-GC</t>
  </si>
  <si>
    <t>10123771GLD</t>
  </si>
  <si>
    <t>SILVER DREAMS I   32x39</t>
  </si>
  <si>
    <t>32x39</t>
  </si>
  <si>
    <t>33X40</t>
  </si>
  <si>
    <t>GP10232-BC</t>
  </si>
  <si>
    <t>10011715BLK</t>
  </si>
  <si>
    <t>SILVER DREAMS I   60X72</t>
  </si>
  <si>
    <t>GP1027301-GC</t>
  </si>
  <si>
    <t>10123770GLD</t>
  </si>
  <si>
    <t>SILVER DREAMS II   32x39</t>
  </si>
  <si>
    <t>32X39</t>
  </si>
  <si>
    <t>GP10273-BC</t>
  </si>
  <si>
    <t>10011723BLK</t>
  </si>
  <si>
    <t>SILVER DREAMS II   60X72</t>
  </si>
  <si>
    <t>GP10020-BF</t>
  </si>
  <si>
    <t>41450827BLK</t>
  </si>
  <si>
    <t>SKETCHES ON MARBLE I  39X39</t>
  </si>
  <si>
    <t>GP10019-BF</t>
  </si>
  <si>
    <t>41450823BLK</t>
  </si>
  <si>
    <t>SKETCHES ON MARBLE II  39X39</t>
  </si>
  <si>
    <t>GP2004239-GF</t>
  </si>
  <si>
    <t>SKIPPING STONES 68X48</t>
  </si>
  <si>
    <t>68X48</t>
  </si>
  <si>
    <t>69X49</t>
  </si>
  <si>
    <t>GP2004239-GW</t>
  </si>
  <si>
    <t>10074834GMNT</t>
  </si>
  <si>
    <t>GP2000409-GW</t>
  </si>
  <si>
    <t>10088697GMNT</t>
  </si>
  <si>
    <t>SLEEPING BEAUTY 48X60</t>
  </si>
  <si>
    <t>GP10548-SA</t>
  </si>
  <si>
    <t>SLOW JOURNEY 30X40</t>
  </si>
  <si>
    <t>GP1054801-GW</t>
  </si>
  <si>
    <t>SLOW JOURNEY 48X60</t>
  </si>
  <si>
    <t>GP1054801-BF</t>
  </si>
  <si>
    <t>GP1054801-GF</t>
  </si>
  <si>
    <t>GP1054801-NF</t>
  </si>
  <si>
    <t>GP1054801-BC</t>
  </si>
  <si>
    <t>GPCB55</t>
  </si>
  <si>
    <t>SMOKE AND MIRRORS</t>
  </si>
  <si>
    <t>Kim Francis</t>
  </si>
  <si>
    <t>GP2000318-BF</t>
  </si>
  <si>
    <t>SNOW DAY 60X40</t>
  </si>
  <si>
    <t>GP2006813-GW</t>
  </si>
  <si>
    <t>SNOW IN BLACK I</t>
  </si>
  <si>
    <t>GP2006814-GW</t>
  </si>
  <si>
    <t>SNOW IN BLACK II</t>
  </si>
  <si>
    <t>GP2000319-BF</t>
  </si>
  <si>
    <t>SNOW MAN 48X48</t>
  </si>
  <si>
    <t>GP2002502-GW</t>
  </si>
  <si>
    <t>SNOW MASS X 24X36</t>
  </si>
  <si>
    <t>GPCB51</t>
  </si>
  <si>
    <t>SNOW ON TREES I</t>
  </si>
  <si>
    <t>22x17</t>
  </si>
  <si>
    <t>GPCB52</t>
  </si>
  <si>
    <t xml:space="preserve">	GP10368-BA</t>
  </si>
  <si>
    <t>SNOW ON TREES I 20X16</t>
  </si>
  <si>
    <t>SNOW ON TREES II 20X16</t>
  </si>
  <si>
    <t>GPCB53</t>
  </si>
  <si>
    <t>SNOW ON TREES III</t>
  </si>
  <si>
    <t>GPCB54</t>
  </si>
  <si>
    <t>GP10370-BA</t>
  </si>
  <si>
    <t>SNOW ON TREES III 20X16</t>
  </si>
  <si>
    <t>GP10371-BA</t>
  </si>
  <si>
    <t>SNOW ON TREES IV 20X16</t>
  </si>
  <si>
    <t>GP1022101-GW</t>
  </si>
  <si>
    <t>SNOWMASS 24X24</t>
  </si>
  <si>
    <t>GP1022101-NGM</t>
  </si>
  <si>
    <t>GP10221R-GW</t>
  </si>
  <si>
    <t>SNOWMASS C 16X16 R TRIPTYCH</t>
  </si>
  <si>
    <t>GP10221-GW</t>
  </si>
  <si>
    <t>SNOWMASS C 16X16 TRIPTYCH</t>
  </si>
  <si>
    <t>GP2004903-NF</t>
  </si>
  <si>
    <t>SNOWSCAPES I 40X40</t>
  </si>
  <si>
    <t>41x41</t>
  </si>
  <si>
    <t>SNOWSCAPES I 40X40 PUR</t>
  </si>
  <si>
    <t>GP2004904-NF</t>
  </si>
  <si>
    <t>SNOWSCAPES II 40X40</t>
  </si>
  <si>
    <t>SNOWSCAPES II 40X40 PUR</t>
  </si>
  <si>
    <t>GP2004916-NF</t>
  </si>
  <si>
    <t>SNOWSCAPES III 40X40</t>
  </si>
  <si>
    <t>SNOWSCAPES III 40X40 PUR</t>
  </si>
  <si>
    <t>GP2006829-GW</t>
  </si>
  <si>
    <t>SNOWSTORM 32X40</t>
  </si>
  <si>
    <t>GPCB150</t>
  </si>
  <si>
    <t>SNOWY BRANCHES</t>
  </si>
  <si>
    <t>GP10332-BF</t>
  </si>
  <si>
    <t>10062078BLK</t>
  </si>
  <si>
    <t>SNOWY FIELD I 24X24</t>
  </si>
  <si>
    <t>GP10332S-GW</t>
  </si>
  <si>
    <t>SR-ART-14417-I</t>
  </si>
  <si>
    <t>GP10333-BF</t>
  </si>
  <si>
    <t>10062079BLK</t>
  </si>
  <si>
    <t>SNOWY FIELD II 24X24</t>
  </si>
  <si>
    <t>GP20005313WP-BA</t>
  </si>
  <si>
    <t>SNOWY FOREST</t>
  </si>
  <si>
    <t>Cap Acrylic (W/ Mat)</t>
  </si>
  <si>
    <t>GP20005313WP-NA</t>
  </si>
  <si>
    <t>NAM</t>
  </si>
  <si>
    <t>GP2004812-NF</t>
  </si>
  <si>
    <t>SO MUCH OPEN 48X48</t>
  </si>
  <si>
    <t>GP2005013</t>
  </si>
  <si>
    <t>SOLID 6</t>
  </si>
  <si>
    <t>GP2004620-GW</t>
  </si>
  <si>
    <t>10088687GMNT</t>
  </si>
  <si>
    <t>SOLITUDE I 48X72</t>
  </si>
  <si>
    <t>48x72</t>
  </si>
  <si>
    <t>GP2004621-GW</t>
  </si>
  <si>
    <t>10088684GMNT</t>
  </si>
  <si>
    <t>SOLITUDE II 48X72</t>
  </si>
  <si>
    <t>GP10468-BA</t>
  </si>
  <si>
    <t>SOLO SERIES I 44X60</t>
  </si>
  <si>
    <t>BASB Acrylic (DECKLE 2" Mat)</t>
  </si>
  <si>
    <t>GP10469-BA</t>
  </si>
  <si>
    <t>SOLO SERIES II 44X60</t>
  </si>
  <si>
    <t>GP10470-BA</t>
  </si>
  <si>
    <t>SOLO SERIES III 44X60</t>
  </si>
  <si>
    <t>GP1047001-BA</t>
  </si>
  <si>
    <t>SOLO SERIES III 48X64</t>
  </si>
  <si>
    <t>53X69</t>
  </si>
  <si>
    <t>GP10471-BA</t>
  </si>
  <si>
    <t>SOLO SERIES IV 44X60</t>
  </si>
  <si>
    <t>GP1047101-BA</t>
  </si>
  <si>
    <t>SOLO SERIES IV 48X64</t>
  </si>
  <si>
    <t>GP2003623-BA</t>
  </si>
  <si>
    <t>SOLO SERIES IX 44X60</t>
  </si>
  <si>
    <t>46X62</t>
  </si>
  <si>
    <t>BSB01</t>
  </si>
  <si>
    <t>GP10472-BA</t>
  </si>
  <si>
    <t>SOLO SERIES V 44X60</t>
  </si>
  <si>
    <t>Let me kno</t>
  </si>
  <si>
    <t>GP2003621-BA</t>
  </si>
  <si>
    <t>SOLO SERIES VI 44X60</t>
  </si>
  <si>
    <t>GP200362201-BC</t>
  </si>
  <si>
    <t>SOLO SERIES VII 24X36</t>
  </si>
  <si>
    <t>28X40</t>
  </si>
  <si>
    <t>GP2003622-BA</t>
  </si>
  <si>
    <t>SOLO SERIES VII 44X60</t>
  </si>
  <si>
    <t>BP2003624-BA</t>
  </si>
  <si>
    <t>SOLO SERIES VIII 44X60</t>
  </si>
  <si>
    <t>GP10473-BA</t>
  </si>
  <si>
    <t>SOLO SERIES X 44X60</t>
  </si>
  <si>
    <t>GP2003426-SA</t>
  </si>
  <si>
    <t>SOMETHING I SHOULD TELL YOU</t>
  </si>
  <si>
    <t>GP2003426-GW</t>
  </si>
  <si>
    <t>10088689GMNT</t>
  </si>
  <si>
    <t>SOMETHING I SHOULD TELL YOU 72X36</t>
  </si>
  <si>
    <t>GP10412-GW</t>
  </si>
  <si>
    <t>SOMEWHERE I 48X60</t>
  </si>
  <si>
    <t>GP10412-BC</t>
  </si>
  <si>
    <t>GP10413-GW</t>
  </si>
  <si>
    <t>SOMEWHERE II 48X60</t>
  </si>
  <si>
    <t>GP10413-BC</t>
  </si>
  <si>
    <t>10123996BLK</t>
  </si>
  <si>
    <t>GP10414-GW</t>
  </si>
  <si>
    <t>SOMEWHERE III 48X60</t>
  </si>
  <si>
    <t>GP10414-BC</t>
  </si>
  <si>
    <t>GP2002410-GW</t>
  </si>
  <si>
    <t>SONNET 60X40</t>
  </si>
  <si>
    <t>GP2001904-GW</t>
  </si>
  <si>
    <t>10062097GMNT</t>
  </si>
  <si>
    <t>SOUNDLESS NORTHERN STORM 84X60</t>
  </si>
  <si>
    <t>84X60</t>
  </si>
  <si>
    <t>GP2002626-BA</t>
  </si>
  <si>
    <t>SPECTOR 24X32</t>
  </si>
  <si>
    <t>GP200423-GW</t>
  </si>
  <si>
    <t>SPHINX &amp; THE BOY 48X60</t>
  </si>
  <si>
    <t>GP2010177-BA</t>
  </si>
  <si>
    <t>SPRING 10X16</t>
  </si>
  <si>
    <t>10X16</t>
  </si>
  <si>
    <t>12X18</t>
  </si>
  <si>
    <t>GP10342-SA</t>
  </si>
  <si>
    <t>10062106GMNT</t>
  </si>
  <si>
    <t>SPRING 30X40</t>
  </si>
  <si>
    <t>GP200192501-GW</t>
  </si>
  <si>
    <t>SPRING AND THE WIND 72X36</t>
  </si>
  <si>
    <t>GP2001925-GW</t>
  </si>
  <si>
    <t>SPRING AND THE WIND 90X45</t>
  </si>
  <si>
    <t>SPRING EQUINOX 16X20</t>
  </si>
  <si>
    <t>GP2001109-BA</t>
  </si>
  <si>
    <t>SPRITES DANCE ON CRESTING WAVE 22X30</t>
  </si>
  <si>
    <t>GP10234-NF</t>
  </si>
  <si>
    <t>SPROUT   48X48</t>
  </si>
  <si>
    <t>GP10234-NC</t>
  </si>
  <si>
    <t>10011744NATL</t>
  </si>
  <si>
    <t>GPCB48</t>
  </si>
  <si>
    <t>SQUALL</t>
  </si>
  <si>
    <t>89x69</t>
  </si>
  <si>
    <t>GP200261702-GW</t>
  </si>
  <si>
    <t>SQUALL 24X24</t>
  </si>
  <si>
    <t>GP200261701-GW</t>
  </si>
  <si>
    <t>10093227GMNT</t>
  </si>
  <si>
    <t>SQUALL 58X45</t>
  </si>
  <si>
    <t>58x45</t>
  </si>
  <si>
    <t>GP2002617-GW</t>
  </si>
  <si>
    <t>10088645GMNT</t>
  </si>
  <si>
    <t>SQUALL 89X69</t>
  </si>
  <si>
    <t>GP10007-GW</t>
  </si>
  <si>
    <t>STACK 24X36</t>
  </si>
  <si>
    <t>GP1131401-BA</t>
  </si>
  <si>
    <t>STANDING FELMALE NUDE 12X24</t>
  </si>
  <si>
    <t>GP11314-BA</t>
  </si>
  <si>
    <t>GP11309-BA</t>
  </si>
  <si>
    <t>STANDING HORSE IN STABLE, to the left 20X16</t>
  </si>
  <si>
    <t>GP1130901-BA</t>
  </si>
  <si>
    <t>GP2006002-GW</t>
  </si>
  <si>
    <t>STAR 48X48</t>
  </si>
  <si>
    <t>GP10352-NC</t>
  </si>
  <si>
    <t>10011702GNATL</t>
  </si>
  <si>
    <t>STICKLE 105X60</t>
  </si>
  <si>
    <t>105X60</t>
  </si>
  <si>
    <t>107X62</t>
  </si>
  <si>
    <t>x</t>
  </si>
  <si>
    <t>GP2002222-GW</t>
  </si>
  <si>
    <t>STICKS #9 &amp; #10 DIPTYCH 57X60</t>
  </si>
  <si>
    <t>57x60</t>
  </si>
  <si>
    <t>GP2002222R-GW</t>
  </si>
  <si>
    <t>STICKS #9 &amp; #10 DIPTYCH 57X60 R</t>
  </si>
  <si>
    <t>GP2002222A-GW</t>
  </si>
  <si>
    <t>STICKS #9 28.5X60</t>
  </si>
  <si>
    <t>28.5X60</t>
  </si>
  <si>
    <t>GP2002222AR-GW</t>
  </si>
  <si>
    <t>STICKS #9 28.5X60 R</t>
  </si>
  <si>
    <t>GP10247 -BF</t>
  </si>
  <si>
    <t>STICKS AND STONES 48X60</t>
  </si>
  <si>
    <t>GP10247-NF</t>
  </si>
  <si>
    <t>GP2002217-GW</t>
  </si>
  <si>
    <t>10088654GMNT</t>
  </si>
  <si>
    <t>STICKS IX 18X38</t>
  </si>
  <si>
    <t>18X38</t>
  </si>
  <si>
    <t xml:space="preserve">	GP2002218-GW</t>
  </si>
  <si>
    <t>10088662GMNT</t>
  </si>
  <si>
    <t>STICKS X 18X38</t>
  </si>
  <si>
    <t>GP2010178-NA</t>
  </si>
  <si>
    <t>STILL LIFE FRAGMENT 7X12</t>
  </si>
  <si>
    <t>7X12</t>
  </si>
  <si>
    <t>15X25</t>
  </si>
  <si>
    <t>GP2010179-GT</t>
  </si>
  <si>
    <t>STILL LIFE WITH A FISH 16X12</t>
  </si>
  <si>
    <t>GP2010180-BF</t>
  </si>
  <si>
    <t>STILL LIFE WITH A SILVER-GILT SCREW 12X16</t>
  </si>
  <si>
    <t>GP2010181-WF</t>
  </si>
  <si>
    <t>STILL LIFE WITH A TALL BEER GLASS 15X15</t>
  </si>
  <si>
    <t>15X15</t>
  </si>
  <si>
    <t>GP2010182-NF</t>
  </si>
  <si>
    <t>STILL LIFE WITH APPLES 8X10</t>
  </si>
  <si>
    <t>GP2010183-CB</t>
  </si>
  <si>
    <t>STILL LIFE WITH ARTICOKE AND FRUIT ON PORCELAIN DISH 22X13</t>
  </si>
  <si>
    <t>22X13</t>
  </si>
  <si>
    <t>25X16</t>
  </si>
  <si>
    <t>GP2010184-BF</t>
  </si>
  <si>
    <t>STILL LIFE WITH BLUE PLATE 15X17</t>
  </si>
  <si>
    <t>15X17</t>
  </si>
  <si>
    <t>16X18</t>
  </si>
  <si>
    <t>GP11292-WF</t>
  </si>
  <si>
    <t>STILL LIFE WITH FISH 19X11</t>
  </si>
  <si>
    <t>19X11</t>
  </si>
  <si>
    <t>20X12</t>
  </si>
  <si>
    <t>GP11292-BF</t>
  </si>
  <si>
    <t>GP11292-GF</t>
  </si>
  <si>
    <t>GP2010123-GT</t>
  </si>
  <si>
    <t>STILL LIFE WITH FLOWERS 16X20</t>
  </si>
  <si>
    <t>GP2010187-BF</t>
  </si>
  <si>
    <t>STILL LIFE WITH FLOWERS AND BUTTERFLIES 16X20</t>
  </si>
  <si>
    <t>GP2010186-GT</t>
  </si>
  <si>
    <t>STILL LIFE WITH FLOWERS IN GLASS VASE 14X18</t>
  </si>
  <si>
    <t>GP2010185-GT</t>
  </si>
  <si>
    <t>STILL LIFE WITH FLOWERS IN WAN-LI VASE 15X21</t>
  </si>
  <si>
    <t>15X21</t>
  </si>
  <si>
    <t>GP2010106R-BF</t>
  </si>
  <si>
    <t>STILL LIFE WITH FRUIT 16X12</t>
  </si>
  <si>
    <t>GP2010106R-GW</t>
  </si>
  <si>
    <t>GP2010106-BF</t>
  </si>
  <si>
    <t>GP2010106R-WF</t>
  </si>
  <si>
    <t>GP2010188-NA</t>
  </si>
  <si>
    <t>STILL LIFE WITH FRUIT BOWL ON A TABLE 9X15</t>
  </si>
  <si>
    <t>9X15</t>
  </si>
  <si>
    <t>11X17</t>
  </si>
  <si>
    <t>GP2010190-NF</t>
  </si>
  <si>
    <t>STILL LIFE WITH FRUITS 12X16</t>
  </si>
  <si>
    <t>GP2010189-BF</t>
  </si>
  <si>
    <t>STILL LIFE WITH FRUITS AND VESSLES ON A SMYRNA RUG 18X17</t>
  </si>
  <si>
    <t>18X17</t>
  </si>
  <si>
    <t>19X18</t>
  </si>
  <si>
    <t>GP2010191-GT</t>
  </si>
  <si>
    <t>STILL LIFE WITH GRAPES 16X18</t>
  </si>
  <si>
    <t>GP11301-WF</t>
  </si>
  <si>
    <t>STILL LIFE WITH PASSION FLOWERS 16X20</t>
  </si>
  <si>
    <t>17x21</t>
  </si>
  <si>
    <t>GP11293R-GW</t>
  </si>
  <si>
    <t>STILL LIFE WITH POT 16X12</t>
  </si>
  <si>
    <t>GP11293R-WF</t>
  </si>
  <si>
    <t>GP11293R-BF</t>
  </si>
  <si>
    <t>GP11293-CE</t>
  </si>
  <si>
    <t>STILL LIFE WITH POT 20X16</t>
  </si>
  <si>
    <t>Capitol E</t>
  </si>
  <si>
    <t>CE</t>
  </si>
  <si>
    <t>GP11293R01-WF</t>
  </si>
  <si>
    <t>GP2010192-GT</t>
  </si>
  <si>
    <t>STILL LIFE WITH ROSES 8X10</t>
  </si>
  <si>
    <t>GP2004822-BF</t>
  </si>
  <si>
    <t>STILL TO HAPPEN 48X48</t>
  </si>
  <si>
    <t>GP10348-NGM</t>
  </si>
  <si>
    <t>10014763NATL</t>
  </si>
  <si>
    <t>STILLNESS AT SEA   18X18</t>
  </si>
  <si>
    <t>GP1034801-GW</t>
  </si>
  <si>
    <t>STILLNESS AT SEA 36X36</t>
  </si>
  <si>
    <t>GP2004919-NF</t>
  </si>
  <si>
    <t>STORM CLOUD I 24X30</t>
  </si>
  <si>
    <t>25x31</t>
  </si>
  <si>
    <t>STORM CLOUD I 24X30 PUR</t>
  </si>
  <si>
    <t>GP2004920-NF</t>
  </si>
  <si>
    <t>STORM CLOUD II 24X30</t>
  </si>
  <si>
    <t>STORM CLOUD II 24X30 PUR</t>
  </si>
  <si>
    <t>GP2006801-GW</t>
  </si>
  <si>
    <t>STORM I 60X48</t>
  </si>
  <si>
    <t>GP200680201-GW</t>
  </si>
  <si>
    <t>STORM II 16X24</t>
  </si>
  <si>
    <t>GP2006802-GW</t>
  </si>
  <si>
    <t>STORM II 60X48</t>
  </si>
  <si>
    <t>GP2006803-GW</t>
  </si>
  <si>
    <t>STORM III 60X48</t>
  </si>
  <si>
    <t>GP2006804-GW</t>
  </si>
  <si>
    <t>STORM IV 60X48</t>
  </si>
  <si>
    <t>GP2006815-GW</t>
  </si>
  <si>
    <t>STORM V 60X48</t>
  </si>
  <si>
    <t>STORY TO TELL 48X48</t>
  </si>
  <si>
    <t>GP2006823-GW</t>
  </si>
  <si>
    <t>STRATA 52X70</t>
  </si>
  <si>
    <t>52X70</t>
  </si>
  <si>
    <t>GP2004625-GW</t>
  </si>
  <si>
    <t>STRIPE 48X72</t>
  </si>
  <si>
    <t>GP2001208-GW</t>
  </si>
  <si>
    <t>10088636GMNT</t>
  </si>
  <si>
    <t>STRONGHOLD 50X40</t>
  </si>
  <si>
    <t>50x40</t>
  </si>
  <si>
    <t>GP200120801-GW</t>
  </si>
  <si>
    <t>10145072GMNT</t>
  </si>
  <si>
    <t>STRONGHOLD 80X64</t>
  </si>
  <si>
    <t>GP10003-BF</t>
  </si>
  <si>
    <t>41050852BLK</t>
  </si>
  <si>
    <t>STRUCTURES I  36X36</t>
  </si>
  <si>
    <t>38x38</t>
  </si>
  <si>
    <t>GP10003-GW</t>
  </si>
  <si>
    <t>GP10170-BF</t>
  </si>
  <si>
    <t>41450901BLK</t>
  </si>
  <si>
    <t>STRUCTURES II  36X36</t>
  </si>
  <si>
    <t>GP2003001-GF</t>
  </si>
  <si>
    <t>10123495GLD</t>
  </si>
  <si>
    <t>STRUCTURES II HONEYCOMB 48X48</t>
  </si>
  <si>
    <t>GP11315-BA</t>
  </si>
  <si>
    <t>STUDIES OF A RECLINING FEMALE NUDE I 20X16</t>
  </si>
  <si>
    <t>GP2010193-NA</t>
  </si>
  <si>
    <t>STUDIES OF PHLOX 12X16</t>
  </si>
  <si>
    <t>GP11310-BA</t>
  </si>
  <si>
    <t>STUDIES OF PIGEONS 20X16</t>
  </si>
  <si>
    <t>GP11304-BA</t>
  </si>
  <si>
    <t>STUDIES OF PLANTS 16X20</t>
  </si>
  <si>
    <t>GP10277-BF</t>
  </si>
  <si>
    <t>STUDY IN BLACK NO. 1   24X24</t>
  </si>
  <si>
    <t>GP10278-BF</t>
  </si>
  <si>
    <t>10011736BLK</t>
  </si>
  <si>
    <t>STUDY IN BLACK NO. 2   24X24</t>
  </si>
  <si>
    <t>GP10279-BF</t>
  </si>
  <si>
    <t>10011707BLK</t>
  </si>
  <si>
    <t>STUDY IN BLACK NO. 3   24X24</t>
  </si>
  <si>
    <t>GP10292-BF</t>
  </si>
  <si>
    <t>10011708BLK</t>
  </si>
  <si>
    <t>STUDY IN BLACK NO.4  24X24</t>
  </si>
  <si>
    <t>GP11311-BA</t>
  </si>
  <si>
    <t>STUDY OF HANDS 16X20</t>
  </si>
  <si>
    <t>GP2010203-BA</t>
  </si>
  <si>
    <t>STUDY OF VASE WITH FLOWERS 7X11</t>
  </si>
  <si>
    <t>GP10484-SA</t>
  </si>
  <si>
    <t>SUBJECT &amp; OBJECT I 36X36</t>
  </si>
  <si>
    <t>GP10485-SA</t>
  </si>
  <si>
    <t>SUBJECT &amp; OBJECT II 36X36</t>
  </si>
  <si>
    <t>GP2005103S-NGM</t>
  </si>
  <si>
    <t>SUBLIMATION 36X48</t>
  </si>
  <si>
    <t>GP2005103-NGM</t>
  </si>
  <si>
    <t>GP2005103AP-UF</t>
  </si>
  <si>
    <t>SUBLIMATION 36X48 Art Proof Unframed</t>
  </si>
  <si>
    <t>GP10424-BF</t>
  </si>
  <si>
    <t>10029399BLK</t>
  </si>
  <si>
    <t>SUBTLE MANEUVERS AT DUSK 72X36</t>
  </si>
  <si>
    <t>GP10424R-BF</t>
  </si>
  <si>
    <t>10062456BLK</t>
  </si>
  <si>
    <t>GP2004805-BF</t>
  </si>
  <si>
    <t>SUBTLE OUTBURST 60X48</t>
  </si>
  <si>
    <t xml:space="preserve">	GP2001212-GW</t>
  </si>
  <si>
    <t>10088660GMNT</t>
  </si>
  <si>
    <t>SUEDED 36X24</t>
  </si>
  <si>
    <t xml:space="preserve">	GP200121201-GW</t>
  </si>
  <si>
    <t>SUEDED 60X40</t>
  </si>
  <si>
    <t>GPCB19</t>
  </si>
  <si>
    <t>SUMMER RENTAL + 2</t>
  </si>
  <si>
    <t>53x70</t>
  </si>
  <si>
    <t>GPCB20</t>
  </si>
  <si>
    <t>GP2005102S-NGM</t>
  </si>
  <si>
    <t>SUNBEAM 30X40</t>
  </si>
  <si>
    <t>GP2005102-NGM</t>
  </si>
  <si>
    <t>GP2005102AP-UF</t>
  </si>
  <si>
    <t>SUNBEAM 30X40 Art Proof Unframed</t>
  </si>
  <si>
    <t>GP11213-BF</t>
  </si>
  <si>
    <t>SUPERMATIST COMPOSITION 12X12</t>
  </si>
  <si>
    <t>13X13</t>
  </si>
  <si>
    <t>GP10396-BF</t>
  </si>
  <si>
    <t>10029382BLK</t>
  </si>
  <si>
    <t>SUPPEDANEUM  50X68</t>
  </si>
  <si>
    <t>GP10396R-BF</t>
  </si>
  <si>
    <t>10062463BLK</t>
  </si>
  <si>
    <t>SUPPEDANEUM  50X68 CANVAS</t>
  </si>
  <si>
    <t>59 (2 Rolls)</t>
  </si>
  <si>
    <t>GP2000311-BF</t>
  </si>
  <si>
    <t>10065917BLK</t>
  </si>
  <si>
    <t>SUPPEDANEUM 60X80</t>
  </si>
  <si>
    <t>GP200031101-BF</t>
  </si>
  <si>
    <t>10145063BLK</t>
  </si>
  <si>
    <t>SUPPEDANEUM 67X90</t>
  </si>
  <si>
    <t>GP2006824-GW</t>
  </si>
  <si>
    <t>SURFACE TENSION I 48X72</t>
  </si>
  <si>
    <t>GP2006824-BF</t>
  </si>
  <si>
    <t>GP2006825-GW</t>
  </si>
  <si>
    <t>SURFACE TENSION II 48X72</t>
  </si>
  <si>
    <t>GP2006825-BF</t>
  </si>
  <si>
    <t>GP2006825-NF</t>
  </si>
  <si>
    <t>GP195051S-GW</t>
  </si>
  <si>
    <t>SWATCHES 36X30</t>
  </si>
  <si>
    <t>30X36</t>
  </si>
  <si>
    <t>GP19505-GW</t>
  </si>
  <si>
    <t>10062026GMNT</t>
  </si>
  <si>
    <t>SWATCHES 72X60</t>
  </si>
  <si>
    <t>GP10505-GC</t>
  </si>
  <si>
    <t>10062026GLD</t>
  </si>
  <si>
    <t>GPCOL002</t>
  </si>
  <si>
    <t>SYNOGRAPH CARD 6X8 (2 SIDE)</t>
  </si>
  <si>
    <t>GPCOL005</t>
  </si>
  <si>
    <t>SYNOGRAPH SWATCH 6X6 W/PRINTED CARD</t>
  </si>
  <si>
    <t>GPCB173</t>
  </si>
  <si>
    <t>TAKE IT SLOW</t>
  </si>
  <si>
    <t>GP2001609-GW</t>
  </si>
  <si>
    <t>TAKE IT SLOW 36X24</t>
  </si>
  <si>
    <t>GP2001609R-GW</t>
  </si>
  <si>
    <t>TAKE IT SLOW 36X24 R</t>
  </si>
  <si>
    <t>GP10098-NF</t>
  </si>
  <si>
    <t>TALL POPPY 30X40</t>
  </si>
  <si>
    <t>GP2000121-GC</t>
  </si>
  <si>
    <t>10123503GLD</t>
  </si>
  <si>
    <t>TAOS I 54X70</t>
  </si>
  <si>
    <t>54X70</t>
  </si>
  <si>
    <t>55X71</t>
  </si>
  <si>
    <t>GP2000122-GF</t>
  </si>
  <si>
    <t>10123502GLD</t>
  </si>
  <si>
    <t>TAOS II 40X60</t>
  </si>
  <si>
    <t>GP100012201-GF</t>
  </si>
  <si>
    <t>10145074GOLD</t>
  </si>
  <si>
    <t>TAOS II 50X74</t>
  </si>
  <si>
    <t>51X75</t>
  </si>
  <si>
    <t>GP2010194-BA</t>
  </si>
  <si>
    <t>TEA BLOSSOM 10X24</t>
  </si>
  <si>
    <t>10X24</t>
  </si>
  <si>
    <t>12x26</t>
  </si>
  <si>
    <t>GP2000219-GW</t>
  </si>
  <si>
    <t>TECTONIC I 30X40</t>
  </si>
  <si>
    <t>GP2000220-GW</t>
  </si>
  <si>
    <t>TECTONIC II 30X40</t>
  </si>
  <si>
    <t>GP200610402-GW</t>
  </si>
  <si>
    <t>TELA PLANTINO UNO 60X60</t>
  </si>
  <si>
    <t>GP200610402-GF</t>
  </si>
  <si>
    <t>GP200610402-WF</t>
  </si>
  <si>
    <t>GP200610401-GW</t>
  </si>
  <si>
    <t>TELA PLANTINO UNO 68X68</t>
  </si>
  <si>
    <t>68X68</t>
  </si>
  <si>
    <t>GP2006104-GW</t>
  </si>
  <si>
    <t>TELA PLANTINO UNO 72X72</t>
  </si>
  <si>
    <t>72x73</t>
  </si>
  <si>
    <t>GP2006101-GW</t>
  </si>
  <si>
    <t>TELA PLATINO DUE A 36X36</t>
  </si>
  <si>
    <t>GP2006101-GF</t>
  </si>
  <si>
    <t>GP2006101-WF</t>
  </si>
  <si>
    <t>GP10361-BF</t>
  </si>
  <si>
    <t>10029370BLK</t>
  </si>
  <si>
    <t>TEMPEST   60X40 PANEL</t>
  </si>
  <si>
    <t>GP10361R-BF</t>
  </si>
  <si>
    <t>10062453BLK</t>
  </si>
  <si>
    <t>TEMPEST  60X40 CANVAS</t>
  </si>
  <si>
    <t xml:space="preserve">test   </t>
  </si>
  <si>
    <t>TEST COST REDUCTIVE EPSON</t>
  </si>
  <si>
    <t>20x30</t>
  </si>
  <si>
    <t xml:space="preserve">	GP2001211-GW</t>
  </si>
  <si>
    <t>GPCB164</t>
  </si>
  <si>
    <t>GP2001210-GW</t>
  </si>
  <si>
    <t>10088692GMNT</t>
  </si>
  <si>
    <t>THE ALLIANCE 45X57</t>
  </si>
  <si>
    <t>45x57</t>
  </si>
  <si>
    <t>GP2010209-GT</t>
  </si>
  <si>
    <t>THE BANJO PLAYER 11X13</t>
  </si>
  <si>
    <t>GP2010105-BF</t>
  </si>
  <si>
    <t>THE CAW 16X12</t>
  </si>
  <si>
    <t>GP2010105-CB</t>
  </si>
  <si>
    <t>THE CHALK CLIFFS AT DIEPPE 30X20</t>
  </si>
  <si>
    <t>GP2001927-GW</t>
  </si>
  <si>
    <t>10103330GMNT</t>
  </si>
  <si>
    <t>THE COPPER CREST 20X26</t>
  </si>
  <si>
    <t>20X26</t>
  </si>
  <si>
    <t>GP2001927-GC</t>
  </si>
  <si>
    <t>10103330GLD</t>
  </si>
  <si>
    <t>21X27</t>
  </si>
  <si>
    <t>GP200192701-GW</t>
  </si>
  <si>
    <t>THE COPPER CREST 40X52</t>
  </si>
  <si>
    <t>GP10250-BC</t>
  </si>
  <si>
    <t>10011700BLK</t>
  </si>
  <si>
    <t>THE CRUDE   48X60</t>
  </si>
  <si>
    <t>GP2000225-BF</t>
  </si>
  <si>
    <t>THE DOOR 20X30</t>
  </si>
  <si>
    <t>GP200022501-BF</t>
  </si>
  <si>
    <t>THE DOOR 40x60</t>
  </si>
  <si>
    <t>GP2005702-BA</t>
  </si>
  <si>
    <t>THE DOVE 20X16</t>
  </si>
  <si>
    <t>GP2005702-NA</t>
  </si>
  <si>
    <t>GP2005702-UF</t>
  </si>
  <si>
    <t>GP2005702AP-UF</t>
  </si>
  <si>
    <t>THE DOVE 20X16 ART PROOF</t>
  </si>
  <si>
    <t>10088655GMNT</t>
  </si>
  <si>
    <t>THE EDGE 24X24</t>
  </si>
  <si>
    <t>GP1051601-GW</t>
  </si>
  <si>
    <t>10079119GMNT</t>
  </si>
  <si>
    <t>THE FALLBACK 48X36</t>
  </si>
  <si>
    <t>GP1051601-BF</t>
  </si>
  <si>
    <t>10079119BLK</t>
  </si>
  <si>
    <t>GP1051601-NF</t>
  </si>
  <si>
    <t>10079119NATL</t>
  </si>
  <si>
    <t>GP10516-GW</t>
  </si>
  <si>
    <t>10061985GMNT</t>
  </si>
  <si>
    <t>THE FALLBACK 72X54</t>
  </si>
  <si>
    <t>72X54</t>
  </si>
  <si>
    <t>GP10516-BF</t>
  </si>
  <si>
    <t>10061985BLK</t>
  </si>
  <si>
    <t>73X55</t>
  </si>
  <si>
    <t>GP10516-NF</t>
  </si>
  <si>
    <t>10061985NATL</t>
  </si>
  <si>
    <t>GP1020301-BF</t>
  </si>
  <si>
    <t>THE FLOATING CUP 12X12</t>
  </si>
  <si>
    <t>GP10203-WF</t>
  </si>
  <si>
    <t>THE FLOATING CUP 16X16</t>
  </si>
  <si>
    <t>17x17</t>
  </si>
  <si>
    <t>GP10203-GW</t>
  </si>
  <si>
    <t>GP1020301-NGM</t>
  </si>
  <si>
    <t>GP2010195-CB</t>
  </si>
  <si>
    <t>THE FLOATING FEATHER 14X16</t>
  </si>
  <si>
    <t>17X19</t>
  </si>
  <si>
    <t>GP200032701-GC</t>
  </si>
  <si>
    <t>THE FOURTH ONE 25X31</t>
  </si>
  <si>
    <t>GP200032701-BC</t>
  </si>
  <si>
    <t>GP200032701-GW</t>
  </si>
  <si>
    <t>GP2000327-GW</t>
  </si>
  <si>
    <t>THE FOURTH ONE 48X60</t>
  </si>
  <si>
    <t>GP2001922-GW</t>
  </si>
  <si>
    <t>10103328GMNT</t>
  </si>
  <si>
    <t>THE GOLDEN HEIGHTS 20X26</t>
  </si>
  <si>
    <t>GP2001922-GC</t>
  </si>
  <si>
    <t>10103328GLD</t>
  </si>
  <si>
    <t>GP200192201-GW</t>
  </si>
  <si>
    <t>10103327GMNT</t>
  </si>
  <si>
    <t>THE GOLDEN HEIGHTS 40X52</t>
  </si>
  <si>
    <t>GP2010103-CB</t>
  </si>
  <si>
    <t>THE GREETING 20X16</t>
  </si>
  <si>
    <t>GP2010103-BF</t>
  </si>
  <si>
    <t>GP2010129-GT</t>
  </si>
  <si>
    <t>THE HORSE OF THE DUKE OF WELLINGTON 14X18</t>
  </si>
  <si>
    <t>GP2005101S-NGM</t>
  </si>
  <si>
    <t>THE INFINITE SKY 30X40</t>
  </si>
  <si>
    <t>GP2005101-NGM</t>
  </si>
  <si>
    <t>GP2005101AP-UF</t>
  </si>
  <si>
    <t>THE INFINITE SKY 30X40 Art Proof Unframed</t>
  </si>
  <si>
    <t>GP1028701R-GW</t>
  </si>
  <si>
    <t>SR-ART-30992-O</t>
  </si>
  <si>
    <t>THE LIGHT YOU SEE  30X24</t>
  </si>
  <si>
    <t>30x24</t>
  </si>
  <si>
    <t>GP10287-GW</t>
  </si>
  <si>
    <t>10029404GMNT</t>
  </si>
  <si>
    <t>THE LIGHT YOU SEE  60X48</t>
  </si>
  <si>
    <t>GP102871S-BF</t>
  </si>
  <si>
    <t xml:space="preserve">THE LIGHT YOU SEE 30X24 </t>
  </si>
  <si>
    <t>31X25</t>
  </si>
  <si>
    <t>GP102871S-GW</t>
  </si>
  <si>
    <t>GP102871S-NF</t>
  </si>
  <si>
    <t>GP102871AP-UF</t>
  </si>
  <si>
    <t>THE LIGHT YOU SEE 30X24 Art Proof Unframed</t>
  </si>
  <si>
    <t xml:space="preserve">THE LIGHT YOU SEE 60X48 </t>
  </si>
  <si>
    <t>GP10287S-BF</t>
  </si>
  <si>
    <t>GP10287S-GW</t>
  </si>
  <si>
    <t>GP10287S-NF</t>
  </si>
  <si>
    <t>GP10287AP-UF</t>
  </si>
  <si>
    <t>THE LIGHT YOU SEE 60X48 Art Proof Unframed</t>
  </si>
  <si>
    <t>GP2010196-WF</t>
  </si>
  <si>
    <t>THE MOSSY TREE 10X17</t>
  </si>
  <si>
    <t>10X17</t>
  </si>
  <si>
    <t>11X18</t>
  </si>
  <si>
    <t>GP200032401-GW</t>
  </si>
  <si>
    <t>THE ONE 25X31</t>
  </si>
  <si>
    <t>GP200032401-BC</t>
  </si>
  <si>
    <t>GP200032401-GC</t>
  </si>
  <si>
    <t>GP200032401-NC</t>
  </si>
  <si>
    <t xml:space="preserve">GP2000324-GW </t>
  </si>
  <si>
    <t>THE ONE 48X60</t>
  </si>
  <si>
    <t>GP10253-BF</t>
  </si>
  <si>
    <t>THE PASS 16X20</t>
  </si>
  <si>
    <t>GP201010401-CB</t>
  </si>
  <si>
    <t>THE PORTRAIT 10X12</t>
  </si>
  <si>
    <t>GP201010401-GW</t>
  </si>
  <si>
    <t>GP201010401-WF</t>
  </si>
  <si>
    <t xml:space="preserve">HP </t>
  </si>
  <si>
    <t>GP2010104-WF</t>
  </si>
  <si>
    <t>THE PORTRAIT 12X16</t>
  </si>
  <si>
    <t>THE PROCESS OF BEING</t>
  </si>
  <si>
    <t>GP2003432-GW</t>
  </si>
  <si>
    <t>10088663GMNT</t>
  </si>
  <si>
    <t>THE PROMISE OF A WORLD OUTSIDE 36X48</t>
  </si>
  <si>
    <t>GP2003432S-BF</t>
  </si>
  <si>
    <t xml:space="preserve">THE PROMISE OF A WORLD OUTSIDE 36X48 </t>
  </si>
  <si>
    <t>GP2003432S-GW</t>
  </si>
  <si>
    <t>GP2003432S-NF</t>
  </si>
  <si>
    <t>GP2003432AP-UF</t>
  </si>
  <si>
    <t xml:space="preserve">THE PROMISE OF A WORLD OUTSIDE 36X48 Art Proof </t>
  </si>
  <si>
    <t>GP1027501-NGM</t>
  </si>
  <si>
    <t>10079113GMNT</t>
  </si>
  <si>
    <t>THE QUARRY   36X45 NEW SIZE</t>
  </si>
  <si>
    <t>GP1027501-BF</t>
  </si>
  <si>
    <t>10079113BLK</t>
  </si>
  <si>
    <t>GP1027501-NF</t>
  </si>
  <si>
    <t>10079113NATL</t>
  </si>
  <si>
    <t>GP10275-NGM</t>
  </si>
  <si>
    <t>10011709GMNT</t>
  </si>
  <si>
    <t>THE QUARRY   48X60</t>
  </si>
  <si>
    <t>GP10275-BF</t>
  </si>
  <si>
    <t>10011709BLCK</t>
  </si>
  <si>
    <t>GP10275-NF</t>
  </si>
  <si>
    <t>10011709NATL</t>
  </si>
  <si>
    <t>THE QUARRY   48X60 NEW FRAME</t>
  </si>
  <si>
    <t>GP1027502S-BF</t>
  </si>
  <si>
    <t>THE QUARRY 48X60</t>
  </si>
  <si>
    <t>GP1027502S-GW</t>
  </si>
  <si>
    <t>GP1027502S-NF</t>
  </si>
  <si>
    <t xml:space="preserve">THE QUARRY 48X60 </t>
  </si>
  <si>
    <t>GP1027502AP-UF</t>
  </si>
  <si>
    <t>THE QUARRY 48X60 ART PROOF</t>
  </si>
  <si>
    <t>GP2004823-BF</t>
  </si>
  <si>
    <t>THE RISING MISTS FROM BELOW 30X12</t>
  </si>
  <si>
    <t>30X12</t>
  </si>
  <si>
    <t>31X13</t>
  </si>
  <si>
    <t>GP200482301-BF</t>
  </si>
  <si>
    <t>THE RISING MISTS FROM BELOW 50X20</t>
  </si>
  <si>
    <t>50X20</t>
  </si>
  <si>
    <t>51X21</t>
  </si>
  <si>
    <t>GP200032501-GW</t>
  </si>
  <si>
    <t>THE SECOND ONE 25X31</t>
  </si>
  <si>
    <t>GP200032501-BC</t>
  </si>
  <si>
    <t>GP200032501-GC</t>
  </si>
  <si>
    <t>GP200032501-NC</t>
  </si>
  <si>
    <t>GP2000325-GW</t>
  </si>
  <si>
    <t>THE SECOND ONE 48X60</t>
  </si>
  <si>
    <t>APR 21</t>
  </si>
  <si>
    <t>GP2002254-BA</t>
  </si>
  <si>
    <t>10085570BLK</t>
  </si>
  <si>
    <t>THE SINGULARITY I 80X48</t>
  </si>
  <si>
    <t>80X48</t>
  </si>
  <si>
    <t>84X52</t>
  </si>
  <si>
    <t>BSB02</t>
  </si>
  <si>
    <t>GP20022551IW-NSB</t>
  </si>
  <si>
    <t xml:space="preserve">THE SINGULARITY II 48X48 </t>
  </si>
  <si>
    <t>NSB02</t>
  </si>
  <si>
    <t>GP2002255-BA</t>
  </si>
  <si>
    <t>10085596BLK</t>
  </si>
  <si>
    <t>THE SINGULARITY II 56X40</t>
  </si>
  <si>
    <t>56X40</t>
  </si>
  <si>
    <t>60X44</t>
  </si>
  <si>
    <t>GP2002256-BA</t>
  </si>
  <si>
    <t>10085597BLK</t>
  </si>
  <si>
    <t>THE SINGULARITY III 32X32</t>
  </si>
  <si>
    <t>32X32</t>
  </si>
  <si>
    <t>GP2002256-NA</t>
  </si>
  <si>
    <t>NA Shadow Box</t>
  </si>
  <si>
    <t>GP2002257-BA</t>
  </si>
  <si>
    <t>10085598BLK</t>
  </si>
  <si>
    <t>THE SINGULARITY IV 32X32</t>
  </si>
  <si>
    <t>GP2002264-BA</t>
  </si>
  <si>
    <t>10088311BLK</t>
  </si>
  <si>
    <t>THE SINGULARITY V 96X56</t>
  </si>
  <si>
    <t>96X56</t>
  </si>
  <si>
    <t>100X60</t>
  </si>
  <si>
    <t>GP2002265-BA</t>
  </si>
  <si>
    <t>THE SINGULARITY VI 24X32</t>
  </si>
  <si>
    <t>28X36</t>
  </si>
  <si>
    <t>GP2002266-BA</t>
  </si>
  <si>
    <t>THE SINGULARITY VII 24X32</t>
  </si>
  <si>
    <t>GP10251-GW</t>
  </si>
  <si>
    <t>THE SLINKER 60X40</t>
  </si>
  <si>
    <t>GP2000228-NF</t>
  </si>
  <si>
    <t>THE SPACE BETWEEN 30X40</t>
  </si>
  <si>
    <t>GP200022801-GW</t>
  </si>
  <si>
    <t>THE SPACE BETWEEN I 60X80</t>
  </si>
  <si>
    <t>GP200022801-BC</t>
  </si>
  <si>
    <t>GP200022801-NC</t>
  </si>
  <si>
    <t>GP200022801-GC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</si>
  <si>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</si>
  <si>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GP200023001-NC</t>
  </si>
  <si>
    <t>THE SPACE BETWEEN II 60X80</t>
  </si>
  <si>
    <t xml:space="preserve">	GP200023001-GW</t>
  </si>
  <si>
    <t xml:space="preserve">	GP200023001-BC</t>
  </si>
  <si>
    <t>GP200023001-GC</t>
  </si>
  <si>
    <t>GP2001921-GW</t>
  </si>
  <si>
    <t>THE SPRING OF REFLECTION 20X26</t>
  </si>
  <si>
    <t>GP200192101-GW</t>
  </si>
  <si>
    <t>THE SPRING OF REFLECTION 40X52</t>
  </si>
  <si>
    <t>GP2001929-GW</t>
  </si>
  <si>
    <t>THE SPRING OF SOLITUDE 20X26</t>
  </si>
  <si>
    <t>GP200192901-GW</t>
  </si>
  <si>
    <t>THE SPRING OF SOLITUDE 40X52</t>
  </si>
  <si>
    <t>GP1051019-GW</t>
  </si>
  <si>
    <t>10079122GMNT</t>
  </si>
  <si>
    <t>THE STILLNESS 36X36</t>
  </si>
  <si>
    <t>GP1051019-BF</t>
  </si>
  <si>
    <t>10079122BLK</t>
  </si>
  <si>
    <t>GP1051019-NF</t>
  </si>
  <si>
    <t>10079122NATL</t>
  </si>
  <si>
    <t>GP10519-GW</t>
  </si>
  <si>
    <t>10061982GMNT</t>
  </si>
  <si>
    <t>THE STILLNESS 48X48</t>
  </si>
  <si>
    <t>GP10519-BF</t>
  </si>
  <si>
    <t>10061982BLK</t>
  </si>
  <si>
    <t>GP10519-NF</t>
  </si>
  <si>
    <t>10061982NATL</t>
  </si>
  <si>
    <t>GP2010102-WF</t>
  </si>
  <si>
    <t>THE STUDIO 16X20</t>
  </si>
  <si>
    <t>122 (tile 3X4)</t>
  </si>
  <si>
    <t>GP200042601-GW</t>
  </si>
  <si>
    <t>THE THIRD ONE 25X31</t>
  </si>
  <si>
    <t>GP2000326-GW</t>
  </si>
  <si>
    <t>THE THIRD ONE 48X60</t>
  </si>
  <si>
    <t>GP2010197-BA</t>
  </si>
  <si>
    <t>THE THREE TREES 20X15</t>
  </si>
  <si>
    <t>20X15</t>
  </si>
  <si>
    <t>22X17</t>
  </si>
  <si>
    <t>GP2001906-GW</t>
  </si>
  <si>
    <t>10062107GMNT</t>
  </si>
  <si>
    <t>THE TIDES OF HAMPTON 60X48</t>
  </si>
  <si>
    <t>GP2010198-WF</t>
  </si>
  <si>
    <t>THE WILLOW 8X10</t>
  </si>
  <si>
    <t>GP10249-GW</t>
  </si>
  <si>
    <t>10011706GMNT</t>
  </si>
  <si>
    <t>THERE'S NO SUCH THING AS CLARITY 96X48</t>
  </si>
  <si>
    <t>96x48</t>
  </si>
  <si>
    <t>GP2003446-GW</t>
  </si>
  <si>
    <t>THESE DAYS 48X60</t>
  </si>
  <si>
    <t>GP2004024-GW</t>
  </si>
  <si>
    <t>THEY LET HIM IN 60X48</t>
  </si>
  <si>
    <t>GP2004024-BF</t>
  </si>
  <si>
    <t>GP2010199-NA</t>
  </si>
  <si>
    <t>THREE TALL TREES 6X8</t>
  </si>
  <si>
    <t>GPCB156</t>
  </si>
  <si>
    <t>THREE TREES</t>
  </si>
  <si>
    <t>GP2000410-GW</t>
  </si>
  <si>
    <t>THROUGH ROSE COLORED GLASSES 60X40</t>
  </si>
  <si>
    <t>GP10452R-NF</t>
  </si>
  <si>
    <t>10062442NATL</t>
  </si>
  <si>
    <t>TIDES I  36X48</t>
  </si>
  <si>
    <t>GP10452-NF</t>
  </si>
  <si>
    <t>10029392NATL</t>
  </si>
  <si>
    <t>GP1045101S-BF</t>
  </si>
  <si>
    <t>TIDES I 36X48</t>
  </si>
  <si>
    <t>GP1045101S-GW</t>
  </si>
  <si>
    <t>GP1045101S-NF</t>
  </si>
  <si>
    <t>GP1045101AP-UF</t>
  </si>
  <si>
    <t>TIDES I 36X48 ARTPROOF UNFRAMED</t>
  </si>
  <si>
    <t>GP1045301S-BF</t>
  </si>
  <si>
    <t>TIDES II  36X48</t>
  </si>
  <si>
    <t>GP1045301S-GW</t>
  </si>
  <si>
    <t>GP1045301S-NF</t>
  </si>
  <si>
    <t>GP10453-NF</t>
  </si>
  <si>
    <t>10029393NATL</t>
  </si>
  <si>
    <t>GP10453R-NF</t>
  </si>
  <si>
    <t>10062444NATL</t>
  </si>
  <si>
    <t>GP1045301AP-UF</t>
  </si>
  <si>
    <t>TIDES II  36X48 ARTPROOF UNFRAMED</t>
  </si>
  <si>
    <t>GP20101200-BA</t>
  </si>
  <si>
    <t>TIGER LILY 13X25</t>
  </si>
  <si>
    <t>13X25</t>
  </si>
  <si>
    <t>GP2010119-CB.    C</t>
  </si>
  <si>
    <t>TIGRESS 26X14</t>
  </si>
  <si>
    <t>26X14</t>
  </si>
  <si>
    <t>28X16</t>
  </si>
  <si>
    <t>GP201011901-CB</t>
  </si>
  <si>
    <t>29X17</t>
  </si>
  <si>
    <t>GP2010119-CB</t>
  </si>
  <si>
    <t>GP10520-SA</t>
  </si>
  <si>
    <t>10062066GMNT</t>
  </si>
  <si>
    <t>TIME OUT 60X60</t>
  </si>
  <si>
    <t>GP10520S-BF</t>
  </si>
  <si>
    <t xml:space="preserve">TIME OUT 60X60 </t>
  </si>
  <si>
    <t>GP10520S-GW</t>
  </si>
  <si>
    <t>GP10520S-NF</t>
  </si>
  <si>
    <t>GP10520AP-UF</t>
  </si>
  <si>
    <t>TIME OUT 60X60 Art Proof Unframed</t>
  </si>
  <si>
    <t>GP2004016-GW</t>
  </si>
  <si>
    <t>TITANS 48X60</t>
  </si>
  <si>
    <t>GP2004016-NF</t>
  </si>
  <si>
    <t>1012512NATL</t>
  </si>
  <si>
    <t>GP2003443-GW</t>
  </si>
  <si>
    <t>TO CARRY YOUR SECRET NO LONGER 60X36</t>
  </si>
  <si>
    <t>GP2002913-GW</t>
  </si>
  <si>
    <t>TO FLY 24X36</t>
  </si>
  <si>
    <t>GP10507-GW</t>
  </si>
  <si>
    <t>TORRENT I 48X70</t>
  </si>
  <si>
    <t>GP10508-GW</t>
  </si>
  <si>
    <t>TORRENT II 48X70</t>
  </si>
  <si>
    <t>GP10101-GW</t>
  </si>
  <si>
    <t>TOTEM 11X14</t>
  </si>
  <si>
    <t>GP10101-NF</t>
  </si>
  <si>
    <t>40 (Tile 6)</t>
  </si>
  <si>
    <t>GP1010101-GW</t>
  </si>
  <si>
    <t>TOTEM 16X20</t>
  </si>
  <si>
    <t>GP10375-BC</t>
  </si>
  <si>
    <t>10011721BLK</t>
  </si>
  <si>
    <t>TOUCH THE SKY I   30X40</t>
  </si>
  <si>
    <t>GP10376-BC</t>
  </si>
  <si>
    <t>10011720BLK</t>
  </si>
  <si>
    <t>TOUCH THE SKY II   32X42</t>
  </si>
  <si>
    <t>GP10376X-BC</t>
  </si>
  <si>
    <t>TOUCH THE SKY II 54X72 RH SPECIAL</t>
  </si>
  <si>
    <t>54x72</t>
  </si>
  <si>
    <t>GP2006839-GW</t>
  </si>
  <si>
    <t>TRANCE 48X60</t>
  </si>
  <si>
    <t>GP2006839-BF</t>
  </si>
  <si>
    <t>GP2001105-CF</t>
  </si>
  <si>
    <t>TRIMMED IN GOLD 36X24</t>
  </si>
  <si>
    <t>GP200110501-GW</t>
  </si>
  <si>
    <t>TRIMMED IN GOLD 60X40</t>
  </si>
  <si>
    <t>GP1041501-GW</t>
  </si>
  <si>
    <t>TRUST FALL I 24X30</t>
  </si>
  <si>
    <t>GP10415-GW</t>
  </si>
  <si>
    <t>TRUST FALL I 30X40</t>
  </si>
  <si>
    <t>GP10416-GW</t>
  </si>
  <si>
    <t>TRUST FALL II 30X40</t>
  </si>
  <si>
    <t>GP2003816-BF</t>
  </si>
  <si>
    <t>TSUNAMI 36X48</t>
  </si>
  <si>
    <t>GP2010201-NA</t>
  </si>
  <si>
    <t>TULIPS IN A JUG 12X16</t>
  </si>
  <si>
    <t>GPCB157</t>
  </si>
  <si>
    <t>TWIN SPRUCE</t>
  </si>
  <si>
    <t>GP11291R-BF</t>
  </si>
  <si>
    <t>TWO DOGS 16X20</t>
  </si>
  <si>
    <t>GP11291R-CB</t>
  </si>
  <si>
    <t>GP11291R-GT</t>
  </si>
  <si>
    <t>GP10394-GW</t>
  </si>
  <si>
    <t>TWO STEPS AHEAD BLUE  40X30</t>
  </si>
  <si>
    <t>GP10394-NF</t>
  </si>
  <si>
    <t>10014684NATL</t>
  </si>
  <si>
    <t>GP2004803-BF</t>
  </si>
  <si>
    <t>UNMAPPED VIEWING 60X40</t>
  </si>
  <si>
    <t xml:space="preserve">	GP2001214-GW</t>
  </si>
  <si>
    <t>10088679GMNT</t>
  </si>
  <si>
    <t>UNREACHABLE 36X36</t>
  </si>
  <si>
    <t>GP2004814-BF</t>
  </si>
  <si>
    <t>UNRUFFLED NIGHT 60X48</t>
  </si>
  <si>
    <t>GP2004806-BF</t>
  </si>
  <si>
    <t>UNSETTLED RESPONSE 30X20</t>
  </si>
  <si>
    <t>GPCB24</t>
  </si>
  <si>
    <t>UNTITLED</t>
  </si>
  <si>
    <t>Alexander Calder</t>
  </si>
  <si>
    <t>20x27</t>
  </si>
  <si>
    <t>GPCB25</t>
  </si>
  <si>
    <t>GP10535-GW</t>
  </si>
  <si>
    <t>10062085GMNT</t>
  </si>
  <si>
    <t>UNTITLED  32018 80X58</t>
  </si>
  <si>
    <t>GP10534-GW</t>
  </si>
  <si>
    <t>10062084GMNT</t>
  </si>
  <si>
    <t>UNTITLED  51517 80X58</t>
  </si>
  <si>
    <t>GP10534-NC</t>
  </si>
  <si>
    <t>10062084NATL</t>
  </si>
  <si>
    <t>82X60</t>
  </si>
  <si>
    <t>GP10537-GW</t>
  </si>
  <si>
    <t>10062094GMNT</t>
  </si>
  <si>
    <t>UNTITLED  72318  80X58</t>
  </si>
  <si>
    <t>GP10538-GW</t>
  </si>
  <si>
    <t>10062096GMNT</t>
  </si>
  <si>
    <t>UNTITLED  83118 80X58</t>
  </si>
  <si>
    <t>GP10521R-BA</t>
  </si>
  <si>
    <t>UNTITLED (COLOR) 48X55</t>
  </si>
  <si>
    <t>GP10521-GW</t>
  </si>
  <si>
    <t>10061994GMNT</t>
  </si>
  <si>
    <t>GP10521S-BF</t>
  </si>
  <si>
    <t xml:space="preserve">UNTITLED (COLOR) 48X60 </t>
  </si>
  <si>
    <t>GP10521S-GW</t>
  </si>
  <si>
    <t>GP10521S-NF</t>
  </si>
  <si>
    <t>GP10521AP-UF</t>
  </si>
  <si>
    <t>UNTITLED (COLOR) 48X60 Art Proof Unframed</t>
  </si>
  <si>
    <t>GPCB61</t>
  </si>
  <si>
    <t>UNTITLED (MARKINGS V)</t>
  </si>
  <si>
    <t>GP1052201-NF</t>
  </si>
  <si>
    <t xml:space="preserve">UNTITLED (WHITE) 16X20 </t>
  </si>
  <si>
    <t>GP10522-GW</t>
  </si>
  <si>
    <t>10061995GMNT</t>
  </si>
  <si>
    <t>UNTITLED (WHITE) 54X70 (UNTITLED I)</t>
  </si>
  <si>
    <t>GP10522-NF</t>
  </si>
  <si>
    <t>GP20022251IW-BSB</t>
  </si>
  <si>
    <t xml:space="preserve">UNTITLED 101519A 20X30 </t>
  </si>
  <si>
    <t>24X34</t>
  </si>
  <si>
    <t>GP20022251IW-NSB</t>
  </si>
  <si>
    <t>NSBO1</t>
  </si>
  <si>
    <t>GP2002225-BA</t>
  </si>
  <si>
    <t>10085569BLK</t>
  </si>
  <si>
    <t>UNTITLED 101519A 22X30</t>
  </si>
  <si>
    <t>GP200222501-BA</t>
  </si>
  <si>
    <t>10085568BLK</t>
  </si>
  <si>
    <t>UNTITLED 101519A 44X60</t>
  </si>
  <si>
    <t>GP2002227-BA</t>
  </si>
  <si>
    <t>10085576BLK</t>
  </si>
  <si>
    <t>UNTITLED 101519B 22X30</t>
  </si>
  <si>
    <t>GP200222701-BA</t>
  </si>
  <si>
    <t>10085574BLK</t>
  </si>
  <si>
    <t>UNTITLED 101519B 44X60</t>
  </si>
  <si>
    <t>GP2002219R-GW</t>
  </si>
  <si>
    <t>UNTITLED 101818R 60X57 R SONDER</t>
  </si>
  <si>
    <t>60x57</t>
  </si>
  <si>
    <t>GP2002219-GW</t>
  </si>
  <si>
    <t>UNTITLED 101818R 60X57 SONDER</t>
  </si>
  <si>
    <t>GP2002237-BA</t>
  </si>
  <si>
    <t>10085606BLK</t>
  </si>
  <si>
    <t>UNTITLED 102520 22X30</t>
  </si>
  <si>
    <t>GP200223701-BA</t>
  </si>
  <si>
    <t>10085605BLK</t>
  </si>
  <si>
    <t>UNTITLED 102520 44X60</t>
  </si>
  <si>
    <t>GP200223701-GA</t>
  </si>
  <si>
    <t>10123995GOLD</t>
  </si>
  <si>
    <t>47x63</t>
  </si>
  <si>
    <t>Partial Ink Wash</t>
  </si>
  <si>
    <t>GP2002252-BA</t>
  </si>
  <si>
    <t>10085581BLK</t>
  </si>
  <si>
    <t>UNTITLED 112418A 22X30</t>
  </si>
  <si>
    <t>GP200225201-BA</t>
  </si>
  <si>
    <t>10085580BLK</t>
  </si>
  <si>
    <t>UNTITLED 112418A 44X60</t>
  </si>
  <si>
    <t>GP2002253-BA</t>
  </si>
  <si>
    <t>10085599BLK</t>
  </si>
  <si>
    <t>UNTITLED 112418B 22X30</t>
  </si>
  <si>
    <t>GP200225301-BA</t>
  </si>
  <si>
    <t>10085600BLK</t>
  </si>
  <si>
    <t>UNTITLED 112418B 44X60</t>
  </si>
  <si>
    <t>GP1049301S-BF</t>
  </si>
  <si>
    <t>UNTITLED 112918</t>
  </si>
  <si>
    <t>GP1049301S-GW</t>
  </si>
  <si>
    <t>GP1049301S-NF</t>
  </si>
  <si>
    <t>GP10493-GW</t>
  </si>
  <si>
    <t>10029371GMNT</t>
  </si>
  <si>
    <t>UNTITLED 112918  80X64</t>
  </si>
  <si>
    <t>GP10510-GC</t>
  </si>
  <si>
    <t>10034790GLD</t>
  </si>
  <si>
    <t>UNTITLED 112918 51X64</t>
  </si>
  <si>
    <t>GP1049301AP-UF</t>
  </si>
  <si>
    <t>UNTITLED 112918 ARTPROOF UNFRAMED</t>
  </si>
  <si>
    <t>GP10510-BF</t>
  </si>
  <si>
    <t>special RH metal frame</t>
  </si>
  <si>
    <t>UNTITLED 112918 RH CROP  64X51</t>
  </si>
  <si>
    <t>64X51</t>
  </si>
  <si>
    <t>GP10510-GW</t>
  </si>
  <si>
    <t>10034790GMNT</t>
  </si>
  <si>
    <t>GP2002212R-GW</t>
  </si>
  <si>
    <t>UNTITLED 11720 60X47 R SONDER</t>
  </si>
  <si>
    <t>60x47</t>
  </si>
  <si>
    <t>GP200221201-GW</t>
  </si>
  <si>
    <t>10093228GMNT</t>
  </si>
  <si>
    <t>UNTITLED 11720 62X48</t>
  </si>
  <si>
    <t>62x48</t>
  </si>
  <si>
    <t>GP2002212-GW</t>
  </si>
  <si>
    <t>10088683GMNT</t>
  </si>
  <si>
    <t>UNTITLED 11720 80X62</t>
  </si>
  <si>
    <t>80x62</t>
  </si>
  <si>
    <t>GPCB127</t>
  </si>
  <si>
    <t>UNTITLED 14</t>
  </si>
  <si>
    <t>GPCB126</t>
  </si>
  <si>
    <t>UNTITLED 15</t>
  </si>
  <si>
    <t>GP2002238-BA</t>
  </si>
  <si>
    <t>10085564BLK</t>
  </si>
  <si>
    <t>UNTITLED 1720A 22X30</t>
  </si>
  <si>
    <t>GP200223801-BA</t>
  </si>
  <si>
    <t>10085565BLK</t>
  </si>
  <si>
    <t>UNTITLED 1720A 44X60</t>
  </si>
  <si>
    <t>GP2002239-BA</t>
  </si>
  <si>
    <t>10085566BLK</t>
  </si>
  <si>
    <t>UNTITLED 1720B 22X30</t>
  </si>
  <si>
    <t>GP200223901-BA</t>
  </si>
  <si>
    <t>10085567BLK</t>
  </si>
  <si>
    <t>UNTITLED 1720B 44X60</t>
  </si>
  <si>
    <t>GPCB125</t>
  </si>
  <si>
    <t>UNTITLED 19</t>
  </si>
  <si>
    <t>GP2002246-BA</t>
  </si>
  <si>
    <t>10085557BLK</t>
  </si>
  <si>
    <t>UNTITLED 21119A 22X30</t>
  </si>
  <si>
    <t>GP200224602-BA</t>
  </si>
  <si>
    <t>UNTITLED 21119A 36X45</t>
  </si>
  <si>
    <t>38X47</t>
  </si>
  <si>
    <t>GP200224602R-GW</t>
  </si>
  <si>
    <t>UNTITLED 21119A 36X45 R</t>
  </si>
  <si>
    <t>GP200224601-BA</t>
  </si>
  <si>
    <t>10085556BLK</t>
  </si>
  <si>
    <t>UNTITLED 21119A 44X60</t>
  </si>
  <si>
    <t>GP2002247-BA</t>
  </si>
  <si>
    <t>10085604BLK</t>
  </si>
  <si>
    <t>UNTITLED 21119B 22X30</t>
  </si>
  <si>
    <t>GP200224701-BA</t>
  </si>
  <si>
    <t>10085603BLK</t>
  </si>
  <si>
    <t>UNTITLED 21119B 44X60</t>
  </si>
  <si>
    <t>GPCB128</t>
  </si>
  <si>
    <t>UNTITLED 25</t>
  </si>
  <si>
    <t>GP2002230-BA</t>
  </si>
  <si>
    <t>10085607BLK</t>
  </si>
  <si>
    <t>UNTITLED 2520B 22X30</t>
  </si>
  <si>
    <t>GP200223001-BA</t>
  </si>
  <si>
    <t>10085592BLK</t>
  </si>
  <si>
    <t>UNTITLED 2520B 44X60</t>
  </si>
  <si>
    <t>GP2002231-BA</t>
  </si>
  <si>
    <t>10085593BLK</t>
  </si>
  <si>
    <t>UNTITLED 2520C 22X30</t>
  </si>
  <si>
    <t>GP200223101-BA</t>
  </si>
  <si>
    <t>10085590BLK</t>
  </si>
  <si>
    <t>UNTITLED 2520C 44X60</t>
  </si>
  <si>
    <t>GP2002249-BA</t>
  </si>
  <si>
    <t>10085609BLK</t>
  </si>
  <si>
    <t>UNTITLED 2620 22X30</t>
  </si>
  <si>
    <t>GP200224901-BA</t>
  </si>
  <si>
    <t>10085610BLK</t>
  </si>
  <si>
    <t>UNTITLED 2620 44X60</t>
  </si>
  <si>
    <t>GP2002250-BA</t>
  </si>
  <si>
    <t>10085611BLK</t>
  </si>
  <si>
    <t>UNTITLED 31290A 22X30</t>
  </si>
  <si>
    <t>GP200225001-BA</t>
  </si>
  <si>
    <t>10085585BLK</t>
  </si>
  <si>
    <t>UNTITLED 31290A 44X60</t>
  </si>
  <si>
    <t>GP2002251-BA</t>
  </si>
  <si>
    <t>10085583BLK</t>
  </si>
  <si>
    <t>UNTITLED 31290B 22X30</t>
  </si>
  <si>
    <t>GP200225101-BA</t>
  </si>
  <si>
    <t>10085582BLK</t>
  </si>
  <si>
    <t>UNTITLED 31290B 44X60</t>
  </si>
  <si>
    <t>GP200225101-GA</t>
  </si>
  <si>
    <t>GP2002248-BA</t>
  </si>
  <si>
    <t>10085562BLK</t>
  </si>
  <si>
    <t>UNTITLED 31517 22X30</t>
  </si>
  <si>
    <t>GP200224801-BA</t>
  </si>
  <si>
    <t>10085563BLK</t>
  </si>
  <si>
    <t>UNTITLED 31517 44X60</t>
  </si>
  <si>
    <t>GP2002236-BA</t>
  </si>
  <si>
    <t>10085560BLK</t>
  </si>
  <si>
    <t>UNTITLED 32020 22X30</t>
  </si>
  <si>
    <t>GP200223601-BA</t>
  </si>
  <si>
    <t>10085561BLK</t>
  </si>
  <si>
    <t>UNTITLED 32020 44X60</t>
  </si>
  <si>
    <t>GP2002244-BA</t>
  </si>
  <si>
    <t>10085555BLK</t>
  </si>
  <si>
    <t>UNTITLED 32518A 22X30</t>
  </si>
  <si>
    <t>GP200224401-BA</t>
  </si>
  <si>
    <t>10085553BLK</t>
  </si>
  <si>
    <t>UNTITLED 32518A 44X60</t>
  </si>
  <si>
    <t>GP2002245-BA</t>
  </si>
  <si>
    <t>10085559BLK</t>
  </si>
  <si>
    <t>UNTITLED 32518B 22X30</t>
  </si>
  <si>
    <t>GP200224501-BA</t>
  </si>
  <si>
    <t>10085558BLK</t>
  </si>
  <si>
    <t>UNTITLED 32518B 44X60</t>
  </si>
  <si>
    <t>GP2002234-BA</t>
  </si>
  <si>
    <t>10085587BLK</t>
  </si>
  <si>
    <t>UNTITLED 41820A 22X30</t>
  </si>
  <si>
    <t>GP200223401-BA</t>
  </si>
  <si>
    <t>10085584BLK</t>
  </si>
  <si>
    <t>UNTITLED 41820A 44X60</t>
  </si>
  <si>
    <t>GP2002235-BA</t>
  </si>
  <si>
    <t>10085595BLK</t>
  </si>
  <si>
    <t>UNTITLED 41820B 22X30</t>
  </si>
  <si>
    <t>GP200223501-BA</t>
  </si>
  <si>
    <t>10085594BLK</t>
  </si>
  <si>
    <t>UNTITLED 41820B 44X60</t>
  </si>
  <si>
    <t>GP2002226-BA</t>
  </si>
  <si>
    <t>10085602BLK</t>
  </si>
  <si>
    <t>UNTITLED 4220A 22X30</t>
  </si>
  <si>
    <t>GP20222601-BA</t>
  </si>
  <si>
    <t>10085601BLK</t>
  </si>
  <si>
    <t>UNTITLED 4220A 44X60</t>
  </si>
  <si>
    <t>GP2002224-BA</t>
  </si>
  <si>
    <t>10085612BLK</t>
  </si>
  <si>
    <t>UNTITLED 4220B 22X30</t>
  </si>
  <si>
    <t>GP200222401-BA</t>
  </si>
  <si>
    <t>10085608BLK</t>
  </si>
  <si>
    <t>UNTITLED 4220B 44X60</t>
  </si>
  <si>
    <t>GPCB124</t>
  </si>
  <si>
    <t>UNTITLED 6</t>
  </si>
  <si>
    <t>GP10492-GW</t>
  </si>
  <si>
    <t>10029376GMNT</t>
  </si>
  <si>
    <t>UNTITLED 6419  80X64</t>
  </si>
  <si>
    <t>GP1051101-GW</t>
  </si>
  <si>
    <t>UNTITLED 6419 RH CROP  24X24</t>
  </si>
  <si>
    <t>GP10511-GW</t>
  </si>
  <si>
    <t>UNTITLED 6419 RH CROP  64X51</t>
  </si>
  <si>
    <t>10034789GMNT</t>
  </si>
  <si>
    <t>GP2002242-BA</t>
  </si>
  <si>
    <t>10085552BLK</t>
  </si>
  <si>
    <t>UNTITLED 73020 22X30</t>
  </si>
  <si>
    <t>GP200224201-BA</t>
  </si>
  <si>
    <t>10085549BLK</t>
  </si>
  <si>
    <t>UNTITLED 73020 44X60</t>
  </si>
  <si>
    <t>GPCB129</t>
  </si>
  <si>
    <t>UNTITLED 8</t>
  </si>
  <si>
    <t>GP2002228-BA</t>
  </si>
  <si>
    <t>10085573BLK</t>
  </si>
  <si>
    <t>UNTITLED 81819A 22X30</t>
  </si>
  <si>
    <t>GP200222801-BA</t>
  </si>
  <si>
    <t>10085571BLK</t>
  </si>
  <si>
    <t>UNTITLED 81819A 44X60</t>
  </si>
  <si>
    <t>GP2002229-BA</t>
  </si>
  <si>
    <t>10085579BLK</t>
  </si>
  <si>
    <t>UNTITLED 81819B 22X30</t>
  </si>
  <si>
    <t>GP200222901-BA</t>
  </si>
  <si>
    <t>10085578BLK</t>
  </si>
  <si>
    <t>UNTITLED 81819B 44X60</t>
  </si>
  <si>
    <t>GP2002232-BA</t>
  </si>
  <si>
    <t>10085591BLK</t>
  </si>
  <si>
    <t>UNTITLED 8219A 22X30</t>
  </si>
  <si>
    <t>GP200223201-BA</t>
  </si>
  <si>
    <t>10085588BLK</t>
  </si>
  <si>
    <t>UNTITLED 8219A 44X60</t>
  </si>
  <si>
    <t>GP2002233-BA</t>
  </si>
  <si>
    <t>10085589BLK</t>
  </si>
  <si>
    <t>UNTITLED 8219B 22X30</t>
  </si>
  <si>
    <t>GP200223301-BA</t>
  </si>
  <si>
    <t>10085586BLK</t>
  </si>
  <si>
    <t>UNTITLED 8219B 44X60</t>
  </si>
  <si>
    <t>GP2002243-BA</t>
  </si>
  <si>
    <t>10085550BLK</t>
  </si>
  <si>
    <t>UNTITLED 82919 22X30</t>
  </si>
  <si>
    <t>GP200224301-BA</t>
  </si>
  <si>
    <t>10085554BLK</t>
  </si>
  <si>
    <t>UNTITLED 82919 44X60</t>
  </si>
  <si>
    <t>GP1053801-GW</t>
  </si>
  <si>
    <t>UNTITLED 83118 60X57</t>
  </si>
  <si>
    <t>60X57</t>
  </si>
  <si>
    <t>UNTITLED 8420A 44X60</t>
  </si>
  <si>
    <t>GP2002240-BA</t>
  </si>
  <si>
    <t>10085572BLK</t>
  </si>
  <si>
    <t>UNTITLED 8420B 22X30</t>
  </si>
  <si>
    <t>GP200224001-BA</t>
  </si>
  <si>
    <t>10085577BLK</t>
  </si>
  <si>
    <t>UNTITLED 8420B 44X60</t>
  </si>
  <si>
    <t>GP2002241-BA</t>
  </si>
  <si>
    <t>10085575BLK</t>
  </si>
  <si>
    <t>UNTITLED 8420C 22X30</t>
  </si>
  <si>
    <t>GP200224101-BA</t>
  </si>
  <si>
    <t>10085551BLK</t>
  </si>
  <si>
    <t>UNTITLED 8420C 44X60</t>
  </si>
  <si>
    <t>GP200221301-GW</t>
  </si>
  <si>
    <t>10093229GMNT</t>
  </si>
  <si>
    <t>UNTITLED 91119 42X56</t>
  </si>
  <si>
    <t>42x56</t>
  </si>
  <si>
    <t>GP2002213-GW</t>
  </si>
  <si>
    <t>10088682GMNT</t>
  </si>
  <si>
    <t>UNTITLED 91119 60X80</t>
  </si>
  <si>
    <t>GP2002223R-GW</t>
  </si>
  <si>
    <t>UNTITLED 91119 60X80 R SONDER</t>
  </si>
  <si>
    <t>60x80</t>
  </si>
  <si>
    <t>GP2002223-GW</t>
  </si>
  <si>
    <t>UNTITLED 91119 60X80 SONDER</t>
  </si>
  <si>
    <t>GP20022201R-GW</t>
  </si>
  <si>
    <t>SR-ART-28101-D</t>
  </si>
  <si>
    <t>UNTITLED 91119R 45X34 R SONDER</t>
  </si>
  <si>
    <t>45X34</t>
  </si>
  <si>
    <t>GP2002220L-GW</t>
  </si>
  <si>
    <t>UNTITLED 91119R 60X45 L SONDER</t>
  </si>
  <si>
    <t>60x45</t>
  </si>
  <si>
    <t>GP2002220R-GW</t>
  </si>
  <si>
    <t>UNTITLED 91119R 60X45 R SONDER</t>
  </si>
  <si>
    <t>GP2002214S1-GW</t>
  </si>
  <si>
    <t>SR-ART-77937-Y</t>
  </si>
  <si>
    <t>UNTITLED 9118 60X41 R SONDER</t>
  </si>
  <si>
    <t>60x41</t>
  </si>
  <si>
    <t>UNTITLED 9118 60X41 SONDER</t>
  </si>
  <si>
    <t>GP2004247-BA</t>
  </si>
  <si>
    <t>UNTITLED I 40X60</t>
  </si>
  <si>
    <t>GP2004909-NF</t>
  </si>
  <si>
    <t>10103364NATL</t>
  </si>
  <si>
    <t>UNTITLED I A 30X30</t>
  </si>
  <si>
    <t>31x31</t>
  </si>
  <si>
    <t>GP2004909-GF</t>
  </si>
  <si>
    <t>10103364GLD</t>
  </si>
  <si>
    <t>UNTITLED I A 30X30 PUR</t>
  </si>
  <si>
    <t>GP2004910-NF</t>
  </si>
  <si>
    <t>10103365NATL</t>
  </si>
  <si>
    <t>UNTITLED I B 30X30</t>
  </si>
  <si>
    <t>GP2004910-GF</t>
  </si>
  <si>
    <t>1013365GLD</t>
  </si>
  <si>
    <t>UNTITLED I B 30X30 PUR</t>
  </si>
  <si>
    <t>GP2000118-GW</t>
  </si>
  <si>
    <t>UNTITLED II (TAN) 48X60</t>
  </si>
  <si>
    <t>GP2006302-GW</t>
  </si>
  <si>
    <t>UNTITLED II 36X48</t>
  </si>
  <si>
    <t>GP200630201-GW</t>
  </si>
  <si>
    <t>UNTITLED II 48X60</t>
  </si>
  <si>
    <t>GP200630201-GF</t>
  </si>
  <si>
    <t>GP2004907-NF</t>
  </si>
  <si>
    <t>UNTITLED II A 32X42</t>
  </si>
  <si>
    <t>GP2004907-BF</t>
  </si>
  <si>
    <t>UNTITLED II A 32X42 PUR</t>
  </si>
  <si>
    <t>GP2004908-NF</t>
  </si>
  <si>
    <t>UNTITLED II B 32X42</t>
  </si>
  <si>
    <t>GP2004908-BF</t>
  </si>
  <si>
    <t>UNTITLED II B 32X42 PUR</t>
  </si>
  <si>
    <t>GP2004249-BA</t>
  </si>
  <si>
    <t>UNTITLED III 30X40</t>
  </si>
  <si>
    <t>GPCB42</t>
  </si>
  <si>
    <t>UNTITLED V</t>
  </si>
  <si>
    <t>24x32</t>
  </si>
  <si>
    <t>GPCB43</t>
  </si>
  <si>
    <t>GP2004280-BA</t>
  </si>
  <si>
    <t>UNTITLED V 48X60</t>
  </si>
  <si>
    <t>51X63</t>
  </si>
  <si>
    <t>DSB2</t>
  </si>
  <si>
    <t>GPCB44</t>
  </si>
  <si>
    <t>UNTITLED VII</t>
  </si>
  <si>
    <t>GPCB45</t>
  </si>
  <si>
    <t>GP2004246-BA</t>
  </si>
  <si>
    <t>UNTITLED VIII 30X40</t>
  </si>
  <si>
    <t>BASB Acrylic (DECKLE 6" Mat)</t>
  </si>
  <si>
    <t>GP2004261-BA</t>
  </si>
  <si>
    <t>UNTITLED VIII 30X40 REVERSE</t>
  </si>
  <si>
    <t>GP2005116S-NGM</t>
  </si>
  <si>
    <t>UNWINDING 33X42</t>
  </si>
  <si>
    <t>Box Frame</t>
  </si>
  <si>
    <t>GP2005116-NGM</t>
  </si>
  <si>
    <t>GP2005116AP-UF</t>
  </si>
  <si>
    <t>UNWINDING 33X42 Art Proof Unframed</t>
  </si>
  <si>
    <t>GP2004309-GW</t>
  </si>
  <si>
    <t>10062034GMNT</t>
  </si>
  <si>
    <t>UP IN SMOKE 56X26</t>
  </si>
  <si>
    <t>GP2003709-GW</t>
  </si>
  <si>
    <t>UP UNTIL THIS POINT 30X40</t>
  </si>
  <si>
    <t>GP2001718-GW</t>
  </si>
  <si>
    <t>URBAN ENSEMBLE 30X40</t>
  </si>
  <si>
    <t>GP2001718-NF</t>
  </si>
  <si>
    <t>GP200171801-GW</t>
  </si>
  <si>
    <t>URBAN ENSEMBLE 48X64</t>
  </si>
  <si>
    <t>GP200171801-GF</t>
  </si>
  <si>
    <t>GP200171801-BF</t>
  </si>
  <si>
    <t>GP200171801-NF</t>
  </si>
  <si>
    <t>GP10506-GW</t>
  </si>
  <si>
    <t>URBAN EXCAVATION 36X48</t>
  </si>
  <si>
    <t>GP10506S-GW</t>
  </si>
  <si>
    <t>GP10102-NF</t>
  </si>
  <si>
    <t>VANDERBILT 16X20</t>
  </si>
  <si>
    <t>GPCB26</t>
  </si>
  <si>
    <t>VASE OF PINK FLOWERS</t>
  </si>
  <si>
    <t>George Hendrik Breitner</t>
  </si>
  <si>
    <t>18x14</t>
  </si>
  <si>
    <t>GPCB27</t>
  </si>
  <si>
    <t>GP2010202-BA</t>
  </si>
  <si>
    <t>VASE WITH FLOWERS 20X13</t>
  </si>
  <si>
    <t>20X13</t>
  </si>
  <si>
    <t>22X15</t>
  </si>
  <si>
    <t>GP10280-GW</t>
  </si>
  <si>
    <t>VEILED SKY 48X60</t>
  </si>
  <si>
    <t>GP2003905-GW</t>
  </si>
  <si>
    <t>VELVET HOUR 60X48</t>
  </si>
  <si>
    <t>GP2001933-BF</t>
  </si>
  <si>
    <t>VENTURESOME 16X20</t>
  </si>
  <si>
    <t>GP200193301-GW</t>
  </si>
  <si>
    <t>VENTURESOME 32X40</t>
  </si>
  <si>
    <t>GP200193301-BF</t>
  </si>
  <si>
    <t>33X42</t>
  </si>
  <si>
    <t>GP10417-GW</t>
  </si>
  <si>
    <t>VERTICAL HORIZON I 48X60</t>
  </si>
  <si>
    <t>GP10418-GW</t>
  </si>
  <si>
    <t>VERTICAL HORIZON II 48X60</t>
  </si>
  <si>
    <t>GP10149R01-GW</t>
  </si>
  <si>
    <t>10079123GMNT</t>
  </si>
  <si>
    <t>VESTED  40X65 NEW SIZE</t>
  </si>
  <si>
    <t>40X65</t>
  </si>
  <si>
    <t>GP10149R01-NF</t>
  </si>
  <si>
    <t>10079123NATL</t>
  </si>
  <si>
    <t>41X66</t>
  </si>
  <si>
    <t>GP10149R01-BF</t>
  </si>
  <si>
    <t>10079123BLK</t>
  </si>
  <si>
    <t>GP10149-NF</t>
  </si>
  <si>
    <t>10001967NATL</t>
  </si>
  <si>
    <t>VESTED  52X84</t>
  </si>
  <si>
    <t>52X84</t>
  </si>
  <si>
    <t>53X85</t>
  </si>
  <si>
    <t>GP10149R-GW</t>
  </si>
  <si>
    <t>10062466GMNT</t>
  </si>
  <si>
    <t>GP10149R-BF</t>
  </si>
  <si>
    <t>10062466BLK</t>
  </si>
  <si>
    <t>GP10149R-NF</t>
  </si>
  <si>
    <t>10062466NATL</t>
  </si>
  <si>
    <t>52x84</t>
  </si>
  <si>
    <t>GP10149R-GF</t>
  </si>
  <si>
    <t>10062466GLD</t>
  </si>
  <si>
    <t>VESTED  54X86</t>
  </si>
  <si>
    <t>54X86</t>
  </si>
  <si>
    <t>GP10149R01-GF</t>
  </si>
  <si>
    <t>10079123GOLD</t>
  </si>
  <si>
    <t xml:space="preserve">VESTED 40x65    </t>
  </si>
  <si>
    <t>40x65</t>
  </si>
  <si>
    <t>41x66</t>
  </si>
  <si>
    <t>GP2001434-GW</t>
  </si>
  <si>
    <t>VESTED 40X65 SONDER</t>
  </si>
  <si>
    <t>GP10449R-BF</t>
  </si>
  <si>
    <t>10062474BLK</t>
  </si>
  <si>
    <t>VESTIGES I 60X48 CANVAS BF</t>
  </si>
  <si>
    <t>GP10449R-NF</t>
  </si>
  <si>
    <t>10062474NATL</t>
  </si>
  <si>
    <t>VESTIGES I 60X48 CANVAS NF</t>
  </si>
  <si>
    <t>GP10449-NF</t>
  </si>
  <si>
    <t>10029390NATL</t>
  </si>
  <si>
    <t>VESTIGES I 60X48 PANEL NF</t>
  </si>
  <si>
    <t>61x49</t>
  </si>
  <si>
    <t>GP10450R-BF</t>
  </si>
  <si>
    <t>10062472BLK</t>
  </si>
  <si>
    <t>VESTIGES II 60X48 CANVAS BF</t>
  </si>
  <si>
    <t>GP10450R-GW</t>
  </si>
  <si>
    <t>10062472GMNT</t>
  </si>
  <si>
    <t>VESTIGES II 60X48 CANVAS GW</t>
  </si>
  <si>
    <t>GP10450R-NF</t>
  </si>
  <si>
    <t>10062472NATL</t>
  </si>
  <si>
    <t>VESTIGES II 60X48 CANVAS NF</t>
  </si>
  <si>
    <t>GP10450-NF</t>
  </si>
  <si>
    <t>10029391NATL</t>
  </si>
  <si>
    <t>VESTIGES II 60X48 PANEL NF</t>
  </si>
  <si>
    <t>GP2000223-GW</t>
  </si>
  <si>
    <t>VIEW FROM ABOVE I 40X60</t>
  </si>
  <si>
    <t>GP2000224-GW</t>
  </si>
  <si>
    <t>VIEW FROM ABOVE II 40X60</t>
  </si>
  <si>
    <t>GPCB158</t>
  </si>
  <si>
    <t>VIEW FROM THE POOL</t>
  </si>
  <si>
    <t>SOLAGE</t>
  </si>
  <si>
    <t>GP10380-NF</t>
  </si>
  <si>
    <t>VIGOR 20X22 (SOLAGE)</t>
  </si>
  <si>
    <t>20X22</t>
  </si>
  <si>
    <t>21x23</t>
  </si>
  <si>
    <t>GP10213R-NF</t>
  </si>
  <si>
    <t>10062475NATL</t>
  </si>
  <si>
    <t>VIGOR 38X38 CANVAS</t>
  </si>
  <si>
    <t>GP10213-NF</t>
  </si>
  <si>
    <t>10004031NATL</t>
  </si>
  <si>
    <t>VIGOR 38X38 PANEL</t>
  </si>
  <si>
    <t>38X38</t>
  </si>
  <si>
    <t>GP10190R-BF</t>
  </si>
  <si>
    <t>10062441BLK</t>
  </si>
  <si>
    <t>VILLA  60X72</t>
  </si>
  <si>
    <t>61X73</t>
  </si>
  <si>
    <t>GP10190-BF</t>
  </si>
  <si>
    <t>10029367BLK</t>
  </si>
  <si>
    <t>GP2004015-GW</t>
  </si>
  <si>
    <t>VILLA 40X60</t>
  </si>
  <si>
    <t>GP10438-BF</t>
  </si>
  <si>
    <t>10029398BLK</t>
  </si>
  <si>
    <t>VILLA I  30X36</t>
  </si>
  <si>
    <t>31X37</t>
  </si>
  <si>
    <t>GP10438R-BF</t>
  </si>
  <si>
    <t>10062446BLK</t>
  </si>
  <si>
    <t>30x36</t>
  </si>
  <si>
    <t>GP10439-BF</t>
  </si>
  <si>
    <t>10029364BLK</t>
  </si>
  <si>
    <t>VILLA II  30X36</t>
  </si>
  <si>
    <t>GP10439R-BF</t>
  </si>
  <si>
    <t>10062443BLK</t>
  </si>
  <si>
    <t>GP10440-BF</t>
  </si>
  <si>
    <t>10029365BLK</t>
  </si>
  <si>
    <t>VILLA III  30X36</t>
  </si>
  <si>
    <t>GP10440R-BF</t>
  </si>
  <si>
    <t>10062445BLK</t>
  </si>
  <si>
    <t>GP10441R-BF</t>
  </si>
  <si>
    <t>10062439BLK</t>
  </si>
  <si>
    <t>VILLA IV 30X36 CANVAS BF</t>
  </si>
  <si>
    <t>GP10441-BF</t>
  </si>
  <si>
    <t>10029366BLK</t>
  </si>
  <si>
    <t>VILLA IV 30X36 PANEL BF</t>
  </si>
  <si>
    <t>GP10381-NF</t>
  </si>
  <si>
    <t>VIM 20X22 (SOLAGE)</t>
  </si>
  <si>
    <t>GP10212R-NF</t>
  </si>
  <si>
    <t>10062465NATL</t>
  </si>
  <si>
    <t xml:space="preserve">VIM 38X38 CANVAS </t>
  </si>
  <si>
    <t>GP10212R-GW</t>
  </si>
  <si>
    <t>10062465GMNT</t>
  </si>
  <si>
    <t>VIM 38X38 CANVAS GW</t>
  </si>
  <si>
    <t>GP10212-NF</t>
  </si>
  <si>
    <t>10004030NATL</t>
  </si>
  <si>
    <t>VIM 38X38 PANEL BF</t>
  </si>
  <si>
    <t>GP2005008</t>
  </si>
  <si>
    <t>VIOLET BOTTLE</t>
  </si>
  <si>
    <t>GP2006838-GW</t>
  </si>
  <si>
    <t>VIRTUE 48X72</t>
  </si>
  <si>
    <t>GP2006838-BF</t>
  </si>
  <si>
    <t>GP2004533S-NF</t>
  </si>
  <si>
    <t>VULCANO I 40X60</t>
  </si>
  <si>
    <t>GP2004533S-GW</t>
  </si>
  <si>
    <t xml:space="preserve">VULCANO I 40X60 </t>
  </si>
  <si>
    <t>GP2004533S-BF</t>
  </si>
  <si>
    <t>GP2004533AP-UF</t>
  </si>
  <si>
    <t>VULCANO I 40X60 Art Proof Unframed</t>
  </si>
  <si>
    <t>GP2004534-BF</t>
  </si>
  <si>
    <t>VULCANO III 40X60</t>
  </si>
  <si>
    <t>GP2004537-BF</t>
  </si>
  <si>
    <t>VULCANO IX 40X60</t>
  </si>
  <si>
    <t>GP2004536-GW</t>
  </si>
  <si>
    <t>VULCANO VII 40X60</t>
  </si>
  <si>
    <t>GP2004536S-GW</t>
  </si>
  <si>
    <t xml:space="preserve">VULCANO VII 40X60 </t>
  </si>
  <si>
    <t>GP2004536S-BF</t>
  </si>
  <si>
    <t>GP2004536S-NF</t>
  </si>
  <si>
    <t>GP2004536AP-UF</t>
  </si>
  <si>
    <t>VULCANO VII 40X60 Art Proof Unframed</t>
  </si>
  <si>
    <t>GP2004536-BF</t>
  </si>
  <si>
    <t>VULCANO VN 40X60</t>
  </si>
  <si>
    <t>GP10454-BF</t>
  </si>
  <si>
    <t>10029359BLK</t>
  </si>
  <si>
    <t>WABI SABI 60X40</t>
  </si>
  <si>
    <t>GP10454R-BF</t>
  </si>
  <si>
    <t>10062448BLK</t>
  </si>
  <si>
    <t>GP104541-GW</t>
  </si>
  <si>
    <t xml:space="preserve">WABI SABI 60X40 </t>
  </si>
  <si>
    <t>GP104541S-GW</t>
  </si>
  <si>
    <t>GP104541S-BF</t>
  </si>
  <si>
    <t>GP104541S-NF</t>
  </si>
  <si>
    <t>GP104541AP-UF</t>
  </si>
  <si>
    <t>WABI SABI 60X40 Art Proof Unframed</t>
  </si>
  <si>
    <t>GP104542S-GW</t>
  </si>
  <si>
    <t>WABI SABI 60X48</t>
  </si>
  <si>
    <t>GP2003704-GW</t>
  </si>
  <si>
    <t>WAITING ON A FRIEND</t>
  </si>
  <si>
    <t>GP10541-GW</t>
  </si>
  <si>
    <t>10062057GMNT</t>
  </si>
  <si>
    <t>WAKE UP TO ME 36X72</t>
  </si>
  <si>
    <t>WALL DRAWING #260</t>
  </si>
  <si>
    <t>132x120</t>
  </si>
  <si>
    <t>NOT AVAILABLE</t>
  </si>
  <si>
    <t>GPCB01</t>
  </si>
  <si>
    <t>66X60</t>
  </si>
  <si>
    <t>GPCB02</t>
  </si>
  <si>
    <t>GP2006848-GW</t>
  </si>
  <si>
    <t>WANDERER 68X90</t>
  </si>
  <si>
    <t>GP2006848-BF</t>
  </si>
  <si>
    <t>GP2006509-NA</t>
  </si>
  <si>
    <t>WAREHOUSES ON THE TEERTUINEN 20X16</t>
  </si>
  <si>
    <t>GP2004629-GF</t>
  </si>
  <si>
    <t>10123500GLD</t>
  </si>
  <si>
    <t>WARMTH I 40X60</t>
  </si>
  <si>
    <t>GP200462901-GF</t>
  </si>
  <si>
    <t>10145070GOLD</t>
  </si>
  <si>
    <t>WARMTH I 50X74</t>
  </si>
  <si>
    <t>GP200462902-BF</t>
  </si>
  <si>
    <t>WARMTH I 65X90</t>
  </si>
  <si>
    <t>GP200463201-GW</t>
  </si>
  <si>
    <t>WARMTH II 20X30</t>
  </si>
  <si>
    <t>GP2004632-GF</t>
  </si>
  <si>
    <t>10124275GLD</t>
  </si>
  <si>
    <t>WARMTH II 40X60</t>
  </si>
  <si>
    <t>GP200463201-GF</t>
  </si>
  <si>
    <t>10145069GOLD</t>
  </si>
  <si>
    <t>WARMTH II 50X74</t>
  </si>
  <si>
    <t>GP200463202-GW</t>
  </si>
  <si>
    <t>WARMTH II 52X78</t>
  </si>
  <si>
    <t>52X78</t>
  </si>
  <si>
    <t>GP200463203-BF</t>
  </si>
  <si>
    <t>WARMTH II 65X90</t>
  </si>
  <si>
    <t>GP2001835-GW</t>
  </si>
  <si>
    <t>10088676GMNT</t>
  </si>
  <si>
    <t>WATERFALL I 31X47</t>
  </si>
  <si>
    <t>31x47</t>
  </si>
  <si>
    <t>GP2001836-GW</t>
  </si>
  <si>
    <t>10088677GMNT</t>
  </si>
  <si>
    <t>WATERFALL II 31X47</t>
  </si>
  <si>
    <t>GP2001837-GW</t>
  </si>
  <si>
    <t>WATERFALL III 31X47</t>
  </si>
  <si>
    <t>GP2001838-GW</t>
  </si>
  <si>
    <t>WATERFALL IV 31X47</t>
  </si>
  <si>
    <t>GP2001843-GW</t>
  </si>
  <si>
    <t>10088672GMNT</t>
  </si>
  <si>
    <t>WATERFALL IX 31X47</t>
  </si>
  <si>
    <t xml:space="preserve">	GP2001839-GW</t>
  </si>
  <si>
    <t>WATERFALL V 31X47</t>
  </si>
  <si>
    <t>DEC21</t>
  </si>
  <si>
    <t>GP2001840-BC</t>
  </si>
  <si>
    <t>WATERFALL VI 31X47</t>
  </si>
  <si>
    <t>31X47</t>
  </si>
  <si>
    <t>32X48</t>
  </si>
  <si>
    <t>GP2001840-GW</t>
  </si>
  <si>
    <t>10088670GMNT</t>
  </si>
  <si>
    <t>OCT 21</t>
  </si>
  <si>
    <t>GP200184001-BC</t>
  </si>
  <si>
    <t>WATERFALL VI 64X96</t>
  </si>
  <si>
    <t>64X96</t>
  </si>
  <si>
    <t>65X97</t>
  </si>
  <si>
    <t>GP200184001-GW</t>
  </si>
  <si>
    <t xml:space="preserve">	GP2001841-GW</t>
  </si>
  <si>
    <t>10088681GMNT</t>
  </si>
  <si>
    <t>WATERFALL VII 31X47</t>
  </si>
  <si>
    <t>GP2001841-BC</t>
  </si>
  <si>
    <t xml:space="preserve">	GP200184101-BC</t>
  </si>
  <si>
    <t>WATERFALL VII 64X96</t>
  </si>
  <si>
    <t xml:space="preserve">	GP200184101-GW</t>
  </si>
  <si>
    <t>GP2001842-BC</t>
  </si>
  <si>
    <t>WATERFALL VIII 31X47</t>
  </si>
  <si>
    <t>GP2001842-GW</t>
  </si>
  <si>
    <t>10088680GMNT</t>
  </si>
  <si>
    <t>GP200184201-BC</t>
  </si>
  <si>
    <t>WATERFALL VIII 64X96</t>
  </si>
  <si>
    <t>GP200184201-GW</t>
  </si>
  <si>
    <t>GP2001844-GW</t>
  </si>
  <si>
    <t>WATERFALL X 31X47</t>
  </si>
  <si>
    <t>GP2001845-GW</t>
  </si>
  <si>
    <t>WATERFALL XI 31X47</t>
  </si>
  <si>
    <t>GP2001846-BC</t>
  </si>
  <si>
    <t>WATERFALL XII 31X47</t>
  </si>
  <si>
    <t xml:space="preserve">	GP2001846-GW</t>
  </si>
  <si>
    <t>10088648GMNT</t>
  </si>
  <si>
    <t xml:space="preserve">	GP200184601-BC</t>
  </si>
  <si>
    <t>WATERFALL XII 64X96</t>
  </si>
  <si>
    <t xml:space="preserve">	GP200184601-GW</t>
  </si>
  <si>
    <t>GP2001847-GW</t>
  </si>
  <si>
    <t>WATERFALL XIII 31X47</t>
  </si>
  <si>
    <t>GP2001848-GW</t>
  </si>
  <si>
    <t>10088650GMNT</t>
  </si>
  <si>
    <t>WATERFALL XIV 31X47</t>
  </si>
  <si>
    <t xml:space="preserve">	GP2001849-GW</t>
  </si>
  <si>
    <t>WATERFALL XV 31X47</t>
  </si>
  <si>
    <t>GP2005011</t>
  </si>
  <si>
    <t>WEATHERED BOTTLES</t>
  </si>
  <si>
    <t>GP2005011-NF</t>
  </si>
  <si>
    <t>WEATHERED BOTTLES 20X16</t>
  </si>
  <si>
    <t>GP11294R-GW</t>
  </si>
  <si>
    <t>WEATHERED DOGS 30X20</t>
  </si>
  <si>
    <t>GP11294R-CB</t>
  </si>
  <si>
    <t>33X23</t>
  </si>
  <si>
    <t>GP11294R-GT</t>
  </si>
  <si>
    <t>WEAVER OF TALES 36X48</t>
  </si>
  <si>
    <t>GP2001621-BF</t>
  </si>
  <si>
    <t>WEIGHT OF DARK MATTER 40X30</t>
  </si>
  <si>
    <t>GP10220-GW</t>
  </si>
  <si>
    <t>WELLINGTON 24X24</t>
  </si>
  <si>
    <t>GP10220-NGM</t>
  </si>
  <si>
    <t>GP2001908-GW</t>
  </si>
  <si>
    <t>WEST COAST BEACH  60X40</t>
  </si>
  <si>
    <t>GPCB03</t>
  </si>
  <si>
    <t>WHAT IS PAINTING</t>
  </si>
  <si>
    <t>56x76</t>
  </si>
  <si>
    <t>GPCB04</t>
  </si>
  <si>
    <t>GP2003705-GW</t>
  </si>
  <si>
    <t>WHAT'S IN THE PAST 48X48</t>
  </si>
  <si>
    <t>GP2000412-GW</t>
  </si>
  <si>
    <t>10088639GMNT</t>
  </si>
  <si>
    <t>WHAT'S ON TONIGHT 40X47</t>
  </si>
  <si>
    <t>40x47</t>
  </si>
  <si>
    <t>WHEN I KNEW 68X48</t>
  </si>
  <si>
    <t>GP2003421-GW</t>
  </si>
  <si>
    <t>10088638GMNT</t>
  </si>
  <si>
    <t>WHERE WISHES FALL 60X30</t>
  </si>
  <si>
    <t>GP2003817-GC</t>
  </si>
  <si>
    <t>WHIFF OF JOY 24X48</t>
  </si>
  <si>
    <t>26X50</t>
  </si>
  <si>
    <t>GP10529-GW</t>
  </si>
  <si>
    <t>WHILE I SLEEP 44X60</t>
  </si>
  <si>
    <t>GP10529L-GW</t>
  </si>
  <si>
    <t>WHILE I SLEEP 44X60 L</t>
  </si>
  <si>
    <t>GP2000213-GW</t>
  </si>
  <si>
    <t>10088698GMNT</t>
  </si>
  <si>
    <t>WHILE THE SUN SETS I 48X60</t>
  </si>
  <si>
    <t xml:space="preserve">	GP2000214-GW</t>
  </si>
  <si>
    <t>10088671GMNT</t>
  </si>
  <si>
    <t>WHILE THE SUN SETS II 48X60</t>
  </si>
  <si>
    <t>GP11289-NF</t>
  </si>
  <si>
    <t>WHITE BARN 24X12</t>
  </si>
  <si>
    <t>24X12</t>
  </si>
  <si>
    <t>25X13</t>
  </si>
  <si>
    <t>GP11289R-GW</t>
  </si>
  <si>
    <t>WHITE BARN 30X20</t>
  </si>
  <si>
    <t>GP11289R-GT</t>
  </si>
  <si>
    <t>GP11289R-WF</t>
  </si>
  <si>
    <t>GP10244-NGM</t>
  </si>
  <si>
    <t>10011710BLK</t>
  </si>
  <si>
    <t>WHITE CHAPEL 48X60</t>
  </si>
  <si>
    <t>GP10244-BF</t>
  </si>
  <si>
    <t>10011710BLCK</t>
  </si>
  <si>
    <t>GP10244-NF</t>
  </si>
  <si>
    <t>10011710NATL</t>
  </si>
  <si>
    <t>GP10383-NF</t>
  </si>
  <si>
    <t>WHITE FENCES 5 24X39 (SOLAGE)</t>
  </si>
  <si>
    <t>24x39</t>
  </si>
  <si>
    <t>25x40</t>
  </si>
  <si>
    <t>GP2004221-GW</t>
  </si>
  <si>
    <t>10074835GMNT</t>
  </si>
  <si>
    <t>WHITE ON GREY SCRIBBLES I 16X16</t>
  </si>
  <si>
    <t>GP2004222-GW</t>
  </si>
  <si>
    <t>10074836GMNT</t>
  </si>
  <si>
    <t>WHITE ON GREY SCRIBBLES II 16X16</t>
  </si>
  <si>
    <t>GP2004223-GW</t>
  </si>
  <si>
    <t>10074837GMNT</t>
  </si>
  <si>
    <t>WHITE ON GREY SCRIBBLES III 16X16</t>
  </si>
  <si>
    <t>GP2004224-GW</t>
  </si>
  <si>
    <t>10074838GMNT</t>
  </si>
  <si>
    <t>WHITE ON GREY SCRIBBLES IV 16X16</t>
  </si>
  <si>
    <t>GP2004225-GW</t>
  </si>
  <si>
    <t>10074839GMNT</t>
  </si>
  <si>
    <t>WHITE ON GREY SCRIBBLES V 36X36</t>
  </si>
  <si>
    <t>GP2004226-GW</t>
  </si>
  <si>
    <t>10074840GMNT</t>
  </si>
  <si>
    <t>WHITE ON GREY SCRIBBLES VI 36X36</t>
  </si>
  <si>
    <t>GP2004227-GW</t>
  </si>
  <si>
    <t>10074845GMNT</t>
  </si>
  <si>
    <t>WHITE ON GREY SCRIBBLES VII 36X36</t>
  </si>
  <si>
    <t>GP2004228-GW</t>
  </si>
  <si>
    <t>10074849GMNT</t>
  </si>
  <si>
    <t>WHITE ON GREY SCRIBBLES VIII 36X36</t>
  </si>
  <si>
    <t>GP10338-NGM</t>
  </si>
  <si>
    <t>10014678NATL</t>
  </si>
  <si>
    <t>WHITE OUT I 48X60</t>
  </si>
  <si>
    <t>GP10339-NGM</t>
  </si>
  <si>
    <t>10014687NATL</t>
  </si>
  <si>
    <t>WHITE OUT II  48X60</t>
  </si>
  <si>
    <t>GP2004905-NF</t>
  </si>
  <si>
    <t>WHITE ROCK I 40X40</t>
  </si>
  <si>
    <t>GP2004906-NF</t>
  </si>
  <si>
    <t>WHITE ROCK II 40X40</t>
  </si>
  <si>
    <t>GP2004507-BF</t>
  </si>
  <si>
    <t>WHITE SEA I 55X70</t>
  </si>
  <si>
    <t>GP200452101-BF</t>
  </si>
  <si>
    <t>WHITE SEA II  48X38</t>
  </si>
  <si>
    <t>49X39</t>
  </si>
  <si>
    <t>GP2004521-BF</t>
  </si>
  <si>
    <t>WHITE SEA II  59X47</t>
  </si>
  <si>
    <t>59X47</t>
  </si>
  <si>
    <t>GP2004521S-GW</t>
  </si>
  <si>
    <t xml:space="preserve">WHITE SEA II 60X48 </t>
  </si>
  <si>
    <t>GP2004521S-BF</t>
  </si>
  <si>
    <t>GP2004521S-NF</t>
  </si>
  <si>
    <t>GP2004521AP-UF</t>
  </si>
  <si>
    <t xml:space="preserve">WHITE SEA II 60X48 Art Proof Unframed </t>
  </si>
  <si>
    <t>GP200452201-BF</t>
  </si>
  <si>
    <t>WHITE SEA III 48X38</t>
  </si>
  <si>
    <t>GP200452201-GW</t>
  </si>
  <si>
    <t>GP200452201-NF</t>
  </si>
  <si>
    <t>GP200452201R-BA</t>
  </si>
  <si>
    <t>GP200452201R-UF</t>
  </si>
  <si>
    <t>GP2004522-BF</t>
  </si>
  <si>
    <t>WHITE SEA III 59X47</t>
  </si>
  <si>
    <t>GP20045221S-GW</t>
  </si>
  <si>
    <t xml:space="preserve">WHITE SEA III 60X48 </t>
  </si>
  <si>
    <t>GP20045221S-BF</t>
  </si>
  <si>
    <t>GP20045221S-NF</t>
  </si>
  <si>
    <t>GP20045221AP-UF</t>
  </si>
  <si>
    <t>WHITE SEA III 60X48 Art Proof Unframed</t>
  </si>
  <si>
    <t>GP200530701-GW</t>
  </si>
  <si>
    <t>WILDFLOWER II 12X12</t>
  </si>
  <si>
    <t>GP2005307WP-BA</t>
  </si>
  <si>
    <t xml:space="preserve">WILDFLOWER II 16X16 </t>
  </si>
  <si>
    <t>GP2005307WP-NA</t>
  </si>
  <si>
    <t>GP2005307WP-UF</t>
  </si>
  <si>
    <t>GP2005112-NGM</t>
  </si>
  <si>
    <t>WINDING 30X40</t>
  </si>
  <si>
    <t>GP2005112S-NGM</t>
  </si>
  <si>
    <t xml:space="preserve">WINDING 30X40 </t>
  </si>
  <si>
    <t>GP2005112AP-UF</t>
  </si>
  <si>
    <t>WINDING 30X40 Art Proof Unframed</t>
  </si>
  <si>
    <t>GP2001108-BA</t>
  </si>
  <si>
    <t>WINDSWEPT 22X30</t>
  </si>
  <si>
    <t>WINTER SOLSTICE 16X20</t>
  </si>
  <si>
    <t>GPCB155</t>
  </si>
  <si>
    <t>WITHIN THE FOREST</t>
  </si>
  <si>
    <t>GP2000234-BF</t>
  </si>
  <si>
    <t>WOOD FLOOR 48X58</t>
  </si>
  <si>
    <t>48X58</t>
  </si>
  <si>
    <t>49X59</t>
  </si>
  <si>
    <t>GP10372-SA</t>
  </si>
  <si>
    <t>WOODS I 19X24</t>
  </si>
  <si>
    <t>21X26</t>
  </si>
  <si>
    <t>GP10372-BA</t>
  </si>
  <si>
    <t>WOODS I 20X16</t>
  </si>
  <si>
    <t>GPCB49</t>
  </si>
  <si>
    <t>WOODS II</t>
  </si>
  <si>
    <t>24x19</t>
  </si>
  <si>
    <t>GPCB50</t>
  </si>
  <si>
    <t>GP10373-SA</t>
  </si>
  <si>
    <t>WOODS II 19X24</t>
  </si>
  <si>
    <t>GP10373-BA</t>
  </si>
  <si>
    <t>WOODS II 20X16</t>
  </si>
  <si>
    <t>GP10374-SA</t>
  </si>
  <si>
    <t>WOODS III 19X24</t>
  </si>
  <si>
    <t>GP10374-BA</t>
  </si>
  <si>
    <t>WOODS III 20X16</t>
  </si>
  <si>
    <t>GPCB60</t>
  </si>
  <si>
    <t>WORDS UNSAID</t>
  </si>
  <si>
    <t>50x38</t>
  </si>
  <si>
    <t xml:space="preserve">	GP2002505-GW</t>
  </si>
  <si>
    <t>WORDS UNSAID 50X38</t>
  </si>
  <si>
    <t xml:space="preserve">	GP200250501-BA</t>
  </si>
  <si>
    <t>WORDS UNSAID 60X48</t>
  </si>
  <si>
    <t>GP2006837-GW</t>
  </si>
  <si>
    <t>WRATH 48X72</t>
  </si>
  <si>
    <t>GP2006837-BF</t>
  </si>
  <si>
    <t>XOXO 30X40</t>
  </si>
  <si>
    <t>GP2004025-GW</t>
  </si>
  <si>
    <t>YOU CAN'T TASTE VICTORY 60X48</t>
  </si>
  <si>
    <t>GP2000215-BA</t>
  </si>
  <si>
    <t>YOU HERE ALL ALONE 30X40</t>
  </si>
  <si>
    <t>32x42</t>
  </si>
  <si>
    <t>GP2000215-NA</t>
  </si>
  <si>
    <t>GP2000215-UF</t>
  </si>
  <si>
    <t>GP2000215-AP</t>
  </si>
  <si>
    <t>YOU HERE ALL ALONE 30X40 ART PROOF</t>
  </si>
  <si>
    <t>GP200021501-BA</t>
  </si>
  <si>
    <t>YOU HERE ALL ALONE 34X40</t>
  </si>
  <si>
    <t>34X40</t>
  </si>
  <si>
    <t>36X42</t>
  </si>
  <si>
    <t>GP1128301SR-CB</t>
  </si>
  <si>
    <t>YOUNG MAN 40X60</t>
  </si>
  <si>
    <t>43X63</t>
  </si>
  <si>
    <t>GP11283R-GW</t>
  </si>
  <si>
    <t>GP11283R-CB</t>
  </si>
  <si>
    <t>GP11283SR-CB</t>
  </si>
  <si>
    <t>GP2010205-GT</t>
  </si>
  <si>
    <t>YOUNG WOMAN, WITH 'PUCK' THE DOG 14X20</t>
  </si>
  <si>
    <t>GP2005106-NGM</t>
  </si>
  <si>
    <t>ZEPHYR 30X40</t>
  </si>
  <si>
    <t>GP2005106AP-UF</t>
  </si>
  <si>
    <t>ZEPHYR 30X40 art proof</t>
  </si>
  <si>
    <t>GP2005106S-NGM</t>
  </si>
  <si>
    <t>ZEPHYR 30X40 Synograph Box Frame</t>
  </si>
  <si>
    <t>GP10106-BF</t>
  </si>
  <si>
    <t>41450771BLK</t>
  </si>
  <si>
    <t>ZIGZAG  43X43</t>
  </si>
  <si>
    <t>REDUCTIVE</t>
  </si>
  <si>
    <t>LOW TEXTURE</t>
  </si>
  <si>
    <t>SYNOGRAPH</t>
  </si>
  <si>
    <t>FOCUS</t>
  </si>
  <si>
    <t>SYN - GW</t>
  </si>
  <si>
    <t>SYN-BF/NF</t>
  </si>
  <si>
    <t>RED-GW</t>
  </si>
  <si>
    <t>RED-BF/NF</t>
  </si>
  <si>
    <t>SONDER PRICING:</t>
  </si>
  <si>
    <t>SM &lt;40"</t>
  </si>
  <si>
    <t>CB2 PRICING</t>
  </si>
  <si>
    <t>ECOMM PRICING</t>
  </si>
  <si>
    <t>&lt;$1000 RSP</t>
  </si>
  <si>
    <t>REVISED</t>
  </si>
  <si>
    <t>MD 40-59"</t>
  </si>
  <si>
    <t>$1000-1750</t>
  </si>
  <si>
    <t>L+W</t>
  </si>
  <si>
    <t>LG 60-79"</t>
  </si>
  <si>
    <t>SIZE RANGE</t>
  </si>
  <si>
    <t>&gt;$2000</t>
  </si>
  <si>
    <t>XL 80-99"</t>
  </si>
  <si>
    <t>XL &gt;60X60</t>
  </si>
  <si>
    <t>XXL 100-139"</t>
  </si>
  <si>
    <t>XXL &gt;80</t>
  </si>
  <si>
    <t>XXXL 140"+</t>
  </si>
  <si>
    <t>XXXL &gt;100</t>
  </si>
  <si>
    <t>WSP</t>
  </si>
  <si>
    <t>CB2 RSP</t>
  </si>
  <si>
    <t>GP50010104</t>
  </si>
  <si>
    <t>QUILT GREY DOVE/TURTLEDOVE</t>
  </si>
  <si>
    <t>Astek</t>
  </si>
  <si>
    <t>GP50010103</t>
  </si>
  <si>
    <t>PEACOCK GREY</t>
  </si>
  <si>
    <t>GP50010102</t>
  </si>
  <si>
    <t>BOTANICAL ILLUSTRATION 01 DOVE/TURTLEDOVE</t>
  </si>
  <si>
    <t>GP50010101</t>
  </si>
  <si>
    <t>BOTANICAL ILLUSTRATION 01-BRISTOL BLACK</t>
  </si>
  <si>
    <t>Item</t>
  </si>
  <si>
    <t>Cost</t>
  </si>
  <si>
    <t>Notes</t>
  </si>
  <si>
    <t>PRINT BORDERS - Add this amout to VO</t>
  </si>
  <si>
    <t>Canvas: Print Border &lt;58X58"</t>
  </si>
  <si>
    <t>Canvas: Print Border &gt;58X58" GW only</t>
  </si>
  <si>
    <t>2" stretcher bar</t>
  </si>
  <si>
    <t>Canvas: Print Border for Reductive</t>
  </si>
  <si>
    <t>canvas border</t>
  </si>
  <si>
    <t>MDF: No border</t>
  </si>
  <si>
    <t>Works on Paper (framed and UF/AP)</t>
  </si>
  <si>
    <t>Ink Wash: No border.Cut to VO</t>
  </si>
  <si>
    <t>CANVAS</t>
  </si>
  <si>
    <t>Cost (SF)</t>
  </si>
  <si>
    <t>Aurora SUV Satin Canvas</t>
  </si>
  <si>
    <r>
      <rPr>
        <sz val="12"/>
        <color theme="1"/>
        <rFont val="Calibri"/>
        <family val="2"/>
      </rPr>
      <t>Cost /SF Canvas Plus</t>
    </r>
    <r>
      <rPr>
        <sz val="12"/>
        <color theme="1"/>
        <rFont val="Calibri"/>
        <family val="2"/>
      </rPr>
      <t xml:space="preserve"> Waste</t>
    </r>
  </si>
  <si>
    <t>(10.23 $16.80 to $16.25 122" per yard cost)</t>
  </si>
  <si>
    <t>Canvas Waste</t>
  </si>
  <si>
    <t xml:space="preserve">Canvas for Reductive </t>
  </si>
  <si>
    <t>Cost /SF Canvas Plus Waste</t>
  </si>
  <si>
    <t xml:space="preserve">PAPER </t>
  </si>
  <si>
    <t>Rag Paper Cost (SF)</t>
  </si>
  <si>
    <t>Breathing Color 50"x50"</t>
  </si>
  <si>
    <t>Price Incl Waste</t>
  </si>
  <si>
    <t>Rag Paper Waste</t>
  </si>
  <si>
    <t>Poster Paper /SF 200g</t>
  </si>
  <si>
    <t>100 feet x 60"</t>
  </si>
  <si>
    <t>Price /SF inc waste</t>
  </si>
  <si>
    <t>Birch</t>
  </si>
  <si>
    <t>48x96</t>
  </si>
  <si>
    <t>Incl Wast</t>
  </si>
  <si>
    <t>PETG</t>
  </si>
  <si>
    <t>60x96</t>
  </si>
  <si>
    <t>Poly Carb</t>
  </si>
  <si>
    <t>?</t>
  </si>
  <si>
    <t>Need to get real price. Guestimate</t>
  </si>
  <si>
    <r>
      <t xml:space="preserve">MDF 1/8 Coated </t>
    </r>
    <r>
      <rPr>
        <sz val="10"/>
        <color theme="1"/>
        <rFont val="Calibri"/>
        <family val="2"/>
      </rPr>
      <t>(PUR adhsv 9.2.21)</t>
    </r>
  </si>
  <si>
    <t>Inca Ink</t>
  </si>
  <si>
    <t>Grams/sf Synograph</t>
  </si>
  <si>
    <t>Grams/SF from Inca Synograph</t>
  </si>
  <si>
    <t>Labor/print:</t>
  </si>
  <si>
    <t>Ink Cost/SF Synograph</t>
  </si>
  <si>
    <t>Cost per Gram</t>
  </si>
  <si>
    <t>Inca Grams/SF Reductive</t>
  </si>
  <si>
    <t>Grams/SF from Inca Reductive</t>
  </si>
  <si>
    <t>Inca cost/SF Reductive</t>
  </si>
  <si>
    <t>Swiss Q Ink -Synograph</t>
  </si>
  <si>
    <t>Ink1</t>
  </si>
  <si>
    <t>Ink2</t>
  </si>
  <si>
    <r>
      <rPr>
        <sz val="12"/>
        <color theme="1"/>
        <rFont val="Calibri"/>
        <family val="2"/>
      </rPr>
      <t>Ml</t>
    </r>
    <r>
      <rPr>
        <sz val="12"/>
        <color theme="1"/>
        <rFont val="Calibri"/>
        <family val="2"/>
      </rPr>
      <t>/sf</t>
    </r>
  </si>
  <si>
    <t>ML/SF Avg</t>
  </si>
  <si>
    <t>Ink Cost/SF</t>
  </si>
  <si>
    <t>Swiss Q Ink -Reductive</t>
  </si>
  <si>
    <t>ML/SF</t>
  </si>
  <si>
    <t>3.5 mins to print 18.3 SF</t>
  </si>
  <si>
    <t>mins/sf</t>
  </si>
  <si>
    <t>$/SF</t>
  </si>
  <si>
    <t>Labor/hr:</t>
  </si>
  <si>
    <t>Labor Cost/SF</t>
  </si>
  <si>
    <t xml:space="preserve"> ** For reductive + varnish </t>
  </si>
  <si>
    <t>Epson Ink</t>
  </si>
  <si>
    <r>
      <t>Ink Cost/</t>
    </r>
    <r>
      <rPr>
        <sz val="12"/>
        <color theme="1"/>
        <rFont val="Calibri"/>
        <family val="2"/>
      </rPr>
      <t>ML</t>
    </r>
  </si>
  <si>
    <t>Speed</t>
  </si>
  <si>
    <t>SF/Hr:</t>
  </si>
  <si>
    <t>Inc. of QC check</t>
  </si>
  <si>
    <t>CANON Printer</t>
  </si>
  <si>
    <t>Photo border</t>
  </si>
  <si>
    <t>1" each side</t>
  </si>
  <si>
    <t>Meighan Morrison border</t>
  </si>
  <si>
    <t xml:space="preserve">Paper - </t>
  </si>
  <si>
    <t>LexJet Epson Hot/Cold Press</t>
  </si>
  <si>
    <t>24" $/inch</t>
  </si>
  <si>
    <t>44" $/inch</t>
  </si>
  <si>
    <t>60" $/inch</t>
  </si>
  <si>
    <t>Canon Ml/sf</t>
  </si>
  <si>
    <t>INK/SF ML</t>
  </si>
  <si>
    <t>INK/SF $</t>
  </si>
  <si>
    <t>Stretcher Bar</t>
  </si>
  <si>
    <t>Up to 24x24</t>
  </si>
  <si>
    <t>No corner brace</t>
  </si>
  <si>
    <t xml:space="preserve"> &gt;25x25 to 48x48</t>
  </si>
  <si>
    <t>16" corner braces</t>
  </si>
  <si>
    <t>Feet of Stretcher bar</t>
  </si>
  <si>
    <r>
      <t>&gt;</t>
    </r>
    <r>
      <rPr>
        <sz val="12"/>
        <color theme="1"/>
        <rFont val="Calibri"/>
        <family val="2"/>
      </rPr>
      <t>=36"</t>
    </r>
    <r>
      <rPr>
        <sz val="12"/>
        <color theme="1"/>
        <rFont val="Calibri"/>
        <family val="2"/>
      </rPr>
      <t xml:space="preserve"> but &lt;72"</t>
    </r>
  </si>
  <si>
    <t>Add X brace</t>
  </si>
  <si>
    <t>Feet of Stretcher bar + Min VO</t>
  </si>
  <si>
    <t>&gt;72"</t>
  </si>
  <si>
    <t>Add 2 x X brace</t>
  </si>
  <si>
    <t>Feet of Stretcher bar + 2x Min VO</t>
  </si>
  <si>
    <t>Stretcher bar cost 1"</t>
  </si>
  <si>
    <t>Cali Frame</t>
  </si>
  <si>
    <t>Stretcher Bar Waste</t>
  </si>
  <si>
    <t>Stretcher bar cost 2"</t>
  </si>
  <si>
    <t>Use 2" stretcher bar for min side &gt;=58"</t>
  </si>
  <si>
    <t>Labor Cost/unit</t>
  </si>
  <si>
    <t>Finish</t>
  </si>
  <si>
    <t>Paper/hardware</t>
  </si>
  <si>
    <t>Guestimates</t>
  </si>
  <si>
    <t>Finish Labor/unit</t>
  </si>
  <si>
    <t>Total Finish cost</t>
  </si>
  <si>
    <t>ECOMM TRIANGLE PACK</t>
  </si>
  <si>
    <t>24"</t>
  </si>
  <si>
    <t>36"</t>
  </si>
  <si>
    <t>48"</t>
  </si>
  <si>
    <t>60"</t>
  </si>
  <si>
    <t>Triangle Tube materials</t>
  </si>
  <si>
    <t>Corrugated 50X74</t>
  </si>
  <si>
    <t>Total Labor</t>
  </si>
  <si>
    <t>Corrugated 78X52</t>
  </si>
  <si>
    <t>Pack</t>
  </si>
  <si>
    <t>Box/Pack/Label</t>
  </si>
  <si>
    <t>Corrugated cardboard SF</t>
  </si>
  <si>
    <t>Add 12.5" to OD of item x2 for box and lid</t>
  </si>
  <si>
    <t>Corrugated cardboard Cost</t>
  </si>
  <si>
    <t>Price Inc waste</t>
  </si>
  <si>
    <t>Check price</t>
  </si>
  <si>
    <t>Corrugated Waste</t>
  </si>
  <si>
    <t>Foam Pillows</t>
  </si>
  <si>
    <t>Guestimate</t>
  </si>
  <si>
    <t>Wrapping &amp;Labels</t>
  </si>
  <si>
    <t>Labor per box</t>
  </si>
  <si>
    <t>Small (&lt;42"x42")</t>
  </si>
  <si>
    <t>Can be made in one sheet</t>
  </si>
  <si>
    <t>Large (&lt;42")</t>
  </si>
  <si>
    <t>4 sheets must be cut and taped</t>
  </si>
  <si>
    <t>Labor pack/label</t>
  </si>
  <si>
    <t>Cost of small Box Pillow/Labels:</t>
  </si>
  <si>
    <t>Cost of Large Box Pillow/Labels:</t>
  </si>
  <si>
    <t>Gaylord Pack by Factory</t>
  </si>
  <si>
    <t>Labels</t>
  </si>
  <si>
    <t>Add per unit for corners &amp; Gaylord box</t>
  </si>
  <si>
    <t>Cali Example:</t>
  </si>
  <si>
    <t>Natural Float Frame 60X80</t>
  </si>
  <si>
    <t>Stretch/Frame/Finish/Box/Ship</t>
  </si>
  <si>
    <t>If GP Stretches</t>
  </si>
  <si>
    <t>Frame/Finish/Box/Ship</t>
  </si>
  <si>
    <t>Finish/Pack/Ship</t>
  </si>
  <si>
    <t>Frame only then becomes</t>
  </si>
  <si>
    <t>vs Stretch of $30?</t>
  </si>
  <si>
    <t>Gayord discount (no box)</t>
  </si>
  <si>
    <t>Box must cost</t>
  </si>
  <si>
    <t>Cost to finish/gaylord ship</t>
  </si>
  <si>
    <t>GP labor per unit (cut/print)</t>
  </si>
  <si>
    <t>Inventory ID</t>
  </si>
  <si>
    <t>Width</t>
  </si>
  <si>
    <t>Length</t>
  </si>
  <si>
    <t>Difference</t>
  </si>
  <si>
    <t>% Increase</t>
  </si>
  <si>
    <t>Portrait</t>
  </si>
  <si>
    <t>Landscape</t>
  </si>
  <si>
    <t>BCA 6X15</t>
  </si>
  <si>
    <t>Blk Cap -703101 Acrylic 6X15</t>
  </si>
  <si>
    <t>BCA 7X10</t>
  </si>
  <si>
    <t>Blk Cap -703101 Acrylic 7X10</t>
  </si>
  <si>
    <t>BCA 7X11</t>
  </si>
  <si>
    <t>Blk Cap -703101 Acrylic 7X11</t>
  </si>
  <si>
    <t>BCA 8X10</t>
  </si>
  <si>
    <t>Blk Cap -703101 Acrylic 8X10</t>
  </si>
  <si>
    <t>BCA 8X12</t>
  </si>
  <si>
    <t>Blk Cap -703101 Acrylic 8X12</t>
  </si>
  <si>
    <t>BCA 10X16</t>
  </si>
  <si>
    <t>Blk Cap -703101 Acrylic 10X16</t>
  </si>
  <si>
    <t>BCA 10X24</t>
  </si>
  <si>
    <t>Blk Cap -703101 Acrylic 10X24</t>
  </si>
  <si>
    <t>BCA 11X13</t>
  </si>
  <si>
    <t>Blk Cap -703101 Acrylic 11X13</t>
  </si>
  <si>
    <t>BCA 12X12</t>
  </si>
  <si>
    <t>Blk Cap -703101 Acrylic 12X12</t>
  </si>
  <si>
    <t>NEED PRICE</t>
  </si>
  <si>
    <t>BCA 12X16</t>
  </si>
  <si>
    <t>Blk Cap -703101 Acrylic 12X16</t>
  </si>
  <si>
    <t>BCA 12X20</t>
  </si>
  <si>
    <t>Blk Cap -703101 Acrylic 12X20</t>
  </si>
  <si>
    <t>BCA 12X24</t>
  </si>
  <si>
    <t>Blk Cap -703101 Acrylic 12X24</t>
  </si>
  <si>
    <t>BCA 13X20</t>
  </si>
  <si>
    <t>Blk Cap -703101 Acrylic 13X20</t>
  </si>
  <si>
    <t>BCA 13X25</t>
  </si>
  <si>
    <t>Blk Cap -703101 Acrylic 13X25</t>
  </si>
  <si>
    <t>BCA 14X20</t>
  </si>
  <si>
    <t>Blk Cap -703101 Acrylic 14X20</t>
  </si>
  <si>
    <t>BCA 14X26</t>
  </si>
  <si>
    <t>Blk Cap -703101 Acrylic 14X26</t>
  </si>
  <si>
    <t>BCA 15X20</t>
  </si>
  <si>
    <t>Blk Cap -703101 Acrylic 15X20</t>
  </si>
  <si>
    <t>BCA 15X24</t>
  </si>
  <si>
    <t>Blk Cap -703101 Acrylic 15X24</t>
  </si>
  <si>
    <t>BCA 16X16</t>
  </si>
  <si>
    <t>Blk Cap -703101 Acrylic 16X16</t>
  </si>
  <si>
    <t>BCA 16X20</t>
  </si>
  <si>
    <t>Blk Cap -703101 Acrylic 16X20</t>
  </si>
  <si>
    <t>BCA 16X24</t>
  </si>
  <si>
    <t>Blk Cap -703101 Acrylic 16X24</t>
  </si>
  <si>
    <t>BCA 17X17</t>
  </si>
  <si>
    <t>Blk Cap -703101 Acrylic 17X17</t>
  </si>
  <si>
    <t>BCA 17X22</t>
  </si>
  <si>
    <t>Blk Cap -703101 Acrylic 17X22</t>
  </si>
  <si>
    <t>BCA 18X24</t>
  </si>
  <si>
    <t>Blk Cap -703101 Acrylic 18X24</t>
  </si>
  <si>
    <t>BCA 18X30</t>
  </si>
  <si>
    <t>Blk Cap -703101 Acrylic 18X30</t>
  </si>
  <si>
    <t>BCA 19X19</t>
  </si>
  <si>
    <t>Blk Cap -703101 Acrylic 19X19</t>
  </si>
  <si>
    <t>BCA 19X24</t>
  </si>
  <si>
    <t>Blk Cap -703101 Acrylic 19X24</t>
  </si>
  <si>
    <t>BCA 20X20</t>
  </si>
  <si>
    <t>Blk Cap -703101 Acrylic 20X20</t>
  </si>
  <si>
    <t>BCA 20X24</t>
  </si>
  <si>
    <t>Blk Cap -703101 Acrylic 20X24</t>
  </si>
  <si>
    <t>BCA 20x30</t>
  </si>
  <si>
    <t>Blk Cap -703101 Acrylic 20x30</t>
  </si>
  <si>
    <t>BCA 22x30</t>
  </si>
  <si>
    <t>Blk Cap -703101 Acrylic 22x30</t>
  </si>
  <si>
    <t>BCA 24X24</t>
  </si>
  <si>
    <t>Blk Cap -703101 Acrylic 24X24</t>
  </si>
  <si>
    <t>BCA 24X30</t>
  </si>
  <si>
    <t>Blk Cap -703101 Acrylic 24X30</t>
  </si>
  <si>
    <t>BCA 24X32</t>
  </si>
  <si>
    <t>Blk Cap -703101 Acrylic 24X32</t>
  </si>
  <si>
    <t>BCA 24X33</t>
  </si>
  <si>
    <t>Blk Cap -703101 Acrylic 24X33</t>
  </si>
  <si>
    <t>BCA 24X36</t>
  </si>
  <si>
    <t>Blk Cap -703101 Acrylic 24X36</t>
  </si>
  <si>
    <t>BCA 26X35</t>
  </si>
  <si>
    <t>Blk Cap -703101 Acrylic 26X35</t>
  </si>
  <si>
    <t>BCA 30x38</t>
  </si>
  <si>
    <t>Blk Cap -703101 Acrylic 30X38</t>
  </si>
  <si>
    <t>BCA 30x40</t>
  </si>
  <si>
    <t>Blk Cap -703101 Acrylic 30X40</t>
  </si>
  <si>
    <t>BCA 30x42</t>
  </si>
  <si>
    <t>Blk Cap -703101 Acrylic 30X42</t>
  </si>
  <si>
    <t>BCA 32X44</t>
  </si>
  <si>
    <t>Blk Cap -703101 Acrylic 32X44</t>
  </si>
  <si>
    <t>BCA 34X40</t>
  </si>
  <si>
    <t>Blk Cap -703101 Acrylic 34X40</t>
  </si>
  <si>
    <t>BCA 36X45</t>
  </si>
  <si>
    <t>Blk Cap -704100 Acrylic 36X45</t>
  </si>
  <si>
    <t>BCA 36X48</t>
  </si>
  <si>
    <t>Blk Cap -704100 Acrylic 36X48</t>
  </si>
  <si>
    <t>BCA 40X60</t>
  </si>
  <si>
    <t>Blk Cap -704100 Acrylic 40X60</t>
  </si>
  <si>
    <t>BCA 44X57</t>
  </si>
  <si>
    <t>Blk Cap -704100 Acrylic 44X57</t>
  </si>
  <si>
    <t>BCA 48X60</t>
  </si>
  <si>
    <t>Blk Cap -704100 Acrylic 48X60</t>
  </si>
  <si>
    <t>BCA 60X60</t>
  </si>
  <si>
    <t>Blk Cap -704100 Acrylic 60X60</t>
  </si>
  <si>
    <t>BCA 60X72</t>
  </si>
  <si>
    <t>Blk Cap -704100 Acrylic 60X72</t>
  </si>
  <si>
    <t>BCA 72X72</t>
  </si>
  <si>
    <t>Blk Cap -704100 Acrylic 72X72</t>
  </si>
  <si>
    <t/>
  </si>
  <si>
    <t>NCA 7X10</t>
  </si>
  <si>
    <t>Nat Cap Acrylic 707600 7X10</t>
  </si>
  <si>
    <t>NCA 8X12</t>
  </si>
  <si>
    <t>Nat Cap Acrylic 707600 8X12</t>
  </si>
  <si>
    <t>NCA 9X13</t>
  </si>
  <si>
    <t>Nat Cap Acrylic 707600 9X13</t>
  </si>
  <si>
    <t>NCA 9X15</t>
  </si>
  <si>
    <t>Nat Cap Acrylic 707600 9X15</t>
  </si>
  <si>
    <t>NCA 12X14</t>
  </si>
  <si>
    <t>Nat Cap Acrylic 707600 12X14</t>
  </si>
  <si>
    <t>NCA 12X16</t>
  </si>
  <si>
    <t>Nat Cap Acrylic 707600 12X16</t>
  </si>
  <si>
    <t>NCA 16X20</t>
  </si>
  <si>
    <t>Nat Cap Acrylic 707600 16x20</t>
  </si>
  <si>
    <t>NCA 20x24</t>
  </si>
  <si>
    <t>Nat Cap Acrylic 707600 20x24</t>
  </si>
  <si>
    <t>NCA 24X30</t>
  </si>
  <si>
    <t>Nat Cap Acrylic 707600 24X30</t>
  </si>
  <si>
    <t>NCA 30x42</t>
  </si>
  <si>
    <t>Nat Cap Acrylic 707600 30x42</t>
  </si>
  <si>
    <t>NCA 32X44</t>
  </si>
  <si>
    <t>Nat Cap Acrylic 707600 32x44</t>
  </si>
  <si>
    <t>NCA 36X45</t>
  </si>
  <si>
    <t>Nat Cap Acrylic 704600 36x45</t>
  </si>
  <si>
    <t>NCA 36X48</t>
  </si>
  <si>
    <t>Nat Cap Acrylic 704600 36x48</t>
  </si>
  <si>
    <t>NCA 48X60</t>
  </si>
  <si>
    <t>Nat Cap Acrylic 704600 60X48</t>
  </si>
  <si>
    <t>NCA 60X60</t>
  </si>
  <si>
    <t>Nat Cap Acrylic 704600 60X60</t>
  </si>
  <si>
    <t>NCA 60X72</t>
  </si>
  <si>
    <t>Nat Cap Acrylic704600 60x72</t>
  </si>
  <si>
    <t>NCA 72X72</t>
  </si>
  <si>
    <t>Nat Cap Acrylic 704600 72x72</t>
  </si>
  <si>
    <t>WCA 8X12</t>
  </si>
  <si>
    <t>Wal Cap Acrylic 703700 8X12</t>
  </si>
  <si>
    <t>WCA 10X12</t>
  </si>
  <si>
    <t>Wal Cap Acrylic 703700 10X12</t>
  </si>
  <si>
    <t>WCA 12X14</t>
  </si>
  <si>
    <t>Wal Cap Acrylic 703700 12X14</t>
  </si>
  <si>
    <t>WCA 16X20</t>
  </si>
  <si>
    <t>Wal Cap Acrylic 703700 16X20</t>
  </si>
  <si>
    <t>WCA 16X24</t>
  </si>
  <si>
    <t>Wal Cap Acrylic 703700 16X24</t>
  </si>
  <si>
    <t>WCA 24X36</t>
  </si>
  <si>
    <t>Wal Cap Acrylic 703700 24X36</t>
  </si>
  <si>
    <t>WHCA 10X12</t>
  </si>
  <si>
    <t>White Cap Acrylic 703201 10X12</t>
  </si>
  <si>
    <t>WHCA 16X20</t>
  </si>
  <si>
    <t>White Cap Acrylic 703201 16X20</t>
  </si>
  <si>
    <t>WHCA 16x24</t>
  </si>
  <si>
    <t>White Cap Acrylic 703201 16X24</t>
  </si>
  <si>
    <t>SSB2.0 GLD 48X60. (GCA 48X60)</t>
  </si>
  <si>
    <t>GLD Cap Shadow Box w/Acrylic 704310 Float Mount w/2" White Mat to show 48X60</t>
  </si>
  <si>
    <t>SSB2.0 GLD 65X80  (GCA 65X80)</t>
  </si>
  <si>
    <t>GLD Cap Shadow Box w/Acrylic 704310 Float Mount w/2" White Mat to show 65X80</t>
  </si>
  <si>
    <t>BCAM2 5X7</t>
  </si>
  <si>
    <t>Blk Cap Acrylic -703101 w/Matt 3.5LR, 4.5TB (finish to 12X16)</t>
  </si>
  <si>
    <t>BCAM2 7X11</t>
  </si>
  <si>
    <t>Blk Cap Acrylic -703101 w/2" Matt 7X11</t>
  </si>
  <si>
    <t>BCAM3 7X11</t>
  </si>
  <si>
    <t>Blk Cap Acrylic -703101 w/3" Matt 7X11</t>
  </si>
  <si>
    <t>BCAM4 7X11</t>
  </si>
  <si>
    <t>Blk Cap Acrylic -703101 w/Matt finish to 16X20</t>
  </si>
  <si>
    <t>FI</t>
  </si>
  <si>
    <t>BCAM2 6X7</t>
  </si>
  <si>
    <t>BCAM2 8X8</t>
  </si>
  <si>
    <t>BLk Cap Acrylic -703101 w/2" Matt 8X8</t>
  </si>
  <si>
    <t>NCAM 3X4</t>
  </si>
  <si>
    <t>Nat Cap Acrylic-707600 w/2"side x 3"top/bot MAT</t>
  </si>
  <si>
    <t>NCAM 6X5</t>
  </si>
  <si>
    <t>Nat Cap Acrylic-707600 w/4"side x 6.5"top/bot MAT</t>
  </si>
  <si>
    <t>NCAM 6X8</t>
  </si>
  <si>
    <t>Nat Cap Acrylic-707600 w/5" side x 6" t/b MAT</t>
  </si>
  <si>
    <t>NCAM 7X12</t>
  </si>
  <si>
    <t>ROOMS:</t>
  </si>
  <si>
    <t>BCAM 9X12</t>
  </si>
  <si>
    <t>Blk Cap-703101 Acrylic w/ 3" Matt  9X12</t>
  </si>
  <si>
    <t>BCAM 16X20</t>
  </si>
  <si>
    <t>Blk Cap-703101 Acrylic w/ 3" Matt  16X20</t>
  </si>
  <si>
    <t>BCAM 17X17</t>
  </si>
  <si>
    <t>Blk Cap-703101 Acrylic w/ 3" Matt  17X17</t>
  </si>
  <si>
    <t>BCAM 17X22</t>
  </si>
  <si>
    <t>Blk Cap-703101 Acrylic w/ 3" Matt  17X22</t>
  </si>
  <si>
    <t>BCAM 24X33</t>
  </si>
  <si>
    <t>Blk Cap-703101 Acrylic w/ 3" Matt  24X33</t>
  </si>
  <si>
    <t>WCAM 8X12</t>
  </si>
  <si>
    <t>Wht Cap-703101 Acrylic w/4" Matt 16x20</t>
  </si>
  <si>
    <t>BCAP 8.25X8.25</t>
  </si>
  <si>
    <t>RH Gallery Wrap Black Cap-702600-EW (8.25x8.25)</t>
  </si>
  <si>
    <t>BCAP 10X12</t>
  </si>
  <si>
    <t>Gallery Wrap Black Cap-702600-EW (10X12)</t>
  </si>
  <si>
    <t>BCAP 11X13</t>
  </si>
  <si>
    <t>RH Gallery Wrap Black Cap-702600-EW (11x13)</t>
  </si>
  <si>
    <t>BCAP 11X14</t>
  </si>
  <si>
    <t>RH Gallery Wrap Black Cap-702600-EW (11x14)</t>
  </si>
  <si>
    <t>BCAP 12X13</t>
  </si>
  <si>
    <t>RH Gallery Wrap Black Cap-702600-EW (12x13)</t>
  </si>
  <si>
    <t>BCAP 12X16</t>
  </si>
  <si>
    <t>RH Gallery Wrap Black Cap-702600-EW (12x16)</t>
  </si>
  <si>
    <t>BCAP 16X20</t>
  </si>
  <si>
    <t>RH Gallery Wrap Black Cap-702600-EW (16x20)</t>
  </si>
  <si>
    <t>BCAP 16X24</t>
  </si>
  <si>
    <t>RH Gallery Wrap Black Cap-702600-EW (16x24)</t>
  </si>
  <si>
    <t>BCAP 18X20</t>
  </si>
  <si>
    <t>RH Gallery Wrap Black Cap-702600-EW (18x20)</t>
  </si>
  <si>
    <t>BCAP 18X24</t>
  </si>
  <si>
    <t>RH Gallery Wrap Black Cap-702600-EW (18x24)</t>
  </si>
  <si>
    <t>BCAP 18X30</t>
  </si>
  <si>
    <t>RH Gallery Wrap Black Cap-704100 (18x30)</t>
  </si>
  <si>
    <t>BCAP 20X24</t>
  </si>
  <si>
    <t>RH Gallery Wrap Black Cap-704100 (20x24)</t>
  </si>
  <si>
    <t>BCAP 22X24</t>
  </si>
  <si>
    <t>RH Gallery Wrap Black Cap-704100 (22x24)</t>
  </si>
  <si>
    <t>BCAP 24X24</t>
  </si>
  <si>
    <t>RH Gallery Wrap Black Cap-704100 (24x24)</t>
  </si>
  <si>
    <t>BCAP 24X28</t>
  </si>
  <si>
    <t>RH Gallery Wrap Black Cap-704100 (24x28)</t>
  </si>
  <si>
    <t>BCAP 24X30</t>
  </si>
  <si>
    <t>RH Gallery Wrap Black Cap-702600-EW (24x30)</t>
  </si>
  <si>
    <t>BCAP 24X36</t>
  </si>
  <si>
    <t>RH Gallery Wrap Black Cap-702600-EW (24x36)</t>
  </si>
  <si>
    <t>BCAP 25X31</t>
  </si>
  <si>
    <t>RH Gallery Wrap Black Cap-702600-EW (25X31)</t>
  </si>
  <si>
    <t>BCAP 26X26</t>
  </si>
  <si>
    <t>RH Gallery Wrap Black Cap-702600-EW (26X26)</t>
  </si>
  <si>
    <t>BCAP 27.5X27.5</t>
  </si>
  <si>
    <t>RH Gallery Wrap Black Cap-702600-EW (27.5x27.5)</t>
  </si>
  <si>
    <t>BCAP 27.5X39.5</t>
  </si>
  <si>
    <t>RH Gallery Wrap Black Cap-702600-EW (27.5x39.5)</t>
  </si>
  <si>
    <t>BCAP 30X40</t>
  </si>
  <si>
    <t>RH Gallery Wrap Black Cap-702600-EW (30x40)</t>
  </si>
  <si>
    <t>BCAP 31X47</t>
  </si>
  <si>
    <t>RH Gallery Wrap Black Cap-702600-EW (31X47)</t>
  </si>
  <si>
    <t>BCAP 32X36</t>
  </si>
  <si>
    <t>RH Gallery Wrap Black Cap-702600-EW (32X36)</t>
  </si>
  <si>
    <t>BCAP 36X36</t>
  </si>
  <si>
    <t>RH Gallery Wrap Black Cap-702600-EW (36x36)</t>
  </si>
  <si>
    <t>BCAP 36X44</t>
  </si>
  <si>
    <t>RH Gallery Wrap Black Cap-702600-EW (36x44)</t>
  </si>
  <si>
    <t>BCAP 36X48</t>
  </si>
  <si>
    <t>RH Gallery Wrap Black Cap-704100 (36x48)</t>
  </si>
  <si>
    <t>BCAP 36x53</t>
  </si>
  <si>
    <t>RH Gallery Wrap Black Cap-704100 (36x53)</t>
  </si>
  <si>
    <t>BCAP 36x55</t>
  </si>
  <si>
    <t>RH Gallery Wrap Black Cap-704100 (36x55)</t>
  </si>
  <si>
    <t>BCAP 36X72</t>
  </si>
  <si>
    <t>RH Gallery Wrap Black Cap-704100 (36x72)</t>
  </si>
  <si>
    <t>BCAP 38X50</t>
  </si>
  <si>
    <t>RH Gallery Wrap Black Cap-702600-EW (38x50)</t>
  </si>
  <si>
    <t>BCAP 39X39</t>
  </si>
  <si>
    <t>RH Gallery Wrap Black Cap-702600-EW (39x39)</t>
  </si>
  <si>
    <t>BCAP 39X55</t>
  </si>
  <si>
    <t>RH Gallery Wrap Black Cap-702600-EW (39x55)</t>
  </si>
  <si>
    <t>BCAP 40X40</t>
  </si>
  <si>
    <t>RH Gallery Wrap Black Cap-702600-EW (40x40)</t>
  </si>
  <si>
    <t>BCAP 40X60</t>
  </si>
  <si>
    <t>RH Gallery Wrap Black Cap-702600-EW (40x60)</t>
  </si>
  <si>
    <t>BCAP 41.2X61.2</t>
  </si>
  <si>
    <t>RH Gallery Wrap Black Cap-702600-EW (41.25x61.25)</t>
  </si>
  <si>
    <t>BCAP 41.5X42.5</t>
  </si>
  <si>
    <t>RH Gallery Wrap Black Cap-702600-EW (41.5x42.5)</t>
  </si>
  <si>
    <t>BCAP 41.5X61.5</t>
  </si>
  <si>
    <t>RH Gallery Wrap Black Cap-702600-EW (41.5x61.5)</t>
  </si>
  <si>
    <t>BCAP 42X50</t>
  </si>
  <si>
    <t>RH Gallery Wrap Black Cap-704100 (42x50)</t>
  </si>
  <si>
    <t>BCAP 42X52</t>
  </si>
  <si>
    <t>RH Gallery Wrap Black Cap-704100 (42x52)</t>
  </si>
  <si>
    <t>BCAP 46X62</t>
  </si>
  <si>
    <t>RH Gallery Wrap Black Cap-704100 (46x62)</t>
  </si>
  <si>
    <t>BCAP 47X47</t>
  </si>
  <si>
    <t>RH Gallery Wrap Black Cap-704100 (47x47)</t>
  </si>
  <si>
    <t>BCAP 47X57</t>
  </si>
  <si>
    <t>RH Gallery Wrap Black Cap-702600-EW (47x57)</t>
  </si>
  <si>
    <t>BCAP 47X68</t>
  </si>
  <si>
    <t>RH Gallery Wrap Black Cap-702600-EW (47x68)</t>
  </si>
  <si>
    <t>BCAP 47X69</t>
  </si>
  <si>
    <t>RH Gallery Wrap Black Cap-702600-EW (47x69)</t>
  </si>
  <si>
    <t>BCAP 48X48</t>
  </si>
  <si>
    <t>RH Gallery Wrap Black Cap-702600-EW (48x48)</t>
  </si>
  <si>
    <t>BCAP 48X54</t>
  </si>
  <si>
    <t>RH Gallery Wrap Black Cap-702600-EW (48x54)</t>
  </si>
  <si>
    <t>BCAP 48X55</t>
  </si>
  <si>
    <t>RH Gallery Wrap Black Cap-702600-EW (48x55)</t>
  </si>
  <si>
    <t>BCAP 48X60</t>
  </si>
  <si>
    <t>RH Gallery Wrap Black Cap-702600-EW (48x60)</t>
  </si>
  <si>
    <t>BCAP 48X62</t>
  </si>
  <si>
    <t>RH Gallery Wrap Black Cap-702600-EW (48x62)</t>
  </si>
  <si>
    <t>BCAP 48X72</t>
  </si>
  <si>
    <t>RH Gallery Wrap Black Cap-704100 (48x72)</t>
  </si>
  <si>
    <t>BCAP 49X72</t>
  </si>
  <si>
    <t>RH Gallery Wrap Black Cap-704100 (49x72)</t>
  </si>
  <si>
    <t>BCAP 50X60</t>
  </si>
  <si>
    <t>RH Gallery Wrap Black Cap-704100 (50x60)</t>
  </si>
  <si>
    <t>BCAP 52X72</t>
  </si>
  <si>
    <t>RH Gallery Wrap Black Cap-704100 (52x72)</t>
  </si>
  <si>
    <t>BCAP 53X70</t>
  </si>
  <si>
    <t>RH Gallery Wrap Black Cap-704100 (53X70)</t>
  </si>
  <si>
    <t>BCAP 54X72</t>
  </si>
  <si>
    <t>RH Gallery Wrap Black Cap-704100 (54x72)</t>
  </si>
  <si>
    <t>BCAP 54X76</t>
  </si>
  <si>
    <t>RH Gallery Wrap Black Cap-704100 (54x76)</t>
  </si>
  <si>
    <t>BCAP 54X86</t>
  </si>
  <si>
    <t>RH Gallery Wrap Black Cap-704100 (54x86)</t>
  </si>
  <si>
    <t>BCAP 56X70</t>
  </si>
  <si>
    <t>RH Gallery Wrap Black Cap-704100 (56X70)</t>
  </si>
  <si>
    <t>BCAP 56X74</t>
  </si>
  <si>
    <t>RH Gallery Wrap Black Cap-704100 (56X74)</t>
  </si>
  <si>
    <t>BCAP 60X60</t>
  </si>
  <si>
    <t>RH Gallery Wrap Black Cap-703101 (60x60)</t>
  </si>
  <si>
    <t>BCAP 60X72</t>
  </si>
  <si>
    <t>RH Gallery Wrap Black Cap-703101 (60x72)</t>
  </si>
  <si>
    <t>BCAP 60X80</t>
  </si>
  <si>
    <t>RH Gallery Wrap Black Cap-703101 (60x80)</t>
  </si>
  <si>
    <t>BCAP 64X94</t>
  </si>
  <si>
    <t>RH Gallery Wrap Black Cap-704100 (64X94)</t>
  </si>
  <si>
    <t>BCAP 72X72</t>
  </si>
  <si>
    <t>RH Gallery Wrap Black Cap-703101 (72x72)</t>
  </si>
  <si>
    <t>BCAP 72X96</t>
  </si>
  <si>
    <t>RH Gallery Wrap Black Cap-703101 (72x96)</t>
  </si>
  <si>
    <t>CAPA 11X14</t>
  </si>
  <si>
    <t>Capitol A Antique Gold 11X14</t>
  </si>
  <si>
    <t>CAPA 16X20</t>
  </si>
  <si>
    <t>Capitol A Antique Gold 16X20</t>
  </si>
  <si>
    <t>CAPA 18X22</t>
  </si>
  <si>
    <t>Capitol A Antique Gold 18X22</t>
  </si>
  <si>
    <t>CAPA 18.5X24</t>
  </si>
  <si>
    <t>Capitol A Antique Gold 18.5X24</t>
  </si>
  <si>
    <t>CAPA 20X24</t>
  </si>
  <si>
    <t>Capitol A Antique Gold 20X24</t>
  </si>
  <si>
    <t>CAPB 9X10</t>
  </si>
  <si>
    <t>Capitol B Antique Gold 9X10</t>
  </si>
  <si>
    <t>CAPB 9X12</t>
  </si>
  <si>
    <t>Capitol B Antique Gold 9X12</t>
  </si>
  <si>
    <t>CAPB 10X12</t>
  </si>
  <si>
    <t>Capitol B Antique Gold 10X12</t>
  </si>
  <si>
    <t>CAPB 10X13</t>
  </si>
  <si>
    <t>Capitol B Antique Gold 10X13</t>
  </si>
  <si>
    <t>CAPB 11X13</t>
  </si>
  <si>
    <t>Capitol B Antique Gold 11X13</t>
  </si>
  <si>
    <t>CAPB 12x16</t>
  </si>
  <si>
    <t>Capitol B Antique Gold 12x16</t>
  </si>
  <si>
    <t>CAPBA 12X16</t>
  </si>
  <si>
    <t>Capitol B Antique Gold 12x16 W/GLAZE</t>
  </si>
  <si>
    <t>CAPB 12x24</t>
  </si>
  <si>
    <t>Capitol B Antique Gold 12x24</t>
  </si>
  <si>
    <t>CAPB 12x36</t>
  </si>
  <si>
    <t>Capitol B Antique Gold 12x36</t>
  </si>
  <si>
    <t>CAPB 13X22</t>
  </si>
  <si>
    <t>Capitol B Antique Gold 13X22</t>
  </si>
  <si>
    <t>CAPB 14X16</t>
  </si>
  <si>
    <t>Capitol B Antique Gold 14X16</t>
  </si>
  <si>
    <t>CAPB 14X26</t>
  </si>
  <si>
    <t>Capitol B Antique Gold 14X26</t>
  </si>
  <si>
    <t>CAPB 15X18</t>
  </si>
  <si>
    <t>Capitol B Antique Gold 15X18</t>
  </si>
  <si>
    <t>CAPB 16X20</t>
  </si>
  <si>
    <t>Capitol B Antique Gold 16x20</t>
  </si>
  <si>
    <t>CAPBA 16X20</t>
  </si>
  <si>
    <t>Capitol B Antique Gold 16x20 W/GLAZE</t>
  </si>
  <si>
    <t>CAPB 18X22</t>
  </si>
  <si>
    <t>Capitol B Antique Gold 18x22</t>
  </si>
  <si>
    <t>CAPB 20X20</t>
  </si>
  <si>
    <t>Capitol B Antique Gold 20x20</t>
  </si>
  <si>
    <t>CAPB 20X24</t>
  </si>
  <si>
    <t>Capitol B Antique Gold 20x24</t>
  </si>
  <si>
    <t>CAPB 20X30</t>
  </si>
  <si>
    <t>Capitol B Antique Gold 20x30</t>
  </si>
  <si>
    <t>CAPB 24X24</t>
  </si>
  <si>
    <t>Capitol B Antique Gold 24X24</t>
  </si>
  <si>
    <t>CAPB 24X36</t>
  </si>
  <si>
    <t>Capitol B Antique Gold 24X36</t>
  </si>
  <si>
    <t>CAPB 28XX38</t>
  </si>
  <si>
    <t>Capitol B Antique Gold 28X38</t>
  </si>
  <si>
    <t>CAPB 40X60</t>
  </si>
  <si>
    <t>Capitol B Antique Gold 40X60</t>
  </si>
  <si>
    <t>CAPE 16X20</t>
  </si>
  <si>
    <t>Capitol E Antique Gold 16x20</t>
  </si>
  <si>
    <t>NCAP 10X12</t>
  </si>
  <si>
    <t>Gallery Wrap Natural Cap-707600  (10X20)</t>
  </si>
  <si>
    <t>NCAP 16X20</t>
  </si>
  <si>
    <t>RH Gallery Wrap Natural Cap-707600  (16X20)</t>
  </si>
  <si>
    <t>NCAP 18X24</t>
  </si>
  <si>
    <t>RH Gallery Wrap Natural Cap-707600  (18X24)</t>
  </si>
  <si>
    <t>NCAP 24X24</t>
  </si>
  <si>
    <t>RH Gallery Wrap Natural Cap-707600 (24x24)</t>
  </si>
  <si>
    <t>NCAP 24X36</t>
  </si>
  <si>
    <t>RH Gallery Wrap Natural Cap-707600 (24x36)</t>
  </si>
  <si>
    <t>NCAP 25X31</t>
  </si>
  <si>
    <t>RH Gallery Wrap Natural Cap-707600 (25X31)</t>
  </si>
  <si>
    <t>NCAP 36X36</t>
  </si>
  <si>
    <t>RH Gallery Wrap Natural Cap-707600 (36x36)</t>
  </si>
  <si>
    <t>NCAP 36X48</t>
  </si>
  <si>
    <t>RH Gallery Wrap Natural Cap-707600 (36x48)</t>
  </si>
  <si>
    <t>NCAP 40X60</t>
  </si>
  <si>
    <t>RH Gallery Wrap Natural Cap-707600 (40x60)</t>
  </si>
  <si>
    <t>NCAP 48X48</t>
  </si>
  <si>
    <t>RH Gallery Wrap Natural Cap-707600 (48x48)</t>
  </si>
  <si>
    <t>NCAP 48X60</t>
  </si>
  <si>
    <t>RH Gallery Wrap Natural Cap-707600 (48x60)</t>
  </si>
  <si>
    <t>NCAP 58X80</t>
  </si>
  <si>
    <t>RH Gallery Wrap Natural Cap-707600 (58X80)</t>
  </si>
  <si>
    <t>NCAP 60X80</t>
  </si>
  <si>
    <t>RH Gallery Wrap Natural Cap-707600 (60X80)</t>
  </si>
  <si>
    <t>NCAP 60X105</t>
  </si>
  <si>
    <t>RH Gallery Wrap Natural Cap-707600 (60x105)</t>
  </si>
  <si>
    <t>NCAP 64X80</t>
  </si>
  <si>
    <t>RH Gallery Wrap Natural Cap-707600 (64x80)</t>
  </si>
  <si>
    <t>NCAP 66X52</t>
  </si>
  <si>
    <t>RH Gallery Wrap Natural Cap-707600 (66x52)</t>
  </si>
  <si>
    <t>GCAP 20X24</t>
  </si>
  <si>
    <t>RH Gallery Wrap Gold Cap - V1267</t>
  </si>
  <si>
    <t>GCAP 20X26</t>
  </si>
  <si>
    <t>GCAP 24X24</t>
  </si>
  <si>
    <t>GCAP 24X30</t>
  </si>
  <si>
    <t>GCAP 24X48</t>
  </si>
  <si>
    <t>RH Gallery Wrap Gold Cap - 24X48</t>
  </si>
  <si>
    <t>GCAP 25X31</t>
  </si>
  <si>
    <t>RH Gallery Wrap Gold Cap -25X31</t>
  </si>
  <si>
    <t>GCAP 30X40</t>
  </si>
  <si>
    <t>GCAP 30X48</t>
  </si>
  <si>
    <t>GCAP 32X39</t>
  </si>
  <si>
    <t>RH Gallery Wrap Gold Cap V1267 32X39</t>
  </si>
  <si>
    <t>GCAP 36X36</t>
  </si>
  <si>
    <t xml:space="preserve">RH Gallery Wrap Gold Cap V1267 </t>
  </si>
  <si>
    <t>GCAP 36X48</t>
  </si>
  <si>
    <t>GCAP 36X72</t>
  </si>
  <si>
    <t>RH Gallery Wrap Gold Cap - V1267 (36X72)</t>
  </si>
  <si>
    <t>GCAP 40X60</t>
  </si>
  <si>
    <t>GCAP 42X72</t>
  </si>
  <si>
    <t>GCAP 48X48</t>
  </si>
  <si>
    <t>GCAP 48X60</t>
  </si>
  <si>
    <t>RH Gallery Wrap Gold Cap - V1267 (48X60)</t>
  </si>
  <si>
    <t>GCAP 51X64</t>
  </si>
  <si>
    <t>GCAP 54X70</t>
  </si>
  <si>
    <t>GCAP 56X70</t>
  </si>
  <si>
    <t>GCAP 60X72</t>
  </si>
  <si>
    <t>RH Gallery Wrap Gold Cap - V1267 (60X72)</t>
  </si>
  <si>
    <t>GCAP 60X80</t>
  </si>
  <si>
    <t>RH Gallery Wrap Gold Cap - V1267 (60X80)</t>
  </si>
  <si>
    <t>GCAP 64X80</t>
  </si>
  <si>
    <t>RH Gallery Wrap Gold Cap - V1267 (64X80)</t>
  </si>
  <si>
    <t>NEED PRICE 6/2/22</t>
  </si>
  <si>
    <t>GCAP 66X82</t>
  </si>
  <si>
    <t>RH Gallery Wrap Gold Cap - V1267 (66X82)</t>
  </si>
  <si>
    <t>WALCAP 25X31</t>
  </si>
  <si>
    <t>Gallery Wrap Walnut Cap - 704700 25x31</t>
  </si>
  <si>
    <t>WALCAP 56X70</t>
  </si>
  <si>
    <t>Gallery Wrap Walnut Cap - 704700 56X70</t>
  </si>
  <si>
    <t>OCAP 16X20</t>
  </si>
  <si>
    <t>Paper in OAK FRAME Target (16x20)</t>
  </si>
  <si>
    <t>WCAP 16X20</t>
  </si>
  <si>
    <t>PAper in WHITE FRAME Target (16x20)</t>
  </si>
  <si>
    <t>BFL 8.25X8.25</t>
  </si>
  <si>
    <t>RH Gallery Wrap Black Floater - 702100-EW  (8.25X8.25)</t>
  </si>
  <si>
    <t>BFL 8X12</t>
  </si>
  <si>
    <t>RH Gallery Wrap Black Floater - 702100-EW  (8x12)</t>
  </si>
  <si>
    <t>BFL 10x12</t>
  </si>
  <si>
    <t>RH Gallery Wrap Black Floater - 702100-EW  (10x12)</t>
  </si>
  <si>
    <t>BFL 11X13</t>
  </si>
  <si>
    <t>RH Gallery Wrap Black Floater - 702100-EW  (11x13)</t>
  </si>
  <si>
    <t>BFL 11X14</t>
  </si>
  <si>
    <t>RH Gallery Wrap Black Floater - 702100-EW  (11x14)</t>
  </si>
  <si>
    <t>BFL 11X19</t>
  </si>
  <si>
    <t>RH Gallery Wrap Black Floater - 702100-EW  (11x19)</t>
  </si>
  <si>
    <t>BFL 12X12</t>
  </si>
  <si>
    <t>RH Gallery Wrap Black Floater - 702100-EW  (12X12)</t>
  </si>
  <si>
    <t>BFL 12X16</t>
  </si>
  <si>
    <t>RH Gallery Wrap Black Floater - 702100-EW  (12X16)</t>
  </si>
  <si>
    <t>NEED PRICE 6/9/22</t>
  </si>
  <si>
    <t>BFL 12X18</t>
  </si>
  <si>
    <t>RH Gallery Wrap Black Floater - 702100-EW  (12X18)</t>
  </si>
  <si>
    <t>BFL 12X30</t>
  </si>
  <si>
    <t>RH Gallery Wrap Black Floater - 702100-EW  (12X30)</t>
  </si>
  <si>
    <t>BFL 14X20</t>
  </si>
  <si>
    <t>RH Gallery Wrap Black Floater - 702100-EW  (14x20)</t>
  </si>
  <si>
    <t>BFL 15X17</t>
  </si>
  <si>
    <t>RH Gallery Wrap Black Floater - 702100-EW  (15x17)</t>
  </si>
  <si>
    <t>BFL 15X21</t>
  </si>
  <si>
    <t>RH Gallery Wrap Black Floater - 702100-EW  (15x21)</t>
  </si>
  <si>
    <t>BFL 16X18</t>
  </si>
  <si>
    <t>RH Gallery Wrap Black Floater - 702100-EW  (16x18)</t>
  </si>
  <si>
    <t>BFL 16X20</t>
  </si>
  <si>
    <t>RH Gallery Wrap Black Floater - 702100-EW  (16x20)</t>
  </si>
  <si>
    <t>BFL 17X18</t>
  </si>
  <si>
    <t>RH Gallery Wrap Black Floater - 702100-EW  (17x18)</t>
  </si>
  <si>
    <t>BFL 17X22</t>
  </si>
  <si>
    <t>RH Gallery Wrap Black Floater - 702100-EW  (17x22)</t>
  </si>
  <si>
    <t>BFL 14.5X20.5</t>
  </si>
  <si>
    <t>RH Gallery Wrap Black Floater - 702100-EW  (14.5x20.5)</t>
  </si>
  <si>
    <t>BFL 18X20</t>
  </si>
  <si>
    <t>RH Gallery Wrap Black Floater - 702100-EW  (18x20)</t>
  </si>
  <si>
    <t>BFL 18X24</t>
  </si>
  <si>
    <t>RH Gallery Wrap Black Floater - 702100-EW  (18x24)</t>
  </si>
  <si>
    <t>BFL 20X24</t>
  </si>
  <si>
    <t>RH Gallery Wrap Black Floater - 702100-EW  (20x24)</t>
  </si>
  <si>
    <t>BFL 20X30</t>
  </si>
  <si>
    <t>RH Gallery Wrap Black Floater - 702100-EW  (20x30)</t>
  </si>
  <si>
    <t>BFL 20X50</t>
  </si>
  <si>
    <t>RH Gallery Wrap Black Floater - 702100-EW  (20x50)</t>
  </si>
  <si>
    <t>BFL 22X24</t>
  </si>
  <si>
    <t>RH Gallery Wrap Black Floater - 702100-EW  (22x24)</t>
  </si>
  <si>
    <t>BFL 23X28</t>
  </si>
  <si>
    <t>RH Gallery Wrap Black Floater - 702100-EW  (23X28)</t>
  </si>
  <si>
    <t>BFL 24X24</t>
  </si>
  <si>
    <t>RH Gallery Wrap Black Floater - 702100-EW  (24x24)</t>
  </si>
  <si>
    <t>BFL 24X28</t>
  </si>
  <si>
    <t>RH Gallery Wrap Black Floater - 702100-EW  (24x28)</t>
  </si>
  <si>
    <t>BFL 24X30</t>
  </si>
  <si>
    <t>RH Gallery Wrap Black Floater - 702100-EW  (24x30)</t>
  </si>
  <si>
    <t>BFL 24X32</t>
  </si>
  <si>
    <t>RH Gallery Wrap Black Floater - 702100-EW  (24X32)</t>
  </si>
  <si>
    <t>BFL 24X36</t>
  </si>
  <si>
    <t>RH Gallery Wrap Black Floater - 702100-EW  (24x36)</t>
  </si>
  <si>
    <t>BFL 26X26</t>
  </si>
  <si>
    <t>RH Gallery Wrap Black Floater - 702100-EW  (26X26)</t>
  </si>
  <si>
    <t>BFL 27X36</t>
  </si>
  <si>
    <t>RH Gallery Wrap Black Floater - 702100-EW  (27X36)</t>
  </si>
  <si>
    <t>BFL 27.5X27.5</t>
  </si>
  <si>
    <t>RH Gallery Wrap Black Floater - 702100-EW  (27.5x27.5)</t>
  </si>
  <si>
    <t>BFL 27.5X39.5</t>
  </si>
  <si>
    <t>RH Gallery Wrap Black Floater - 702100-EW  (27.5x39.5)</t>
  </si>
  <si>
    <t>BFL 24X48</t>
  </si>
  <si>
    <t>RH Gallery Wrap Black Floater - 702100-EW  (24x48)</t>
  </si>
  <si>
    <t>BFL 28X48</t>
  </si>
  <si>
    <t>RH Gallery Wrap Black Floater - 702100-EW  (28x48)</t>
  </si>
  <si>
    <t>BFL 30X30</t>
  </si>
  <si>
    <t>RH Gallery Wrap Black Floater - 702100-EW  (30x30)</t>
  </si>
  <si>
    <t>BFL 30X36</t>
  </si>
  <si>
    <t>RH Gallery Wrap Black Floater - 702100-EW  (30x36)</t>
  </si>
  <si>
    <t>BFL 30X40</t>
  </si>
  <si>
    <t>RH Gallery Wrap Black Floater - 702100-EW  (30x40)</t>
  </si>
  <si>
    <t>BFL 32X36</t>
  </si>
  <si>
    <t>RH Gallery Wrap Black Floater - 702100-EW  (32x36)</t>
  </si>
  <si>
    <t>BFL 32X40</t>
  </si>
  <si>
    <t>RH Gallery Wrap Black Floater - 702100-EW  (32x40)</t>
  </si>
  <si>
    <t>BFL 32X42</t>
  </si>
  <si>
    <t>RH Gallery Wrap Black Floater - 702100-EW  (32x42)</t>
  </si>
  <si>
    <t>BFL 33X50</t>
  </si>
  <si>
    <t>RH Gallery Wrap Black Floater - 702100-EW  (33x50)</t>
  </si>
  <si>
    <t>BFL 35X47</t>
  </si>
  <si>
    <t>RH Gallery Wrap Black Floater - 702100-EW  (35x47)</t>
  </si>
  <si>
    <t>BFL 36X36</t>
  </si>
  <si>
    <t>RH Gallery Wrap Black Floater - 702100-EW  (36x36)</t>
  </si>
  <si>
    <t>BFL 36X44</t>
  </si>
  <si>
    <t>RH Gallery Wrap Black Floater - 702100-EW  (36x44)</t>
  </si>
  <si>
    <t>BFL 36X45</t>
  </si>
  <si>
    <t>RH Gallery Wrap Black Floater - 702100-EW  (36x45)</t>
  </si>
  <si>
    <t>BFL 36X48</t>
  </si>
  <si>
    <t>RH Gallery Wrap Black Floater - 702100-EW  (36x48)</t>
  </si>
  <si>
    <t>BFL 36X60</t>
  </si>
  <si>
    <t>RH Gallery Wrap Black Floater - 702100-EW  (36x60)</t>
  </si>
  <si>
    <t>BFL 36X72</t>
  </si>
  <si>
    <t>RH Gallery Wrap Black Floater - 702100-EW  (36x72)</t>
  </si>
  <si>
    <t>BFL 37.5X49.5</t>
  </si>
  <si>
    <t>RH Gallery Wrap Black Floater - 702100-EW  (37.5x49.5)</t>
  </si>
  <si>
    <t>BFL 38X48</t>
  </si>
  <si>
    <t>RH Gallery Wrap Black Floater - 702100-EW  (38x48)</t>
  </si>
  <si>
    <t>BFL 38X50</t>
  </si>
  <si>
    <t>RH Gallery Wrap Black Floater - 702100-EW  (38x50)</t>
  </si>
  <si>
    <t>BFL 39.5X39.5</t>
  </si>
  <si>
    <t>RH Gallery Wrap Black Floater - 702100-EW  (39.5x39.5)</t>
  </si>
  <si>
    <t>BFL 39X39</t>
  </si>
  <si>
    <t>RH Gallery Wrap Black Floater - 702100-EW  (39x39)</t>
  </si>
  <si>
    <t>BFL 39X47</t>
  </si>
  <si>
    <t>RH Gallery Wrap Black Floater - 702100-EW  (39x47)</t>
  </si>
  <si>
    <t>BFL 39X52</t>
  </si>
  <si>
    <t>RH Gallery Wrap Black Floater - 702100-EW  (39x52)</t>
  </si>
  <si>
    <t>BFL 39X55</t>
  </si>
  <si>
    <t>RH Gallery Wrap Black Floater - 702100-EW  (39x55)</t>
  </si>
  <si>
    <t>BFL 40X40</t>
  </si>
  <si>
    <t>RH Gallery Wrap Black Floater - 702100-EW  (40x40)</t>
  </si>
  <si>
    <t>BFL 40X45</t>
  </si>
  <si>
    <t>RH Gallery Wrap Black Floater - 702100-EW  (40x45)</t>
  </si>
  <si>
    <t>BFL 40X52</t>
  </si>
  <si>
    <t>RH Gallery Wrap Black Floater - 702100-EW  (40x52)</t>
  </si>
  <si>
    <t>BFL 40X54</t>
  </si>
  <si>
    <t>RH Gallery Wrap Black Floater - 702100-EW  (40x54)</t>
  </si>
  <si>
    <t>BFL 40X60</t>
  </si>
  <si>
    <t>RH Gallery Wrap Black Floater - 702100-EW  (40x60)</t>
  </si>
  <si>
    <t>BFL 40X65</t>
  </si>
  <si>
    <t>RH Gallery Wrap Black Floater - 702100-EW  (40x65)</t>
  </si>
  <si>
    <t>BFL 41.5X42.5</t>
  </si>
  <si>
    <t>RH Gallery Wrap Black Floater - 702100-EW  (41.5x42.5)</t>
  </si>
  <si>
    <t>BFL 41.2X61.25</t>
  </si>
  <si>
    <t>RH Gallery Wrap Black Floater - 702100-EW  (41.25x61.25)</t>
  </si>
  <si>
    <t>BFL 41.5X61.5</t>
  </si>
  <si>
    <t>RH Gallery Wrap Black Floater - 702100-EW  (41.5x61.5)</t>
  </si>
  <si>
    <t>BFL 42X50</t>
  </si>
  <si>
    <t>RH Gallery Wrap Black Floater - 702100-EW  (42x50)</t>
  </si>
  <si>
    <t>BFL 42X52</t>
  </si>
  <si>
    <t>RH Gallery Wrap Black Floater - 702100-EW  (42x52)</t>
  </si>
  <si>
    <t>BFL 43X43</t>
  </si>
  <si>
    <t>RH Gallery Wrap Black Floater - 702100-EW  (43x43)</t>
  </si>
  <si>
    <t>BFL 46X62</t>
  </si>
  <si>
    <t>RH Gallery Wrap Black Floater - 702100-EW  (46x62)</t>
  </si>
  <si>
    <t>BFL 46X70</t>
  </si>
  <si>
    <t>RH Gallery Wrap Black Floater - 702100-EW  (46x70)</t>
  </si>
  <si>
    <t>BFL 47X47</t>
  </si>
  <si>
    <t>RH Gallery Wrap Black Floater - 702100-EW  (47x47)</t>
  </si>
  <si>
    <t>BFL 47X57</t>
  </si>
  <si>
    <t>RH Gallery Wrap Black Floater - 702100-EW  (47x57)</t>
  </si>
  <si>
    <t>BFL 47X59</t>
  </si>
  <si>
    <t>RH Gallery Wrap Black Floater - 702100-EW  (47x59)</t>
  </si>
  <si>
    <t>BFL 47X63</t>
  </si>
  <si>
    <t>RH Gallery Wrap Black Floater - 702100-EW  (47x63)</t>
  </si>
  <si>
    <t>BFL 47X68</t>
  </si>
  <si>
    <t>RH Gallery Wrap Black Floater - 702100-EW  (47x68)</t>
  </si>
  <si>
    <t>BFL 47X69</t>
  </si>
  <si>
    <t>RH Gallery Wrap Black Floater - 702100-EW  (47x69)</t>
  </si>
  <si>
    <t>BFL 48X48</t>
  </si>
  <si>
    <t>RH Gallery Wrap Black Floater - 702100-EW  (48x48)</t>
  </si>
  <si>
    <t>BFL 48X54</t>
  </si>
  <si>
    <t>RH Gallery Wrap Black Floater - 702100-EW  (48x54)</t>
  </si>
  <si>
    <t>BFL 48X55</t>
  </si>
  <si>
    <t>RH Gallery Wrap Black Floater - 702100-EW  (48x55)</t>
  </si>
  <si>
    <t>BFL 48X58</t>
  </si>
  <si>
    <t>RH Gallery Wrap Black Floater - 702100-EW  (48x58)</t>
  </si>
  <si>
    <t>BFL 48X60</t>
  </si>
  <si>
    <t>RH Gallery Wrap Black Floater - 702100-EW  (48x60)</t>
  </si>
  <si>
    <t>BFL 48X64</t>
  </si>
  <si>
    <t>RH Gallery Wrap Black Floater - 702100-EW  (48x64)</t>
  </si>
  <si>
    <t>BFL 48X72</t>
  </si>
  <si>
    <t>RH Gallery Wrap Black Floater - 702100-EW  (48x72)</t>
  </si>
  <si>
    <t>BLF 49X61</t>
  </si>
  <si>
    <t>RH Gallery Wrap Black Floater - 702100-EW  (49x61)</t>
  </si>
  <si>
    <t>BFL 50X60</t>
  </si>
  <si>
    <t>RH Gallery Wrap Black Floater - 702100-EW  (50x60)</t>
  </si>
  <si>
    <t>BFL 50X68</t>
  </si>
  <si>
    <t>RH Gallery Wrap Black Floater - 702100-EW  (50x68)</t>
  </si>
  <si>
    <t>BFL 50X70</t>
  </si>
  <si>
    <t>RH Gallery Wrap Black Floater - 702100-EW  (50x70)</t>
  </si>
  <si>
    <t>BFL 51X64</t>
  </si>
  <si>
    <t>RH Gallery Wrap Black Floater - 702100-EW  (51x64)</t>
  </si>
  <si>
    <t>BFL 52X72</t>
  </si>
  <si>
    <t>RH Gallery Wrap Black Floater - 702100-EW  (52x72)</t>
  </si>
  <si>
    <t>BFL 52X84</t>
  </si>
  <si>
    <t>RH Gallery Wrap Black Floater - 702100-EW  (52x84)</t>
  </si>
  <si>
    <t>BFL 54X72</t>
  </si>
  <si>
    <t>RH Gallery Wrap Black Floater - 702100-EW  (54x72)</t>
  </si>
  <si>
    <t>BFL 54X86</t>
  </si>
  <si>
    <t>RH Gallery Wrap Black Floater - 702100-EW  (54x86)</t>
  </si>
  <si>
    <t>BFL 55X70</t>
  </si>
  <si>
    <t>RH Gallery Wrap Black Floater - 702100-EW  (55x70)</t>
  </si>
  <si>
    <t>BFL 56X70</t>
  </si>
  <si>
    <t>RH Gallery Wrap Black Floater - 702100-EW  (56X70)</t>
  </si>
  <si>
    <t>BFL 60X60</t>
  </si>
  <si>
    <t>RH Gallery Wrap Black Floater - 702100-EW  (60x60)</t>
  </si>
  <si>
    <t>BFL 60X72</t>
  </si>
  <si>
    <t>RH Gallery Wrap Black Floater - 702100-EW  (60x72)</t>
  </si>
  <si>
    <t>BFL 60X80</t>
  </si>
  <si>
    <t>RH Gallery Wrap Black Floater - 702100-EW  (60x80)</t>
  </si>
  <si>
    <t>BFL 64X80</t>
  </si>
  <si>
    <t>RH Gallery Wrap Black Floater - 702100-EW  (64x80)</t>
  </si>
  <si>
    <t>BFL 65X90</t>
  </si>
  <si>
    <t>RH Gallery Wrap Black Floater - 702100-EW  (65x90)</t>
  </si>
  <si>
    <t>BFL 67X90</t>
  </si>
  <si>
    <t>RH Gallery Wrap Black Floater - 702100-EW  (67x90)</t>
  </si>
  <si>
    <t>BFL 68X90</t>
  </si>
  <si>
    <t>RH Gallery Wrap Black Floater - 702100-EW  (68X90)</t>
  </si>
  <si>
    <t>BFL 72X72</t>
  </si>
  <si>
    <t>RH Gallery Wrap Black Floater - 702100-EW  (72x72)</t>
  </si>
  <si>
    <t>BGF 48X48</t>
  </si>
  <si>
    <t>RH Gallery Wrap Black Gold Floater (48X48)</t>
  </si>
  <si>
    <t>Need Pricing</t>
  </si>
  <si>
    <t>BGF 48X60</t>
  </si>
  <si>
    <t>RH Gallery Wrap Black Gold Floater (48X60)</t>
  </si>
  <si>
    <t>BGF 56X74</t>
  </si>
  <si>
    <t>RH Gallery Wrap Black Gold Floater (56X74)</t>
  </si>
  <si>
    <t>CFL 24X36</t>
  </si>
  <si>
    <t>Gallery Wrap Champagne Floater (24x36)</t>
  </si>
  <si>
    <t>CFL 30X40</t>
  </si>
  <si>
    <t>Gallery Wrap Champagne Floater (30x40)</t>
  </si>
  <si>
    <t>GFL 19x11</t>
  </si>
  <si>
    <t>RH Gallery Wrap Gold Floater 19x11 - xxxx</t>
  </si>
  <si>
    <t>GFL 24X24</t>
  </si>
  <si>
    <t>RH Gallery Wrap Gold Floater - xxxx</t>
  </si>
  <si>
    <t>GFL 24X32</t>
  </si>
  <si>
    <t>RH Gallery Wrap Gold Floater - 702300 (24X32)</t>
  </si>
  <si>
    <t>GFL 29X29</t>
  </si>
  <si>
    <t>GFL 30X30</t>
  </si>
  <si>
    <t>GFL 36X36</t>
  </si>
  <si>
    <t>GFL 36X48</t>
  </si>
  <si>
    <t>GFL 36X60</t>
  </si>
  <si>
    <t>RH Gallery Wrap Gold Floater -702300 36X60</t>
  </si>
  <si>
    <t>GFL 36X72</t>
  </si>
  <si>
    <t>GFL 40X45</t>
  </si>
  <si>
    <t>RH Gallery Wrap Gold Floater - 702300 (40X45)</t>
  </si>
  <si>
    <t>GFL 40X60</t>
  </si>
  <si>
    <t>GFL 40X65</t>
  </si>
  <si>
    <t>GFL 48X48</t>
  </si>
  <si>
    <t>GFL 50X70</t>
  </si>
  <si>
    <t>GFL 50X74</t>
  </si>
  <si>
    <t>GFL 52X84</t>
  </si>
  <si>
    <t>GFL 48X60</t>
  </si>
  <si>
    <t>GFL 48X64</t>
  </si>
  <si>
    <t>GFL 48X68</t>
  </si>
  <si>
    <t>RH Gallery Wrap Gold Floater - 702300 (48x68)</t>
  </si>
  <si>
    <t>GFL 48X72</t>
  </si>
  <si>
    <t>GFL 56X70</t>
  </si>
  <si>
    <t>RH Gallery Wrap Gold Floater - 702300 (56X70)</t>
  </si>
  <si>
    <t>GFL 56X74</t>
  </si>
  <si>
    <t>GFL 60X60</t>
  </si>
  <si>
    <t>GFL 60X80</t>
  </si>
  <si>
    <t>RH Gallery Wrap Gold Floater - 702300 60X80</t>
  </si>
  <si>
    <t>GFL 64X80</t>
  </si>
  <si>
    <t>GFL 68X90</t>
  </si>
  <si>
    <t>GFL 72x110</t>
  </si>
  <si>
    <t>PANEL MOUNT:</t>
  </si>
  <si>
    <t>BFL 20X24P</t>
  </si>
  <si>
    <t>RH Panel Mount Black Floater - 702100  (20X24)</t>
  </si>
  <si>
    <t>BFL 24X24P</t>
  </si>
  <si>
    <t>RH Panel Mount Black Floater - 702100  (24X24)</t>
  </si>
  <si>
    <t>BFL 30X36P</t>
  </si>
  <si>
    <t>RH Panel Mount Black Floater - 702100  (30X36)</t>
  </si>
  <si>
    <t>BFL 32X36P</t>
  </si>
  <si>
    <t>RH Panel Mount Black Floater - 702100  (36X36)</t>
  </si>
  <si>
    <t>BFL 36X45P</t>
  </si>
  <si>
    <t>RH Panel Mount Black Floater - 702100  (36X45)</t>
  </si>
  <si>
    <t>BFL 36X72P</t>
  </si>
  <si>
    <t>RH Panel Mount Black Floater - 702100  (36X72)</t>
  </si>
  <si>
    <t>BFL 40X60P</t>
  </si>
  <si>
    <t>RH Panel Mount Black Floater - 702100  (40X60)</t>
  </si>
  <si>
    <t>BFL 48X72P</t>
  </si>
  <si>
    <t>RH Panel Mount Black Floater - 702100  (48X72)</t>
  </si>
  <si>
    <t>BFL 50X68P</t>
  </si>
  <si>
    <t>RH Panel Mount Black Floater - 702100  (50X68)</t>
  </si>
  <si>
    <t>BFL 60X72P</t>
  </si>
  <si>
    <t>RH Panel Mount Black Floater - 702100  (60X72)</t>
  </si>
  <si>
    <t>NATURAL FLOATER FRAME: STRETCH/MOUNT, MALAYSIAN MAPLE FLOAT FRAME, FINISH, PACK &amp; SHIP. D-RINGS</t>
  </si>
  <si>
    <t>NFL 8.25X8.25</t>
  </si>
  <si>
    <t>RH Gallery Wrap Natural Floater 702600 (8.25x8.25)</t>
  </si>
  <si>
    <t>NFL 8X10</t>
  </si>
  <si>
    <t>RH Gallery Wrap Natural Floater 702600 (8X10)</t>
  </si>
  <si>
    <t>NFL 10X12</t>
  </si>
  <si>
    <t>RH Gallery Wrap Natural Floater 702600 (10X12)</t>
  </si>
  <si>
    <t>NFL 10X14</t>
  </si>
  <si>
    <t>RH Gallery Wrap Natural Floater 702600 (10X14)</t>
  </si>
  <si>
    <t>NFL 11X13</t>
  </si>
  <si>
    <t>RH Gallery Wrap Natural Floater 702600 (11x13)</t>
  </si>
  <si>
    <t>NFL 11X14</t>
  </si>
  <si>
    <t>RH Gallery Wrap Natural Floater 702600 (11x14)</t>
  </si>
  <si>
    <t>NFL 12X16</t>
  </si>
  <si>
    <t>RH Gallery Wrap Natural Floater 702600 (12X16)</t>
  </si>
  <si>
    <t>NFL 12X24</t>
  </si>
  <si>
    <t>RH Gallery Wrap Natural Floater 702600 (12X24)</t>
  </si>
  <si>
    <t>NFL 16X20</t>
  </si>
  <si>
    <t>RH Gallery Wrap Natural Floater 702600 (16x20)</t>
  </si>
  <si>
    <t>NFL 18X20</t>
  </si>
  <si>
    <t>RH Gallery Wrap Natural Floater 702600 (18x20)</t>
  </si>
  <si>
    <t>NFL 18X24</t>
  </si>
  <si>
    <t>RH Gallery Wrap Natural Floater 702600 (18x24)</t>
  </si>
  <si>
    <t>NFL 20X22</t>
  </si>
  <si>
    <t>RH Gallery Wrap Natural Floater 702600 (20x22)</t>
  </si>
  <si>
    <t>NFL 20X24</t>
  </si>
  <si>
    <t>RH Gallery Wrap Natural Floater 702600 (20x24)</t>
  </si>
  <si>
    <t>NFL 20X30</t>
  </si>
  <si>
    <t>RH Gallery Wrap Natural Floater 702600 (20x30)</t>
  </si>
  <si>
    <t>NFL 22X24</t>
  </si>
  <si>
    <t>RH Gallery Wrap Natural Floater 702600 (22X24)</t>
  </si>
  <si>
    <t>NFL 24X24</t>
  </si>
  <si>
    <t>RH Gallery Wrap Natural Floater 702600 (24X24)</t>
  </si>
  <si>
    <t>NFL 24X28</t>
  </si>
  <si>
    <t>RH Gallery Wrap Natural Floater 702600 (24X28)</t>
  </si>
  <si>
    <t>NFL 24X30</t>
  </si>
  <si>
    <t>RH Gallery Wrap Natural Floater 702600 (24X30)</t>
  </si>
  <si>
    <t>NFL 24X36</t>
  </si>
  <si>
    <t>RH Gallery Wrap Natural Floater 702600 (24x36)</t>
  </si>
  <si>
    <t>NFL 24X39</t>
  </si>
  <si>
    <t>RH Gallery Wrap Natural Floater 702600 (24x39)</t>
  </si>
  <si>
    <t>NFL 24X42</t>
  </si>
  <si>
    <t>RH Gallery Wrap Natural Floater 702600 (24x42)</t>
  </si>
  <si>
    <t>NFL 27.5X27.5</t>
  </si>
  <si>
    <t>RH Gallery Wrap Natural Floater 702600 (27.5x27.5)</t>
  </si>
  <si>
    <t>NFL 27.5X39.5</t>
  </si>
  <si>
    <t>RH Gallery Wrap Natural Floater 702600 (27.5x39.5)</t>
  </si>
  <si>
    <t>NFL 30X30</t>
  </si>
  <si>
    <t>RH Gallery Wrap Natural Floater 702600 (30x30)</t>
  </si>
  <si>
    <t>NFL 30X40</t>
  </si>
  <si>
    <t>RH Gallery Wrap Natural Floater 702600 (30x40)</t>
  </si>
  <si>
    <t>NFL 32X42</t>
  </si>
  <si>
    <t>RH Gallery Wrap Natural Floater 702600 (32x42)</t>
  </si>
  <si>
    <t>NFL 33X50</t>
  </si>
  <si>
    <t>RH Gallery Wrap Natural Floater 702600 (33x50)</t>
  </si>
  <si>
    <t>NFL 36X36</t>
  </si>
  <si>
    <t>RH Gallery Wrap Natural Floater 702600 (36x36)</t>
  </si>
  <si>
    <t>NFL 36X44</t>
  </si>
  <si>
    <t>RH Gallery Wrap Natural Floater 702600 (36x44)</t>
  </si>
  <si>
    <t>NFL 36X45</t>
  </si>
  <si>
    <t>RH Gallery Wrap Natural Floater 702600 (36x45)</t>
  </si>
  <si>
    <t>NFL 36X48</t>
  </si>
  <si>
    <t>RH Gallery Wrap Natural Floater 702600 (36x48)</t>
  </si>
  <si>
    <t>NFL 36X53</t>
  </si>
  <si>
    <t>RH Gallery Wrap Natural Floater 702600 (36x53)</t>
  </si>
  <si>
    <t>NFL 36X55</t>
  </si>
  <si>
    <t>RH Gallery Wrap Natural Floater 702600 (36x55)</t>
  </si>
  <si>
    <t>NFL 36X60</t>
  </si>
  <si>
    <t>RH Gallery Wrap Natural Floater 702600 (36x60)</t>
  </si>
  <si>
    <t>NFL 36X72</t>
  </si>
  <si>
    <t>RH Gallery Wrap Natural Floater 702600 (36x72)</t>
  </si>
  <si>
    <t>NFL 38X38</t>
  </si>
  <si>
    <t>RH Gallery Wrap Natural Floater 702600 (38x38)</t>
  </si>
  <si>
    <t>NFL 38X48</t>
  </si>
  <si>
    <t>RH Gallery Wrap Natural Floater 702600 (38x48)</t>
  </si>
  <si>
    <t>NFL 38X50</t>
  </si>
  <si>
    <t>RH Gallery Wrap Natural Floater 702600 (38x50)</t>
  </si>
  <si>
    <t>NFL 39.5X39.5</t>
  </si>
  <si>
    <t>RH Gallery Wrap Natural Floater 702600 (39.5x39.5)</t>
  </si>
  <si>
    <t>NFL 39X39</t>
  </si>
  <si>
    <t>RH Gallery Wrap Natural Floater 702600 (39x39)</t>
  </si>
  <si>
    <t>NFL 39X55</t>
  </si>
  <si>
    <t>RH Gallery Wrap Natural Floater 702600 (39x55)</t>
  </si>
  <si>
    <t>NFL 39X96</t>
  </si>
  <si>
    <t>RH Gallery Wrap Natural Floater 702600 (39x96)</t>
  </si>
  <si>
    <t>NFL 40X40</t>
  </si>
  <si>
    <t>RH Gallery Wrap Natural Floater 702600 (40x40)</t>
  </si>
  <si>
    <t>NFL 40X54</t>
  </si>
  <si>
    <t>RH Gallery Wrap Natural Floater 702600 (40x54)</t>
  </si>
  <si>
    <t>NFL 40X60</t>
  </si>
  <si>
    <t>RH Gallery Wrap Natural Floater 702600 (40x60)</t>
  </si>
  <si>
    <t>NFL 40X65</t>
  </si>
  <si>
    <t>RH Gallery Wrap Natural Floater 702600 (40x65)</t>
  </si>
  <si>
    <t>NFL41.2X61.25</t>
  </si>
  <si>
    <t>RH Gallery Wrap Natural Floater 702600 (41.25x61.25)</t>
  </si>
  <si>
    <t>NFL 41.5X41.5</t>
  </si>
  <si>
    <t>RH Gallery Wrap Natural Floater 702600 (41.5x41.5)</t>
  </si>
  <si>
    <t>NFL 41.5X42.5</t>
  </si>
  <si>
    <t>RH Gallery Wrap Natural Floater 702600 (41.5x42.5)</t>
  </si>
  <si>
    <t>NFL 41.5X61.5</t>
  </si>
  <si>
    <t>RH Gallery Wrap Natural Floater 702600 (41.5x61.5)</t>
  </si>
  <si>
    <t>NFL 42X50</t>
  </si>
  <si>
    <t>RH Gallery Wrap Natural Floater 702600 (42x50)</t>
  </si>
  <si>
    <t>NFL 42X52</t>
  </si>
  <si>
    <t>RH Gallery Wrap Natural Floater 702600 (42x52)</t>
  </si>
  <si>
    <t>NFL 43X43</t>
  </si>
  <si>
    <t>RH Gallery Wrap Natural Floater 702600 (43x43)</t>
  </si>
  <si>
    <t>NFL 46X62</t>
  </si>
  <si>
    <t>RH Gallery Wrap Natural Floater 702600 (46x62)</t>
  </si>
  <si>
    <t>NFL 46X70</t>
  </si>
  <si>
    <t>RH Gallery Wrap Natural Floater 702600 (46x70)</t>
  </si>
  <si>
    <t>NFL 47X47</t>
  </si>
  <si>
    <t>RH Gallery Wrap Natural Floater 702600 (47x47)</t>
  </si>
  <si>
    <t>NFL 47X57</t>
  </si>
  <si>
    <t>RH Gallery Wrap Natural Floater 702600 (47x57)</t>
  </si>
  <si>
    <t>NFL 47X63</t>
  </si>
  <si>
    <t>RH Gallery Wrap Natural Floater 702600 (47x63)</t>
  </si>
  <si>
    <t>NFL 47X69</t>
  </si>
  <si>
    <t>RH Gallery Wrap Natural Floater 702600 (47x69)</t>
  </si>
  <si>
    <t>NFL 48.75X72</t>
  </si>
  <si>
    <t>RH Gallery Wrap Natural Floater 702600 (75x72)</t>
  </si>
  <si>
    <t>NFL 48X48</t>
  </si>
  <si>
    <t>RH Gallery Wrap Natural Floater 702600 (48x48)</t>
  </si>
  <si>
    <t>NFL 48X54</t>
  </si>
  <si>
    <t>RH Gallery Wrap Natural Floater 702600 (48x54)</t>
  </si>
  <si>
    <t>NFL 48X55</t>
  </si>
  <si>
    <t>RH Gallery Wrap Natural Floater 702600 (48x55)</t>
  </si>
  <si>
    <t>NFL 48X56</t>
  </si>
  <si>
    <t>RH Gallery Wrap Natural Floater 702600 (48x56)</t>
  </si>
  <si>
    <t>NFL 48X60</t>
  </si>
  <si>
    <t>RH Gallery Wrap Natural Floater 702600 (48x60)</t>
  </si>
  <si>
    <t>NFL 48X64</t>
  </si>
  <si>
    <t>RH Gallery Wrap Natural Floater 702600 (48x64)</t>
  </si>
  <si>
    <t>NFL 48X72</t>
  </si>
  <si>
    <t>RH Gallery Wrap Natural Floater 702600 (48x72)</t>
  </si>
  <si>
    <t>NFL 49X72</t>
  </si>
  <si>
    <t>RH Gallery Wrap Natural Floater 702600 (49x72)</t>
  </si>
  <si>
    <t>NFL 50X70</t>
  </si>
  <si>
    <t>RH Gallery Wrap Natural Floater 702600 (50X70)</t>
  </si>
  <si>
    <t>NFL 52X66</t>
  </si>
  <si>
    <t>RH Gallery Wrap Natural Floater 702600 (52x66)</t>
  </si>
  <si>
    <t>NFL 52X72</t>
  </si>
  <si>
    <t>RH Gallery Wrap Natural Floater 702600 (52x72)</t>
  </si>
  <si>
    <t>NFL 52X84</t>
  </si>
  <si>
    <t>RH Gallery Wrap Natural Floater 702600 (52x84)</t>
  </si>
  <si>
    <t>NFL 54X70</t>
  </si>
  <si>
    <t>RH Gallery Wrap Natural Floater 702600 (54x70)</t>
  </si>
  <si>
    <t>NFL 54X72</t>
  </si>
  <si>
    <t>RH Gallery Wrap Natural Floater 702600 (54x72)</t>
  </si>
  <si>
    <t>NFL 56X74</t>
  </si>
  <si>
    <t>RH Gallery Wrap Natural Floater 702600 (56X74)</t>
  </si>
  <si>
    <t>NFL 60X60</t>
  </si>
  <si>
    <t>RH Gallery Wrap Natural Floater 702600 (60x60)</t>
  </si>
  <si>
    <t>NFL 60X72</t>
  </si>
  <si>
    <t>RH Gallery Wrap Natural Floater 702600 (60x72)</t>
  </si>
  <si>
    <t>NFL 60X80</t>
  </si>
  <si>
    <t>RH Gallery Wrap Natural Floater 702600 (60x80)</t>
  </si>
  <si>
    <t>NFL 60X105</t>
  </si>
  <si>
    <t>RH Gallery Wrap Natural Floater 702600 (60x105)</t>
  </si>
  <si>
    <t>NFL 64X80</t>
  </si>
  <si>
    <t>RH Gallery Wrap Natural Floater 702600 (64x80)</t>
  </si>
  <si>
    <t>NFL 65X90</t>
  </si>
  <si>
    <t>RH Gallery Wrap Natural Floater 702600 (65X90)</t>
  </si>
  <si>
    <t>NFL 68X90</t>
  </si>
  <si>
    <t>RH Gallery Wrap Natural Floater 702600 (68X90)</t>
  </si>
  <si>
    <t>NFL 72X72</t>
  </si>
  <si>
    <t>RH Gallery Wrap Natural Floater 702600 (72x72)</t>
  </si>
  <si>
    <t>NFL 70X110</t>
  </si>
  <si>
    <t>RH Gallery Wrap Natural Floater 702600 (70X110)</t>
  </si>
  <si>
    <t>WFL 8X10</t>
  </si>
  <si>
    <t>Gallery Wrap Walnut Floater - 702700-EW (8X10)</t>
  </si>
  <si>
    <t>WFL 8X12</t>
  </si>
  <si>
    <t>Gallery Wrap Walnut Floater - 702700-EW (8X12)</t>
  </si>
  <si>
    <t>WFL 10x12</t>
  </si>
  <si>
    <t>Gallery Wrap Walnut Floater - 702700-EW (10x12)</t>
  </si>
  <si>
    <t>WFL 10x13</t>
  </si>
  <si>
    <t>Gallery Wrap Walnut Floater - 702700-EW (10x13)</t>
  </si>
  <si>
    <t>WFL 10x15</t>
  </si>
  <si>
    <t>Gallery Wrap Walnut Floater - 702700-EW (10x15)</t>
  </si>
  <si>
    <t>WFL 10x17</t>
  </si>
  <si>
    <t>Gallery Wrap Walnut Floater - 702700-EW (10x17)</t>
  </si>
  <si>
    <t>WFL 11X19</t>
  </si>
  <si>
    <t>Gallery Wrap Walnut Floater - 702700-EW (11X19</t>
  </si>
  <si>
    <t>WFL 12X14</t>
  </si>
  <si>
    <t>Gallery Wrap Walnut Floater - 702700-EW (12X14)</t>
  </si>
  <si>
    <t>WFL 12X16</t>
  </si>
  <si>
    <t>Gallery Wrap Walnut Floater - 702700-EW (12X16)</t>
  </si>
  <si>
    <t>WFL 12X24</t>
  </si>
  <si>
    <t>Gallery Wrap Walnut Floater - 720700-EW (12X24)</t>
  </si>
  <si>
    <t>WFL 14X23</t>
  </si>
  <si>
    <t>Gallery Wrap Walnut Floater - 702700-EW (14X23)</t>
  </si>
  <si>
    <t>WFL 15X15</t>
  </si>
  <si>
    <t>Gallery Wrap Walnut Floater - 702700-EW (15X15)</t>
  </si>
  <si>
    <t>WFL 16X16</t>
  </si>
  <si>
    <t>Gallery Wrap Walnut Floater - 702700-EW (16X16)</t>
  </si>
  <si>
    <t>WFL 16X20</t>
  </si>
  <si>
    <t>Gallery Wrap Walnut Floater - 702700-EW (16x20)</t>
  </si>
  <si>
    <t>WFL 16X22</t>
  </si>
  <si>
    <t>Gallery Wrap Walnut Floater - 702700-EW (16x22)</t>
  </si>
  <si>
    <t>WFL 16X24</t>
  </si>
  <si>
    <t>Gallery Wrap Walnut Floater - 702700-EW (16x24)</t>
  </si>
  <si>
    <t>WFL 19X11</t>
  </si>
  <si>
    <t>Gallery Wrap Walnut Floater - 702700-EW (19X11)</t>
  </si>
  <si>
    <t>WFL 20X30</t>
  </si>
  <si>
    <t>Gallery Wrap Walnut Floater - 702700-EW (20X30)</t>
  </si>
  <si>
    <t>WFL 24X32</t>
  </si>
  <si>
    <t>Gallery Wrap Walnut Floater - 702700-EW (24X32)</t>
  </si>
  <si>
    <t>WFL 24X36</t>
  </si>
  <si>
    <t>Gallery Wrap Walnut Floater - 702700-EW (24X36)</t>
  </si>
  <si>
    <t>WFL 24X40</t>
  </si>
  <si>
    <t>Gallery Wrap Walnut Floater - 702700-EW (24X40)</t>
  </si>
  <si>
    <t>WFL 30X40</t>
  </si>
  <si>
    <t>Gallery Wrap Walnut Floater - 702700-EW (30X40)</t>
  </si>
  <si>
    <t>WFL 31X39</t>
  </si>
  <si>
    <t>Gallery Wrap Walnut Floater - 702700-EW (31X39)</t>
  </si>
  <si>
    <t>WFL 36X36</t>
  </si>
  <si>
    <t>Gallery Wrap Walnut Floater -702700-EW (36X36)</t>
  </si>
  <si>
    <t>WFL 36X48</t>
  </si>
  <si>
    <t>Gallery Wrap Walnut Floater -702700-EW (36X48)</t>
  </si>
  <si>
    <t>WFL 36X60</t>
  </si>
  <si>
    <t>Gallery Wrap Walnut Floater -702700-EW (36X60)</t>
  </si>
  <si>
    <t>WFL 48X48</t>
  </si>
  <si>
    <t>Gallery Wrap Walnut Floater - 702700-EW (48X48)</t>
  </si>
  <si>
    <t>WFL 48X60</t>
  </si>
  <si>
    <t>Gallery Wrap Walnut Floater - 702700-EW (48X60)</t>
  </si>
  <si>
    <t>WFL 56X70</t>
  </si>
  <si>
    <t>Gallery Wrap Walnut Floater - 702700-EW (56X70)</t>
  </si>
  <si>
    <t>WFL 60X60</t>
  </si>
  <si>
    <t>Gallery Wrap Walnut Floater - 702700-EW (60X60)</t>
  </si>
  <si>
    <t>WFL 60X80</t>
  </si>
  <si>
    <t>Gallery Wrap Walnut Floater - 702700-EW (60X80)</t>
  </si>
  <si>
    <t>WFL1 16X20</t>
  </si>
  <si>
    <t>Gallery Mount Walnut Floater -  702700 (16x20)</t>
  </si>
  <si>
    <t>NFL 30X30P</t>
  </si>
  <si>
    <t>RH Panel Mount Natural Floater - 702600  (30X30)</t>
  </si>
  <si>
    <t>NFL 36X45P</t>
  </si>
  <si>
    <t>RH Panel Mount Natural Floater - 702600  (36X45)</t>
  </si>
  <si>
    <t>NFL 36X48P</t>
  </si>
  <si>
    <t>RH Panel Mount Natural Floater - 702600  (36X48)</t>
  </si>
  <si>
    <t>NFL 38X38P</t>
  </si>
  <si>
    <t>RH Panel Mount Natural Floater - 702600  (38X38)</t>
  </si>
  <si>
    <t>NFL 48X60P</t>
  </si>
  <si>
    <t>RH Panel Mount Natural Floater - 702600  (48X60)</t>
  </si>
  <si>
    <t>NFL 49X72P</t>
  </si>
  <si>
    <t>RH Panel Mount Natural Floater - 702600  (49X72)</t>
  </si>
  <si>
    <t>NFL 52X84P</t>
  </si>
  <si>
    <t>RH Panel Mount Natural Floater - 702600  (52X84)</t>
  </si>
  <si>
    <t>GMT 14X20</t>
  </si>
  <si>
    <t>Gallery Mount With Glue 14X20</t>
  </si>
  <si>
    <t>GMT 15X21</t>
  </si>
  <si>
    <t>Gallery Mount With Glue 15X21</t>
  </si>
  <si>
    <t>GMT 16X20</t>
  </si>
  <si>
    <t>Gallery Mount With Glue 16X20</t>
  </si>
  <si>
    <t>GMT 18X18</t>
  </si>
  <si>
    <t>Gallery Mount With Glue 18X18</t>
  </si>
  <si>
    <t>GMT 20X24</t>
  </si>
  <si>
    <t>Gallery Mount With Glue 20X24</t>
  </si>
  <si>
    <t>GMT 24X24</t>
  </si>
  <si>
    <t>Gallery Mount With Glue 24X24</t>
  </si>
  <si>
    <t>GMT 24X30</t>
  </si>
  <si>
    <t>Gallery Mount With Glue 24X30</t>
  </si>
  <si>
    <t>GMT 28X36</t>
  </si>
  <si>
    <t>Gallery Mount With Glue 28X36</t>
  </si>
  <si>
    <t>GMT 30X40</t>
  </si>
  <si>
    <t>Gallery Mount With Glue 30X40</t>
  </si>
  <si>
    <t>GMT 32X42</t>
  </si>
  <si>
    <t>Gallery Mount With Glue 32X42</t>
  </si>
  <si>
    <t>GMT 33X42</t>
  </si>
  <si>
    <t>Gallery Mount With Glue 33X42</t>
  </si>
  <si>
    <t>GMT 34X45</t>
  </si>
  <si>
    <t>Gallery Mount With Glue 34X45</t>
  </si>
  <si>
    <t>GMT 36X36</t>
  </si>
  <si>
    <t>Gallery Mount With Glue 36X36</t>
  </si>
  <si>
    <t>GMT 36X45</t>
  </si>
  <si>
    <t>Gallery Mount With Glue 36X45</t>
  </si>
  <si>
    <t>GMT 36X48</t>
  </si>
  <si>
    <t>Gallery Mount With Glue 36X48</t>
  </si>
  <si>
    <t>GMT 37.5X49.5</t>
  </si>
  <si>
    <t>Gallery Mount With Glue 37.5X49.5</t>
  </si>
  <si>
    <t>GMT 38X48</t>
  </si>
  <si>
    <t>Gallery Mount With Glue 38X48</t>
  </si>
  <si>
    <t>GMT 40X54</t>
  </si>
  <si>
    <t>Gallery Mount With Glue 40X54</t>
  </si>
  <si>
    <t>GMT 48X48</t>
  </si>
  <si>
    <t>Gallery Mount With Glue 48X48</t>
  </si>
  <si>
    <t>GMT 48X60</t>
  </si>
  <si>
    <t>Gallery Mount With Glue 48X60</t>
  </si>
  <si>
    <t>GMT 48X72</t>
  </si>
  <si>
    <t>Gallery Mount With Glue 48X72</t>
  </si>
  <si>
    <t>GMT 50X68</t>
  </si>
  <si>
    <t>Gallery Mount With Glue 50X68</t>
  </si>
  <si>
    <t>GMT 60X72</t>
  </si>
  <si>
    <t>Gallery Mount With Glue 60X72</t>
  </si>
  <si>
    <t>PARTIAL INK WASH: REVISED PART # BLACK SHADOW BOX, WASH EDGES, FLOAT ON FOAM, Revision 3.30.22</t>
  </si>
  <si>
    <t>PIW.5 16X20</t>
  </si>
  <si>
    <t>Blk Cap 0704100EW, Partial Ink Wash edges, float on foam, .5" to show, 1" foam spacer, Clr Acrylic VO 16X20</t>
  </si>
  <si>
    <t>PIW.5 20X20</t>
  </si>
  <si>
    <t>Blk Cap 0704100EW, Partial Ink Wash edges, float on foam, .5" to show, 1" foam spacer, Clr Acrylic VO 20X20</t>
  </si>
  <si>
    <t>PIW.5 20X24</t>
  </si>
  <si>
    <t>Blk Cap 0704100EW, Partial Ink Wash edges, float on foam, .5" to show, 1" foam spacer, Clr Acrylic VO 20x24</t>
  </si>
  <si>
    <t>PIW.5 20X30</t>
  </si>
  <si>
    <t>Blk Cap 0704100EW, Partial Ink Wash edges, float on foam, .5" to show, 1" foam spacer, Clr Acrylic VO 20x30</t>
  </si>
  <si>
    <t>PIW.5 22X30</t>
  </si>
  <si>
    <t>Blk Cap 0704100EW, Partial Ink Wash edges, float on foam, .5" to show, 1" foam spacer, Clr Acrylic VO 22X30</t>
  </si>
  <si>
    <t>PIW.5 24X36</t>
  </si>
  <si>
    <t>Blk Cap 0704100EW, Partial Ink Wash edges, float on foam, .5" to show, 1" foam spacer, Clr Acrylic VO 24X36</t>
  </si>
  <si>
    <t>PIW.5 32X32</t>
  </si>
  <si>
    <t>Blk Cap 0704100EW, Partial Ink Wash edges, float on foam, .5" to show, 1" foam spacer, Clr Acrylic VO 32X32</t>
  </si>
  <si>
    <t>PIW.5 36X45</t>
  </si>
  <si>
    <t>Blk Cap 0704100EW, Partial Ink Wash edges, float on foam, .5" to show, 1" foam spacer, Clr Acrylic VO 36X45</t>
  </si>
  <si>
    <t>PIW.5 40X56</t>
  </si>
  <si>
    <t>Blk Cap 0704100EW, Partial Ink Wash edges, float on foam, .5" to show, 1" foam spacer, Clr Acrylic VO 40X56</t>
  </si>
  <si>
    <t>PIW.5 44X60</t>
  </si>
  <si>
    <t>Blk Cap 0704100EW, Partial Ink Wash edges, float on foam, .5" to show, 1" foam spacer, Clr Acrylic VO 44X60</t>
  </si>
  <si>
    <t>PIW.5 GLD 44X60</t>
  </si>
  <si>
    <t>GLD Cap xxx, Partial Ink Wash edges, float on foam, .5" to show, 1" foam spacer, Clr Acrylic VO 44X60</t>
  </si>
  <si>
    <t>PIW1.0 24X32</t>
  </si>
  <si>
    <t>Blk Cap 0704100EW, Partial Ink Wash edges, float on foam, 1" to show, 1" foam spacer, Clr Acrylic VO 24X32</t>
  </si>
  <si>
    <t>24</t>
  </si>
  <si>
    <t>32</t>
  </si>
  <si>
    <t>PIW1.0 32X32</t>
  </si>
  <si>
    <t>Blk Cap 0704100EW, Partial Ink Wash edges, float on foam, 1" to show, 1" foam spacer, Clr Acrylic VO 32X32</t>
  </si>
  <si>
    <t>PIW1.0 40X56</t>
  </si>
  <si>
    <t>Blk Cap 0704100EW, Partial Ink Wash edges, float on foam, 1" to show, 1" foam spacer, Clr Acrylic VO 40X56</t>
  </si>
  <si>
    <t>PIW1.0 48X48</t>
  </si>
  <si>
    <t>Blk Cap 0704100EW, Partial Ink Wash edges, float on foam, 1" to show, 1" foam spacer, Clr Acrylic VO 48X48</t>
  </si>
  <si>
    <t>PIW1.0 48X80</t>
  </si>
  <si>
    <t>Blk Cap 0704100EW, Partial Ink Wash edges, float on foam, 1" to show, 1" foam spacer, Clr Acrylic VO 48X80</t>
  </si>
  <si>
    <t>PIW1.0 56X96</t>
  </si>
  <si>
    <t>Blk Cap 0704100EW, Partial Ink Wash edges, float on foam, 1" to show, 1" foam spacer, Clr Acrylic VO 56X96</t>
  </si>
  <si>
    <t>PIW1.0 NAT 48X48</t>
  </si>
  <si>
    <t>Nat Cap 0704600EW, Partial Ink Wash edges, float on foam, 1" to show, 1" foam spacer, Clr Acrylic VO 48x48</t>
  </si>
  <si>
    <t>DSB6.0 C BLK 30X40</t>
  </si>
  <si>
    <t>Blk Cap 0704100EW, DECKLE edges, float on CREAM foam, 6" to show, 1" foam spacer, Clr Acrylic VO 42X52</t>
  </si>
  <si>
    <t>DSB2.0 C BLK 24X36</t>
  </si>
  <si>
    <t>Blk Cap 0704100EW, DECKLE edges, float on CREAM foam, 2" to show, 1" foam spacer, Clr Acrylic VO 24X36</t>
  </si>
  <si>
    <t>DSB2.0 C BLK 44X60</t>
  </si>
  <si>
    <t>Blk Cap 0704100EW, DECKLE edges, float on CREAM foam, 2" to show, 1" foam spacer, Clr Acrylic VO 48X64</t>
  </si>
  <si>
    <t>DSB2.0 B BLK 48X60</t>
  </si>
  <si>
    <t>Blk Cap 0704100EW, DECKLE edges, float on BLACK foam, 2" to show, 1" foam spacer, Clr Acrylic VO 52X64</t>
  </si>
  <si>
    <t>DSB2.0 C BLK 48X60</t>
  </si>
  <si>
    <t>Blk Cap 0704100EW, DECKLE edges, float on CREAM foam, 2" to show, 1" foam spacer, Clr Acrylic VO 52X64</t>
  </si>
  <si>
    <t>DSB2.0 C BLK 48X64</t>
  </si>
  <si>
    <t>Blk Cap 0704100EW, DECKLE edges, float on CREAM foam, 2" to show, 1" foam spacer, Clr Acrylic VO 52X68</t>
  </si>
  <si>
    <t>MM INK WASH: BLACK SHADOW BOX, WASH PRINT, FLOAT ON FOAM PIECES, 0.5" MAT TO SHOW, 1" SPACER. D-RINGS</t>
  </si>
  <si>
    <t>BSB01 20X30</t>
  </si>
  <si>
    <t>Blk Cap 0704100EW, Wash whole print, float on foam pieces, 0.5" to show, 1" foam spacer, Clr Acrylic VO 20X30</t>
  </si>
  <si>
    <t>BSB01 22X30</t>
  </si>
  <si>
    <t>Blk Cap 0704100EW, Wash whole print, float on foam pieces, 0.5" to show, 1" foam spacer, Clr Acrylic VO 22X30</t>
  </si>
  <si>
    <t>BSB01 24X36</t>
  </si>
  <si>
    <t>Blk Cap 0704100EW, Wash whole print, float on foam pieces, 0.5" to show, 1" foam spacer, Clr Acrylic VO 24X36</t>
  </si>
  <si>
    <t>BSB01 32X32</t>
  </si>
  <si>
    <t>Blk Cap 0704100EW, Wash whole print, float on foam pieces, 0.5" to show, 1" foam spacer, Clr Acrylic VO 32X32</t>
  </si>
  <si>
    <t>BSB01 36x45</t>
  </si>
  <si>
    <t>Blk Cap 0704100EW, Wash whole print, float on foam pieces, 0.5" to show, 1" foam spacer, Clr Acrylic VO 36X45</t>
  </si>
  <si>
    <t>BSB01 40X56</t>
  </si>
  <si>
    <t>Blk Cap 0704100EW, Wash whole print, float on foam pieces, 0.5" to show, 1" foam spacer, Clr Acrylic VO 40X56</t>
  </si>
  <si>
    <t>BSB01 44X60</t>
  </si>
  <si>
    <t>Blk Cap 0704100EW, Wash whole print, float on foam pieces, 0.5" to show, 1" foam spacer, Clr Acrylic VO 44X60</t>
  </si>
  <si>
    <t>NSB01 20X30</t>
  </si>
  <si>
    <t>NAT Cap 0704600EW, Wash whole print, float on foam pieces, 0.5" to show, 1" foam spacer, Clr Acrylic VO 20XX30</t>
  </si>
  <si>
    <t>MM SINGULARITY: BLACK SHADOW BOX, WASH EDGES, FLOAT ON FOAM, 1" MAT TO SHOW, 1" SPACER. D-RINGS</t>
  </si>
  <si>
    <t>BSB02 20X30</t>
  </si>
  <si>
    <t>Blk Cap 0704100EW, Wash edges, float on foam, 0.5" to show, 1" foam spacer, Clr Acrylic VO 20X30</t>
  </si>
  <si>
    <t>BSB02 24X32</t>
  </si>
  <si>
    <t>Blk Cap 0704100EW, Wash edges, float on foam, 1" to show, 1" foam spacer, Clr Acrylic VO 24X32</t>
  </si>
  <si>
    <t>BSB02 32X32</t>
  </si>
  <si>
    <t>Blk Cap 0704100EW, Wash edges, float on foam, 1" to show, 1" foam spacer, Clr Acrylic VO 32x32</t>
  </si>
  <si>
    <t>BSB02 40X56</t>
  </si>
  <si>
    <t>Blk Cap 0704100EW, Wash edges, float on foam, 1" to show, 1" foam spacer, Clr Acrylic VO 40x56</t>
  </si>
  <si>
    <t>BSB02 48X48</t>
  </si>
  <si>
    <t>Blk Cap 0704100EW, Wash edges, float on foam, 1" to show, 1" foam spacer, Clr Acrylic VO 48x48</t>
  </si>
  <si>
    <t>BSB02 48X80</t>
  </si>
  <si>
    <t>Blk Cap 0704100EW, Wash edges, float on foam, 1" to show, 1" foam spacer, Clr Acrylic VO 48x80</t>
  </si>
  <si>
    <t>BSB02 56X96</t>
  </si>
  <si>
    <t>,</t>
  </si>
  <si>
    <t>MM INK WASH; GOLD SHADOW BOX, WASH EDGES, FLOAT ON FOAM, 1" MAT TO SHOW, 1" SPACER, CLEAT</t>
  </si>
  <si>
    <t>GBS01 44X60</t>
  </si>
  <si>
    <t>Gold Cap xxxxxxx, Wash edges, float on foam, 1" to show, 1" foam spacer, Clr Acrylic VO 44x60</t>
  </si>
  <si>
    <t>need price 5.12.22</t>
  </si>
  <si>
    <t>NSB02 48X48</t>
  </si>
  <si>
    <t>Nat Cap 0704600EW, Wash edges, float on foam, 1" to show, 1" foam spacer, Clr Acrylic VO 48x48</t>
  </si>
  <si>
    <t>Current 7/1/2022</t>
  </si>
  <si>
    <t>SIZE</t>
  </si>
  <si>
    <t>REGULAR BOXES FOR GALLER WRAP ITEMS (4" THICK WITH CORNERS)</t>
  </si>
  <si>
    <t>Cleat</t>
  </si>
  <si>
    <t>FPS 8X10</t>
  </si>
  <si>
    <t>Gallery Wrap - 703000-SB  (8X10)</t>
  </si>
  <si>
    <t>FPS 9X12</t>
  </si>
  <si>
    <t>Gallery Wrap - 703000-SB  (9x12)</t>
  </si>
  <si>
    <t>FPS10X12</t>
  </si>
  <si>
    <t>Gallery Wrap - 703000-SB  (10x12)</t>
  </si>
  <si>
    <t>FPS 11X13</t>
  </si>
  <si>
    <t>Gallery Wrap - 703000-SB  (11x13)</t>
  </si>
  <si>
    <t>FPS 11X14</t>
  </si>
  <si>
    <t>Gallery Wrap - 703000-SB  (11x14)</t>
  </si>
  <si>
    <t>FPS 11X16</t>
  </si>
  <si>
    <t>Gallery Wrap - 703000-SB  (11x16)</t>
  </si>
  <si>
    <t>FPS 12X12</t>
  </si>
  <si>
    <t>Gallery Wrap - 703000-SB  (12x12)</t>
  </si>
  <si>
    <t>FPS 12X14</t>
  </si>
  <si>
    <t>Gallery Wrap - 703000-SB  (12x14)</t>
  </si>
  <si>
    <t>FPS 12X16</t>
  </si>
  <si>
    <t>Gallery Wrap - 703000-SB  (12x16)</t>
  </si>
  <si>
    <t>FPS 12X35</t>
  </si>
  <si>
    <t>Gallery Wrap - 703000-SB  (12x35)</t>
  </si>
  <si>
    <t>FPS 15X20</t>
  </si>
  <si>
    <t>Gallery Wrap - 703000-SB  (15x20)</t>
  </si>
  <si>
    <t>FPS 15X21</t>
  </si>
  <si>
    <t>Gallery Wrap - 703000-SB  (15x21)</t>
  </si>
  <si>
    <t>FPS 16X16</t>
  </si>
  <si>
    <t>Gallery Wrap - 703000-SB  (16x16)</t>
  </si>
  <si>
    <t>FPS 16X18</t>
  </si>
  <si>
    <t>Gallery Wrap - 703000-SB  (16x18)</t>
  </si>
  <si>
    <t>FPS 16X20</t>
  </si>
  <si>
    <t>Gallery Wrap - 703000-SB  (16x20)</t>
  </si>
  <si>
    <t>FPS 16X24</t>
  </si>
  <si>
    <t>Gallery Wrap - 703000-SB  (16x24)</t>
  </si>
  <si>
    <t>FPS 16X48</t>
  </si>
  <si>
    <t>Gallery Wrap - 703000-SB  (16x48)</t>
  </si>
  <si>
    <t>16X48</t>
  </si>
  <si>
    <t>FPS 17X24</t>
  </si>
  <si>
    <t>Gallery Wrap - 703000-SB  (17X24)</t>
  </si>
  <si>
    <t>FPS 18X18</t>
  </si>
  <si>
    <t>Gallery Wrap - 703000-SB  (18X18)</t>
  </si>
  <si>
    <t>FPS 18X22</t>
  </si>
  <si>
    <t>Gallery Wrap - 703000-SB  (18X22)</t>
  </si>
  <si>
    <t>FPS 18x38</t>
  </si>
  <si>
    <t>Gallery Wrap - 703000-SB  (18x38)</t>
  </si>
  <si>
    <t>18x38</t>
  </si>
  <si>
    <t>FPS 19X24</t>
  </si>
  <si>
    <t>Gallery Wrap - 703000-SB  (19x24)</t>
  </si>
  <si>
    <t>FPS 20X24</t>
  </si>
  <si>
    <t>Gallery Wrap - 703000-SB  (20x24)</t>
  </si>
  <si>
    <t>FPS 20X26</t>
  </si>
  <si>
    <t>Gallery Wrap - 703000-SB  (20x26)</t>
  </si>
  <si>
    <t>FPS 20X30</t>
  </si>
  <si>
    <t>Gallery Wrap - 703000-SB  (20x30)</t>
  </si>
  <si>
    <t>FPS 22X30</t>
  </si>
  <si>
    <t>Gallery Wrap - 703000-SB  (22x30)</t>
  </si>
  <si>
    <t>FPS 23X28</t>
  </si>
  <si>
    <t>Gallery Wrap - 703000-SB  (23X28)</t>
  </si>
  <si>
    <t>FPS 23X38</t>
  </si>
  <si>
    <t>Gallery Wrap - 703000-SB  (23x38)</t>
  </si>
  <si>
    <t>23X38</t>
  </si>
  <si>
    <t>FPS 24X24</t>
  </si>
  <si>
    <t>Gallery Wrap - 703000-SB  (24x24)</t>
  </si>
  <si>
    <t>FPS 24X28</t>
  </si>
  <si>
    <t>Gallery Wrap - 703000-SB  (24x28)</t>
  </si>
  <si>
    <t>24X28</t>
  </si>
  <si>
    <t>FPS 24X28.5</t>
  </si>
  <si>
    <t>Gallery Wrap - 703000-SB  (24x28.5)</t>
  </si>
  <si>
    <t>X28.5</t>
  </si>
  <si>
    <t>FPS 24X30</t>
  </si>
  <si>
    <t>Gallery Wrap - 703000-SB  (24x30)</t>
  </si>
  <si>
    <t>FPS 24X32</t>
  </si>
  <si>
    <t>Gallery Wrap - 703000-SB  (24x32)</t>
  </si>
  <si>
    <t>FPS 24X36</t>
  </si>
  <si>
    <t>Gallery Wrap - 703000-SB  (24x36)</t>
  </si>
  <si>
    <t>FPS 24x48</t>
  </si>
  <si>
    <t>Gallery Wrap - 703000-SB  (24x48)</t>
  </si>
  <si>
    <t>24x48</t>
  </si>
  <si>
    <t>FPS 24X60</t>
  </si>
  <si>
    <t>Gallery Wrap - 703000-SB  (24x60)</t>
  </si>
  <si>
    <t>24X60</t>
  </si>
  <si>
    <t>FPS 25X31</t>
  </si>
  <si>
    <t>Gallery Wrap - 703000-SB  (25X31)</t>
  </si>
  <si>
    <t>FPS 25X33</t>
  </si>
  <si>
    <t>Gallery Wrap - 703000-SB  (25X33)</t>
  </si>
  <si>
    <t>FPS 26X26</t>
  </si>
  <si>
    <t>Gallery Wrap - 703000-SB  (26X26)</t>
  </si>
  <si>
    <t>FPS 26X56</t>
  </si>
  <si>
    <t>Gallery Wrap - 703000-SB  (26x56)</t>
  </si>
  <si>
    <t>26X56</t>
  </si>
  <si>
    <t>FPS 28X35</t>
  </si>
  <si>
    <t>Gallery Wrap - 703000-SB  (28x35)</t>
  </si>
  <si>
    <t>FPS 28.5X60</t>
  </si>
  <si>
    <t>Gallery Wrap - 703000-SB  (28.5x60)</t>
  </si>
  <si>
    <t>28.5X56</t>
  </si>
  <si>
    <t>FPS 30X30</t>
  </si>
  <si>
    <t>Gallery Wrap - 703000-SB  (30X30)</t>
  </si>
  <si>
    <t>FPS 30X36</t>
  </si>
  <si>
    <t>Gallery Wrap - 703000-SB  (30X36)</t>
  </si>
  <si>
    <t>FPS 30X40</t>
  </si>
  <si>
    <t>Gallery Wrap - 703000-SB  (30x40)</t>
  </si>
  <si>
    <t>FPS 30x42</t>
  </si>
  <si>
    <t>Gallery Wrap - 703000-SB  (30x42)</t>
  </si>
  <si>
    <t>30x42</t>
  </si>
  <si>
    <t>FPS 30x48</t>
  </si>
  <si>
    <t>Gallery Wrap - 703000-SB  (30x48)</t>
  </si>
  <si>
    <t>FPS 30X60</t>
  </si>
  <si>
    <t>Gallery Wrap - 703000-SB  (30x60)</t>
  </si>
  <si>
    <t>30X60</t>
  </si>
  <si>
    <t>FPS 31X31</t>
  </si>
  <si>
    <t>Gallery Wrap - 703000-SB  (31x31)</t>
  </si>
  <si>
    <t>FPS 31X40</t>
  </si>
  <si>
    <t>Gallery Wrap - 703000-SB  (31x40)</t>
  </si>
  <si>
    <t>31X40</t>
  </si>
  <si>
    <t>FPS 31x47</t>
  </si>
  <si>
    <t>Gallery Wrap - 703000-SB  (31x47)</t>
  </si>
  <si>
    <t>FPS 32X32</t>
  </si>
  <si>
    <t>Gallery Wrap - 703000-SB  (32x32)</t>
  </si>
  <si>
    <t>FPS 32X36</t>
  </si>
  <si>
    <t>Gallery Wrap - 703000-SB  (32x36)</t>
  </si>
  <si>
    <t>FPS 32X38</t>
  </si>
  <si>
    <t>Gallery Wrap - 703000-SB  (32x38)</t>
  </si>
  <si>
    <t>32X38</t>
  </si>
  <si>
    <t>FPS 32X40</t>
  </si>
  <si>
    <t>Gallery Wrap - 703000-SB  (32x40)</t>
  </si>
  <si>
    <t>FPS 33x42</t>
  </si>
  <si>
    <t>Gallery Wrap - 703000-SB  (33x42)</t>
  </si>
  <si>
    <t>FPS 33x48</t>
  </si>
  <si>
    <t>Gallery Wrap - 703000-SB  (33x48)</t>
  </si>
  <si>
    <t>33x48</t>
  </si>
  <si>
    <t>FPS 33x50</t>
  </si>
  <si>
    <t>Gallery Wrap - 703000-SB  (33x50)</t>
  </si>
  <si>
    <t>33x50</t>
  </si>
  <si>
    <t>FPS 33x60</t>
  </si>
  <si>
    <t>Gallery Wrap - 703000-SB  (33x60)</t>
  </si>
  <si>
    <t>33x60</t>
  </si>
  <si>
    <t>FPS 34X42</t>
  </si>
  <si>
    <t>Gallery Wrap - 703000-SB  (34x42)</t>
  </si>
  <si>
    <t>34X42</t>
  </si>
  <si>
    <t>FPS 34X56</t>
  </si>
  <si>
    <t>Gallery Wrap - 703000-SB  (34x56)</t>
  </si>
  <si>
    <t>34X56</t>
  </si>
  <si>
    <t>FPS 35x48</t>
  </si>
  <si>
    <t>Gallery Wrap - 703000-SB  (35x48)</t>
  </si>
  <si>
    <t>35x48</t>
  </si>
  <si>
    <t>FPS 35X53</t>
  </si>
  <si>
    <t>Gallery Wrap - 703000-SB  (35X53)</t>
  </si>
  <si>
    <t>35X53</t>
  </si>
  <si>
    <t>FPS 36X36</t>
  </si>
  <si>
    <t>Gallery Wrap - 703000-SB  (36x36)</t>
  </si>
  <si>
    <t>FPS 36x44</t>
  </si>
  <si>
    <t>Gallery Wrap - 703000-SB  (36x44)</t>
  </si>
  <si>
    <t>FPS 36x45</t>
  </si>
  <si>
    <t>Gallery Wrap - 703000-SB  (36x45)</t>
  </si>
  <si>
    <t>FPS 36X47</t>
  </si>
  <si>
    <t>Gallery Wrap - 703000-SB  (36x47)</t>
  </si>
  <si>
    <t>FPS 36X48</t>
  </si>
  <si>
    <t>Gallery Wrap - 703000-SB  (36x48)</t>
  </si>
  <si>
    <t>FPS 36X53</t>
  </si>
  <si>
    <t>Gallery Wrap - 703000-SB  (36x53)</t>
  </si>
  <si>
    <t>36X53</t>
  </si>
  <si>
    <t>FPS 36X54</t>
  </si>
  <si>
    <t>Gallery Wrap - 703000-SB  (36x54)</t>
  </si>
  <si>
    <t>36X54</t>
  </si>
  <si>
    <t>FPS 36X55</t>
  </si>
  <si>
    <t>Gallery Wrap - 703000-SB  (36x55)</t>
  </si>
  <si>
    <t>36X55</t>
  </si>
  <si>
    <t>FPS 36X60</t>
  </si>
  <si>
    <t>Gallery Wrap - 703000-SB  (36x60)</t>
  </si>
  <si>
    <t>FPS 36X72</t>
  </si>
  <si>
    <t>Gallery Wrap - 703000-SB  (36x72)</t>
  </si>
  <si>
    <t>36X72</t>
  </si>
  <si>
    <t>FPS 38X38</t>
  </si>
  <si>
    <t>Gallery Wrap - 703000-SB  (38x38)</t>
  </si>
  <si>
    <t>FPS 38X48</t>
  </si>
  <si>
    <t>Gallery Wrap - 703000-SB  (38x48)</t>
  </si>
  <si>
    <t>FPS 38x50</t>
  </si>
  <si>
    <t>Gallery Wrap - 703000-SB  (38x50)</t>
  </si>
  <si>
    <t>FPS 38x54</t>
  </si>
  <si>
    <t>Gallery Wrap - 703000-SB  (38x54)</t>
  </si>
  <si>
    <t>38x54</t>
  </si>
  <si>
    <t>FPS 39X47</t>
  </si>
  <si>
    <t>Gallery Wrap - 703000-SB  (39x47)</t>
  </si>
  <si>
    <t>FPS 39X55</t>
  </si>
  <si>
    <t>Gallery Wrap - 703000-SB  (39x55)</t>
  </si>
  <si>
    <t>FPS 40X40</t>
  </si>
  <si>
    <t>Gallery Wrap - 703000-SB  (40x40)</t>
  </si>
  <si>
    <t>40x40</t>
  </si>
  <si>
    <t>FPS 40X48</t>
  </si>
  <si>
    <t>Gallery Wrap - 703000-SB  (40x48)</t>
  </si>
  <si>
    <t>FPS 40X50</t>
  </si>
  <si>
    <t>Gallery Wrap - 703000-SB  (40x50)</t>
  </si>
  <si>
    <t>FPS 40X52</t>
  </si>
  <si>
    <t>Gallery Wrap - 703000-SB  (40x52)</t>
  </si>
  <si>
    <t>FPS 40X53</t>
  </si>
  <si>
    <t>Gallery Wrap - 703000-SB  (40X53)</t>
  </si>
  <si>
    <t>40X53</t>
  </si>
  <si>
    <t>FPS 40X54</t>
  </si>
  <si>
    <t>Gallery Wrap - 703000-SB  (40x54)</t>
  </si>
  <si>
    <t>FPS 40X60</t>
  </si>
  <si>
    <t>Gallery Wrap - 703000-SB  (40x60)</t>
  </si>
  <si>
    <t>FPS 40X65</t>
  </si>
  <si>
    <t>Gallery Wrap - 703000-SB  (40x65)</t>
  </si>
  <si>
    <t>FPS 40x72</t>
  </si>
  <si>
    <t>Gallery Wrap - 703000-SB  (40x72)</t>
  </si>
  <si>
    <t>40x72</t>
  </si>
  <si>
    <t>FPS 41X60</t>
  </si>
  <si>
    <t>Gallery Wrap - 703000-SB  (41x60)</t>
  </si>
  <si>
    <t>41X60</t>
  </si>
  <si>
    <t>FPS 42x42</t>
  </si>
  <si>
    <t>Gallery Wrap - 703000-SB  (42x42)</t>
  </si>
  <si>
    <t>FPS 42X51</t>
  </si>
  <si>
    <t>Gallery Wrap - 703000-SB  (42x51)</t>
  </si>
  <si>
    <t>42X51</t>
  </si>
  <si>
    <t>FPS 42X52</t>
  </si>
  <si>
    <t>Gallery Wrap - 703000-SB  (42x52)</t>
  </si>
  <si>
    <t>FPS 42X53</t>
  </si>
  <si>
    <t>Gallery Wrap - 703000-SB  (42X53)</t>
  </si>
  <si>
    <t>42X53</t>
  </si>
  <si>
    <t>FPS 42x56</t>
  </si>
  <si>
    <t>Gallery Wrap - 703000-SB  (42x56)</t>
  </si>
  <si>
    <t>FPS 42x63</t>
  </si>
  <si>
    <t>Gallery Wrap - 703000-SB  (42x63)</t>
  </si>
  <si>
    <t>42X63</t>
  </si>
  <si>
    <t>FPS 42x72</t>
  </si>
  <si>
    <t>Gallery Wrap - 703000-SB  (42x72)</t>
  </si>
  <si>
    <t>42x72</t>
  </si>
  <si>
    <t>FPS 43X70</t>
  </si>
  <si>
    <t>Gallery Wrap - 703000-SB  (43x70)</t>
  </si>
  <si>
    <t>43X70</t>
  </si>
  <si>
    <t>FPS 44X60</t>
  </si>
  <si>
    <t>Gallery Wrap - 703000-SB  (44x60)</t>
  </si>
  <si>
    <t>FPS 44X74</t>
  </si>
  <si>
    <t>Gallery Wrap - 703000-SB  (44x74)</t>
  </si>
  <si>
    <t>FPS 45x48</t>
  </si>
  <si>
    <t>Gallery Wrap - 703000-SB  (45x48)</t>
  </si>
  <si>
    <t>45x48</t>
  </si>
  <si>
    <t>FPS 45X57</t>
  </si>
  <si>
    <t>Gallery Wrap - 703000-SB  (45x57)</t>
  </si>
  <si>
    <t>45X57</t>
  </si>
  <si>
    <t>FPS 45X58</t>
  </si>
  <si>
    <t>Gallery Wrap - 703000-SB  (45x58)</t>
  </si>
  <si>
    <t>45X58</t>
  </si>
  <si>
    <t>FPS 45X60</t>
  </si>
  <si>
    <t>Gallery Wrap - 703000-SB  (45x60)</t>
  </si>
  <si>
    <t>45X60</t>
  </si>
  <si>
    <t>FPS 45X90</t>
  </si>
  <si>
    <t>Gallery Wrap - 703000-SB  (45x90)</t>
  </si>
  <si>
    <t>45X90</t>
  </si>
  <si>
    <t>FPS 46X64</t>
  </si>
  <si>
    <t>Gallery Wrap - 703000-SB  (46x64)</t>
  </si>
  <si>
    <t>46X64</t>
  </si>
  <si>
    <t>FPS 46X70</t>
  </si>
  <si>
    <t>Gallery Wrap - 703000-SB  (46x70)</t>
  </si>
  <si>
    <t>46X70</t>
  </si>
  <si>
    <t>FPS 47X47</t>
  </si>
  <si>
    <t>Gallery Wrap - 703000-SB  (47x47)</t>
  </si>
  <si>
    <t>FPS 47X48</t>
  </si>
  <si>
    <t>Gallery Wrap - 703000-SB  (47x48)</t>
  </si>
  <si>
    <t>47X48</t>
  </si>
  <si>
    <t>FPS 47X60</t>
  </si>
  <si>
    <t>Gallery Wrap - 703000-SB  (47x60)</t>
  </si>
  <si>
    <t>47X60</t>
  </si>
  <si>
    <t>FPS 47x62</t>
  </si>
  <si>
    <t>Gallery Wrap - 703000-SB  (47x62)</t>
  </si>
  <si>
    <t>47x62</t>
  </si>
  <si>
    <t>FPS 47X68</t>
  </si>
  <si>
    <t>Gallery Wrap - 703000-SB  (47x68)</t>
  </si>
  <si>
    <t>FPS 47X69</t>
  </si>
  <si>
    <t>Gallery Wrap - 703000-SB  (47x69)</t>
  </si>
  <si>
    <t>FPS 48x33</t>
  </si>
  <si>
    <t>Gallery Wrap - 703000-SB  (48x33)</t>
  </si>
  <si>
    <t>FPS 48X48</t>
  </si>
  <si>
    <t>Gallery Wrap - 703000-SB  (48x48)</t>
  </si>
  <si>
    <t>FPS 48x54</t>
  </si>
  <si>
    <t>Gallery Wrap - 703000-SB  (48x54)</t>
  </si>
  <si>
    <t>FPS 48x55</t>
  </si>
  <si>
    <t>Gallery Wrap - 703000-SB  (48x55)</t>
  </si>
  <si>
    <t>48x55</t>
  </si>
  <si>
    <t>FPS 48x56</t>
  </si>
  <si>
    <t>Gallery Wrap - 703000-SB  (48x56)</t>
  </si>
  <si>
    <t>FPS 48X60</t>
  </si>
  <si>
    <t>Gallery Wrap - 703000-SB  (48x60)</t>
  </si>
  <si>
    <t>FPS 48X62</t>
  </si>
  <si>
    <t>Gallery Wrap - 703000-SB  (48x62)</t>
  </si>
  <si>
    <t>FPS 48X64</t>
  </si>
  <si>
    <t>Gallery Wrap - 703000-SB  (48x64)</t>
  </si>
  <si>
    <t>FPS 48X68</t>
  </si>
  <si>
    <t>Gallery Wrap - 703000-SB  (48x68)</t>
  </si>
  <si>
    <t>48X68</t>
  </si>
  <si>
    <t>FPS 48X70</t>
  </si>
  <si>
    <t>Gallery Wrap - 703000-SB  (48x70)</t>
  </si>
  <si>
    <t>FPS 48X72</t>
  </si>
  <si>
    <t>Gallery Wrap - 703000-SB  (48x72)</t>
  </si>
  <si>
    <t>FPS 48X74</t>
  </si>
  <si>
    <t>Gallery Wrap - 703000-SB  (48x74)</t>
  </si>
  <si>
    <t>48X74</t>
  </si>
  <si>
    <t>FPS 48x80</t>
  </si>
  <si>
    <t>Gallery Wrap - 703000-SB  (48x80)</t>
  </si>
  <si>
    <t>48x80</t>
  </si>
  <si>
    <t>FPS 48X96</t>
  </si>
  <si>
    <t>Gallery Wrap - 703000-SB  (48x96)</t>
  </si>
  <si>
    <t>48X96</t>
  </si>
  <si>
    <t>FPS 49X72</t>
  </si>
  <si>
    <t>Gallery Wrap - 703000-SB  (49x72)</t>
  </si>
  <si>
    <t>FPS 50X60</t>
  </si>
  <si>
    <t>Gallery Wrap - 703000-SB  (50x60)</t>
  </si>
  <si>
    <t>FPS 50X68</t>
  </si>
  <si>
    <t>Gallery Wrap - 703000-SB  (50x68)</t>
  </si>
  <si>
    <t>FPS 50X70</t>
  </si>
  <si>
    <t>Gallery Wrap - 703000-SB  (50x70)</t>
  </si>
  <si>
    <t>FPS 50X80</t>
  </si>
  <si>
    <t>Gallery Wrap - 703000-SB  (50x80)</t>
  </si>
  <si>
    <t>FPS 51X64</t>
  </si>
  <si>
    <t>Gallery Wrap - 703000-SB  (51x64)</t>
  </si>
  <si>
    <t>FPS 52X52</t>
  </si>
  <si>
    <t>Gallery Wrap - 703000-SB  (52x52)</t>
  </si>
  <si>
    <t>FPS 52X58</t>
  </si>
  <si>
    <t>Gallery Wrap - 703000-SB  (52x58)</t>
  </si>
  <si>
    <t>52X58</t>
  </si>
  <si>
    <t>FPS 52X66</t>
  </si>
  <si>
    <t>Gallery Wrap - 703000-SB  (52x66)</t>
  </si>
  <si>
    <t>52X66</t>
  </si>
  <si>
    <t>FPS 52X70</t>
  </si>
  <si>
    <t>Gallery Wrap - 703000-SB  (52x70)</t>
  </si>
  <si>
    <t>FPS 52X78</t>
  </si>
  <si>
    <t>Gallery Wrap - 703000-SB  (52x78)</t>
  </si>
  <si>
    <t>FPS 52X84</t>
  </si>
  <si>
    <t>Gallery Wrap - 703000-SB  (52x84)</t>
  </si>
  <si>
    <t>FPS 54X54</t>
  </si>
  <si>
    <t>Gallery Wrap - 703000-SB  (54x54)</t>
  </si>
  <si>
    <t>FPS 54X63</t>
  </si>
  <si>
    <t>Gallery Wrap - 703000-SB  (54x63)</t>
  </si>
  <si>
    <t>FPS 54X72</t>
  </si>
  <si>
    <t>Gallery Wrap - 703000-SB  (54x72)</t>
  </si>
  <si>
    <t>FPS 54X76</t>
  </si>
  <si>
    <t>Gallery Wrap - 703000-SB  (54x76)</t>
  </si>
  <si>
    <t>54X76</t>
  </si>
  <si>
    <t>FPS 55X78</t>
  </si>
  <si>
    <t>Gallery Wrap - 703000-SB  (55x78)</t>
  </si>
  <si>
    <t>55x78</t>
  </si>
  <si>
    <t>FPS 56X56</t>
  </si>
  <si>
    <t>Gallery Wrap - 703000-SB  (56X56)</t>
  </si>
  <si>
    <t>FPS 56X68</t>
  </si>
  <si>
    <t>Gallery Wrap - 703000-SB  (56x68)</t>
  </si>
  <si>
    <t>56X68</t>
  </si>
  <si>
    <t>FPS 56X70</t>
  </si>
  <si>
    <t>Gallery Wrap - 703000-SB  (56x70)</t>
  </si>
  <si>
    <t>FPS 56X72</t>
  </si>
  <si>
    <t>Gallery Wrap - 703000-SB  (56x72)</t>
  </si>
  <si>
    <t>FPS 56X74</t>
  </si>
  <si>
    <t>Gallery Wrap - 703000-SB  (56x74)</t>
  </si>
  <si>
    <t>FPS 56X90</t>
  </si>
  <si>
    <t>Gallery Wrap - 703000-SB  (56x90)</t>
  </si>
  <si>
    <t>56X90</t>
  </si>
  <si>
    <t>FPS 56X96</t>
  </si>
  <si>
    <t>Gallery Wrap - 703000-SB  (56x96)</t>
  </si>
  <si>
    <t>56X96</t>
  </si>
  <si>
    <t>FPS 57X60</t>
  </si>
  <si>
    <t>Gallery Wrap - 703000-SB  (57x60)</t>
  </si>
  <si>
    <t>57X60</t>
  </si>
  <si>
    <t>FPS 57X72</t>
  </si>
  <si>
    <t>Gallery Wrap - 703000-SB  (57x72)</t>
  </si>
  <si>
    <t>FPS 58X72</t>
  </si>
  <si>
    <t>Gallery Wrap - 706000-SB  (58x72)</t>
  </si>
  <si>
    <t>FPS 58X80</t>
  </si>
  <si>
    <t>Gallery Wrap - 706000-SB  (58x80)</t>
  </si>
  <si>
    <t>FPS 60X60</t>
  </si>
  <si>
    <t>Gallery Wrap - 706000-SB  (60x60)</t>
  </si>
  <si>
    <t>58X80</t>
  </si>
  <si>
    <t>FPS 60X72</t>
  </si>
  <si>
    <t>Gallery Wrap - 706000-SB  (60x72)</t>
  </si>
  <si>
    <t>FPS 60x80</t>
  </si>
  <si>
    <t>Gallery Wrap - 706000-SB  (60x80)</t>
  </si>
  <si>
    <t>FPS 60x84</t>
  </si>
  <si>
    <t>Gallery Wrap - 706000-SB  (60x84)</t>
  </si>
  <si>
    <t>FPS 60X105</t>
  </si>
  <si>
    <t>Gallery Wrap - 706000-SB  (60x105)</t>
  </si>
  <si>
    <t>60x84</t>
  </si>
  <si>
    <t>FPS 62x80</t>
  </si>
  <si>
    <t>Gallery Wrap - 706000-SB  (62x80)</t>
  </si>
  <si>
    <t>69x89</t>
  </si>
  <si>
    <t>FPS 64X80</t>
  </si>
  <si>
    <t>Gallery Wrap - 706000-SB  (64x80)</t>
  </si>
  <si>
    <t>62x80</t>
  </si>
  <si>
    <t>FPS 64X96</t>
  </si>
  <si>
    <t>Gallery Wrap - 706000-SB  (64x96)</t>
  </si>
  <si>
    <t>FPS 68X68</t>
  </si>
  <si>
    <t>Gallery Wrap - 706000-SB  (68X68)</t>
  </si>
  <si>
    <t>FPS 68X90</t>
  </si>
  <si>
    <t>Gallery Wrap - 706000-SB  (68X90)</t>
  </si>
  <si>
    <t>FPS 69x89</t>
  </si>
  <si>
    <t>Gallery Wrap - 706000-SB  (69x89)</t>
  </si>
  <si>
    <t>69X89</t>
  </si>
  <si>
    <t>FPS 72x72</t>
  </si>
  <si>
    <t>Gallery Wrap - 706000-SB  (72x72)</t>
  </si>
  <si>
    <t>FPS 72X86</t>
  </si>
  <si>
    <t>Gallery Wrap - 706000-SB  (72x86)</t>
  </si>
  <si>
    <t>FPS 72X96</t>
  </si>
  <si>
    <t>Gallery Wrap - 706000-SB  (72x96)</t>
  </si>
  <si>
    <t>FPS 72X110</t>
  </si>
  <si>
    <t>Gallery Wrap - 706000-SB  (72x110)</t>
  </si>
  <si>
    <t>72X110</t>
  </si>
  <si>
    <t>GALLERY WRAP WITH TACK</t>
  </si>
  <si>
    <t>GWT 6X19</t>
  </si>
  <si>
    <t>GALLERY WRAP-703000-SB 6X19 WITH TACKS</t>
  </si>
  <si>
    <t>GWT 8X10</t>
  </si>
  <si>
    <t>GALLERY WRAP-703000-SB 8X10 WITH TACKS</t>
  </si>
  <si>
    <t>GWT 9X12</t>
  </si>
  <si>
    <t>GALLERY WRAP-703000-SB 9X12 WITH TACKS</t>
  </si>
  <si>
    <t>GWT 11X13</t>
  </si>
  <si>
    <t>GALLERY WRAP-703000-SB 11X13 WITH TACKS</t>
  </si>
  <si>
    <t>GWT 11X16</t>
  </si>
  <si>
    <t>GALLERY WRAP-703000-SB 11X16WITH TACKS</t>
  </si>
  <si>
    <t>GWT 12X16</t>
  </si>
  <si>
    <t>GALLERY WRAP-703000-SB 12X16 WITH TACKS</t>
  </si>
  <si>
    <t>GWT 13X17</t>
  </si>
  <si>
    <t>GALLERY WRAP-703000-SB 13X17 WITH TACKS</t>
  </si>
  <si>
    <t>GWT 14X18</t>
  </si>
  <si>
    <t>GALLERY WRAP-703000-SB 14X18 WITH TACKS</t>
  </si>
  <si>
    <t>GWT 14X20</t>
  </si>
  <si>
    <t>GALLERY WRAP-703000-SB 14X20 WITH TACKS</t>
  </si>
  <si>
    <t>GWT 15X21</t>
  </si>
  <si>
    <t>GALLERY WRAP-703000-SB 15X21 WITH TACKS</t>
  </si>
  <si>
    <t>GWT 16X18</t>
  </si>
  <si>
    <t>GALLERY WRAP-703000-SB 16X18 WITH TACKS</t>
  </si>
  <si>
    <t>GWT 16X20</t>
  </si>
  <si>
    <t>GALLERY WRAP-703000-SB 16X20 WITH TACKS</t>
  </si>
  <si>
    <t>GWT17X24</t>
  </si>
  <si>
    <t>GALLERY WRAP-703000-SB 17X24 WITH TACKS</t>
  </si>
  <si>
    <t>GWT 18X22</t>
  </si>
  <si>
    <t>GALLERY WRAP-703000-SB 18X22 WITH TACKS</t>
  </si>
  <si>
    <t>GWT 24X36</t>
  </si>
  <si>
    <t>GALLERY WRAP-703000-SB 24X36 WITH TACKS</t>
  </si>
  <si>
    <t>GWT 20X30</t>
  </si>
  <si>
    <t>GALLERY WRAP-703000-SB 30X20 WITH TACKS</t>
  </si>
  <si>
    <t>GWT 36X36</t>
  </si>
  <si>
    <t>GALLERY WRAP-703000-SB 36X36 WITH TACKS</t>
  </si>
  <si>
    <t>8-19-21</t>
  </si>
  <si>
    <t>BOM</t>
  </si>
  <si>
    <t>PORTRAIT</t>
  </si>
  <si>
    <t>LANDSCAPE</t>
  </si>
  <si>
    <t>J Hook</t>
  </si>
  <si>
    <t>General Public</t>
  </si>
  <si>
    <t>Cali Framing</t>
  </si>
  <si>
    <t>GALLERY WRAP WITH LO PROFILE BOX - NO CORNERS. PRICE INCLUDES STRETCH, FINSH WITH D-RINGS, PACK, LABEL AND SHIP</t>
  </si>
  <si>
    <t>PIRCED WITH D-RINGS. ADD CLEATS OF J-HOOKS IF NEEDED</t>
  </si>
  <si>
    <t>FPSLP 15X20</t>
  </si>
  <si>
    <t>Gallery Wrap - 703000-SB  (15X20) Lo Profile</t>
  </si>
  <si>
    <t>incl 2 hooks</t>
  </si>
  <si>
    <t>FPSLP 16X16</t>
  </si>
  <si>
    <t>Gallery Wrap - 703000-SB  (16X16) Lo Profile</t>
  </si>
  <si>
    <t>FPSLP 16X20</t>
  </si>
  <si>
    <t>Gallery Wrap - 703000-SB  (16X20) Lo Profile</t>
  </si>
  <si>
    <t>FPSLP 16X48</t>
  </si>
  <si>
    <t>Gallery Wrap - 703000-SB  (16X48) Lo Profile</t>
  </si>
  <si>
    <t>FPSLP 22X30</t>
  </si>
  <si>
    <t>Gallery Wrap - 703000-SB  (22X30) Lo Profile</t>
  </si>
  <si>
    <t>FPSLP 24X24</t>
  </si>
  <si>
    <t>Gallery Wrap - 703000-SB  (24X24) Lo Profile</t>
  </si>
  <si>
    <t>FPSLP 24X28</t>
  </si>
  <si>
    <t>Gallery Wrap - 703000-SB  (24X28) Lo Profile</t>
  </si>
  <si>
    <t>FPSLP 24X30</t>
  </si>
  <si>
    <t>Gallery Wrap - 703000-SB  (24X30) Lo Profile</t>
  </si>
  <si>
    <t>FPSLP 24X36</t>
  </si>
  <si>
    <t>Gallery Wrap - 703000-SB  (24X36) Lo Profile</t>
  </si>
  <si>
    <t>FPSLP 24X60</t>
  </si>
  <si>
    <t>Gallery Wrap - 703000-SB  (24X60) Lo Profile</t>
  </si>
  <si>
    <t>FPSLP 28.5X60</t>
  </si>
  <si>
    <t>Gallery Wrap - 703000-SB  (28.5X60) Lo Profile</t>
  </si>
  <si>
    <t>FPSLP 30X36</t>
  </si>
  <si>
    <t>Gallery Wrap - 703000-SB  (30X36) Lo Profile</t>
  </si>
  <si>
    <t>FPSLP 30X40</t>
  </si>
  <si>
    <t>Gallery Wrap - 703000-SB  (30X40) Lo Profile</t>
  </si>
  <si>
    <t>FPSLP 30X48</t>
  </si>
  <si>
    <t>Gallery Wrap - 703000-SB  (30X48) Lo Profile</t>
  </si>
  <si>
    <t>FPSLP 34X45</t>
  </si>
  <si>
    <t>Gallery Wrap - 703000-SB  (34X45) Lo Profile</t>
  </si>
  <si>
    <t>FPSLP 35X48</t>
  </si>
  <si>
    <t>Gallery Wrap - 703000-SB  (35X48) Lo Profile</t>
  </si>
  <si>
    <t>FPSLP 35X53</t>
  </si>
  <si>
    <t>Gallery Wrap - 703000-SB  (35X53) Lo Profile</t>
  </si>
  <si>
    <t>FPSLP 36X36</t>
  </si>
  <si>
    <t>Gallery Wrap - 703000-SB  (36X36) Lo Profile</t>
  </si>
  <si>
    <t>FPSLP 36X45</t>
  </si>
  <si>
    <t>Gallery Wrap - 703000-SB  (36X45) Lo Profile</t>
  </si>
  <si>
    <t>FPSLP 36X48</t>
  </si>
  <si>
    <t>Gallery Wrap - 703000-SB  (36X48) Lo Profile</t>
  </si>
  <si>
    <t>FPSLP 38X48</t>
  </si>
  <si>
    <t>Gallery Wrap - 703000-SB  (38X48) Lo Profile</t>
  </si>
  <si>
    <t>FPSLP 40X53</t>
  </si>
  <si>
    <t>Gallery Wrap - 703000-SB  (40X53) Lo Profile</t>
  </si>
  <si>
    <t>FPSLP 40X60</t>
  </si>
  <si>
    <t>Gallery Wrap - 703000-SB  (40X60) Lo Profile</t>
  </si>
  <si>
    <t>FPSLP 40X65</t>
  </si>
  <si>
    <t>Gallery Wrap - 703000-SB  (40X65) Lo Profile</t>
  </si>
  <si>
    <t>FPSLP 42X53</t>
  </si>
  <si>
    <t>Gallery Wrap - 703000-SB  (42X53) Lo Profile</t>
  </si>
  <si>
    <t>FPSLP 44X60</t>
  </si>
  <si>
    <t>Gallery Wrap - 703000-SB  (44X60) Lo Profile</t>
  </si>
  <si>
    <t>FPSLP 45X60</t>
  </si>
  <si>
    <t>Gallery Wrap - 703000-SB  (45X60) Lo Profile</t>
  </si>
  <si>
    <t>FPSLP 46X64</t>
  </si>
  <si>
    <t>Gallery Wrap - 703000-SB  (46X64) Lo Profile</t>
  </si>
  <si>
    <t>FPSLP 48X48</t>
  </si>
  <si>
    <t>Gallery Wrap - 703000-SB  (48X48) Lo Profile</t>
  </si>
  <si>
    <t>FPSLP 48X60</t>
  </si>
  <si>
    <t>Gallery Wrap - 703000-SB  (48X60) Lo Profile</t>
  </si>
  <si>
    <t>FPSLP 51X64</t>
  </si>
  <si>
    <t>Gallery Wrap - 703000-SB  (51X64) Lo Profile</t>
  </si>
  <si>
    <t>FPSLP 52X66</t>
  </si>
  <si>
    <t>Gallery Wrap - 703000-SB  (52X66) Lo Profile</t>
  </si>
  <si>
    <t>FPSLP 54X63</t>
  </si>
  <si>
    <t>Gallery Wrap - 703000-SB  (54X63) Lo Profile</t>
  </si>
  <si>
    <t>FPSLP 57X60</t>
  </si>
  <si>
    <t>Gallery Wrap - 703000-SB  (57X60) Lo Profile</t>
  </si>
  <si>
    <t>FPSLP 60X60</t>
  </si>
  <si>
    <t>Gallery Wrap - 703000-SB  (60X60) Lo Profile</t>
  </si>
  <si>
    <t>FPSLP 60X80</t>
  </si>
  <si>
    <t>Gallery Wrap - 703000-SB  (60X80) Lo Profile</t>
  </si>
  <si>
    <t>FPSLP 72X86</t>
  </si>
  <si>
    <t>Gallery Wrap - 703000-SB  (72X86) Lo Profile</t>
  </si>
  <si>
    <t>FPSLP 72X96</t>
  </si>
  <si>
    <t>Gallery Wrap - 703000-SB  (72X96) Lo Profile</t>
  </si>
  <si>
    <t>Type</t>
  </si>
  <si>
    <t>Item Class</t>
  </si>
  <si>
    <t>Posting Class</t>
  </si>
  <si>
    <t>Tax Category</t>
  </si>
  <si>
    <t>Base Unit</t>
  </si>
  <si>
    <t>Default Price</t>
  </si>
  <si>
    <t>Warehouse</t>
  </si>
  <si>
    <t>GP10136-TX</t>
  </si>
  <si>
    <t>Black Driftwood</t>
  </si>
  <si>
    <t>Non-Stock Item</t>
  </si>
  <si>
    <t>EXEMPT</t>
  </si>
  <si>
    <t>CaliFrame</t>
  </si>
  <si>
    <t>39x39</t>
  </si>
  <si>
    <t>Print at GP as of 5/1/21</t>
  </si>
  <si>
    <t>GP10132-TX</t>
  </si>
  <si>
    <t>Black Hashtag</t>
  </si>
  <si>
    <t>GP10142-TX</t>
  </si>
  <si>
    <t>Buster</t>
  </si>
  <si>
    <t>11x13</t>
  </si>
  <si>
    <t>GP10012-TX</t>
  </si>
  <si>
    <t>Collage 1</t>
  </si>
  <si>
    <t>GP10013-TX</t>
  </si>
  <si>
    <t>Collage 2</t>
  </si>
  <si>
    <t>GP10014-TX</t>
  </si>
  <si>
    <t>Collage 3</t>
  </si>
  <si>
    <t>GP10015-TX</t>
  </si>
  <si>
    <t>Collage 4</t>
  </si>
  <si>
    <t>GP10025-TX</t>
  </si>
  <si>
    <t>Diesel Black</t>
  </si>
  <si>
    <t>Discontinue at RH Q3 2021</t>
  </si>
  <si>
    <t>GP10024-TX</t>
  </si>
  <si>
    <t>Diesel Indigo</t>
  </si>
  <si>
    <t>GP10189-TX</t>
  </si>
  <si>
    <t>Emerald Diesel</t>
  </si>
  <si>
    <t>GP10046-TX</t>
  </si>
  <si>
    <t>Factory I</t>
  </si>
  <si>
    <t>43x43</t>
  </si>
  <si>
    <t>GP10185-TX</t>
  </si>
  <si>
    <t>Factory II</t>
  </si>
  <si>
    <t>GP10021-TX</t>
  </si>
  <si>
    <t>Fences I</t>
  </si>
  <si>
    <t>GP10063-TX</t>
  </si>
  <si>
    <t>Hashtag (White)</t>
  </si>
  <si>
    <t>Hashtag Reverse</t>
  </si>
  <si>
    <t>GP10147-TX</t>
  </si>
  <si>
    <t>Inaction</t>
  </si>
  <si>
    <t>Print at GP 2020</t>
  </si>
  <si>
    <t>GP10018-TX</t>
  </si>
  <si>
    <t>Landscape 1</t>
  </si>
  <si>
    <t>38x50</t>
  </si>
  <si>
    <t>Print at Factory as of 2020</t>
  </si>
  <si>
    <t>GP10110-TX</t>
  </si>
  <si>
    <t>Landscape 2</t>
  </si>
  <si>
    <t>GP10215-TX</t>
  </si>
  <si>
    <t>Morris</t>
  </si>
  <si>
    <t>GP10131-TX</t>
  </si>
  <si>
    <t>Nude</t>
  </si>
  <si>
    <t>18x14 7/8</t>
  </si>
  <si>
    <t>GP10011-TX</t>
  </si>
  <si>
    <t>Obtuse I</t>
  </si>
  <si>
    <t>GP10109-TX</t>
  </si>
  <si>
    <t>Obtuse II</t>
  </si>
  <si>
    <t>GP10153-TX</t>
  </si>
  <si>
    <t>Red Line</t>
  </si>
  <si>
    <t>GP10020-TX</t>
  </si>
  <si>
    <t>Sketches on Marble I (VI)</t>
  </si>
  <si>
    <t>GP10019-TX</t>
  </si>
  <si>
    <t>Sketches on Marble II</t>
  </si>
  <si>
    <t>GP10170-TX</t>
  </si>
  <si>
    <t>Structures II</t>
  </si>
  <si>
    <t>GP10003-TX</t>
  </si>
  <si>
    <t>Structures I</t>
  </si>
  <si>
    <t>GP10375-TX</t>
  </si>
  <si>
    <t>Touch The Sky I</t>
  </si>
  <si>
    <t>GP10376-TX</t>
  </si>
  <si>
    <t>Touch The Sky II</t>
  </si>
  <si>
    <t>GP10380-TX</t>
  </si>
  <si>
    <t>Vigor (Solage)</t>
  </si>
  <si>
    <t>20x22</t>
  </si>
  <si>
    <t>GP10381-TX</t>
  </si>
  <si>
    <t>Vim (Solage)</t>
  </si>
  <si>
    <t>GP10171-TX</t>
  </si>
  <si>
    <t>White Fences 5 (Solage)</t>
  </si>
  <si>
    <t>GP10141-TX</t>
  </si>
  <si>
    <t>Winston</t>
  </si>
  <si>
    <t>10.5x14.75</t>
  </si>
  <si>
    <t>GP10106-TX</t>
  </si>
  <si>
    <t>Zig Zag</t>
  </si>
  <si>
    <t>SOGW 15X20</t>
  </si>
  <si>
    <t>CALIFINISH</t>
  </si>
  <si>
    <t>SOGW 16x16</t>
  </si>
  <si>
    <t>SOGW 16x20</t>
  </si>
  <si>
    <t>SOGW 16x48</t>
  </si>
  <si>
    <t>SOGW 22x30</t>
  </si>
  <si>
    <t>SOGW 24x30</t>
  </si>
  <si>
    <t>SOGW 24x36</t>
  </si>
  <si>
    <t>SOGW 24x60</t>
  </si>
  <si>
    <t>SOGW 26X32</t>
  </si>
  <si>
    <t>Gallery Wrap - 703000-SB  (26X32)</t>
  </si>
  <si>
    <t>SOGW 28.5x60</t>
  </si>
  <si>
    <t>SOGW 30x40</t>
  </si>
  <si>
    <t>SOGW 30x48</t>
  </si>
  <si>
    <t>SOGW 34x45</t>
  </si>
  <si>
    <t>Gallery Wrap - 703000-SB  (34x45)</t>
  </si>
  <si>
    <t>SOGW 35x48</t>
  </si>
  <si>
    <t>SOGW 35x53</t>
  </si>
  <si>
    <t>Gallery Wrap - 703000-SB  (35x53)</t>
  </si>
  <si>
    <t>SOGW 36x36</t>
  </si>
  <si>
    <t>SOGW 36x45</t>
  </si>
  <si>
    <t>SOGW 36x48</t>
  </si>
  <si>
    <t>SOGW 38x48</t>
  </si>
  <si>
    <t>SOGW 40x53</t>
  </si>
  <si>
    <t>Gallery Wrap - 703000-SB  (40x53)</t>
  </si>
  <si>
    <t>SOGW 40x60</t>
  </si>
  <si>
    <t>SOGW 40x65</t>
  </si>
  <si>
    <t>SOGW 41x60</t>
  </si>
  <si>
    <t>SOGW 42x53</t>
  </si>
  <si>
    <t>Gallery Wrap - 703000-SB  (42x53)</t>
  </si>
  <si>
    <t>SOGW 44x60</t>
  </si>
  <si>
    <t>SOGW 45x60</t>
  </si>
  <si>
    <t>SOGW 46x64</t>
  </si>
  <si>
    <t>SOGW 47x60</t>
  </si>
  <si>
    <t>SOGW 48x48</t>
  </si>
  <si>
    <t>SOGW 48x60</t>
  </si>
  <si>
    <t>SOGW 52x66</t>
  </si>
  <si>
    <t>SOGW 54x68</t>
  </si>
  <si>
    <t>Gallery Wrap - 703000-SB  (54x68)</t>
  </si>
  <si>
    <t>SOGW 57x60</t>
  </si>
  <si>
    <t>SOGW 60x60</t>
  </si>
  <si>
    <t>SOGW 60x80</t>
  </si>
  <si>
    <t>SOGW 72x96</t>
  </si>
  <si>
    <t>SOBFL 60X60</t>
  </si>
  <si>
    <t>Gallery Wrap Black Floater - 702100-EW  (60x60)</t>
  </si>
  <si>
    <t>Gallery Wrap Black Floater</t>
  </si>
  <si>
    <t>SONCAP 52X60</t>
  </si>
  <si>
    <t>Natural Cap</t>
  </si>
  <si>
    <t>Gallery Wrap Natural Cap-704100 (52x60)</t>
  </si>
  <si>
    <t>Gallery Wrap Natural Cap</t>
  </si>
  <si>
    <t>SONFL 52X60</t>
  </si>
  <si>
    <t>Gallery Wrap Natural Floater - 702100-EW  (52x60)</t>
  </si>
  <si>
    <t>Gallery Wrap Natural Floater</t>
  </si>
  <si>
    <t>CB2 GW 16X20</t>
  </si>
  <si>
    <t>CB2 GW Canvas 703000-SB 16X20</t>
  </si>
  <si>
    <t>CALIFRAME</t>
  </si>
  <si>
    <t>CB2 GW 20X30</t>
  </si>
  <si>
    <t>CB2 GW Canvas 703000-SB20X30</t>
  </si>
  <si>
    <t>CB2 GW 24X36</t>
  </si>
  <si>
    <t>CB2 GW Canvas 703000-SB24X36</t>
  </si>
  <si>
    <t>CB2 GW 30X40</t>
  </si>
  <si>
    <t>CB2 GW Canvas 703000-SB30X40</t>
  </si>
  <si>
    <t>CB2 GW 36X48</t>
  </si>
  <si>
    <t>CB2 GW Canvas 703000-SB36X48</t>
  </si>
  <si>
    <t>CB2 GW 40X60</t>
  </si>
  <si>
    <t>CB2 GW Canvas 703000-SB340X60</t>
  </si>
  <si>
    <t>CB2 GW 48X48</t>
  </si>
  <si>
    <t>CB2 GW Canvas 703000-SB348X48</t>
  </si>
  <si>
    <t>CB2 GW 48X60</t>
  </si>
  <si>
    <t>CB2 GW Canvas 703000-SB 48X60</t>
  </si>
  <si>
    <t>CB2 BF 16X20</t>
  </si>
  <si>
    <t>CB2 BF Canvas  on 1/8" MDF with Poly Floater 16X20</t>
  </si>
  <si>
    <t>CB2 BF 20X30</t>
  </si>
  <si>
    <t>CB2 BF Canvas  on 1/8" MDF with Poly Floater 20X30</t>
  </si>
  <si>
    <t>CB2 BF 24X24</t>
  </si>
  <si>
    <t>CB2 BF Canvas  on 1/8" MDF with Poly Floater 24X24</t>
  </si>
  <si>
    <t>CB2 BF 24X36</t>
  </si>
  <si>
    <t>CB2 BF Canvas  on 1/8" MDF with Poly Floater 24X36</t>
  </si>
  <si>
    <t>CB2 BF 30X40</t>
  </si>
  <si>
    <t>CB2 BF Canvas  on 1/8" MDF with Poly Floater 30X40</t>
  </si>
  <si>
    <t>CB2 BF 36X48</t>
  </si>
  <si>
    <t>CB2 BF Canvas  on 1/8" MDF with Poly Floater 36X48</t>
  </si>
  <si>
    <t>CB2 BF 48X48</t>
  </si>
  <si>
    <t>CB2 BF Canvas  on 1/8" MDF with Poly Floater 48X48</t>
  </si>
  <si>
    <t>CB2 BF 48X60</t>
  </si>
  <si>
    <t>CB2 BF Canvas  on 1/8" MDF with Poly Floater 48X60</t>
  </si>
  <si>
    <t>CB2 PPA 16X20</t>
  </si>
  <si>
    <t>CB2 PPA  Paper Poly Frame Acrylic 16X20</t>
  </si>
  <si>
    <t>CB2 PPA 20X30</t>
  </si>
  <si>
    <t>CB2 PPA  Paper Poly Frame Acrylic 20X30</t>
  </si>
  <si>
    <t>CB2 PPA 24X36</t>
  </si>
  <si>
    <t>CB2 PPA 30X40</t>
  </si>
  <si>
    <t>CB2 PPA  Paper Poly Frame Acrylic 30X40</t>
  </si>
  <si>
    <t>CB2 PPA 36X48</t>
  </si>
  <si>
    <t>CB2 PPA  Paper Poly Frame Acrylic 36X48</t>
  </si>
  <si>
    <t>*</t>
  </si>
  <si>
    <t>CB2 PPA 48X48</t>
  </si>
  <si>
    <t>CB2 PPA  Paper Poly Frame Acrylic 48X48</t>
  </si>
  <si>
    <t>CB2 PPA 48X60</t>
  </si>
  <si>
    <t>CB2 PPA  Paper Poly Frame Acrylic  48X60</t>
  </si>
  <si>
    <t>CB2 PBC 16X20</t>
  </si>
  <si>
    <t>CB2 PBC  Paper 703100 Acrylic 16X20</t>
  </si>
  <si>
    <t>CB2 PBC 20X30</t>
  </si>
  <si>
    <t>CB2 PBC  Paper 703100 Acrylic 20X30</t>
  </si>
  <si>
    <t>CB2 PBC 24X36</t>
  </si>
  <si>
    <t>CB2 PBC  Paper 703100 Acrylic 24X36</t>
  </si>
  <si>
    <t>CB2 PBC 30X40</t>
  </si>
  <si>
    <t>CB2 PBC  Paper 703100 Acrylic 30X40</t>
  </si>
  <si>
    <t>CB2 PBC 36X48</t>
  </si>
  <si>
    <t>CB2 PBC  Paper 704100 Acrylic 36X48</t>
  </si>
  <si>
    <t>CB2 PBC 48X48</t>
  </si>
  <si>
    <t>CB2 PBC  Paper 704100 Acrylic 48X48</t>
  </si>
  <si>
    <t>CB2 PBC 48X60</t>
  </si>
  <si>
    <t>CB2 PBC  Paper 704100 Acrylic  48X60</t>
  </si>
  <si>
    <t>HEIGHT</t>
  </si>
  <si>
    <t> LANDSCAPE </t>
  </si>
  <si>
    <t>Mark Up</t>
  </si>
  <si>
    <t>Float frames (Plastic)</t>
  </si>
  <si>
    <t>Black Floater</t>
  </si>
  <si>
    <t>SKU Quantity</t>
  </si>
  <si>
    <t>GP Cost</t>
  </si>
  <si>
    <t>Floater Cost</t>
  </si>
  <si>
    <t>Import Fees</t>
  </si>
  <si>
    <t>BF Price</t>
  </si>
  <si>
    <t>Est Weight*</t>
  </si>
  <si>
    <t>Savings</t>
  </si>
  <si>
    <t>% of Malaysian</t>
  </si>
  <si>
    <t xml:space="preserve">PLBF 16X20   </t>
  </si>
  <si>
    <t>Float Frame PL Blk 702100-ZX 16X20</t>
  </si>
  <si>
    <t>Average</t>
  </si>
  <si>
    <t>PLBF 20X30</t>
  </si>
  <si>
    <t>Float Frame PL Blk 702100-ZX 20X30</t>
  </si>
  <si>
    <t>PLBF 24X36</t>
  </si>
  <si>
    <t>Float Frame PL Blk 702100-ZX 24X36</t>
  </si>
  <si>
    <t>6 lbs</t>
  </si>
  <si>
    <t xml:space="preserve">PLBF 36X48 </t>
  </si>
  <si>
    <t>Float Frame PL Blk 702100-ZX 36X48</t>
  </si>
  <si>
    <t>12 lbs</t>
  </si>
  <si>
    <t xml:space="preserve">PLBF 40X60  </t>
  </si>
  <si>
    <t>Float Frame PL Blk 702100-ZX 40X60</t>
  </si>
  <si>
    <t>17 lbs</t>
  </si>
  <si>
    <t>PLBF 48X48</t>
  </si>
  <si>
    <t>Float Frame PL Blk 702100-ZX 48X48</t>
  </si>
  <si>
    <t>PLBF 48X60</t>
  </si>
  <si>
    <t>Float Frame PL Blk 702100-ZX 48X60</t>
  </si>
  <si>
    <t>Natural Floater</t>
  </si>
  <si>
    <t>PLNF 16X20</t>
  </si>
  <si>
    <t>Float Frame Maple</t>
  </si>
  <si>
    <t>PLNF 20X30</t>
  </si>
  <si>
    <t>PLNF 24X36</t>
  </si>
  <si>
    <t>PLNF 36X48</t>
  </si>
  <si>
    <t>PLNF 40X60</t>
  </si>
  <si>
    <t>PLNF 48X48</t>
  </si>
  <si>
    <t>PLNF 48X60</t>
  </si>
  <si>
    <t>Walnut Floater (baed on price of BF)</t>
  </si>
  <si>
    <t>PLWF 16X20</t>
  </si>
  <si>
    <t>Float Frame Walnut</t>
  </si>
  <si>
    <t>PLWF 20X30</t>
  </si>
  <si>
    <t>PLWF 24X36</t>
  </si>
  <si>
    <t>MarkUp</t>
  </si>
  <si>
    <t>Cap (Plastic) Acrylic</t>
  </si>
  <si>
    <t>SFR Price</t>
  </si>
  <si>
    <t>Est Weight</t>
  </si>
  <si>
    <t>Cap Cost</t>
  </si>
  <si>
    <t>PLBC 12X12.  074100 ZX</t>
  </si>
  <si>
    <t>Cap Acrylic Black PL 704100-ZX</t>
  </si>
  <si>
    <t>12x12</t>
  </si>
  <si>
    <t>PLBC 16X20</t>
  </si>
  <si>
    <t xml:space="preserve">Cap Acrylic Black </t>
  </si>
  <si>
    <t>PLBC 20X30</t>
  </si>
  <si>
    <t>PLBC 24X36</t>
  </si>
  <si>
    <t>9 lbs</t>
  </si>
  <si>
    <t>PLBC 40X60</t>
  </si>
  <si>
    <t>25 lbs</t>
  </si>
  <si>
    <t>Markup</t>
  </si>
  <si>
    <t>Gallery Wrap (+tacks)</t>
  </si>
  <si>
    <t>GWT 30X40</t>
  </si>
  <si>
    <t>GWT 72X72</t>
  </si>
  <si>
    <t>IGM 16X20</t>
  </si>
  <si>
    <t>Inset Gallery Mount 16X20</t>
  </si>
  <si>
    <t>IGM 24X36</t>
  </si>
  <si>
    <t>Cap B</t>
  </si>
  <si>
    <t> $              4.15 </t>
  </si>
  <si>
    <t>Notes: Poly Black Floater</t>
  </si>
  <si>
    <t>Floater costs and import fees are for reference only. BOM cost is total cost</t>
  </si>
  <si>
    <t>Protection: is calulcated with a paper back</t>
  </si>
  <si>
    <t>Packing: Calculated as bulk pack, 24x36 40 to a pallet and 36x48 and 40x60 20 to a pallet</t>
  </si>
  <si>
    <t>Import fees: are an estimate. Manufacturer will have to give us exactly how many frames will fit in a container.</t>
  </si>
  <si>
    <t>Wire and hardware added</t>
  </si>
  <si>
    <t>D-Rings added for 40x60</t>
  </si>
  <si>
    <t>Material Weights per sq ft</t>
  </si>
  <si>
    <t>1/8 MDF</t>
  </si>
  <si>
    <t>Wgt Total Frame (calculated)</t>
  </si>
  <si>
    <t>* includes MDF back</t>
  </si>
  <si>
    <t>Notes: PL Cap Acrylic Frame</t>
  </si>
  <si>
    <t>Cap costs and import fees are for reference only. BOM cost is total cost</t>
  </si>
  <si>
    <t xml:space="preserve">Glazing: Included with preassembled frame </t>
  </si>
  <si>
    <t xml:space="preserve">Protection: is calulcated with a mdf back supplied with the frame </t>
  </si>
  <si>
    <t>Packing: Calculated as bulk pack, 24x36 40 to a pallet and 40x60 20 to a pallet</t>
  </si>
  <si>
    <t>.098 acrylic</t>
  </si>
  <si>
    <t>3/16 Foam</t>
  </si>
  <si>
    <t>Notes: Gallery Wrap + tacks</t>
  </si>
  <si>
    <t>Haberdashery Tacks: Guess-estimate @.06 each spaced out 1 1/2" (8 per linear foot)</t>
  </si>
  <si>
    <t>Moulding for 72x72 is SBD06 1 3/16"x2"</t>
  </si>
  <si>
    <t>Packing: Bulk packed</t>
  </si>
  <si>
    <t>Moulding calculate at today's cost</t>
  </si>
  <si>
    <t>Wrie and hardware added for 20x30, 30x40</t>
  </si>
  <si>
    <t>Heavy D-ring added for 72x72</t>
  </si>
  <si>
    <t>Notes:: INSET GALLERY MOUNT</t>
  </si>
  <si>
    <t>Bevel bar is 3/4x1-3/4 basswood stained Walnut</t>
  </si>
  <si>
    <t>2 ft added to moulding footage for bar attached to wall</t>
  </si>
  <si>
    <t>Mirror Mastic used to attatch bar to MDF</t>
  </si>
  <si>
    <t>Wre and hardware added</t>
  </si>
  <si>
    <t>Bulked packed 40 16x20 on a pallet, 20 24x36 on a pallet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</si>
</sst>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&quot;$&quot;#,##0.00"/>
    <numFmt numFmtId="166" formatCode="_(* #,##0.0_);_(* \(#,##0.0\);_(* &quot;-&quot;??_);_(@_)"/>
    <numFmt numFmtId="167" formatCode="#,##0.00;[Red]\-#,##0.00"/>
    <numFmt numFmtId="168" formatCode="_(* #,##0_);_(* \(#,##0\);_(* &quot;-&quot;??_);_(@_)"/>
    <numFmt numFmtId="169" formatCode="0.0"/>
    <numFmt numFmtId="170" formatCode="#,##0.000;[Red]\-#,##0.000"/>
    <numFmt numFmtId="171" formatCode="_(&quot;$&quot;* #,##0.000_);_(&quot;$&quot;* \(#,##0.000\);_(&quot;$&quot;* &quot;-&quot;??_);_(@_)"/>
  </numFmts>
  <fonts count="112" x14ac:knownFonts="1">
    <font>
      <sz val="12"/>
      <color theme="1"/>
      <name val="Arial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2"/>
      <name val="Arial"/>
      <family val="2"/>
    </font>
    <font>
      <b/>
      <sz val="12"/>
      <color theme="1"/>
      <name val="Calibri"/>
      <family val="2"/>
    </font>
    <font>
      <sz val="11"/>
      <color rgb="FFFFFFFF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2"/>
      <color rgb="FF000000"/>
      <name val="Calibri"/>
      <family val="2"/>
    </font>
    <font>
      <u/>
      <sz val="12"/>
      <color theme="10"/>
      <name val="Arial"/>
      <family val="2"/>
    </font>
    <font>
      <u/>
      <sz val="12"/>
      <color theme="11"/>
      <name val="Arial"/>
      <family val="2"/>
    </font>
    <font>
      <sz val="12"/>
      <color theme="1"/>
      <name val="Arial"/>
      <family val="2"/>
    </font>
    <font>
      <sz val="11"/>
      <color rgb="FF9C0006"/>
      <name val="Calibri"/>
      <family val="2"/>
      <scheme val="minor"/>
    </font>
    <font>
      <sz val="8"/>
      <name val="Arial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</font>
    <font>
      <sz val="11"/>
      <color theme="0"/>
      <name val="Calibri"/>
      <family val="2"/>
    </font>
    <font>
      <sz val="11"/>
      <color theme="1"/>
      <name val="Arial"/>
      <family val="2"/>
    </font>
    <font>
      <sz val="11"/>
      <name val="Calibri"/>
      <family val="2"/>
      <scheme val="minor"/>
    </font>
    <font>
      <b/>
      <sz val="12"/>
      <color theme="1"/>
      <name val="Arial"/>
      <family val="2"/>
    </font>
    <font>
      <strike/>
      <sz val="11"/>
      <color theme="1"/>
      <name val="Calibri"/>
      <family val="2"/>
    </font>
    <font>
      <strike/>
      <sz val="11"/>
      <color rgb="FF000000"/>
      <name val="Calibri"/>
      <family val="2"/>
    </font>
    <font>
      <sz val="9"/>
      <color indexed="81"/>
      <name val="Arial"/>
      <family val="2"/>
    </font>
    <font>
      <b/>
      <sz val="9"/>
      <color indexed="81"/>
      <name val="Arial"/>
      <family val="2"/>
    </font>
    <font>
      <sz val="12"/>
      <color rgb="FF000000"/>
      <name val="Arial"/>
      <family val="2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2"/>
      <color rgb="FFFF0000"/>
      <name val="Arial"/>
      <family val="2"/>
    </font>
    <font>
      <sz val="11"/>
      <color rgb="FF00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theme="1"/>
      <name val="Calibri"/>
      <family val="2"/>
      <scheme val="major"/>
    </font>
    <font>
      <sz val="11"/>
      <color rgb="FF0000FF"/>
      <name val="Calibri"/>
      <family val="2"/>
      <scheme val="minor"/>
    </font>
    <font>
      <sz val="11"/>
      <color rgb="FF2649E4"/>
      <name val="Calibri"/>
      <family val="2"/>
      <scheme val="minor"/>
    </font>
    <font>
      <sz val="11"/>
      <color theme="3"/>
      <name val="Calibri"/>
      <family val="2"/>
      <scheme val="minor"/>
    </font>
    <font>
      <b/>
      <sz val="11"/>
      <name val="Calibri"/>
      <family val="2"/>
      <scheme val="minor"/>
    </font>
    <font>
      <b/>
      <sz val="9"/>
      <color rgb="FF000000"/>
      <name val="Arial"/>
      <family val="2"/>
    </font>
    <font>
      <sz val="9"/>
      <color rgb="FF000000"/>
      <name val="Arial"/>
      <family val="2"/>
    </font>
    <font>
      <sz val="11"/>
      <color rgb="FFFF0000"/>
      <name val="Calibri (Body)"/>
    </font>
    <font>
      <sz val="11"/>
      <name val="Calibri (Body)"/>
    </font>
    <font>
      <sz val="10"/>
      <color rgb="FF000000"/>
      <name val="Calibri"/>
      <family val="2"/>
      <scheme val="minor"/>
    </font>
    <font>
      <sz val="10"/>
      <color rgb="FF000000"/>
      <name val="Calibri"/>
      <family val="2"/>
    </font>
    <font>
      <sz val="11"/>
      <name val="Calibri"/>
      <family val="2"/>
      <scheme val="major"/>
    </font>
    <font>
      <sz val="11"/>
      <color rgb="FFFF0000"/>
      <name val="Calibri"/>
      <family val="2"/>
      <scheme val="major"/>
    </font>
    <font>
      <sz val="11"/>
      <color theme="1"/>
      <name val="Calibri"/>
      <family val="2"/>
      <scheme val="major"/>
    </font>
    <font>
      <sz val="11"/>
      <color theme="0"/>
      <name val="Calibri"/>
      <family val="2"/>
      <scheme val="major"/>
    </font>
    <font>
      <sz val="11"/>
      <color rgb="FF2649E4"/>
      <name val="Calibri"/>
      <family val="2"/>
      <scheme val="major"/>
    </font>
    <font>
      <sz val="11"/>
      <color rgb="FF000000"/>
      <name val="Calibri"/>
      <family val="2"/>
      <scheme val="major"/>
    </font>
    <font>
      <sz val="11"/>
      <color rgb="FF0000FF"/>
      <name val="Calibri"/>
      <family val="2"/>
      <scheme val="major"/>
    </font>
    <font>
      <b/>
      <sz val="11"/>
      <color rgb="FFFF0000"/>
      <name val="Calibri"/>
      <family val="2"/>
      <scheme val="major"/>
    </font>
    <font>
      <sz val="12"/>
      <color theme="1"/>
      <name val="Arial"/>
      <family val="2"/>
    </font>
    <font>
      <sz val="12"/>
      <name val="Calibri"/>
      <family val="2"/>
      <scheme val="minor"/>
    </font>
    <font>
      <sz val="12"/>
      <name val="Calibri (Body)"/>
    </font>
    <font>
      <sz val="8"/>
      <color theme="1"/>
      <name val="Calibri"/>
      <family val="2"/>
      <scheme val="minor"/>
    </font>
    <font>
      <sz val="10"/>
      <color theme="1"/>
      <name val="Calibri"/>
      <family val="2"/>
    </font>
    <font>
      <sz val="12"/>
      <color rgb="FFFF0000"/>
      <name val="Calibri (Body)"/>
    </font>
    <font>
      <b/>
      <sz val="11"/>
      <color rgb="FFFF0000"/>
      <name val="Calibri (Body)"/>
    </font>
    <font>
      <sz val="11"/>
      <color rgb="FF2649E4"/>
      <name val="Calibri (Body)"/>
    </font>
    <font>
      <sz val="11"/>
      <color rgb="FF7030A0"/>
      <name val="Calibri"/>
      <family val="2"/>
      <scheme val="minor"/>
    </font>
    <font>
      <sz val="12"/>
      <color rgb="FF7030A0"/>
      <name val="Calibri (Body)"/>
    </font>
    <font>
      <sz val="11"/>
      <color rgb="FF7030A0"/>
      <name val="Calibri (Body)"/>
    </font>
    <font>
      <sz val="11"/>
      <color rgb="FF7030A0"/>
      <name val="Calibri"/>
      <family val="2"/>
    </font>
    <font>
      <sz val="11"/>
      <color rgb="FF7030A0"/>
      <name val="Calibri"/>
      <family val="2"/>
      <scheme val="major"/>
    </font>
    <font>
      <sz val="11"/>
      <color rgb="FF00B050"/>
      <name val="Calibri (Body)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  <scheme val="major"/>
    </font>
    <font>
      <b/>
      <sz val="9"/>
      <color rgb="FF000000"/>
      <name val="Calibri"/>
      <family val="2"/>
    </font>
    <font>
      <sz val="11"/>
      <color theme="1"/>
      <name val="Calibri (Body)"/>
    </font>
    <font>
      <b/>
      <sz val="12"/>
      <color rgb="FFFF0000"/>
      <name val="Calibri"/>
      <family val="2"/>
    </font>
    <font>
      <sz val="9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3"/>
      <name val="Calibri (Body)"/>
    </font>
    <font>
      <sz val="11"/>
      <color rgb="FF0043E5"/>
      <name val="Calibri (Body)"/>
    </font>
    <font>
      <sz val="12"/>
      <color rgb="FFFF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rgb="FFFFFFFF"/>
      <name val="Calibri"/>
      <family val="2"/>
      <scheme val="minor"/>
    </font>
    <font>
      <b/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Arial"/>
      <family val="2"/>
    </font>
    <font>
      <sz val="11"/>
      <color rgb="FF0070C0"/>
      <name val="Calibri"/>
      <family val="2"/>
      <scheme val="minor"/>
    </font>
    <font>
      <sz val="11"/>
      <color rgb="FF0043E5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color theme="1"/>
      <name val="Calibri"/>
      <family val="2"/>
    </font>
    <font>
      <sz val="11"/>
      <name val="Arial"/>
      <family val="2"/>
    </font>
    <font>
      <sz val="8"/>
      <color rgb="FFFF0000"/>
      <name val="Calibri"/>
      <family val="2"/>
      <scheme val="minor"/>
    </font>
    <font>
      <sz val="11"/>
      <color rgb="FF000000"/>
      <name val="Calibri (Body)"/>
    </font>
    <font>
      <sz val="12"/>
      <color theme="1"/>
      <name val="Calibri (Body)"/>
    </font>
    <font>
      <b/>
      <sz val="11"/>
      <color rgb="FF000000"/>
      <name val="Calibri (Body)"/>
    </font>
    <font>
      <sz val="9"/>
      <color theme="1"/>
      <name val="Arial"/>
      <family val="2"/>
    </font>
    <font>
      <sz val="10"/>
      <color theme="1"/>
      <name val="Calibri"/>
      <family val="2"/>
      <scheme val="minor"/>
    </font>
    <font>
      <sz val="11"/>
      <color theme="4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  <font>
      <b/>
      <sz val="11"/>
      <color theme="1"/>
      <name val="Calibri (Body)"/>
    </font>
    <font>
      <b/>
      <sz val="11"/>
      <name val="Calibri (Body)"/>
    </font>
    <font>
      <sz val="12"/>
      <color rgb="FF7030A0"/>
      <name val="Arial"/>
      <family val="2"/>
    </font>
    <font>
      <sz val="8"/>
      <color theme="1"/>
      <name val="Calibri"/>
      <family val="2"/>
    </font>
    <font>
      <sz val="10"/>
      <color rgb="FF7030A0"/>
      <name val="Calibri"/>
      <family val="2"/>
      <scheme val="minor"/>
    </font>
    <font>
      <sz val="12"/>
      <color rgb="FF000000"/>
      <name val="Calibri"/>
      <family val="2"/>
      <charset val="1"/>
    </font>
    <font>
      <sz val="12"/>
      <color rgb="FFFF0000"/>
      <name val="Calibri"/>
      <family val="2"/>
      <charset val="1"/>
    </font>
    <font>
      <sz val="12"/>
      <color rgb="FF000000"/>
      <name val="Arial"/>
      <family val="2"/>
    </font>
    <font>
      <sz val="12"/>
      <color rgb="FF000000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000080"/>
        <bgColor rgb="FF000080"/>
      </patternFill>
    </fill>
    <fill>
      <patternFill patternType="solid">
        <fgColor rgb="FFFFFFFF"/>
        <bgColor rgb="FFFFFFFF"/>
      </patternFill>
    </fill>
    <fill>
      <patternFill patternType="solid">
        <fgColor rgb="FFFFC7CE"/>
      </patternFill>
    </fill>
    <fill>
      <patternFill patternType="solid">
        <fgColor rgb="FF00008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00009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CE6F1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59999389629810485"/>
        <bgColor rgb="FFFFFFFF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FFFFFF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8DB4E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B8CCE4"/>
        <bgColor rgb="FF000000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rgb="FF000080"/>
      </patternFill>
    </fill>
    <fill>
      <patternFill patternType="solid">
        <fgColor theme="9" tint="0.59999389629810485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39997558519241921"/>
        <bgColor rgb="FF000000"/>
      </patternFill>
    </fill>
  </fills>
  <borders count="3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/>
      <diagonal/>
    </border>
    <border>
      <left style="thin">
        <color rgb="FFD0D7E5"/>
      </left>
      <right style="thin">
        <color rgb="FFD0D7E5"/>
      </right>
      <top/>
      <bottom style="thin">
        <color rgb="FFD0D7E5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D0D7E5"/>
      </left>
      <right/>
      <top style="thin">
        <color rgb="FFD0D7E5"/>
      </top>
      <bottom style="thin">
        <color rgb="FFD0D7E5"/>
      </bottom>
      <diagonal/>
    </border>
    <border>
      <left style="thin">
        <color rgb="FFDCE6F1"/>
      </left>
      <right style="thin">
        <color rgb="FFDCE6F1"/>
      </right>
      <top style="thin">
        <color rgb="FFDCE6F1"/>
      </top>
      <bottom style="thin">
        <color rgb="FFDCE6F1"/>
      </bottom>
      <diagonal/>
    </border>
    <border>
      <left/>
      <right style="thin">
        <color rgb="FFDCE6F1"/>
      </right>
      <top style="thin">
        <color rgb="FFDCE6F1"/>
      </top>
      <bottom style="thin">
        <color rgb="FFDCE6F1"/>
      </bottom>
      <diagonal/>
    </border>
    <border>
      <left style="thin">
        <color rgb="FFDCE6F1"/>
      </left>
      <right style="thin">
        <color rgb="FFDCE6F1"/>
      </right>
      <top/>
      <bottom style="thin">
        <color rgb="FFDCE6F1"/>
      </bottom>
      <diagonal/>
    </border>
    <border>
      <left/>
      <right style="thin">
        <color rgb="FFDCE6F1"/>
      </right>
      <top/>
      <bottom style="thin">
        <color rgb="FFDCE6F1"/>
      </bottom>
      <diagonal/>
    </border>
    <border>
      <left style="thin">
        <color theme="4" tint="0.79995117038483843"/>
      </left>
      <right style="thin">
        <color theme="4" tint="0.79995117038483843"/>
      </right>
      <top style="thin">
        <color theme="4" tint="0.79995117038483843"/>
      </top>
      <bottom style="thin">
        <color theme="4" tint="0.79995117038483843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3776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4" borderId="0" applyNumberFormat="0" applyBorder="0" applyAlignment="0" applyProtection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9" fillId="5" borderId="8" applyAlignment="0"/>
    <xf numFmtId="0" fontId="20" fillId="6" borderId="5" applyAlignment="0"/>
    <xf numFmtId="167" fontId="20" fillId="6" borderId="5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2"/>
    <xf numFmtId="44" fontId="16" fillId="0" borderId="2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1" fillId="0" borderId="2"/>
    <xf numFmtId="44" fontId="21" fillId="0" borderId="2" applyFon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9" fontId="57" fillId="0" borderId="0" applyFont="0" applyFill="0" applyBorder="0" applyAlignment="0" applyProtection="0"/>
    <xf numFmtId="0" fontId="4" fillId="0" borderId="2"/>
    <xf numFmtId="44" fontId="4" fillId="0" borderId="2" applyFont="0" applyFill="0" applyBorder="0" applyAlignment="0" applyProtection="0"/>
    <xf numFmtId="9" fontId="4" fillId="0" borderId="2" applyFont="0" applyFill="0" applyBorder="0" applyAlignment="0" applyProtection="0"/>
    <xf numFmtId="0" fontId="3" fillId="0" borderId="2"/>
    <xf numFmtId="9" fontId="3" fillId="0" borderId="2" applyFont="0" applyFill="0" applyBorder="0" applyAlignment="0" applyProtection="0"/>
    <xf numFmtId="0" fontId="14" fillId="0" borderId="0" applyNumberFormat="0" applyFill="0" applyBorder="0" applyAlignment="0" applyProtection="0"/>
  </cellStyleXfs>
  <cellXfs count="1861">
    <xf numFmtId="0" fontId="0" fillId="0" borderId="0" xfId="0"/>
    <xf numFmtId="0" fontId="9" fillId="0" borderId="3" xfId="0" applyFont="1" applyBorder="1"/>
    <xf numFmtId="44" fontId="9" fillId="0" borderId="3" xfId="0" applyNumberFormat="1" applyFont="1" applyBorder="1"/>
    <xf numFmtId="0" fontId="10" fillId="2" borderId="4" xfId="0" applyFont="1" applyFill="1" applyBorder="1"/>
    <xf numFmtId="0" fontId="9" fillId="0" borderId="0" xfId="0" applyFont="1"/>
    <xf numFmtId="44" fontId="9" fillId="0" borderId="0" xfId="0" applyNumberFormat="1" applyFont="1"/>
    <xf numFmtId="0" fontId="11" fillId="0" borderId="5" xfId="0" applyFont="1" applyBorder="1"/>
    <xf numFmtId="0" fontId="12" fillId="3" borderId="5" xfId="0" applyFont="1" applyFill="1" applyBorder="1"/>
    <xf numFmtId="43" fontId="9" fillId="0" borderId="0" xfId="0" applyNumberFormat="1" applyFont="1"/>
    <xf numFmtId="9" fontId="6" fillId="0" borderId="0" xfId="0" applyNumberFormat="1" applyFont="1"/>
    <xf numFmtId="44" fontId="13" fillId="0" borderId="0" xfId="0" applyNumberFormat="1" applyFont="1"/>
    <xf numFmtId="0" fontId="11" fillId="0" borderId="0" xfId="0" applyFont="1"/>
    <xf numFmtId="44" fontId="6" fillId="0" borderId="0" xfId="0" applyNumberFormat="1" applyFont="1"/>
    <xf numFmtId="43" fontId="6" fillId="0" borderId="0" xfId="0" applyNumberFormat="1" applyFont="1"/>
    <xf numFmtId="0" fontId="7" fillId="0" borderId="0" xfId="0" applyFont="1"/>
    <xf numFmtId="9" fontId="7" fillId="0" borderId="0" xfId="0" applyNumberFormat="1" applyFont="1"/>
    <xf numFmtId="0" fontId="13" fillId="0" borderId="0" xfId="0" applyFont="1"/>
    <xf numFmtId="44" fontId="9" fillId="0" borderId="4" xfId="0" applyNumberFormat="1" applyFont="1" applyBorder="1"/>
    <xf numFmtId="165" fontId="10" fillId="2" borderId="4" xfId="0" applyNumberFormat="1" applyFont="1" applyFill="1" applyBorder="1"/>
    <xf numFmtId="0" fontId="11" fillId="0" borderId="7" xfId="0" applyFont="1" applyBorder="1" applyAlignment="1">
      <alignment horizontal="center"/>
    </xf>
    <xf numFmtId="0" fontId="11" fillId="0" borderId="0" xfId="0" applyFont="1" applyAlignment="1">
      <alignment horizontal="center"/>
    </xf>
    <xf numFmtId="44" fontId="11" fillId="0" borderId="0" xfId="0" applyNumberFormat="1" applyFont="1" applyAlignment="1">
      <alignment horizontal="center"/>
    </xf>
    <xf numFmtId="44" fontId="11" fillId="0" borderId="0" xfId="0" applyNumberFormat="1" applyFont="1"/>
    <xf numFmtId="0" fontId="6" fillId="0" borderId="0" xfId="0" applyFont="1"/>
    <xf numFmtId="0" fontId="9" fillId="0" borderId="0" xfId="0" applyFont="1" applyAlignment="1">
      <alignment horizontal="center"/>
    </xf>
    <xf numFmtId="0" fontId="22" fillId="0" borderId="0" xfId="0" applyFont="1"/>
    <xf numFmtId="0" fontId="12" fillId="0" borderId="5" xfId="0" applyFont="1" applyBorder="1"/>
    <xf numFmtId="0" fontId="24" fillId="7" borderId="4" xfId="0" applyFont="1" applyFill="1" applyBorder="1"/>
    <xf numFmtId="43" fontId="0" fillId="0" borderId="0" xfId="0" applyNumberFormat="1"/>
    <xf numFmtId="0" fontId="11" fillId="0" borderId="2" xfId="0" applyFont="1" applyBorder="1"/>
    <xf numFmtId="0" fontId="27" fillId="0" borderId="0" xfId="0" applyFont="1"/>
    <xf numFmtId="0" fontId="28" fillId="0" borderId="0" xfId="0" applyFont="1"/>
    <xf numFmtId="0" fontId="29" fillId="3" borderId="5" xfId="0" applyFont="1" applyFill="1" applyBorder="1"/>
    <xf numFmtId="0" fontId="28" fillId="0" borderId="0" xfId="0" applyFont="1" applyAlignment="1">
      <alignment horizontal="center"/>
    </xf>
    <xf numFmtId="44" fontId="28" fillId="0" borderId="0" xfId="0" applyNumberFormat="1" applyFont="1" applyAlignment="1">
      <alignment horizontal="center"/>
    </xf>
    <xf numFmtId="0" fontId="28" fillId="0" borderId="5" xfId="0" applyFont="1" applyBorder="1"/>
    <xf numFmtId="0" fontId="6" fillId="0" borderId="0" xfId="0" applyFont="1" applyAlignment="1">
      <alignment horizontal="left"/>
    </xf>
    <xf numFmtId="44" fontId="9" fillId="0" borderId="8" xfId="0" applyNumberFormat="1" applyFont="1" applyBorder="1"/>
    <xf numFmtId="44" fontId="13" fillId="0" borderId="2" xfId="0" applyNumberFormat="1" applyFont="1" applyBorder="1"/>
    <xf numFmtId="0" fontId="25" fillId="0" borderId="0" xfId="0" applyFont="1"/>
    <xf numFmtId="0" fontId="23" fillId="0" borderId="0" xfId="0" applyFont="1"/>
    <xf numFmtId="0" fontId="8" fillId="0" borderId="0" xfId="0" applyFont="1"/>
    <xf numFmtId="0" fontId="0" fillId="0" borderId="0" xfId="0" quotePrefix="1"/>
    <xf numFmtId="0" fontId="23" fillId="0" borderId="5" xfId="0" applyFont="1" applyBorder="1"/>
    <xf numFmtId="0" fontId="35" fillId="0" borderId="0" xfId="0" applyFont="1"/>
    <xf numFmtId="0" fontId="36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2" fontId="26" fillId="0" borderId="0" xfId="0" applyNumberFormat="1" applyFont="1" applyAlignment="1">
      <alignment horizontal="center"/>
    </xf>
    <xf numFmtId="44" fontId="26" fillId="0" borderId="0" xfId="0" applyNumberFormat="1" applyFont="1" applyAlignment="1">
      <alignment horizontal="center"/>
    </xf>
    <xf numFmtId="44" fontId="0" fillId="0" borderId="0" xfId="11" applyFont="1" applyAlignment="1"/>
    <xf numFmtId="0" fontId="16" fillId="0" borderId="0" xfId="0" applyFont="1"/>
    <xf numFmtId="43" fontId="6" fillId="0" borderId="0" xfId="10" applyFont="1"/>
    <xf numFmtId="0" fontId="38" fillId="0" borderId="0" xfId="0" applyFont="1"/>
    <xf numFmtId="44" fontId="38" fillId="0" borderId="0" xfId="11" applyFont="1"/>
    <xf numFmtId="166" fontId="6" fillId="0" borderId="0" xfId="10" applyNumberFormat="1" applyFont="1" applyAlignment="1">
      <alignment horizontal="right"/>
    </xf>
    <xf numFmtId="44" fontId="6" fillId="0" borderId="0" xfId="11" applyFont="1" applyAlignment="1">
      <alignment horizontal="right"/>
    </xf>
    <xf numFmtId="164" fontId="26" fillId="0" borderId="0" xfId="0" applyNumberFormat="1" applyFont="1" applyAlignment="1">
      <alignment horizontal="center"/>
    </xf>
    <xf numFmtId="6" fontId="0" fillId="0" borderId="0" xfId="0" applyNumberFormat="1"/>
    <xf numFmtId="0" fontId="32" fillId="0" borderId="2" xfId="0" applyFont="1" applyBorder="1"/>
    <xf numFmtId="164" fontId="26" fillId="0" borderId="2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1" fontId="26" fillId="0" borderId="0" xfId="0" applyNumberFormat="1" applyFont="1" applyAlignment="1">
      <alignment horizontal="center"/>
    </xf>
    <xf numFmtId="9" fontId="26" fillId="0" borderId="0" xfId="0" applyNumberFormat="1" applyFont="1" applyAlignment="1">
      <alignment horizontal="center"/>
    </xf>
    <xf numFmtId="0" fontId="37" fillId="0" borderId="0" xfId="0" applyFont="1" applyAlignment="1">
      <alignment horizontal="center"/>
    </xf>
    <xf numFmtId="0" fontId="37" fillId="0" borderId="0" xfId="9" applyFont="1" applyFill="1" applyAlignment="1">
      <alignment horizontal="center"/>
    </xf>
    <xf numFmtId="1" fontId="37" fillId="0" borderId="0" xfId="0" applyNumberFormat="1" applyFont="1" applyAlignment="1">
      <alignment horizontal="center"/>
    </xf>
    <xf numFmtId="2" fontId="37" fillId="0" borderId="0" xfId="0" applyNumberFormat="1" applyFont="1" applyAlignment="1">
      <alignment horizontal="center"/>
    </xf>
    <xf numFmtId="44" fontId="37" fillId="0" borderId="0" xfId="0" applyNumberFormat="1" applyFont="1" applyAlignment="1">
      <alignment horizontal="center"/>
    </xf>
    <xf numFmtId="0" fontId="37" fillId="0" borderId="2" xfId="0" applyFont="1" applyBorder="1" applyAlignment="1">
      <alignment horizontal="center"/>
    </xf>
    <xf numFmtId="44" fontId="26" fillId="0" borderId="2" xfId="0" applyNumberFormat="1" applyFont="1" applyBorder="1" applyAlignment="1">
      <alignment horizontal="center"/>
    </xf>
    <xf numFmtId="0" fontId="26" fillId="0" borderId="2" xfId="603" applyFont="1" applyAlignment="1">
      <alignment horizontal="center"/>
    </xf>
    <xf numFmtId="44" fontId="36" fillId="0" borderId="2" xfId="11" applyFont="1" applyFill="1" applyBorder="1" applyAlignment="1">
      <alignment horizontal="center"/>
    </xf>
    <xf numFmtId="44" fontId="26" fillId="0" borderId="2" xfId="11" applyFont="1" applyFill="1" applyBorder="1" applyAlignment="1">
      <alignment horizontal="center"/>
    </xf>
    <xf numFmtId="44" fontId="37" fillId="0" borderId="2" xfId="11" applyFont="1" applyFill="1" applyBorder="1" applyAlignment="1">
      <alignment horizontal="center"/>
    </xf>
    <xf numFmtId="44" fontId="37" fillId="0" borderId="2" xfId="0" applyNumberFormat="1" applyFont="1" applyBorder="1" applyAlignment="1">
      <alignment horizontal="center"/>
    </xf>
    <xf numFmtId="0" fontId="26" fillId="0" borderId="2" xfId="603" applyFont="1" applyAlignment="1">
      <alignment horizontal="left"/>
    </xf>
    <xf numFmtId="0" fontId="26" fillId="0" borderId="2" xfId="0" applyFont="1" applyBorder="1" applyAlignment="1">
      <alignment horizontal="left"/>
    </xf>
    <xf numFmtId="0" fontId="36" fillId="0" borderId="2" xfId="221" applyFont="1" applyFill="1" applyBorder="1" applyAlignment="1">
      <alignment horizontal="left"/>
    </xf>
    <xf numFmtId="0" fontId="37" fillId="0" borderId="2" xfId="0" applyFont="1" applyBorder="1" applyAlignment="1">
      <alignment horizontal="left"/>
    </xf>
    <xf numFmtId="0" fontId="26" fillId="0" borderId="2" xfId="221" applyFont="1" applyFill="1" applyBorder="1" applyAlignment="1">
      <alignment horizontal="left"/>
    </xf>
    <xf numFmtId="0" fontId="26" fillId="0" borderId="5" xfId="0" applyFont="1" applyBorder="1" applyAlignment="1">
      <alignment horizontal="left"/>
    </xf>
    <xf numFmtId="0" fontId="26" fillId="0" borderId="5" xfId="603" applyFont="1" applyBorder="1" applyAlignment="1">
      <alignment horizontal="left"/>
    </xf>
    <xf numFmtId="0" fontId="37" fillId="0" borderId="5" xfId="0" applyFont="1" applyBorder="1" applyAlignment="1">
      <alignment horizontal="left"/>
    </xf>
    <xf numFmtId="0" fontId="26" fillId="0" borderId="2" xfId="0" applyFont="1" applyBorder="1"/>
    <xf numFmtId="0" fontId="37" fillId="0" borderId="2" xfId="0" applyFont="1" applyBorder="1"/>
    <xf numFmtId="0" fontId="40" fillId="0" borderId="2" xfId="0" applyFont="1" applyBorder="1"/>
    <xf numFmtId="0" fontId="40" fillId="0" borderId="2" xfId="0" applyFont="1" applyBorder="1" applyAlignment="1">
      <alignment horizontal="center"/>
    </xf>
    <xf numFmtId="44" fontId="40" fillId="0" borderId="2" xfId="11" applyFont="1" applyFill="1" applyBorder="1" applyAlignment="1">
      <alignment horizontal="right"/>
    </xf>
    <xf numFmtId="0" fontId="40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40" fillId="0" borderId="5" xfId="0" applyFont="1" applyBorder="1"/>
    <xf numFmtId="0" fontId="40" fillId="0" borderId="5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44" fontId="37" fillId="0" borderId="2" xfId="11" applyFont="1" applyFill="1" applyBorder="1" applyAlignment="1">
      <alignment horizontal="right"/>
    </xf>
    <xf numFmtId="0" fontId="37" fillId="0" borderId="2" xfId="221" applyFont="1" applyFill="1" applyBorder="1" applyAlignment="1">
      <alignment horizontal="left"/>
    </xf>
    <xf numFmtId="0" fontId="26" fillId="0" borderId="0" xfId="0" applyFont="1"/>
    <xf numFmtId="2" fontId="5" fillId="0" borderId="0" xfId="10" applyNumberFormat="1" applyFont="1" applyFill="1" applyAlignment="1">
      <alignment horizontal="center"/>
    </xf>
    <xf numFmtId="0" fontId="41" fillId="0" borderId="0" xfId="0" applyFont="1" applyAlignment="1">
      <alignment horizontal="center"/>
    </xf>
    <xf numFmtId="2" fontId="41" fillId="0" borderId="0" xfId="0" applyNumberFormat="1" applyFont="1" applyAlignment="1">
      <alignment horizontal="center"/>
    </xf>
    <xf numFmtId="0" fontId="26" fillId="0" borderId="2" xfId="221" applyFont="1" applyFill="1" applyBorder="1" applyAlignment="1"/>
    <xf numFmtId="0" fontId="5" fillId="0" borderId="2" xfId="0" applyFont="1" applyBorder="1" applyAlignment="1">
      <alignment horizontal="left"/>
    </xf>
    <xf numFmtId="0" fontId="5" fillId="0" borderId="2" xfId="0" applyFont="1" applyBorder="1" applyAlignment="1">
      <alignment horizontal="center"/>
    </xf>
    <xf numFmtId="44" fontId="5" fillId="0" borderId="2" xfId="11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44" fontId="5" fillId="0" borderId="2" xfId="0" applyNumberFormat="1" applyFont="1" applyBorder="1" applyAlignment="1">
      <alignment horizontal="center"/>
    </xf>
    <xf numFmtId="0" fontId="5" fillId="0" borderId="0" xfId="0" applyFont="1" applyAlignment="1">
      <alignment horizontal="left"/>
    </xf>
    <xf numFmtId="2" fontId="5" fillId="0" borderId="0" xfId="0" applyNumberFormat="1" applyFont="1" applyAlignment="1">
      <alignment horizontal="center"/>
    </xf>
    <xf numFmtId="44" fontId="5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0" fontId="41" fillId="0" borderId="2" xfId="0" applyFont="1" applyBorder="1" applyAlignment="1">
      <alignment horizontal="left"/>
    </xf>
    <xf numFmtId="0" fontId="41" fillId="0" borderId="2" xfId="0" applyFont="1" applyBorder="1" applyAlignment="1">
      <alignment horizontal="center"/>
    </xf>
    <xf numFmtId="44" fontId="41" fillId="0" borderId="2" xfId="11" applyFont="1" applyFill="1" applyBorder="1" applyAlignment="1">
      <alignment horizontal="center"/>
    </xf>
    <xf numFmtId="44" fontId="41" fillId="0" borderId="0" xfId="0" applyNumberFormat="1" applyFont="1" applyAlignment="1">
      <alignment horizontal="center"/>
    </xf>
    <xf numFmtId="0" fontId="5" fillId="0" borderId="0" xfId="0" applyFont="1"/>
    <xf numFmtId="44" fontId="5" fillId="0" borderId="2" xfId="11" applyFont="1" applyFill="1" applyBorder="1" applyAlignment="1">
      <alignment horizontal="right"/>
    </xf>
    <xf numFmtId="0" fontId="5" fillId="0" borderId="2" xfId="0" applyFont="1" applyBorder="1"/>
    <xf numFmtId="1" fontId="5" fillId="0" borderId="0" xfId="0" applyNumberFormat="1" applyFont="1" applyAlignment="1">
      <alignment horizontal="center"/>
    </xf>
    <xf numFmtId="0" fontId="5" fillId="0" borderId="0" xfId="9" applyFont="1" applyFill="1" applyAlignment="1">
      <alignment horizontal="center"/>
    </xf>
    <xf numFmtId="44" fontId="37" fillId="0" borderId="0" xfId="0" applyNumberFormat="1" applyFont="1"/>
    <xf numFmtId="0" fontId="37" fillId="0" borderId="0" xfId="0" applyFont="1"/>
    <xf numFmtId="44" fontId="5" fillId="0" borderId="0" xfId="0" applyNumberFormat="1" applyFont="1"/>
    <xf numFmtId="44" fontId="5" fillId="0" borderId="2" xfId="0" applyNumberFormat="1" applyFont="1" applyBorder="1"/>
    <xf numFmtId="0" fontId="5" fillId="0" borderId="5" xfId="0" applyFont="1" applyBorder="1" applyAlignment="1">
      <alignment horizontal="left"/>
    </xf>
    <xf numFmtId="17" fontId="26" fillId="0" borderId="2" xfId="0" quotePrefix="1" applyNumberFormat="1" applyFont="1" applyBorder="1" applyAlignment="1">
      <alignment horizontal="left"/>
    </xf>
    <xf numFmtId="44" fontId="26" fillId="0" borderId="2" xfId="11" applyFont="1" applyFill="1" applyBorder="1" applyAlignment="1">
      <alignment horizontal="right"/>
    </xf>
    <xf numFmtId="1" fontId="26" fillId="0" borderId="2" xfId="10" applyNumberFormat="1" applyFont="1" applyFill="1" applyBorder="1" applyAlignment="1">
      <alignment horizontal="center"/>
    </xf>
    <xf numFmtId="44" fontId="37" fillId="0" borderId="2" xfId="0" applyNumberFormat="1" applyFont="1" applyBorder="1"/>
    <xf numFmtId="0" fontId="11" fillId="15" borderId="0" xfId="0" applyFont="1" applyFill="1"/>
    <xf numFmtId="0" fontId="12" fillId="16" borderId="5" xfId="0" applyFont="1" applyFill="1" applyBorder="1"/>
    <xf numFmtId="0" fontId="11" fillId="15" borderId="0" xfId="0" applyFont="1" applyFill="1" applyAlignment="1">
      <alignment horizontal="center"/>
    </xf>
    <xf numFmtId="44" fontId="11" fillId="15" borderId="0" xfId="0" applyNumberFormat="1" applyFont="1" applyFill="1" applyAlignment="1">
      <alignment horizontal="center"/>
    </xf>
    <xf numFmtId="0" fontId="11" fillId="15" borderId="5" xfId="0" applyFont="1" applyFill="1" applyBorder="1"/>
    <xf numFmtId="0" fontId="11" fillId="17" borderId="0" xfId="0" applyFont="1" applyFill="1"/>
    <xf numFmtId="0" fontId="12" fillId="18" borderId="5" xfId="0" applyFont="1" applyFill="1" applyBorder="1"/>
    <xf numFmtId="0" fontId="11" fillId="17" borderId="0" xfId="0" applyFont="1" applyFill="1" applyAlignment="1">
      <alignment horizontal="center"/>
    </xf>
    <xf numFmtId="44" fontId="11" fillId="17" borderId="0" xfId="0" applyNumberFormat="1" applyFont="1" applyFill="1" applyAlignment="1">
      <alignment horizontal="center"/>
    </xf>
    <xf numFmtId="0" fontId="11" fillId="17" borderId="5" xfId="0" applyFont="1" applyFill="1" applyBorder="1"/>
    <xf numFmtId="0" fontId="5" fillId="19" borderId="2" xfId="0" applyFont="1" applyFill="1" applyBorder="1" applyAlignment="1">
      <alignment horizontal="center"/>
    </xf>
    <xf numFmtId="0" fontId="26" fillId="19" borderId="2" xfId="0" applyFont="1" applyFill="1" applyBorder="1" applyAlignment="1">
      <alignment horizontal="center"/>
    </xf>
    <xf numFmtId="0" fontId="5" fillId="19" borderId="0" xfId="0" applyFont="1" applyFill="1" applyAlignment="1">
      <alignment horizontal="center"/>
    </xf>
    <xf numFmtId="164" fontId="37" fillId="0" borderId="2" xfId="0" applyNumberFormat="1" applyFont="1" applyBorder="1" applyAlignment="1">
      <alignment horizontal="center"/>
    </xf>
    <xf numFmtId="44" fontId="37" fillId="8" borderId="2" xfId="11" applyFont="1" applyFill="1" applyBorder="1" applyAlignment="1">
      <alignment horizontal="right"/>
    </xf>
    <xf numFmtId="0" fontId="23" fillId="0" borderId="2" xfId="0" applyFont="1" applyBorder="1"/>
    <xf numFmtId="44" fontId="22" fillId="0" borderId="2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2" xfId="0" applyFont="1" applyBorder="1" applyAlignment="1">
      <alignment horizontal="center"/>
    </xf>
    <xf numFmtId="0" fontId="22" fillId="0" borderId="2" xfId="221" applyFont="1" applyFill="1" applyBorder="1" applyAlignment="1">
      <alignment horizontal="left"/>
    </xf>
    <xf numFmtId="0" fontId="22" fillId="0" borderId="2" xfId="0" applyFont="1" applyBorder="1"/>
    <xf numFmtId="44" fontId="22" fillId="0" borderId="2" xfId="11" applyFont="1" applyFill="1" applyBorder="1" applyAlignment="1">
      <alignment horizontal="right"/>
    </xf>
    <xf numFmtId="2" fontId="22" fillId="0" borderId="0" xfId="0" applyNumberFormat="1" applyFont="1" applyAlignment="1">
      <alignment horizontal="center"/>
    </xf>
    <xf numFmtId="44" fontId="22" fillId="0" borderId="0" xfId="0" applyNumberFormat="1" applyFont="1" applyAlignment="1">
      <alignment horizontal="center"/>
    </xf>
    <xf numFmtId="44" fontId="22" fillId="0" borderId="2" xfId="11" applyFont="1" applyFill="1" applyBorder="1" applyAlignment="1">
      <alignment horizontal="center"/>
    </xf>
    <xf numFmtId="0" fontId="22" fillId="0" borderId="2" xfId="0" applyFont="1" applyBorder="1" applyAlignment="1">
      <alignment horizontal="left"/>
    </xf>
    <xf numFmtId="0" fontId="22" fillId="0" borderId="5" xfId="0" applyFont="1" applyBorder="1" applyAlignment="1">
      <alignment horizontal="left"/>
    </xf>
    <xf numFmtId="0" fontId="22" fillId="0" borderId="2" xfId="221" applyFont="1" applyFill="1" applyBorder="1" applyAlignment="1"/>
    <xf numFmtId="44" fontId="22" fillId="8" borderId="2" xfId="11" applyFont="1" applyFill="1" applyBorder="1" applyAlignment="1">
      <alignment horizontal="right"/>
    </xf>
    <xf numFmtId="0" fontId="22" fillId="0" borderId="2" xfId="221" applyFont="1" applyFill="1" applyBorder="1" applyAlignment="1">
      <alignment horizontal="center"/>
    </xf>
    <xf numFmtId="0" fontId="22" fillId="19" borderId="2" xfId="0" applyFont="1" applyFill="1" applyBorder="1" applyAlignment="1">
      <alignment horizontal="center"/>
    </xf>
    <xf numFmtId="0" fontId="23" fillId="0" borderId="2" xfId="221" applyFont="1" applyFill="1" applyBorder="1" applyAlignment="1">
      <alignment horizontal="left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44" fontId="23" fillId="0" borderId="0" xfId="0" applyNumberFormat="1" applyFont="1" applyAlignment="1">
      <alignment horizontal="center"/>
    </xf>
    <xf numFmtId="44" fontId="23" fillId="0" borderId="2" xfId="0" applyNumberFormat="1" applyFont="1" applyBorder="1" applyAlignment="1">
      <alignment horizontal="center"/>
    </xf>
    <xf numFmtId="0" fontId="11" fillId="0" borderId="2" xfId="221" applyFont="1" applyFill="1" applyBorder="1" applyAlignment="1">
      <alignment horizontal="center"/>
    </xf>
    <xf numFmtId="44" fontId="11" fillId="8" borderId="2" xfId="11" applyFont="1" applyFill="1" applyBorder="1" applyAlignment="1">
      <alignment horizontal="right"/>
    </xf>
    <xf numFmtId="2" fontId="11" fillId="0" borderId="0" xfId="0" applyNumberFormat="1" applyFont="1" applyAlignment="1">
      <alignment horizontal="center"/>
    </xf>
    <xf numFmtId="0" fontId="23" fillId="0" borderId="2" xfId="0" applyFont="1" applyBorder="1" applyAlignment="1">
      <alignment horizontal="center"/>
    </xf>
    <xf numFmtId="0" fontId="23" fillId="0" borderId="2" xfId="221" applyFont="1" applyFill="1" applyBorder="1" applyAlignment="1"/>
    <xf numFmtId="0" fontId="5" fillId="0" borderId="2" xfId="221" applyFont="1" applyFill="1" applyBorder="1" applyAlignment="1">
      <alignment horizontal="left"/>
    </xf>
    <xf numFmtId="0" fontId="5" fillId="0" borderId="2" xfId="221" applyFont="1" applyFill="1" applyBorder="1" applyAlignment="1"/>
    <xf numFmtId="0" fontId="45" fillId="0" borderId="0" xfId="0" applyFont="1" applyAlignment="1">
      <alignment horizontal="center"/>
    </xf>
    <xf numFmtId="0" fontId="45" fillId="0" borderId="0" xfId="0" applyFont="1"/>
    <xf numFmtId="0" fontId="37" fillId="0" borderId="2" xfId="221" applyFont="1" applyFill="1" applyBorder="1" applyAlignment="1"/>
    <xf numFmtId="0" fontId="46" fillId="0" borderId="0" xfId="0" applyFont="1" applyAlignment="1">
      <alignment horizontal="center"/>
    </xf>
    <xf numFmtId="2" fontId="46" fillId="0" borderId="0" xfId="0" applyNumberFormat="1" applyFont="1" applyAlignment="1">
      <alignment horizontal="center"/>
    </xf>
    <xf numFmtId="44" fontId="46" fillId="0" borderId="0" xfId="0" applyNumberFormat="1" applyFont="1" applyAlignment="1">
      <alignment horizontal="center"/>
    </xf>
    <xf numFmtId="44" fontId="46" fillId="0" borderId="2" xfId="0" applyNumberFormat="1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44" fontId="45" fillId="8" borderId="2" xfId="11" applyFont="1" applyFill="1" applyBorder="1" applyAlignment="1">
      <alignment horizontal="right"/>
    </xf>
    <xf numFmtId="44" fontId="26" fillId="8" borderId="2" xfId="11" applyFont="1" applyFill="1" applyBorder="1" applyAlignment="1">
      <alignment horizontal="right"/>
    </xf>
    <xf numFmtId="0" fontId="46" fillId="0" borderId="2" xfId="0" applyFont="1" applyBorder="1" applyAlignment="1">
      <alignment horizontal="center"/>
    </xf>
    <xf numFmtId="0" fontId="46" fillId="0" borderId="2" xfId="221" applyFont="1" applyFill="1" applyBorder="1" applyAlignment="1">
      <alignment horizontal="center"/>
    </xf>
    <xf numFmtId="44" fontId="46" fillId="8" borderId="2" xfId="11" applyFont="1" applyFill="1" applyBorder="1" applyAlignment="1">
      <alignment horizontal="center"/>
    </xf>
    <xf numFmtId="0" fontId="36" fillId="0" borderId="5" xfId="221" applyFont="1" applyFill="1" applyAlignment="1">
      <alignment horizontal="left"/>
    </xf>
    <xf numFmtId="1" fontId="5" fillId="0" borderId="2" xfId="10" applyNumberFormat="1" applyFont="1" applyFill="1" applyBorder="1" applyAlignment="1">
      <alignment horizontal="center"/>
    </xf>
    <xf numFmtId="0" fontId="23" fillId="8" borderId="2" xfId="221" applyFont="1" applyFill="1" applyBorder="1" applyAlignment="1">
      <alignment horizontal="left"/>
    </xf>
    <xf numFmtId="0" fontId="23" fillId="8" borderId="2" xfId="0" applyFont="1" applyFill="1" applyBorder="1"/>
    <xf numFmtId="44" fontId="23" fillId="8" borderId="2" xfId="11" applyFont="1" applyFill="1" applyBorder="1" applyAlignment="1">
      <alignment horizontal="center"/>
    </xf>
    <xf numFmtId="0" fontId="11" fillId="0" borderId="2" xfId="0" applyFont="1" applyBorder="1" applyAlignment="1">
      <alignment horizontal="center"/>
    </xf>
    <xf numFmtId="0" fontId="37" fillId="19" borderId="2" xfId="0" applyFont="1" applyFill="1" applyBorder="1" applyAlignment="1">
      <alignment horizontal="center"/>
    </xf>
    <xf numFmtId="0" fontId="16" fillId="0" borderId="0" xfId="0" applyFont="1" applyAlignment="1">
      <alignment horizontal="center"/>
    </xf>
    <xf numFmtId="0" fontId="36" fillId="20" borderId="0" xfId="0" applyFont="1" applyFill="1"/>
    <xf numFmtId="0" fontId="36" fillId="21" borderId="0" xfId="0" applyFont="1" applyFill="1" applyProtection="1">
      <protection locked="0"/>
    </xf>
    <xf numFmtId="0" fontId="47" fillId="21" borderId="0" xfId="0" applyFont="1" applyFill="1" applyAlignment="1" applyProtection="1">
      <alignment horizontal="center"/>
      <protection locked="0"/>
    </xf>
    <xf numFmtId="44" fontId="47" fillId="12" borderId="23" xfId="0" applyNumberFormat="1" applyFont="1" applyFill="1" applyBorder="1" applyAlignment="1">
      <alignment vertical="top"/>
    </xf>
    <xf numFmtId="44" fontId="36" fillId="12" borderId="24" xfId="0" applyNumberFormat="1" applyFont="1" applyFill="1" applyBorder="1" applyAlignment="1">
      <alignment vertical="top"/>
    </xf>
    <xf numFmtId="44" fontId="36" fillId="22" borderId="24" xfId="0" applyNumberFormat="1" applyFont="1" applyFill="1" applyBorder="1" applyAlignment="1">
      <alignment vertical="top"/>
    </xf>
    <xf numFmtId="0" fontId="36" fillId="12" borderId="0" xfId="0" applyFont="1" applyFill="1"/>
    <xf numFmtId="44" fontId="47" fillId="12" borderId="25" xfId="0" applyNumberFormat="1" applyFont="1" applyFill="1" applyBorder="1" applyAlignment="1">
      <alignment vertical="top"/>
    </xf>
    <xf numFmtId="44" fontId="36" fillId="12" borderId="26" xfId="0" applyNumberFormat="1" applyFont="1" applyFill="1" applyBorder="1" applyAlignment="1">
      <alignment vertical="top"/>
    </xf>
    <xf numFmtId="44" fontId="36" fillId="22" borderId="26" xfId="0" applyNumberFormat="1" applyFont="1" applyFill="1" applyBorder="1" applyAlignment="1">
      <alignment vertical="top"/>
    </xf>
    <xf numFmtId="0" fontId="12" fillId="12" borderId="2" xfId="0" applyFont="1" applyFill="1" applyBorder="1"/>
    <xf numFmtId="0" fontId="48" fillId="21" borderId="2" xfId="0" applyFont="1" applyFill="1" applyBorder="1" applyAlignment="1" applyProtection="1">
      <alignment horizontal="center"/>
      <protection locked="0"/>
    </xf>
    <xf numFmtId="44" fontId="48" fillId="12" borderId="23" xfId="0" applyNumberFormat="1" applyFont="1" applyFill="1" applyBorder="1" applyAlignment="1">
      <alignment vertical="top"/>
    </xf>
    <xf numFmtId="44" fontId="12" fillId="12" borderId="24" xfId="0" applyNumberFormat="1" applyFont="1" applyFill="1" applyBorder="1" applyAlignment="1">
      <alignment vertical="top"/>
    </xf>
    <xf numFmtId="44" fontId="12" fillId="22" borderId="24" xfId="0" applyNumberFormat="1" applyFont="1" applyFill="1" applyBorder="1" applyAlignment="1">
      <alignment vertical="top"/>
    </xf>
    <xf numFmtId="44" fontId="49" fillId="0" borderId="0" xfId="0" applyNumberFormat="1" applyFont="1"/>
    <xf numFmtId="44" fontId="49" fillId="0" borderId="0" xfId="0" applyNumberFormat="1" applyFont="1" applyAlignment="1">
      <alignment horizontal="center"/>
    </xf>
    <xf numFmtId="44" fontId="50" fillId="0" borderId="0" xfId="0" applyNumberFormat="1" applyFont="1" applyAlignment="1">
      <alignment horizontal="center"/>
    </xf>
    <xf numFmtId="44" fontId="49" fillId="8" borderId="0" xfId="0" applyNumberFormat="1" applyFont="1" applyFill="1" applyAlignment="1">
      <alignment horizontal="center"/>
    </xf>
    <xf numFmtId="44" fontId="51" fillId="0" borderId="0" xfId="0" applyNumberFormat="1" applyFont="1" applyAlignment="1">
      <alignment horizontal="center"/>
    </xf>
    <xf numFmtId="0" fontId="52" fillId="7" borderId="1" xfId="0" applyFont="1" applyFill="1" applyBorder="1" applyAlignment="1">
      <alignment horizontal="center"/>
    </xf>
    <xf numFmtId="44" fontId="52" fillId="7" borderId="2" xfId="11" applyFont="1" applyFill="1" applyBorder="1" applyAlignment="1">
      <alignment horizontal="center"/>
    </xf>
    <xf numFmtId="44" fontId="52" fillId="7" borderId="1" xfId="11" applyFont="1" applyFill="1" applyBorder="1" applyAlignment="1">
      <alignment horizontal="right"/>
    </xf>
    <xf numFmtId="0" fontId="52" fillId="7" borderId="0" xfId="0" applyFont="1" applyFill="1" applyAlignment="1">
      <alignment horizontal="center"/>
    </xf>
    <xf numFmtId="44" fontId="52" fillId="7" borderId="0" xfId="11" applyFont="1" applyFill="1" applyAlignment="1">
      <alignment horizontal="center"/>
    </xf>
    <xf numFmtId="0" fontId="49" fillId="0" borderId="2" xfId="0" applyFont="1" applyBorder="1" applyAlignment="1">
      <alignment horizontal="center"/>
    </xf>
    <xf numFmtId="0" fontId="49" fillId="0" borderId="2" xfId="0" applyFont="1" applyBorder="1"/>
    <xf numFmtId="0" fontId="49" fillId="0" borderId="0" xfId="0" applyFont="1" applyAlignment="1">
      <alignment horizontal="center"/>
    </xf>
    <xf numFmtId="44" fontId="49" fillId="0" borderId="2" xfId="11" applyFont="1" applyFill="1" applyBorder="1" applyAlignment="1">
      <alignment horizontal="right"/>
    </xf>
    <xf numFmtId="0" fontId="49" fillId="0" borderId="0" xfId="0" applyFont="1"/>
    <xf numFmtId="1" fontId="49" fillId="0" borderId="0" xfId="0" applyNumberFormat="1" applyFont="1" applyAlignment="1">
      <alignment horizontal="center"/>
    </xf>
    <xf numFmtId="2" fontId="49" fillId="0" borderId="0" xfId="0" applyNumberFormat="1" applyFont="1" applyAlignment="1">
      <alignment horizontal="center"/>
    </xf>
    <xf numFmtId="0" fontId="49" fillId="19" borderId="2" xfId="0" applyFont="1" applyFill="1" applyBorder="1" applyAlignment="1">
      <alignment horizontal="center"/>
    </xf>
    <xf numFmtId="2" fontId="49" fillId="0" borderId="0" xfId="10" applyNumberFormat="1" applyFont="1" applyFill="1" applyAlignment="1">
      <alignment horizontal="center"/>
    </xf>
    <xf numFmtId="44" fontId="49" fillId="0" borderId="2" xfId="0" applyNumberFormat="1" applyFont="1" applyBorder="1" applyAlignment="1">
      <alignment horizontal="center"/>
    </xf>
    <xf numFmtId="44" fontId="49" fillId="0" borderId="2" xfId="11" applyFont="1" applyFill="1" applyBorder="1" applyAlignment="1">
      <alignment horizontal="center"/>
    </xf>
    <xf numFmtId="44" fontId="49" fillId="0" borderId="0" xfId="11" applyFont="1" applyFill="1" applyAlignment="1">
      <alignment horizontal="center"/>
    </xf>
    <xf numFmtId="0" fontId="53" fillId="0" borderId="0" xfId="0" applyFont="1"/>
    <xf numFmtId="0" fontId="51" fillId="0" borderId="0" xfId="0" applyFont="1" applyAlignment="1">
      <alignment horizontal="center"/>
    </xf>
    <xf numFmtId="0" fontId="55" fillId="0" borderId="0" xfId="0" applyFont="1" applyAlignment="1">
      <alignment horizontal="center"/>
    </xf>
    <xf numFmtId="0" fontId="51" fillId="11" borderId="0" xfId="0" applyFont="1" applyFill="1" applyAlignment="1">
      <alignment horizontal="center"/>
    </xf>
    <xf numFmtId="0" fontId="49" fillId="0" borderId="2" xfId="0" applyFont="1" applyBorder="1" applyAlignment="1">
      <alignment horizontal="left"/>
    </xf>
    <xf numFmtId="1" fontId="49" fillId="0" borderId="2" xfId="10" applyNumberFormat="1" applyFont="1" applyFill="1" applyBorder="1" applyAlignment="1">
      <alignment horizontal="center"/>
    </xf>
    <xf numFmtId="0" fontId="49" fillId="0" borderId="2" xfId="221" applyFont="1" applyFill="1" applyBorder="1" applyAlignment="1">
      <alignment horizontal="left"/>
    </xf>
    <xf numFmtId="0" fontId="50" fillId="0" borderId="0" xfId="0" applyFont="1" applyAlignment="1">
      <alignment horizontal="center"/>
    </xf>
    <xf numFmtId="0" fontId="51" fillId="11" borderId="0" xfId="9" applyFont="1" applyFill="1" applyAlignment="1">
      <alignment horizontal="center"/>
    </xf>
    <xf numFmtId="0" fontId="50" fillId="0" borderId="0" xfId="0" applyFont="1"/>
    <xf numFmtId="0" fontId="50" fillId="0" borderId="2" xfId="0" applyFont="1" applyBorder="1" applyAlignment="1">
      <alignment horizontal="center"/>
    </xf>
    <xf numFmtId="2" fontId="50" fillId="0" borderId="0" xfId="0" applyNumberFormat="1" applyFont="1" applyAlignment="1">
      <alignment horizontal="center"/>
    </xf>
    <xf numFmtId="44" fontId="50" fillId="0" borderId="2" xfId="0" applyNumberFormat="1" applyFont="1" applyBorder="1" applyAlignment="1">
      <alignment horizontal="center"/>
    </xf>
    <xf numFmtId="0" fontId="49" fillId="8" borderId="2" xfId="0" applyFont="1" applyFill="1" applyBorder="1" applyAlignment="1">
      <alignment horizontal="center"/>
    </xf>
    <xf numFmtId="0" fontId="49" fillId="8" borderId="2" xfId="0" applyFont="1" applyFill="1" applyBorder="1"/>
    <xf numFmtId="0" fontId="49" fillId="8" borderId="2" xfId="0" applyFont="1" applyFill="1" applyBorder="1" applyAlignment="1">
      <alignment horizontal="left"/>
    </xf>
    <xf numFmtId="0" fontId="51" fillId="8" borderId="0" xfId="0" applyFont="1" applyFill="1" applyAlignment="1">
      <alignment horizontal="center"/>
    </xf>
    <xf numFmtId="0" fontId="56" fillId="8" borderId="0" xfId="0" applyFont="1" applyFill="1" applyAlignment="1">
      <alignment horizontal="center"/>
    </xf>
    <xf numFmtId="0" fontId="51" fillId="9" borderId="0" xfId="0" applyFont="1" applyFill="1" applyAlignment="1">
      <alignment horizontal="center"/>
    </xf>
    <xf numFmtId="44" fontId="49" fillId="8" borderId="2" xfId="11" applyFont="1" applyFill="1" applyBorder="1" applyAlignment="1">
      <alignment horizontal="center"/>
    </xf>
    <xf numFmtId="168" fontId="49" fillId="0" borderId="0" xfId="10" applyNumberFormat="1" applyFont="1" applyFill="1" applyAlignment="1">
      <alignment horizontal="center"/>
    </xf>
    <xf numFmtId="0" fontId="49" fillId="0" borderId="2" xfId="0" applyFont="1" applyBorder="1" applyAlignment="1">
      <alignment horizontal="right"/>
    </xf>
    <xf numFmtId="0" fontId="49" fillId="0" borderId="0" xfId="0" applyFont="1" applyAlignment="1">
      <alignment horizontal="right"/>
    </xf>
    <xf numFmtId="0" fontId="54" fillId="12" borderId="13" xfId="0" applyFont="1" applyFill="1" applyBorder="1" applyAlignment="1">
      <alignment horizontal="center"/>
    </xf>
    <xf numFmtId="44" fontId="49" fillId="12" borderId="14" xfId="0" applyNumberFormat="1" applyFont="1" applyFill="1" applyBorder="1"/>
    <xf numFmtId="0" fontId="54" fillId="12" borderId="2" xfId="0" applyFont="1" applyFill="1" applyBorder="1" applyAlignment="1">
      <alignment horizontal="center"/>
    </xf>
    <xf numFmtId="44" fontId="49" fillId="12" borderId="16" xfId="0" applyNumberFormat="1" applyFont="1" applyFill="1" applyBorder="1"/>
    <xf numFmtId="0" fontId="54" fillId="12" borderId="18" xfId="0" applyFont="1" applyFill="1" applyBorder="1" applyAlignment="1">
      <alignment horizontal="center"/>
    </xf>
    <xf numFmtId="0" fontId="49" fillId="12" borderId="19" xfId="0" applyFont="1" applyFill="1" applyBorder="1"/>
    <xf numFmtId="0" fontId="37" fillId="0" borderId="2" xfId="603" applyFont="1" applyAlignment="1">
      <alignment horizontal="left"/>
    </xf>
    <xf numFmtId="0" fontId="23" fillId="0" borderId="2" xfId="221" applyFont="1" applyFill="1" applyBorder="1" applyAlignment="1">
      <alignment horizontal="center"/>
    </xf>
    <xf numFmtId="44" fontId="50" fillId="0" borderId="0" xfId="0" applyNumberFormat="1" applyFont="1"/>
    <xf numFmtId="44" fontId="50" fillId="0" borderId="2" xfId="0" applyNumberFormat="1" applyFont="1" applyBorder="1"/>
    <xf numFmtId="44" fontId="50" fillId="8" borderId="2" xfId="11" applyFont="1" applyFill="1" applyBorder="1" applyAlignment="1">
      <alignment horizontal="right"/>
    </xf>
    <xf numFmtId="44" fontId="0" fillId="0" borderId="0" xfId="0" applyNumberFormat="1"/>
    <xf numFmtId="44" fontId="45" fillId="0" borderId="0" xfId="0" applyNumberFormat="1" applyFont="1" applyAlignment="1">
      <alignment horizontal="center"/>
    </xf>
    <xf numFmtId="165" fontId="10" fillId="2" borderId="4" xfId="0" applyNumberFormat="1" applyFont="1" applyFill="1" applyBorder="1" applyAlignment="1">
      <alignment horizontal="center"/>
    </xf>
    <xf numFmtId="165" fontId="10" fillId="2" borderId="21" xfId="0" applyNumberFormat="1" applyFont="1" applyFill="1" applyBorder="1" applyAlignment="1">
      <alignment horizontal="center"/>
    </xf>
    <xf numFmtId="0" fontId="51" fillId="0" borderId="2" xfId="0" applyFont="1" applyBorder="1" applyAlignment="1">
      <alignment horizontal="center"/>
    </xf>
    <xf numFmtId="0" fontId="10" fillId="24" borderId="4" xfId="0" applyFont="1" applyFill="1" applyBorder="1"/>
    <xf numFmtId="9" fontId="11" fillId="0" borderId="0" xfId="3769" applyFont="1" applyFill="1" applyAlignment="1"/>
    <xf numFmtId="44" fontId="11" fillId="19" borderId="0" xfId="11" applyFont="1" applyFill="1" applyAlignment="1"/>
    <xf numFmtId="165" fontId="22" fillId="25" borderId="5" xfId="0" applyNumberFormat="1" applyFont="1" applyFill="1" applyBorder="1"/>
    <xf numFmtId="165" fontId="23" fillId="25" borderId="5" xfId="0" applyNumberFormat="1" applyFont="1" applyFill="1" applyBorder="1"/>
    <xf numFmtId="0" fontId="49" fillId="0" borderId="5" xfId="0" applyFont="1" applyBorder="1" applyAlignment="1">
      <alignment horizontal="center"/>
    </xf>
    <xf numFmtId="1" fontId="26" fillId="0" borderId="2" xfId="0" applyNumberFormat="1" applyFont="1" applyBorder="1" applyAlignment="1">
      <alignment horizontal="center"/>
    </xf>
    <xf numFmtId="0" fontId="45" fillId="0" borderId="2" xfId="0" applyFont="1" applyBorder="1" applyAlignment="1">
      <alignment horizontal="center"/>
    </xf>
    <xf numFmtId="0" fontId="45" fillId="0" borderId="2" xfId="0" applyFont="1" applyBorder="1"/>
    <xf numFmtId="1" fontId="45" fillId="0" borderId="0" xfId="0" applyNumberFormat="1" applyFont="1" applyAlignment="1">
      <alignment horizontal="center"/>
    </xf>
    <xf numFmtId="2" fontId="45" fillId="0" borderId="0" xfId="0" applyNumberFormat="1" applyFont="1" applyAlignment="1">
      <alignment horizontal="center"/>
    </xf>
    <xf numFmtId="44" fontId="45" fillId="0" borderId="2" xfId="0" applyNumberFormat="1" applyFont="1" applyBorder="1" applyAlignment="1">
      <alignment horizontal="center"/>
    </xf>
    <xf numFmtId="0" fontId="45" fillId="0" borderId="2" xfId="0" quotePrefix="1" applyFont="1" applyBorder="1" applyAlignment="1">
      <alignment horizontal="center"/>
    </xf>
    <xf numFmtId="0" fontId="45" fillId="11" borderId="0" xfId="9" applyFont="1" applyFill="1" applyAlignment="1">
      <alignment horizontal="center"/>
    </xf>
    <xf numFmtId="0" fontId="46" fillId="0" borderId="2" xfId="221" applyFont="1" applyFill="1" applyBorder="1" applyAlignment="1">
      <alignment horizontal="left"/>
    </xf>
    <xf numFmtId="0" fontId="37" fillId="0" borderId="5" xfId="0" applyFont="1" applyBorder="1" applyAlignment="1">
      <alignment horizontal="center"/>
    </xf>
    <xf numFmtId="44" fontId="58" fillId="0" borderId="2" xfId="11" applyFont="1" applyFill="1" applyBorder="1" applyAlignment="1">
      <alignment horizontal="right"/>
    </xf>
    <xf numFmtId="0" fontId="46" fillId="0" borderId="2" xfId="0" applyFont="1" applyBorder="1"/>
    <xf numFmtId="44" fontId="46" fillId="0" borderId="2" xfId="11" applyFont="1" applyFill="1" applyBorder="1" applyAlignment="1">
      <alignment horizontal="right"/>
    </xf>
    <xf numFmtId="0" fontId="46" fillId="0" borderId="0" xfId="0" applyFont="1"/>
    <xf numFmtId="0" fontId="46" fillId="13" borderId="2" xfId="221" applyFont="1" applyFill="1" applyBorder="1" applyAlignment="1">
      <alignment horizontal="left"/>
    </xf>
    <xf numFmtId="44" fontId="46" fillId="14" borderId="2" xfId="11" applyFont="1" applyFill="1" applyBorder="1" applyAlignment="1">
      <alignment horizontal="center"/>
    </xf>
    <xf numFmtId="0" fontId="46" fillId="19" borderId="2" xfId="0" applyFont="1" applyFill="1" applyBorder="1" applyAlignment="1">
      <alignment horizontal="center"/>
    </xf>
    <xf numFmtId="44" fontId="46" fillId="0" borderId="2" xfId="11" applyFont="1" applyFill="1" applyBorder="1" applyAlignment="1">
      <alignment horizontal="center"/>
    </xf>
    <xf numFmtId="0" fontId="46" fillId="0" borderId="2" xfId="221" applyFont="1" applyFill="1" applyBorder="1" applyAlignment="1"/>
    <xf numFmtId="44" fontId="46" fillId="8" borderId="2" xfId="11" applyFont="1" applyFill="1" applyBorder="1" applyAlignment="1">
      <alignment horizontal="right"/>
    </xf>
    <xf numFmtId="0" fontId="46" fillId="0" borderId="2" xfId="221" applyFont="1" applyFill="1" applyBorder="1"/>
    <xf numFmtId="0" fontId="59" fillId="0" borderId="2" xfId="0" applyFont="1" applyBorder="1" applyAlignment="1">
      <alignment horizontal="left"/>
    </xf>
    <xf numFmtId="0" fontId="59" fillId="0" borderId="2" xfId="0" applyFont="1" applyBorder="1" applyAlignment="1">
      <alignment horizontal="center"/>
    </xf>
    <xf numFmtId="44" fontId="46" fillId="0" borderId="2" xfId="0" applyNumberFormat="1" applyFont="1" applyBorder="1"/>
    <xf numFmtId="1" fontId="37" fillId="0" borderId="2" xfId="10" applyNumberFormat="1" applyFont="1" applyFill="1" applyBorder="1" applyAlignment="1">
      <alignment horizontal="center"/>
    </xf>
    <xf numFmtId="0" fontId="23" fillId="0" borderId="2" xfId="0" applyFont="1" applyBorder="1" applyAlignment="1">
      <alignment horizontal="left"/>
    </xf>
    <xf numFmtId="44" fontId="5" fillId="8" borderId="2" xfId="11" applyFont="1" applyFill="1" applyBorder="1" applyAlignment="1">
      <alignment horizontal="right"/>
    </xf>
    <xf numFmtId="44" fontId="0" fillId="0" borderId="0" xfId="11" applyFont="1" applyFill="1" applyAlignment="1"/>
    <xf numFmtId="14" fontId="24" fillId="7" borderId="4" xfId="0" applyNumberFormat="1" applyFont="1" applyFill="1" applyBorder="1"/>
    <xf numFmtId="0" fontId="46" fillId="0" borderId="2" xfId="0" applyFont="1" applyBorder="1" applyAlignment="1">
      <alignment horizontal="left"/>
    </xf>
    <xf numFmtId="0" fontId="5" fillId="0" borderId="5" xfId="0" applyFont="1" applyBorder="1" applyAlignment="1">
      <alignment horizontal="center"/>
    </xf>
    <xf numFmtId="44" fontId="49" fillId="12" borderId="14" xfId="0" applyNumberFormat="1" applyFont="1" applyFill="1" applyBorder="1" applyAlignment="1">
      <alignment horizontal="center"/>
    </xf>
    <xf numFmtId="44" fontId="49" fillId="12" borderId="16" xfId="0" applyNumberFormat="1" applyFont="1" applyFill="1" applyBorder="1" applyAlignment="1">
      <alignment horizontal="center"/>
    </xf>
    <xf numFmtId="0" fontId="49" fillId="12" borderId="19" xfId="0" applyFont="1" applyFill="1" applyBorder="1" applyAlignment="1">
      <alignment horizontal="center"/>
    </xf>
    <xf numFmtId="0" fontId="45" fillId="0" borderId="0" xfId="9" applyFont="1" applyFill="1" applyAlignment="1">
      <alignment horizontal="center"/>
    </xf>
    <xf numFmtId="0" fontId="45" fillId="15" borderId="0" xfId="0" applyFont="1" applyFill="1"/>
    <xf numFmtId="0" fontId="45" fillId="15" borderId="0" xfId="0" applyFont="1" applyFill="1" applyAlignment="1">
      <alignment horizontal="center"/>
    </xf>
    <xf numFmtId="164" fontId="46" fillId="0" borderId="2" xfId="0" applyNumberFormat="1" applyFont="1" applyBorder="1" applyAlignment="1">
      <alignment horizontal="center"/>
    </xf>
    <xf numFmtId="0" fontId="36" fillId="19" borderId="2" xfId="0" applyFont="1" applyFill="1" applyBorder="1" applyAlignment="1">
      <alignment horizontal="center"/>
    </xf>
    <xf numFmtId="44" fontId="23" fillId="19" borderId="0" xfId="11" applyFont="1" applyFill="1" applyAlignment="1"/>
    <xf numFmtId="0" fontId="62" fillId="0" borderId="2" xfId="0" applyFont="1" applyBorder="1" applyAlignment="1">
      <alignment horizontal="left"/>
    </xf>
    <xf numFmtId="0" fontId="62" fillId="0" borderId="2" xfId="0" applyFont="1" applyBorder="1" applyAlignment="1">
      <alignment horizontal="center"/>
    </xf>
    <xf numFmtId="0" fontId="45" fillId="0" borderId="2" xfId="221" applyFont="1" applyFill="1" applyBorder="1" applyAlignment="1">
      <alignment horizontal="center"/>
    </xf>
    <xf numFmtId="0" fontId="45" fillId="0" borderId="2" xfId="221" applyFont="1" applyFill="1" applyBorder="1"/>
    <xf numFmtId="0" fontId="45" fillId="0" borderId="2" xfId="221" applyFont="1" applyFill="1" applyBorder="1" applyAlignment="1">
      <alignment horizontal="left"/>
    </xf>
    <xf numFmtId="44" fontId="45" fillId="0" borderId="2" xfId="11" applyFont="1" applyFill="1" applyBorder="1" applyAlignment="1">
      <alignment horizontal="right"/>
    </xf>
    <xf numFmtId="44" fontId="45" fillId="0" borderId="0" xfId="0" applyNumberFormat="1" applyFont="1"/>
    <xf numFmtId="44" fontId="45" fillId="0" borderId="2" xfId="0" applyNumberFormat="1" applyFont="1" applyBorder="1"/>
    <xf numFmtId="44" fontId="45" fillId="0" borderId="2" xfId="11" applyFont="1" applyFill="1" applyBorder="1" applyAlignment="1">
      <alignment horizontal="center"/>
    </xf>
    <xf numFmtId="0" fontId="11" fillId="0" borderId="2" xfId="221" applyFont="1" applyFill="1" applyBorder="1" applyAlignment="1"/>
    <xf numFmtId="0" fontId="45" fillId="0" borderId="2" xfId="0" applyFont="1" applyBorder="1" applyAlignment="1">
      <alignment horizontal="left"/>
    </xf>
    <xf numFmtId="44" fontId="4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20" fillId="6" borderId="5" xfId="221" applyAlignment="1">
      <alignment horizontal="center"/>
    </xf>
    <xf numFmtId="0" fontId="5" fillId="0" borderId="5" xfId="0" applyFont="1" applyBorder="1"/>
    <xf numFmtId="0" fontId="53" fillId="0" borderId="2" xfId="0" applyFont="1" applyBorder="1" applyAlignment="1">
      <alignment horizontal="left"/>
    </xf>
    <xf numFmtId="1" fontId="46" fillId="0" borderId="2" xfId="10" applyNumberFormat="1" applyFont="1" applyFill="1" applyBorder="1" applyAlignment="1">
      <alignment horizontal="center"/>
    </xf>
    <xf numFmtId="0" fontId="67" fillId="15" borderId="0" xfId="0" applyFont="1" applyFill="1" applyAlignment="1">
      <alignment horizontal="center"/>
    </xf>
    <xf numFmtId="0" fontId="65" fillId="15" borderId="0" xfId="0" applyFont="1" applyFill="1" applyAlignment="1">
      <alignment horizontal="center"/>
    </xf>
    <xf numFmtId="44" fontId="69" fillId="15" borderId="0" xfId="0" applyNumberFormat="1" applyFont="1" applyFill="1" applyAlignment="1">
      <alignment horizontal="center"/>
    </xf>
    <xf numFmtId="0" fontId="67" fillId="15" borderId="2" xfId="221" applyFont="1" applyFill="1" applyBorder="1" applyAlignment="1">
      <alignment horizontal="center"/>
    </xf>
    <xf numFmtId="0" fontId="67" fillId="15" borderId="2" xfId="0" applyFont="1" applyFill="1" applyBorder="1" applyAlignment="1">
      <alignment horizontal="center"/>
    </xf>
    <xf numFmtId="2" fontId="67" fillId="15" borderId="0" xfId="0" applyNumberFormat="1" applyFont="1" applyFill="1" applyAlignment="1">
      <alignment horizontal="center"/>
    </xf>
    <xf numFmtId="44" fontId="67" fillId="15" borderId="0" xfId="0" applyNumberFormat="1" applyFont="1" applyFill="1" applyAlignment="1">
      <alignment horizontal="center"/>
    </xf>
    <xf numFmtId="0" fontId="67" fillId="15" borderId="0" xfId="0" applyFont="1" applyFill="1"/>
    <xf numFmtId="44" fontId="67" fillId="15" borderId="2" xfId="0" applyNumberFormat="1" applyFont="1" applyFill="1" applyBorder="1" applyAlignment="1">
      <alignment horizontal="center"/>
    </xf>
    <xf numFmtId="0" fontId="69" fillId="15" borderId="2" xfId="0" applyFont="1" applyFill="1" applyBorder="1" applyAlignment="1">
      <alignment horizontal="center"/>
    </xf>
    <xf numFmtId="0" fontId="67" fillId="15" borderId="0" xfId="9" applyFont="1" applyFill="1" applyAlignment="1">
      <alignment horizontal="center"/>
    </xf>
    <xf numFmtId="1" fontId="45" fillId="0" borderId="2" xfId="10" applyNumberFormat="1" applyFont="1" applyFill="1" applyBorder="1" applyAlignment="1">
      <alignment horizontal="center"/>
    </xf>
    <xf numFmtId="0" fontId="49" fillId="8" borderId="2" xfId="221" applyFont="1" applyFill="1" applyBorder="1" applyAlignment="1">
      <alignment horizontal="left"/>
    </xf>
    <xf numFmtId="0" fontId="45" fillId="19" borderId="2" xfId="0" applyFont="1" applyFill="1" applyBorder="1" applyAlignment="1">
      <alignment horizontal="center"/>
    </xf>
    <xf numFmtId="164" fontId="45" fillId="0" borderId="2" xfId="0" applyNumberFormat="1" applyFont="1" applyBorder="1" applyAlignment="1">
      <alignment horizontal="center"/>
    </xf>
    <xf numFmtId="0" fontId="64" fillId="0" borderId="2" xfId="0" applyFont="1" applyBorder="1" applyAlignment="1">
      <alignment horizontal="center"/>
    </xf>
    <xf numFmtId="0" fontId="64" fillId="0" borderId="2" xfId="0" applyFont="1" applyBorder="1"/>
    <xf numFmtId="44" fontId="64" fillId="0" borderId="2" xfId="11" applyFont="1" applyFill="1" applyBorder="1" applyAlignment="1">
      <alignment horizontal="right"/>
    </xf>
    <xf numFmtId="44" fontId="64" fillId="0" borderId="0" xfId="0" applyNumberFormat="1" applyFont="1" applyAlignment="1">
      <alignment horizontal="center"/>
    </xf>
    <xf numFmtId="0" fontId="37" fillId="27" borderId="2" xfId="0" applyFont="1" applyFill="1" applyBorder="1" applyAlignment="1">
      <alignment horizontal="center"/>
    </xf>
    <xf numFmtId="0" fontId="37" fillId="28" borderId="2" xfId="0" applyFont="1" applyFill="1" applyBorder="1" applyAlignment="1">
      <alignment horizontal="center"/>
    </xf>
    <xf numFmtId="0" fontId="37" fillId="28" borderId="2" xfId="0" applyFont="1" applyFill="1" applyBorder="1"/>
    <xf numFmtId="44" fontId="37" fillId="28" borderId="0" xfId="0" applyNumberFormat="1" applyFont="1" applyFill="1" applyAlignment="1">
      <alignment horizontal="center"/>
    </xf>
    <xf numFmtId="0" fontId="5" fillId="28" borderId="0" xfId="0" applyFont="1" applyFill="1" applyAlignment="1">
      <alignment horizontal="center"/>
    </xf>
    <xf numFmtId="0" fontId="67" fillId="28" borderId="2" xfId="0" applyFont="1" applyFill="1" applyBorder="1" applyAlignment="1">
      <alignment horizontal="center"/>
    </xf>
    <xf numFmtId="0" fontId="67" fillId="28" borderId="2" xfId="0" applyFont="1" applyFill="1" applyBorder="1"/>
    <xf numFmtId="0" fontId="67" fillId="28" borderId="0" xfId="0" applyFont="1" applyFill="1" applyAlignment="1">
      <alignment horizontal="center"/>
    </xf>
    <xf numFmtId="44" fontId="69" fillId="28" borderId="0" xfId="0" applyNumberFormat="1" applyFont="1" applyFill="1" applyAlignment="1">
      <alignment horizontal="center"/>
    </xf>
    <xf numFmtId="0" fontId="70" fillId="28" borderId="2" xfId="0" applyFont="1" applyFill="1" applyBorder="1" applyAlignment="1">
      <alignment horizontal="center"/>
    </xf>
    <xf numFmtId="0" fontId="70" fillId="28" borderId="2" xfId="0" applyFont="1" applyFill="1" applyBorder="1"/>
    <xf numFmtId="0" fontId="70" fillId="28" borderId="0" xfId="0" applyFont="1" applyFill="1" applyAlignment="1">
      <alignment horizontal="center"/>
    </xf>
    <xf numFmtId="0" fontId="46" fillId="15" borderId="0" xfId="0" applyFont="1" applyFill="1" applyAlignment="1">
      <alignment horizontal="center"/>
    </xf>
    <xf numFmtId="0" fontId="63" fillId="6" borderId="5" xfId="221" applyFont="1" applyAlignment="1">
      <alignment horizontal="center"/>
    </xf>
    <xf numFmtId="0" fontId="37" fillId="0" borderId="2" xfId="221" applyFont="1" applyFill="1" applyBorder="1" applyAlignment="1">
      <alignment horizontal="center"/>
    </xf>
    <xf numFmtId="0" fontId="65" fillId="15" borderId="2" xfId="0" applyFont="1" applyFill="1" applyBorder="1"/>
    <xf numFmtId="0" fontId="67" fillId="15" borderId="2" xfId="221" applyFont="1" applyFill="1" applyBorder="1" applyAlignment="1"/>
    <xf numFmtId="0" fontId="67" fillId="15" borderId="2" xfId="0" applyFont="1" applyFill="1" applyBorder="1"/>
    <xf numFmtId="0" fontId="45" fillId="11" borderId="0" xfId="0" applyFont="1" applyFill="1" applyAlignment="1">
      <alignment horizontal="center"/>
    </xf>
    <xf numFmtId="169" fontId="9" fillId="0" borderId="2" xfId="10" applyNumberFormat="1" applyFont="1" applyBorder="1"/>
    <xf numFmtId="0" fontId="6" fillId="0" borderId="0" xfId="0" applyFont="1" applyAlignment="1">
      <alignment horizontal="right"/>
    </xf>
    <xf numFmtId="44" fontId="0" fillId="0" borderId="8" xfId="11" applyFont="1" applyBorder="1" applyAlignment="1"/>
    <xf numFmtId="0" fontId="12" fillId="0" borderId="9" xfId="0" applyFont="1" applyBorder="1"/>
    <xf numFmtId="1" fontId="50" fillId="0" borderId="2" xfId="10" applyNumberFormat="1" applyFont="1" applyFill="1" applyBorder="1" applyAlignment="1">
      <alignment horizontal="center"/>
    </xf>
    <xf numFmtId="0" fontId="37" fillId="25" borderId="2" xfId="0" applyFont="1" applyFill="1" applyBorder="1" applyAlignment="1">
      <alignment horizontal="center"/>
    </xf>
    <xf numFmtId="0" fontId="45" fillId="25" borderId="2" xfId="0" applyFont="1" applyFill="1" applyBorder="1" applyAlignment="1">
      <alignment horizontal="center"/>
    </xf>
    <xf numFmtId="0" fontId="45" fillId="0" borderId="2" xfId="221" applyFont="1" applyFill="1" applyBorder="1" applyAlignment="1"/>
    <xf numFmtId="0" fontId="23" fillId="25" borderId="2" xfId="0" applyFont="1" applyFill="1" applyBorder="1" applyAlignment="1">
      <alignment horizontal="center"/>
    </xf>
    <xf numFmtId="0" fontId="46" fillId="25" borderId="2" xfId="0" applyFont="1" applyFill="1" applyBorder="1" applyAlignment="1">
      <alignment horizontal="center"/>
    </xf>
    <xf numFmtId="0" fontId="37" fillId="0" borderId="5" xfId="0" applyFont="1" applyBorder="1"/>
    <xf numFmtId="44" fontId="37" fillId="8" borderId="5" xfId="11" applyFont="1" applyFill="1" applyBorder="1" applyAlignment="1">
      <alignment horizontal="right"/>
    </xf>
    <xf numFmtId="44" fontId="37" fillId="0" borderId="5" xfId="11" applyFont="1" applyFill="1" applyBorder="1" applyAlignment="1">
      <alignment horizontal="right"/>
    </xf>
    <xf numFmtId="0" fontId="23" fillId="19" borderId="2" xfId="0" applyFont="1" applyFill="1" applyBorder="1" applyAlignment="1">
      <alignment horizontal="center"/>
    </xf>
    <xf numFmtId="1" fontId="23" fillId="0" borderId="2" xfId="10" applyNumberFormat="1" applyFont="1" applyFill="1" applyBorder="1" applyAlignment="1">
      <alignment horizontal="center"/>
    </xf>
    <xf numFmtId="0" fontId="49" fillId="12" borderId="12" xfId="0" applyFont="1" applyFill="1" applyBorder="1" applyAlignment="1">
      <alignment horizontal="center"/>
    </xf>
    <xf numFmtId="0" fontId="49" fillId="12" borderId="15" xfId="0" applyFont="1" applyFill="1" applyBorder="1" applyAlignment="1">
      <alignment horizontal="center"/>
    </xf>
    <xf numFmtId="0" fontId="49" fillId="12" borderId="17" xfId="0" applyFont="1" applyFill="1" applyBorder="1" applyAlignment="1">
      <alignment horizontal="center"/>
    </xf>
    <xf numFmtId="0" fontId="51" fillId="0" borderId="2" xfId="0" applyFont="1" applyBorder="1" applyAlignment="1">
      <alignment horizontal="left"/>
    </xf>
    <xf numFmtId="0" fontId="36" fillId="0" borderId="2" xfId="221" applyFont="1" applyFill="1" applyBorder="1" applyAlignment="1"/>
    <xf numFmtId="44" fontId="5" fillId="0" borderId="5" xfId="11" applyFont="1" applyFill="1" applyBorder="1" applyAlignment="1">
      <alignment horizontal="center"/>
    </xf>
    <xf numFmtId="1" fontId="22" fillId="0" borderId="2" xfId="10" applyNumberFormat="1" applyFont="1" applyFill="1" applyBorder="1" applyAlignment="1">
      <alignment horizontal="center"/>
    </xf>
    <xf numFmtId="43" fontId="32" fillId="0" borderId="2" xfId="10" applyFont="1" applyBorder="1" applyAlignment="1"/>
    <xf numFmtId="0" fontId="16" fillId="0" borderId="29" xfId="0" applyFont="1" applyBorder="1"/>
    <xf numFmtId="44" fontId="9" fillId="0" borderId="30" xfId="0" applyNumberFormat="1" applyFont="1" applyBorder="1"/>
    <xf numFmtId="44" fontId="9" fillId="0" borderId="13" xfId="0" applyNumberFormat="1" applyFont="1" applyBorder="1"/>
    <xf numFmtId="44" fontId="9" fillId="0" borderId="0" xfId="0" applyNumberFormat="1" applyFont="1" applyAlignment="1">
      <alignment horizontal="center"/>
    </xf>
    <xf numFmtId="0" fontId="27" fillId="0" borderId="0" xfId="0" applyFont="1" applyAlignment="1">
      <alignment horizontal="center"/>
    </xf>
    <xf numFmtId="0" fontId="16" fillId="0" borderId="0" xfId="0" applyFont="1" applyAlignment="1">
      <alignment horizontal="right"/>
    </xf>
    <xf numFmtId="44" fontId="0" fillId="0" borderId="13" xfId="0" applyNumberFormat="1" applyBorder="1"/>
    <xf numFmtId="44" fontId="6" fillId="0" borderId="0" xfId="11" applyFont="1"/>
    <xf numFmtId="0" fontId="74" fillId="0" borderId="0" xfId="0" applyFont="1" applyAlignment="1">
      <alignment horizontal="center"/>
    </xf>
    <xf numFmtId="0" fontId="74" fillId="0" borderId="2" xfId="0" applyFont="1" applyBorder="1" applyAlignment="1">
      <alignment horizontal="center"/>
    </xf>
    <xf numFmtId="0" fontId="74" fillId="0" borderId="2" xfId="0" applyFont="1" applyBorder="1"/>
    <xf numFmtId="0" fontId="74" fillId="0" borderId="0" xfId="0" applyFont="1"/>
    <xf numFmtId="44" fontId="74" fillId="0" borderId="2" xfId="11" applyFont="1" applyFill="1" applyBorder="1" applyAlignment="1">
      <alignment horizontal="center"/>
    </xf>
    <xf numFmtId="2" fontId="74" fillId="0" borderId="0" xfId="0" applyNumberFormat="1" applyFont="1" applyAlignment="1">
      <alignment horizontal="center"/>
    </xf>
    <xf numFmtId="44" fontId="74" fillId="0" borderId="0" xfId="0" applyNumberFormat="1" applyFont="1" applyAlignment="1">
      <alignment horizontal="center"/>
    </xf>
    <xf numFmtId="44" fontId="74" fillId="0" borderId="2" xfId="0" applyNumberFormat="1" applyFont="1" applyBorder="1" applyAlignment="1">
      <alignment horizontal="center"/>
    </xf>
    <xf numFmtId="0" fontId="5" fillId="0" borderId="2" xfId="221" applyFont="1" applyFill="1" applyBorder="1" applyAlignment="1">
      <alignment horizontal="center"/>
    </xf>
    <xf numFmtId="44" fontId="5" fillId="0" borderId="2" xfId="11" applyFont="1" applyFill="1" applyBorder="1" applyAlignment="1"/>
    <xf numFmtId="44" fontId="9" fillId="0" borderId="2" xfId="0" applyNumberFormat="1" applyFont="1" applyBorder="1"/>
    <xf numFmtId="44" fontId="75" fillId="0" borderId="0" xfId="11" applyFont="1"/>
    <xf numFmtId="43" fontId="75" fillId="0" borderId="0" xfId="10" applyFont="1"/>
    <xf numFmtId="0" fontId="9" fillId="0" borderId="2" xfId="0" applyFont="1" applyBorder="1"/>
    <xf numFmtId="0" fontId="6" fillId="0" borderId="2" xfId="0" applyFont="1" applyBorder="1"/>
    <xf numFmtId="43" fontId="9" fillId="0" borderId="2" xfId="10" applyFont="1" applyBorder="1"/>
    <xf numFmtId="43" fontId="9" fillId="0" borderId="2" xfId="10" applyFont="1" applyFill="1" applyBorder="1" applyAlignment="1"/>
    <xf numFmtId="2" fontId="9" fillId="0" borderId="2" xfId="0" applyNumberFormat="1" applyFont="1" applyBorder="1"/>
    <xf numFmtId="43" fontId="9" fillId="0" borderId="2" xfId="0" applyNumberFormat="1" applyFont="1" applyBorder="1"/>
    <xf numFmtId="0" fontId="0" fillId="0" borderId="2" xfId="0" applyBorder="1"/>
    <xf numFmtId="44" fontId="27" fillId="0" borderId="0" xfId="11" applyFont="1" applyAlignment="1"/>
    <xf numFmtId="170" fontId="23" fillId="0" borderId="2" xfId="222" applyNumberFormat="1" applyFont="1" applyFill="1" applyBorder="1"/>
    <xf numFmtId="0" fontId="37" fillId="14" borderId="2" xfId="0" applyFont="1" applyFill="1" applyBorder="1" applyAlignment="1">
      <alignment horizontal="center"/>
    </xf>
    <xf numFmtId="0" fontId="45" fillId="14" borderId="0" xfId="0" applyFont="1" applyFill="1" applyAlignment="1">
      <alignment horizontal="center"/>
    </xf>
    <xf numFmtId="0" fontId="37" fillId="14" borderId="0" xfId="0" applyFont="1" applyFill="1" applyAlignment="1">
      <alignment horizontal="center"/>
    </xf>
    <xf numFmtId="44" fontId="37" fillId="14" borderId="0" xfId="0" applyNumberFormat="1" applyFont="1" applyFill="1" applyAlignment="1">
      <alignment horizontal="center"/>
    </xf>
    <xf numFmtId="44" fontId="45" fillId="14" borderId="0" xfId="0" applyNumberFormat="1" applyFont="1" applyFill="1" applyAlignment="1">
      <alignment horizontal="center"/>
    </xf>
    <xf numFmtId="44" fontId="37" fillId="14" borderId="2" xfId="0" applyNumberFormat="1" applyFont="1" applyFill="1" applyBorder="1" applyAlignment="1">
      <alignment horizontal="center"/>
    </xf>
    <xf numFmtId="44" fontId="37" fillId="14" borderId="2" xfId="11" applyFont="1" applyFill="1" applyBorder="1" applyAlignment="1">
      <alignment horizontal="center"/>
    </xf>
    <xf numFmtId="44" fontId="45" fillId="14" borderId="2" xfId="0" applyNumberFormat="1" applyFont="1" applyFill="1" applyBorder="1" applyAlignment="1">
      <alignment horizontal="center"/>
    </xf>
    <xf numFmtId="170" fontId="23" fillId="13" borderId="2" xfId="222" applyNumberFormat="1" applyFont="1" applyFill="1" applyBorder="1"/>
    <xf numFmtId="0" fontId="23" fillId="13" borderId="2" xfId="221" applyFont="1" applyFill="1" applyBorder="1"/>
    <xf numFmtId="0" fontId="23" fillId="13" borderId="2" xfId="221" applyFont="1" applyFill="1" applyBorder="1" applyAlignment="1">
      <alignment horizontal="center"/>
    </xf>
    <xf numFmtId="0" fontId="50" fillId="14" borderId="0" xfId="0" applyFont="1" applyFill="1" applyAlignment="1">
      <alignment horizontal="center"/>
    </xf>
    <xf numFmtId="0" fontId="37" fillId="13" borderId="2" xfId="221" applyFont="1" applyFill="1" applyBorder="1"/>
    <xf numFmtId="0" fontId="26" fillId="0" borderId="2" xfId="221" applyFont="1" applyFill="1" applyBorder="1"/>
    <xf numFmtId="164" fontId="26" fillId="0" borderId="2" xfId="221" applyNumberFormat="1" applyFont="1" applyFill="1" applyBorder="1" applyAlignment="1">
      <alignment horizontal="center"/>
    </xf>
    <xf numFmtId="0" fontId="23" fillId="0" borderId="2" xfId="221" applyFont="1" applyFill="1" applyBorder="1"/>
    <xf numFmtId="0" fontId="37" fillId="29" borderId="2" xfId="0" applyFont="1" applyFill="1" applyBorder="1" applyAlignment="1">
      <alignment horizontal="center"/>
    </xf>
    <xf numFmtId="0" fontId="37" fillId="6" borderId="2" xfId="221" applyFont="1" applyBorder="1"/>
    <xf numFmtId="0" fontId="23" fillId="6" borderId="2" xfId="221" applyFont="1" applyBorder="1" applyAlignment="1">
      <alignment horizontal="center"/>
    </xf>
    <xf numFmtId="167" fontId="23" fillId="6" borderId="2" xfId="222" applyFont="1" applyBorder="1"/>
    <xf numFmtId="0" fontId="45" fillId="14" borderId="2" xfId="0" applyFont="1" applyFill="1" applyBorder="1"/>
    <xf numFmtId="167" fontId="23" fillId="13" borderId="2" xfId="222" applyFont="1" applyFill="1" applyBorder="1"/>
    <xf numFmtId="2" fontId="37" fillId="14" borderId="0" xfId="0" applyNumberFormat="1" applyFont="1" applyFill="1" applyAlignment="1">
      <alignment horizontal="center"/>
    </xf>
    <xf numFmtId="0" fontId="23" fillId="6" borderId="2" xfId="221" applyFont="1" applyBorder="1"/>
    <xf numFmtId="170" fontId="23" fillId="6" borderId="2" xfId="222" applyNumberFormat="1" applyFont="1" applyBorder="1"/>
    <xf numFmtId="0" fontId="23" fillId="14" borderId="0" xfId="0" applyFont="1" applyFill="1" applyAlignment="1">
      <alignment horizontal="center"/>
    </xf>
    <xf numFmtId="0" fontId="45" fillId="14" borderId="2" xfId="0" applyFont="1" applyFill="1" applyBorder="1" applyAlignment="1">
      <alignment horizontal="center"/>
    </xf>
    <xf numFmtId="44" fontId="26" fillId="0" borderId="0" xfId="0" applyNumberFormat="1" applyFont="1"/>
    <xf numFmtId="0" fontId="45" fillId="8" borderId="0" xfId="0" applyFont="1" applyFill="1" applyAlignment="1">
      <alignment horizontal="center"/>
    </xf>
    <xf numFmtId="0" fontId="37" fillId="14" borderId="2" xfId="0" applyFont="1" applyFill="1" applyBorder="1"/>
    <xf numFmtId="164" fontId="37" fillId="14" borderId="2" xfId="0" applyNumberFormat="1" applyFont="1" applyFill="1" applyBorder="1" applyAlignment="1">
      <alignment horizontal="center"/>
    </xf>
    <xf numFmtId="0" fontId="23" fillId="14" borderId="2" xfId="221" applyFont="1" applyFill="1" applyBorder="1" applyAlignment="1">
      <alignment horizontal="center"/>
    </xf>
    <xf numFmtId="167" fontId="23" fillId="0" borderId="2" xfId="222" applyFont="1" applyFill="1" applyBorder="1"/>
    <xf numFmtId="167" fontId="40" fillId="0" borderId="2" xfId="11" applyNumberFormat="1" applyFont="1" applyFill="1" applyBorder="1" applyAlignment="1">
      <alignment horizontal="right"/>
    </xf>
    <xf numFmtId="44" fontId="23" fillId="6" borderId="2" xfId="11" applyFont="1" applyFill="1" applyBorder="1"/>
    <xf numFmtId="0" fontId="46" fillId="30" borderId="0" xfId="0" applyFont="1" applyFill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25" borderId="2" xfId="0" applyFont="1" applyFill="1" applyBorder="1" applyAlignment="1">
      <alignment horizontal="center"/>
    </xf>
    <xf numFmtId="14" fontId="10" fillId="2" borderId="4" xfId="0" applyNumberFormat="1" applyFont="1" applyFill="1" applyBorder="1"/>
    <xf numFmtId="44" fontId="11" fillId="25" borderId="0" xfId="11" applyFont="1" applyFill="1" applyAlignment="1"/>
    <xf numFmtId="44" fontId="0" fillId="25" borderId="0" xfId="11" applyFont="1" applyFill="1" applyAlignment="1"/>
    <xf numFmtId="44" fontId="11" fillId="23" borderId="0" xfId="11" applyFont="1" applyFill="1" applyAlignment="1"/>
    <xf numFmtId="44" fontId="11" fillId="23" borderId="2" xfId="0" applyNumberFormat="1" applyFont="1" applyFill="1" applyBorder="1"/>
    <xf numFmtId="44" fontId="0" fillId="23" borderId="0" xfId="11" applyFont="1" applyFill="1" applyAlignment="1"/>
    <xf numFmtId="44" fontId="50" fillId="23" borderId="0" xfId="11" applyFont="1" applyFill="1" applyAlignment="1"/>
    <xf numFmtId="44" fontId="0" fillId="31" borderId="0" xfId="0" applyNumberFormat="1" applyFill="1"/>
    <xf numFmtId="44" fontId="11" fillId="25" borderId="2" xfId="11" applyFont="1" applyFill="1" applyBorder="1"/>
    <xf numFmtId="9" fontId="22" fillId="0" borderId="0" xfId="3769" applyFont="1" applyAlignment="1">
      <alignment horizontal="center"/>
    </xf>
    <xf numFmtId="0" fontId="46" fillId="33" borderId="2" xfId="0" applyFont="1" applyFill="1" applyBorder="1" applyAlignment="1">
      <alignment horizontal="center"/>
    </xf>
    <xf numFmtId="0" fontId="26" fillId="33" borderId="2" xfId="0" applyFont="1" applyFill="1" applyBorder="1" applyAlignment="1">
      <alignment horizontal="center"/>
    </xf>
    <xf numFmtId="44" fontId="11" fillId="32" borderId="5" xfId="0" applyNumberFormat="1" applyFont="1" applyFill="1" applyBorder="1"/>
    <xf numFmtId="44" fontId="11" fillId="32" borderId="20" xfId="0" applyNumberFormat="1" applyFont="1" applyFill="1" applyBorder="1"/>
    <xf numFmtId="44" fontId="11" fillId="23" borderId="2" xfId="11" applyFont="1" applyFill="1" applyBorder="1"/>
    <xf numFmtId="44" fontId="11" fillId="0" borderId="2" xfId="11" applyFont="1" applyFill="1" applyBorder="1"/>
    <xf numFmtId="9" fontId="11" fillId="0" borderId="2" xfId="3769" applyFont="1" applyFill="1" applyBorder="1" applyAlignment="1">
      <alignment horizontal="center"/>
    </xf>
    <xf numFmtId="2" fontId="11" fillId="0" borderId="0" xfId="0" applyNumberFormat="1" applyFont="1"/>
    <xf numFmtId="44" fontId="11" fillId="23" borderId="2" xfId="0" applyNumberFormat="1" applyFont="1" applyFill="1" applyBorder="1" applyAlignment="1">
      <alignment vertical="top"/>
    </xf>
    <xf numFmtId="44" fontId="22" fillId="15" borderId="27" xfId="0" applyNumberFormat="1" applyFont="1" applyFill="1" applyBorder="1" applyAlignment="1">
      <alignment vertical="top"/>
    </xf>
    <xf numFmtId="44" fontId="22" fillId="0" borderId="0" xfId="0" applyNumberFormat="1" applyFont="1"/>
    <xf numFmtId="44" fontId="23" fillId="15" borderId="27" xfId="0" applyNumberFormat="1" applyFont="1" applyFill="1" applyBorder="1" applyAlignment="1">
      <alignment vertical="top"/>
    </xf>
    <xf numFmtId="44" fontId="23" fillId="23" borderId="2" xfId="0" applyNumberFormat="1" applyFont="1" applyFill="1" applyBorder="1" applyAlignment="1">
      <alignment vertical="top"/>
    </xf>
    <xf numFmtId="43" fontId="23" fillId="0" borderId="0" xfId="10" applyFont="1" applyAlignment="1"/>
    <xf numFmtId="165" fontId="22" fillId="25" borderId="0" xfId="0" applyNumberFormat="1" applyFont="1" applyFill="1"/>
    <xf numFmtId="44" fontId="22" fillId="15" borderId="2" xfId="0" applyNumberFormat="1" applyFont="1" applyFill="1" applyBorder="1" applyAlignment="1">
      <alignment vertical="top"/>
    </xf>
    <xf numFmtId="0" fontId="5" fillId="33" borderId="2" xfId="0" applyFont="1" applyFill="1" applyBorder="1" applyAlignment="1">
      <alignment horizontal="center"/>
    </xf>
    <xf numFmtId="0" fontId="74" fillId="14" borderId="0" xfId="0" applyFont="1" applyFill="1" applyAlignment="1">
      <alignment horizontal="center"/>
    </xf>
    <xf numFmtId="164" fontId="5" fillId="0" borderId="2" xfId="0" applyNumberFormat="1" applyFont="1" applyBorder="1" applyAlignment="1">
      <alignment horizontal="center"/>
    </xf>
    <xf numFmtId="44" fontId="74" fillId="8" borderId="2" xfId="11" applyFont="1" applyFill="1" applyBorder="1" applyAlignment="1">
      <alignment horizontal="right"/>
    </xf>
    <xf numFmtId="2" fontId="51" fillId="0" borderId="0" xfId="0" applyNumberFormat="1" applyFont="1" applyAlignment="1">
      <alignment horizontal="center"/>
    </xf>
    <xf numFmtId="165" fontId="11" fillId="25" borderId="5" xfId="0" applyNumberFormat="1" applyFont="1" applyFill="1" applyBorder="1"/>
    <xf numFmtId="44" fontId="11" fillId="15" borderId="27" xfId="0" applyNumberFormat="1" applyFont="1" applyFill="1" applyBorder="1" applyAlignment="1">
      <alignment vertical="top"/>
    </xf>
    <xf numFmtId="0" fontId="26" fillId="0" borderId="5" xfId="0" applyFont="1" applyBorder="1"/>
    <xf numFmtId="9" fontId="23" fillId="0" borderId="0" xfId="3769" applyFont="1" applyAlignment="1">
      <alignment horizontal="center"/>
    </xf>
    <xf numFmtId="44" fontId="5" fillId="0" borderId="5" xfId="11" applyFont="1" applyFill="1" applyBorder="1" applyAlignment="1">
      <alignment horizontal="right"/>
    </xf>
    <xf numFmtId="0" fontId="74" fillId="33" borderId="2" xfId="0" applyFont="1" applyFill="1" applyBorder="1" applyAlignment="1">
      <alignment horizontal="center"/>
    </xf>
    <xf numFmtId="0" fontId="74" fillId="0" borderId="2" xfId="0" applyFont="1" applyBorder="1" applyAlignment="1">
      <alignment horizontal="left"/>
    </xf>
    <xf numFmtId="164" fontId="74" fillId="0" borderId="2" xfId="0" applyNumberFormat="1" applyFont="1" applyBorder="1" applyAlignment="1">
      <alignment horizontal="center"/>
    </xf>
    <xf numFmtId="44" fontId="41" fillId="0" borderId="2" xfId="0" applyNumberFormat="1" applyFont="1" applyBorder="1" applyAlignment="1">
      <alignment horizontal="center"/>
    </xf>
    <xf numFmtId="44" fontId="11" fillId="34" borderId="5" xfId="0" applyNumberFormat="1" applyFont="1" applyFill="1" applyBorder="1"/>
    <xf numFmtId="44" fontId="11" fillId="34" borderId="20" xfId="0" applyNumberFormat="1" applyFont="1" applyFill="1" applyBorder="1"/>
    <xf numFmtId="44" fontId="11" fillId="8" borderId="2" xfId="0" applyNumberFormat="1" applyFont="1" applyFill="1" applyBorder="1" applyAlignment="1">
      <alignment vertical="top"/>
    </xf>
    <xf numFmtId="9" fontId="11" fillId="0" borderId="0" xfId="3769" applyFont="1" applyAlignment="1">
      <alignment horizontal="center"/>
    </xf>
    <xf numFmtId="0" fontId="10" fillId="24" borderId="2" xfId="0" applyFont="1" applyFill="1" applyBorder="1"/>
    <xf numFmtId="14" fontId="10" fillId="2" borderId="2" xfId="0" applyNumberFormat="1" applyFont="1" applyFill="1" applyBorder="1"/>
    <xf numFmtId="165" fontId="10" fillId="2" borderId="2" xfId="0" applyNumberFormat="1" applyFont="1" applyFill="1" applyBorder="1" applyAlignment="1">
      <alignment horizontal="center"/>
    </xf>
    <xf numFmtId="165" fontId="10" fillId="2" borderId="2" xfId="0" applyNumberFormat="1" applyFont="1" applyFill="1" applyBorder="1"/>
    <xf numFmtId="0" fontId="4" fillId="0" borderId="0" xfId="3770" applyBorder="1"/>
    <xf numFmtId="0" fontId="62" fillId="0" borderId="0" xfId="3770" applyFont="1" applyBorder="1"/>
    <xf numFmtId="44" fontId="0" fillId="0" borderId="0" xfId="3771" applyFont="1" applyBorder="1" applyAlignment="1">
      <alignment horizontal="center"/>
    </xf>
    <xf numFmtId="0" fontId="4" fillId="0" borderId="0" xfId="3770" applyBorder="1" applyAlignment="1">
      <alignment horizontal="center"/>
    </xf>
    <xf numFmtId="0" fontId="24" fillId="7" borderId="28" xfId="3770" applyFont="1" applyFill="1" applyBorder="1"/>
    <xf numFmtId="44" fontId="24" fillId="7" borderId="28" xfId="3771" applyFont="1" applyFill="1" applyBorder="1" applyAlignment="1">
      <alignment horizontal="center"/>
    </xf>
    <xf numFmtId="14" fontId="24" fillId="7" borderId="28" xfId="3771" applyNumberFormat="1" applyFont="1" applyFill="1" applyBorder="1" applyAlignment="1">
      <alignment horizontal="center"/>
    </xf>
    <xf numFmtId="0" fontId="24" fillId="7" borderId="28" xfId="3770" applyFont="1" applyFill="1" applyBorder="1" applyAlignment="1">
      <alignment horizontal="center"/>
    </xf>
    <xf numFmtId="2" fontId="24" fillId="7" borderId="28" xfId="3770" applyNumberFormat="1" applyFont="1" applyFill="1" applyBorder="1" applyAlignment="1">
      <alignment horizontal="center"/>
    </xf>
    <xf numFmtId="44" fontId="24" fillId="7" borderId="31" xfId="3771" applyFont="1" applyFill="1" applyBorder="1" applyAlignment="1">
      <alignment horizontal="center"/>
    </xf>
    <xf numFmtId="0" fontId="0" fillId="37" borderId="0" xfId="0" applyFill="1"/>
    <xf numFmtId="14" fontId="10" fillId="2" borderId="0" xfId="0" applyNumberFormat="1" applyFont="1" applyFill="1"/>
    <xf numFmtId="165" fontId="10" fillId="2" borderId="0" xfId="0" applyNumberFormat="1" applyFont="1" applyFill="1" applyAlignment="1">
      <alignment horizontal="center"/>
    </xf>
    <xf numFmtId="165" fontId="10" fillId="2" borderId="0" xfId="0" applyNumberFormat="1" applyFont="1" applyFill="1"/>
    <xf numFmtId="0" fontId="41" fillId="33" borderId="2" xfId="0" applyFont="1" applyFill="1" applyBorder="1" applyAlignment="1">
      <alignment horizontal="center"/>
    </xf>
    <xf numFmtId="0" fontId="41" fillId="0" borderId="2" xfId="0" applyFont="1" applyBorder="1"/>
    <xf numFmtId="44" fontId="79" fillId="0" borderId="0" xfId="0" applyNumberFormat="1" applyFont="1" applyAlignment="1">
      <alignment horizontal="center"/>
    </xf>
    <xf numFmtId="0" fontId="79" fillId="0" borderId="0" xfId="0" applyFont="1" applyAlignment="1">
      <alignment horizontal="center"/>
    </xf>
    <xf numFmtId="0" fontId="74" fillId="19" borderId="2" xfId="0" applyFont="1" applyFill="1" applyBorder="1" applyAlignment="1">
      <alignment horizontal="center"/>
    </xf>
    <xf numFmtId="0" fontId="74" fillId="17" borderId="0" xfId="0" applyFont="1" applyFill="1"/>
    <xf numFmtId="0" fontId="5" fillId="17" borderId="0" xfId="0" applyFont="1" applyFill="1"/>
    <xf numFmtId="0" fontId="46" fillId="15" borderId="2" xfId="0" applyFont="1" applyFill="1" applyBorder="1" applyAlignment="1">
      <alignment horizontal="center"/>
    </xf>
    <xf numFmtId="0" fontId="75" fillId="0" borderId="0" xfId="0" applyFont="1"/>
    <xf numFmtId="0" fontId="5" fillId="0" borderId="2" xfId="603" applyFont="1" applyAlignment="1">
      <alignment horizontal="center"/>
    </xf>
    <xf numFmtId="0" fontId="46" fillId="14" borderId="2" xfId="0" applyFont="1" applyFill="1" applyBorder="1" applyAlignment="1">
      <alignment horizontal="center"/>
    </xf>
    <xf numFmtId="0" fontId="67" fillId="26" borderId="2" xfId="221" applyFont="1" applyFill="1" applyBorder="1" applyAlignment="1">
      <alignment horizontal="center"/>
    </xf>
    <xf numFmtId="168" fontId="5" fillId="0" borderId="0" xfId="10" applyNumberFormat="1" applyFont="1" applyFill="1" applyAlignment="1">
      <alignment horizontal="center"/>
    </xf>
    <xf numFmtId="44" fontId="5" fillId="0" borderId="0" xfId="11" applyFont="1" applyFill="1" applyAlignment="1"/>
    <xf numFmtId="44" fontId="37" fillId="0" borderId="2" xfId="11" applyFont="1" applyFill="1" applyBorder="1" applyAlignment="1"/>
    <xf numFmtId="0" fontId="74" fillId="0" borderId="2" xfId="221" applyFont="1" applyFill="1" applyBorder="1" applyAlignment="1"/>
    <xf numFmtId="0" fontId="0" fillId="0" borderId="0" xfId="0" applyAlignment="1">
      <alignment horizontal="center"/>
    </xf>
    <xf numFmtId="44" fontId="25" fillId="25" borderId="0" xfId="11" applyFont="1" applyFill="1" applyAlignment="1"/>
    <xf numFmtId="44" fontId="25" fillId="23" borderId="0" xfId="11" applyFont="1" applyFill="1" applyAlignment="1"/>
    <xf numFmtId="44" fontId="26" fillId="0" borderId="2" xfId="0" applyNumberFormat="1" applyFont="1" applyBorder="1"/>
    <xf numFmtId="44" fontId="74" fillId="27" borderId="2" xfId="11" applyFont="1" applyFill="1" applyBorder="1" applyAlignment="1">
      <alignment horizontal="right"/>
    </xf>
    <xf numFmtId="44" fontId="5" fillId="27" borderId="2" xfId="11" applyFont="1" applyFill="1" applyBorder="1" applyAlignment="1">
      <alignment horizontal="right"/>
    </xf>
    <xf numFmtId="44" fontId="46" fillId="27" borderId="2" xfId="11" applyFont="1" applyFill="1" applyBorder="1" applyAlignment="1">
      <alignment horizontal="right"/>
    </xf>
    <xf numFmtId="44" fontId="26" fillId="27" borderId="2" xfId="11" applyFont="1" applyFill="1" applyBorder="1" applyAlignment="1">
      <alignment horizontal="right"/>
    </xf>
    <xf numFmtId="44" fontId="50" fillId="0" borderId="0" xfId="11" applyFont="1" applyFill="1" applyAlignment="1"/>
    <xf numFmtId="0" fontId="79" fillId="0" borderId="0" xfId="0" applyFont="1"/>
    <xf numFmtId="44" fontId="37" fillId="0" borderId="2" xfId="11" applyFont="1" applyBorder="1" applyAlignment="1">
      <alignment horizontal="right"/>
    </xf>
    <xf numFmtId="44" fontId="26" fillId="0" borderId="2" xfId="11" applyFont="1" applyBorder="1" applyAlignment="1">
      <alignment horizontal="center"/>
    </xf>
    <xf numFmtId="0" fontId="46" fillId="13" borderId="2" xfId="221" applyFont="1" applyFill="1" applyBorder="1" applyAlignment="1">
      <alignment horizontal="center"/>
    </xf>
    <xf numFmtId="44" fontId="50" fillId="0" borderId="2" xfId="11" applyFont="1" applyFill="1" applyBorder="1" applyAlignment="1">
      <alignment horizontal="right"/>
    </xf>
    <xf numFmtId="0" fontId="36" fillId="0" borderId="2" xfId="0" applyFont="1" applyBorder="1" applyAlignment="1">
      <alignment horizontal="center"/>
    </xf>
    <xf numFmtId="0" fontId="5" fillId="25" borderId="2" xfId="0" applyFont="1" applyFill="1" applyBorder="1" applyAlignment="1">
      <alignment horizontal="center"/>
    </xf>
    <xf numFmtId="0" fontId="50" fillId="0" borderId="2" xfId="0" applyFont="1" applyBorder="1"/>
    <xf numFmtId="0" fontId="46" fillId="0" borderId="5" xfId="0" applyFont="1" applyBorder="1" applyAlignment="1">
      <alignment horizontal="center"/>
    </xf>
    <xf numFmtId="164" fontId="49" fillId="0" borderId="2" xfId="0" applyNumberFormat="1" applyFont="1" applyBorder="1" applyAlignment="1">
      <alignment horizontal="center"/>
    </xf>
    <xf numFmtId="44" fontId="45" fillId="8" borderId="5" xfId="11" applyFont="1" applyFill="1" applyBorder="1" applyAlignment="1">
      <alignment horizontal="right"/>
    </xf>
    <xf numFmtId="0" fontId="26" fillId="19" borderId="2" xfId="9" applyFont="1" applyFill="1" applyBorder="1" applyAlignment="1">
      <alignment horizontal="center"/>
    </xf>
    <xf numFmtId="0" fontId="46" fillId="11" borderId="0" xfId="0" applyFont="1" applyFill="1" applyAlignment="1">
      <alignment horizontal="center"/>
    </xf>
    <xf numFmtId="0" fontId="37" fillId="0" borderId="5" xfId="603" applyFont="1" applyBorder="1" applyAlignment="1">
      <alignment horizontal="left"/>
    </xf>
    <xf numFmtId="0" fontId="23" fillId="40" borderId="2" xfId="0" applyFont="1" applyFill="1" applyBorder="1" applyAlignment="1">
      <alignment horizontal="center"/>
    </xf>
    <xf numFmtId="0" fontId="84" fillId="0" borderId="2" xfId="3773" applyFont="1"/>
    <xf numFmtId="0" fontId="3" fillId="0" borderId="2" xfId="3773"/>
    <xf numFmtId="0" fontId="26" fillId="0" borderId="2" xfId="3773" applyFont="1"/>
    <xf numFmtId="0" fontId="82" fillId="41" borderId="2" xfId="3773" applyFont="1" applyFill="1"/>
    <xf numFmtId="0" fontId="83" fillId="41" borderId="2" xfId="3773" applyFont="1" applyFill="1"/>
    <xf numFmtId="0" fontId="85" fillId="0" borderId="2" xfId="3773" applyFont="1"/>
    <xf numFmtId="0" fontId="58" fillId="0" borderId="2" xfId="3773" applyFont="1"/>
    <xf numFmtId="0" fontId="5" fillId="0" borderId="2" xfId="3773" applyFont="1"/>
    <xf numFmtId="44" fontId="5" fillId="0" borderId="2" xfId="3773" applyNumberFormat="1" applyFont="1"/>
    <xf numFmtId="44" fontId="3" fillId="0" borderId="2" xfId="3773" applyNumberFormat="1"/>
    <xf numFmtId="0" fontId="86" fillId="0" borderId="2" xfId="3773" applyFont="1"/>
    <xf numFmtId="0" fontId="78" fillId="0" borderId="2" xfId="3773" applyFont="1"/>
    <xf numFmtId="0" fontId="84" fillId="0" borderId="0" xfId="0" applyFont="1"/>
    <xf numFmtId="0" fontId="82" fillId="41" borderId="0" xfId="0" applyFont="1" applyFill="1"/>
    <xf numFmtId="0" fontId="83" fillId="41" borderId="0" xfId="0" applyFont="1" applyFill="1"/>
    <xf numFmtId="0" fontId="85" fillId="0" borderId="0" xfId="0" applyFont="1"/>
    <xf numFmtId="0" fontId="58" fillId="0" borderId="0" xfId="0" applyFont="1"/>
    <xf numFmtId="0" fontId="0" fillId="0" borderId="0" xfId="0" applyAlignment="1">
      <alignment horizontal="right"/>
    </xf>
    <xf numFmtId="0" fontId="87" fillId="41" borderId="0" xfId="0" applyFont="1" applyFill="1"/>
    <xf numFmtId="0" fontId="88" fillId="41" borderId="0" xfId="0" applyFont="1" applyFill="1"/>
    <xf numFmtId="43" fontId="5" fillId="0" borderId="0" xfId="0" applyNumberFormat="1" applyFont="1"/>
    <xf numFmtId="9" fontId="16" fillId="0" borderId="2" xfId="3774" applyFont="1"/>
    <xf numFmtId="0" fontId="84" fillId="0" borderId="2" xfId="3773" applyFont="1" applyAlignment="1">
      <alignment horizontal="center"/>
    </xf>
    <xf numFmtId="0" fontId="3" fillId="0" borderId="2" xfId="3773" applyAlignment="1">
      <alignment horizontal="center"/>
    </xf>
    <xf numFmtId="0" fontId="83" fillId="41" borderId="2" xfId="3773" applyFont="1" applyFill="1" applyAlignment="1">
      <alignment horizontal="center"/>
    </xf>
    <xf numFmtId="0" fontId="58" fillId="0" borderId="2" xfId="3773" applyFont="1" applyAlignment="1">
      <alignment horizontal="center"/>
    </xf>
    <xf numFmtId="0" fontId="5" fillId="0" borderId="2" xfId="3773" applyFont="1" applyAlignment="1">
      <alignment horizontal="center"/>
    </xf>
    <xf numFmtId="0" fontId="84" fillId="0" borderId="0" xfId="0" applyFont="1" applyAlignment="1">
      <alignment horizontal="center"/>
    </xf>
    <xf numFmtId="0" fontId="83" fillId="41" borderId="0" xfId="0" applyFont="1" applyFill="1" applyAlignment="1">
      <alignment horizontal="center"/>
    </xf>
    <xf numFmtId="0" fontId="58" fillId="0" borderId="0" xfId="0" applyFont="1" applyAlignment="1">
      <alignment horizontal="center"/>
    </xf>
    <xf numFmtId="0" fontId="26" fillId="0" borderId="2" xfId="3773" applyFont="1" applyAlignment="1">
      <alignment horizontal="center"/>
    </xf>
    <xf numFmtId="0" fontId="82" fillId="41" borderId="2" xfId="3773" applyFont="1" applyFill="1" applyAlignment="1">
      <alignment horizontal="center"/>
    </xf>
    <xf numFmtId="0" fontId="85" fillId="0" borderId="2" xfId="3773" applyFont="1" applyAlignment="1">
      <alignment horizontal="center"/>
    </xf>
    <xf numFmtId="0" fontId="82" fillId="41" borderId="0" xfId="0" applyFont="1" applyFill="1" applyAlignment="1">
      <alignment horizontal="center"/>
    </xf>
    <xf numFmtId="0" fontId="85" fillId="0" borderId="0" xfId="0" applyFont="1" applyAlignment="1">
      <alignment horizontal="center"/>
    </xf>
    <xf numFmtId="0" fontId="88" fillId="41" borderId="0" xfId="0" applyFont="1" applyFill="1" applyAlignment="1">
      <alignment horizontal="center"/>
    </xf>
    <xf numFmtId="44" fontId="37" fillId="0" borderId="2" xfId="3773" applyNumberFormat="1" applyFont="1"/>
    <xf numFmtId="44" fontId="81" fillId="0" borderId="2" xfId="3773" applyNumberFormat="1" applyFont="1"/>
    <xf numFmtId="0" fontId="3" fillId="0" borderId="2" xfId="3773" applyAlignment="1">
      <alignment horizontal="right"/>
    </xf>
    <xf numFmtId="9" fontId="3" fillId="0" borderId="2" xfId="3773" applyNumberFormat="1"/>
    <xf numFmtId="44" fontId="3" fillId="0" borderId="2" xfId="11" applyFont="1" applyBorder="1"/>
    <xf numFmtId="44" fontId="81" fillId="0" borderId="2" xfId="11" applyFont="1" applyBorder="1"/>
    <xf numFmtId="44" fontId="0" fillId="0" borderId="0" xfId="11" applyFont="1"/>
    <xf numFmtId="44" fontId="5" fillId="0" borderId="0" xfId="11" applyFont="1"/>
    <xf numFmtId="0" fontId="26" fillId="0" borderId="2" xfId="221" applyFont="1" applyFill="1" applyBorder="1" applyAlignment="1">
      <alignment horizontal="center"/>
    </xf>
    <xf numFmtId="44" fontId="11" fillId="0" borderId="2" xfId="0" applyNumberFormat="1" applyFont="1" applyBorder="1" applyAlignment="1">
      <alignment horizontal="center"/>
    </xf>
    <xf numFmtId="0" fontId="46" fillId="0" borderId="2" xfId="603" applyFont="1" applyAlignment="1">
      <alignment horizontal="left"/>
    </xf>
    <xf numFmtId="2" fontId="5" fillId="0" borderId="2" xfId="0" applyNumberFormat="1" applyFont="1" applyBorder="1" applyAlignment="1">
      <alignment horizontal="center"/>
    </xf>
    <xf numFmtId="44" fontId="50" fillId="0" borderId="2" xfId="11" applyFont="1" applyFill="1" applyBorder="1" applyAlignment="1">
      <alignment horizontal="center"/>
    </xf>
    <xf numFmtId="44" fontId="16" fillId="0" borderId="0" xfId="11" applyFont="1"/>
    <xf numFmtId="0" fontId="2" fillId="0" borderId="2" xfId="3773" applyFont="1"/>
    <xf numFmtId="44" fontId="58" fillId="0" borderId="0" xfId="0" applyNumberFormat="1" applyFont="1"/>
    <xf numFmtId="44" fontId="89" fillId="27" borderId="2" xfId="11" applyFont="1" applyFill="1" applyBorder="1" applyAlignment="1">
      <alignment horizontal="right"/>
    </xf>
    <xf numFmtId="44" fontId="90" fillId="8" borderId="2" xfId="11" applyFont="1" applyFill="1" applyBorder="1" applyAlignment="1">
      <alignment horizontal="right"/>
    </xf>
    <xf numFmtId="0" fontId="23" fillId="3" borderId="5" xfId="0" applyFont="1" applyFill="1" applyBorder="1"/>
    <xf numFmtId="0" fontId="35" fillId="0" borderId="0" xfId="0" applyFont="1" applyAlignment="1">
      <alignment horizontal="center"/>
    </xf>
    <xf numFmtId="44" fontId="37" fillId="22" borderId="26" xfId="0" applyNumberFormat="1" applyFont="1" applyFill="1" applyBorder="1" applyAlignment="1">
      <alignment vertical="top"/>
    </xf>
    <xf numFmtId="0" fontId="37" fillId="12" borderId="0" xfId="0" applyFont="1" applyFill="1"/>
    <xf numFmtId="0" fontId="91" fillId="21" borderId="0" xfId="0" applyFont="1" applyFill="1" applyAlignment="1" applyProtection="1">
      <alignment horizontal="center"/>
      <protection locked="0"/>
    </xf>
    <xf numFmtId="44" fontId="91" fillId="12" borderId="25" xfId="0" applyNumberFormat="1" applyFont="1" applyFill="1" applyBorder="1" applyAlignment="1">
      <alignment vertical="top"/>
    </xf>
    <xf numFmtId="44" fontId="37" fillId="12" borderId="26" xfId="0" applyNumberFormat="1" applyFont="1" applyFill="1" applyBorder="1" applyAlignment="1">
      <alignment vertical="top"/>
    </xf>
    <xf numFmtId="44" fontId="26" fillId="0" borderId="5" xfId="11" applyFont="1" applyFill="1" applyBorder="1" applyAlignment="1">
      <alignment horizontal="right"/>
    </xf>
    <xf numFmtId="1" fontId="37" fillId="0" borderId="2" xfId="0" applyNumberFormat="1" applyFont="1" applyBorder="1" applyAlignment="1">
      <alignment horizontal="center"/>
    </xf>
    <xf numFmtId="0" fontId="92" fillId="0" borderId="0" xfId="0" applyFont="1"/>
    <xf numFmtId="0" fontId="5" fillId="0" borderId="2" xfId="221" applyFont="1" applyFill="1" applyBorder="1"/>
    <xf numFmtId="1" fontId="49" fillId="0" borderId="2" xfId="0" applyNumberFormat="1" applyFont="1" applyBorder="1" applyAlignment="1">
      <alignment horizontal="center"/>
    </xf>
    <xf numFmtId="0" fontId="37" fillId="0" borderId="2" xfId="221" applyFont="1" applyFill="1" applyBorder="1"/>
    <xf numFmtId="44" fontId="11" fillId="30" borderId="2" xfId="11" applyFont="1" applyFill="1" applyBorder="1"/>
    <xf numFmtId="44" fontId="11" fillId="30" borderId="0" xfId="11" applyFont="1" applyFill="1" applyAlignment="1"/>
    <xf numFmtId="44" fontId="11" fillId="30" borderId="0" xfId="0" applyNumberFormat="1" applyFont="1" applyFill="1"/>
    <xf numFmtId="44" fontId="0" fillId="30" borderId="0" xfId="11" applyFont="1" applyFill="1" applyAlignment="1"/>
    <xf numFmtId="164" fontId="22" fillId="0" borderId="2" xfId="0" applyNumberFormat="1" applyFont="1" applyBorder="1" applyAlignment="1">
      <alignment horizontal="center"/>
    </xf>
    <xf numFmtId="1" fontId="74" fillId="0" borderId="2" xfId="10" applyNumberFormat="1" applyFont="1" applyFill="1" applyBorder="1" applyAlignment="1">
      <alignment horizontal="center"/>
    </xf>
    <xf numFmtId="2" fontId="5" fillId="19" borderId="2" xfId="0" applyNumberFormat="1" applyFont="1" applyFill="1" applyBorder="1" applyAlignment="1">
      <alignment horizontal="center"/>
    </xf>
    <xf numFmtId="44" fontId="22" fillId="0" borderId="2" xfId="0" applyNumberFormat="1" applyFont="1" applyBorder="1"/>
    <xf numFmtId="164" fontId="45" fillId="0" borderId="2" xfId="221" applyNumberFormat="1" applyFont="1" applyFill="1" applyBorder="1" applyAlignment="1">
      <alignment horizontal="center"/>
    </xf>
    <xf numFmtId="44" fontId="23" fillId="0" borderId="0" xfId="0" applyNumberFormat="1" applyFont="1"/>
    <xf numFmtId="2" fontId="23" fillId="0" borderId="0" xfId="0" applyNumberFormat="1" applyFont="1"/>
    <xf numFmtId="44" fontId="36" fillId="30" borderId="2" xfId="11" applyFont="1" applyFill="1" applyBorder="1" applyAlignment="1">
      <alignment horizontal="center"/>
    </xf>
    <xf numFmtId="0" fontId="23" fillId="0" borderId="0" xfId="0" applyFont="1" applyAlignment="1">
      <alignment horizontal="left"/>
    </xf>
    <xf numFmtId="0" fontId="49" fillId="8" borderId="2" xfId="603" applyFont="1" applyFill="1" applyAlignment="1">
      <alignment horizontal="left"/>
    </xf>
    <xf numFmtId="0" fontId="46" fillId="0" borderId="5" xfId="0" applyFont="1" applyBorder="1"/>
    <xf numFmtId="0" fontId="65" fillId="15" borderId="2" xfId="0" applyFont="1" applyFill="1" applyBorder="1" applyAlignment="1">
      <alignment horizontal="center"/>
    </xf>
    <xf numFmtId="0" fontId="22" fillId="13" borderId="2" xfId="221" applyFont="1" applyFill="1" applyBorder="1" applyAlignment="1">
      <alignment horizontal="center"/>
    </xf>
    <xf numFmtId="0" fontId="26" fillId="39" borderId="2" xfId="0" applyFont="1" applyFill="1" applyBorder="1" applyAlignment="1">
      <alignment horizontal="center"/>
    </xf>
    <xf numFmtId="164" fontId="37" fillId="0" borderId="2" xfId="221" applyNumberFormat="1" applyFont="1" applyFill="1" applyBorder="1" applyAlignment="1">
      <alignment horizontal="center"/>
    </xf>
    <xf numFmtId="44" fontId="26" fillId="8" borderId="5" xfId="11" applyFont="1" applyFill="1" applyBorder="1" applyAlignment="1">
      <alignment horizontal="right"/>
    </xf>
    <xf numFmtId="44" fontId="46" fillId="8" borderId="5" xfId="11" applyFont="1" applyFill="1" applyBorder="1" applyAlignment="1">
      <alignment horizontal="right"/>
    </xf>
    <xf numFmtId="2" fontId="5" fillId="0" borderId="2" xfId="10" applyNumberFormat="1" applyFont="1" applyFill="1" applyBorder="1" applyAlignment="1">
      <alignment horizontal="center"/>
    </xf>
    <xf numFmtId="9" fontId="26" fillId="0" borderId="2" xfId="0" applyNumberFormat="1" applyFont="1" applyBorder="1" applyAlignment="1">
      <alignment horizontal="center"/>
    </xf>
    <xf numFmtId="44" fontId="23" fillId="0" borderId="2" xfId="0" applyNumberFormat="1" applyFont="1" applyBorder="1" applyAlignment="1">
      <alignment horizontal="right"/>
    </xf>
    <xf numFmtId="44" fontId="12" fillId="0" borderId="2" xfId="0" applyNumberFormat="1" applyFont="1" applyBorder="1" applyAlignment="1">
      <alignment horizontal="center"/>
    </xf>
    <xf numFmtId="0" fontId="36" fillId="0" borderId="2" xfId="0" applyFont="1" applyBorder="1"/>
    <xf numFmtId="0" fontId="26" fillId="0" borderId="2" xfId="9" applyFont="1" applyFill="1" applyBorder="1" applyAlignment="1">
      <alignment horizontal="left"/>
    </xf>
    <xf numFmtId="0" fontId="26" fillId="0" borderId="2" xfId="9" applyFont="1" applyFill="1" applyBorder="1" applyAlignment="1">
      <alignment horizontal="center"/>
    </xf>
    <xf numFmtId="44" fontId="26" fillId="30" borderId="2" xfId="11" applyFont="1" applyFill="1" applyBorder="1" applyAlignment="1">
      <alignment horizontal="center"/>
    </xf>
    <xf numFmtId="170" fontId="20" fillId="13" borderId="2" xfId="222" applyNumberFormat="1" applyFill="1" applyBorder="1"/>
    <xf numFmtId="164" fontId="5" fillId="0" borderId="2" xfId="221" applyNumberFormat="1" applyFont="1" applyFill="1" applyBorder="1" applyAlignment="1">
      <alignment horizontal="center"/>
    </xf>
    <xf numFmtId="0" fontId="41" fillId="0" borderId="2" xfId="221" applyFont="1" applyFill="1" applyBorder="1" applyAlignment="1">
      <alignment horizontal="left"/>
    </xf>
    <xf numFmtId="44" fontId="51" fillId="0" borderId="2" xfId="0" applyNumberFormat="1" applyFont="1" applyBorder="1" applyAlignment="1">
      <alignment horizontal="center"/>
    </xf>
    <xf numFmtId="9" fontId="37" fillId="0" borderId="0" xfId="0" applyNumberFormat="1" applyFont="1" applyAlignment="1">
      <alignment horizontal="center"/>
    </xf>
    <xf numFmtId="44" fontId="37" fillId="0" borderId="2" xfId="11" applyFont="1" applyBorder="1" applyAlignment="1"/>
    <xf numFmtId="44" fontId="41" fillId="0" borderId="2" xfId="0" applyNumberFormat="1" applyFont="1" applyBorder="1"/>
    <xf numFmtId="44" fontId="22" fillId="8" borderId="2" xfId="0" applyNumberFormat="1" applyFont="1" applyFill="1" applyBorder="1" applyAlignment="1">
      <alignment vertical="top"/>
    </xf>
    <xf numFmtId="44" fontId="93" fillId="23" borderId="0" xfId="11" applyFont="1" applyFill="1" applyAlignment="1"/>
    <xf numFmtId="0" fontId="93" fillId="0" borderId="0" xfId="0" applyFont="1"/>
    <xf numFmtId="44" fontId="11" fillId="0" borderId="0" xfId="11" applyFont="1" applyAlignment="1"/>
    <xf numFmtId="0" fontId="92" fillId="30" borderId="2" xfId="0" applyFont="1" applyFill="1" applyBorder="1" applyAlignment="1">
      <alignment horizontal="left"/>
    </xf>
    <xf numFmtId="44" fontId="16" fillId="0" borderId="0" xfId="0" applyNumberFormat="1" applyFont="1"/>
    <xf numFmtId="44" fontId="11" fillId="0" borderId="20" xfId="0" applyNumberFormat="1" applyFont="1" applyBorder="1"/>
    <xf numFmtId="165" fontId="24" fillId="2" borderId="4" xfId="0" applyNumberFormat="1" applyFont="1" applyFill="1" applyBorder="1" applyAlignment="1">
      <alignment horizontal="center"/>
    </xf>
    <xf numFmtId="165" fontId="24" fillId="2" borderId="4" xfId="0" applyNumberFormat="1" applyFont="1" applyFill="1" applyBorder="1"/>
    <xf numFmtId="165" fontId="24" fillId="2" borderId="21" xfId="0" applyNumberFormat="1" applyFont="1" applyFill="1" applyBorder="1" applyAlignment="1">
      <alignment horizontal="center"/>
    </xf>
    <xf numFmtId="0" fontId="88" fillId="0" borderId="0" xfId="0" applyFont="1"/>
    <xf numFmtId="0" fontId="49" fillId="11" borderId="0" xfId="0" applyFont="1" applyFill="1" applyAlignment="1">
      <alignment horizontal="center"/>
    </xf>
    <xf numFmtId="9" fontId="46" fillId="0" borderId="0" xfId="0" applyNumberFormat="1" applyFont="1" applyAlignment="1">
      <alignment horizontal="center"/>
    </xf>
    <xf numFmtId="0" fontId="5" fillId="14" borderId="0" xfId="0" applyFont="1" applyFill="1" applyAlignment="1">
      <alignment horizontal="center"/>
    </xf>
    <xf numFmtId="2" fontId="46" fillId="0" borderId="2" xfId="10" applyNumberFormat="1" applyFont="1" applyFill="1" applyBorder="1" applyAlignment="1">
      <alignment horizontal="center"/>
    </xf>
    <xf numFmtId="44" fontId="23" fillId="25" borderId="0" xfId="11" applyFont="1" applyFill="1" applyAlignment="1"/>
    <xf numFmtId="44" fontId="23" fillId="23" borderId="0" xfId="11" applyFont="1" applyFill="1" applyAlignment="1"/>
    <xf numFmtId="44" fontId="23" fillId="30" borderId="0" xfId="11" applyFont="1" applyFill="1" applyAlignment="1"/>
    <xf numFmtId="44" fontId="23" fillId="0" borderId="0" xfId="11" applyFont="1" applyAlignment="1"/>
    <xf numFmtId="44" fontId="23" fillId="34" borderId="20" xfId="0" applyNumberFormat="1" applyFont="1" applyFill="1" applyBorder="1"/>
    <xf numFmtId="8" fontId="41" fillId="0" borderId="2" xfId="11" applyNumberFormat="1" applyFont="1" applyFill="1" applyBorder="1" applyAlignment="1">
      <alignment horizontal="right"/>
    </xf>
    <xf numFmtId="0" fontId="26" fillId="8" borderId="2" xfId="0" applyFont="1" applyFill="1" applyBorder="1" applyAlignment="1">
      <alignment horizontal="center"/>
    </xf>
    <xf numFmtId="2" fontId="45" fillId="0" borderId="2" xfId="0" applyNumberFormat="1" applyFont="1" applyBorder="1" applyAlignment="1">
      <alignment horizontal="center"/>
    </xf>
    <xf numFmtId="44" fontId="23" fillId="34" borderId="5" xfId="0" applyNumberFormat="1" applyFont="1" applyFill="1" applyBorder="1"/>
    <xf numFmtId="9" fontId="45" fillId="0" borderId="0" xfId="0" applyNumberFormat="1" applyFont="1" applyAlignment="1">
      <alignment horizontal="center"/>
    </xf>
    <xf numFmtId="0" fontId="74" fillId="0" borderId="2" xfId="221" applyFont="1" applyFill="1" applyBorder="1" applyAlignment="1">
      <alignment horizontal="left"/>
    </xf>
    <xf numFmtId="1" fontId="37" fillId="0" borderId="2" xfId="10" applyNumberFormat="1" applyFont="1" applyBorder="1" applyAlignment="1">
      <alignment horizontal="center"/>
    </xf>
    <xf numFmtId="1" fontId="71" fillId="28" borderId="2" xfId="10" applyNumberFormat="1" applyFont="1" applyFill="1" applyBorder="1" applyAlignment="1">
      <alignment horizontal="center"/>
    </xf>
    <xf numFmtId="44" fontId="5" fillId="8" borderId="5" xfId="11" applyFont="1" applyFill="1" applyBorder="1" applyAlignment="1">
      <alignment horizontal="right"/>
    </xf>
    <xf numFmtId="0" fontId="23" fillId="8" borderId="2" xfId="0" applyFont="1" applyFill="1" applyBorder="1" applyAlignment="1">
      <alignment horizontal="center"/>
    </xf>
    <xf numFmtId="0" fontId="40" fillId="0" borderId="2" xfId="0" applyFont="1" applyBorder="1" applyAlignment="1">
      <alignment horizontal="left"/>
    </xf>
    <xf numFmtId="44" fontId="23" fillId="0" borderId="2" xfId="11" applyFont="1" applyFill="1" applyBorder="1"/>
    <xf numFmtId="44" fontId="23" fillId="13" borderId="2" xfId="11" applyFont="1" applyFill="1" applyBorder="1"/>
    <xf numFmtId="1" fontId="5" fillId="0" borderId="2" xfId="0" applyNumberFormat="1" applyFont="1" applyBorder="1" applyAlignment="1">
      <alignment horizontal="center"/>
    </xf>
    <xf numFmtId="1" fontId="22" fillId="0" borderId="2" xfId="0" applyNumberFormat="1" applyFont="1" applyBorder="1" applyAlignment="1">
      <alignment horizontal="center"/>
    </xf>
    <xf numFmtId="2" fontId="37" fillId="0" borderId="2" xfId="10" applyNumberFormat="1" applyFont="1" applyFill="1" applyBorder="1" applyAlignment="1">
      <alignment horizontal="center"/>
    </xf>
    <xf numFmtId="1" fontId="64" fillId="0" borderId="2" xfId="10" applyNumberFormat="1" applyFont="1" applyFill="1" applyBorder="1" applyAlignment="1">
      <alignment horizontal="center"/>
    </xf>
    <xf numFmtId="1" fontId="41" fillId="0" borderId="2" xfId="10" applyNumberFormat="1" applyFont="1" applyFill="1" applyBorder="1" applyAlignment="1">
      <alignment horizontal="center"/>
    </xf>
    <xf numFmtId="1" fontId="40" fillId="0" borderId="2" xfId="10" applyNumberFormat="1" applyFont="1" applyFill="1" applyBorder="1" applyAlignment="1">
      <alignment horizontal="center"/>
    </xf>
    <xf numFmtId="1" fontId="37" fillId="28" borderId="2" xfId="10" applyNumberFormat="1" applyFont="1" applyFill="1" applyBorder="1" applyAlignment="1">
      <alignment horizontal="center"/>
    </xf>
    <xf numFmtId="1" fontId="51" fillId="0" borderId="2" xfId="10" applyNumberFormat="1" applyFont="1" applyFill="1" applyBorder="1" applyAlignment="1">
      <alignment horizontal="center"/>
    </xf>
    <xf numFmtId="44" fontId="40" fillId="0" borderId="2" xfId="0" applyNumberFormat="1" applyFont="1" applyBorder="1" applyAlignment="1">
      <alignment horizontal="center"/>
    </xf>
    <xf numFmtId="44" fontId="67" fillId="15" borderId="2" xfId="11" applyFont="1" applyFill="1" applyBorder="1" applyAlignment="1">
      <alignment horizontal="center"/>
    </xf>
    <xf numFmtId="44" fontId="67" fillId="15" borderId="2" xfId="0" applyNumberFormat="1" applyFont="1" applyFill="1" applyBorder="1"/>
    <xf numFmtId="0" fontId="20" fillId="0" borderId="2" xfId="221" applyFill="1" applyBorder="1" applyAlignment="1">
      <alignment horizontal="center"/>
    </xf>
    <xf numFmtId="44" fontId="22" fillId="25" borderId="0" xfId="11" applyFont="1" applyFill="1" applyAlignment="1"/>
    <xf numFmtId="44" fontId="22" fillId="23" borderId="0" xfId="11" applyFont="1" applyFill="1" applyAlignment="1"/>
    <xf numFmtId="44" fontId="22" fillId="30" borderId="0" xfId="11" applyFont="1" applyFill="1" applyAlignment="1"/>
    <xf numFmtId="44" fontId="22" fillId="0" borderId="0" xfId="11" applyFont="1" applyAlignment="1"/>
    <xf numFmtId="9" fontId="22" fillId="0" borderId="2" xfId="3769" applyFont="1" applyFill="1" applyBorder="1" applyAlignment="1">
      <alignment horizontal="center"/>
    </xf>
    <xf numFmtId="44" fontId="26" fillId="10" borderId="2" xfId="11" applyFont="1" applyFill="1" applyBorder="1" applyAlignment="1">
      <alignment horizontal="right"/>
    </xf>
    <xf numFmtId="0" fontId="52" fillId="7" borderId="1" xfId="0" applyFont="1" applyFill="1" applyBorder="1" applyAlignment="1">
      <alignment horizontal="left"/>
    </xf>
    <xf numFmtId="1" fontId="52" fillId="7" borderId="1" xfId="0" applyNumberFormat="1" applyFont="1" applyFill="1" applyBorder="1" applyAlignment="1">
      <alignment horizontal="center"/>
    </xf>
    <xf numFmtId="2" fontId="26" fillId="0" borderId="2" xfId="10" applyNumberFormat="1" applyFont="1" applyFill="1" applyBorder="1" applyAlignment="1">
      <alignment horizontal="center"/>
    </xf>
    <xf numFmtId="2" fontId="49" fillId="0" borderId="2" xfId="10" applyNumberFormat="1" applyFont="1" applyFill="1" applyBorder="1" applyAlignment="1">
      <alignment horizontal="center"/>
    </xf>
    <xf numFmtId="0" fontId="5" fillId="0" borderId="2" xfId="603" applyFont="1" applyAlignment="1">
      <alignment horizontal="left"/>
    </xf>
    <xf numFmtId="1" fontId="45" fillId="14" borderId="2" xfId="10" applyNumberFormat="1" applyFont="1" applyFill="1" applyBorder="1" applyAlignment="1">
      <alignment horizontal="center"/>
    </xf>
    <xf numFmtId="1" fontId="11" fillId="0" borderId="2" xfId="10" applyNumberFormat="1" applyFont="1" applyFill="1" applyBorder="1" applyAlignment="1">
      <alignment horizontal="center"/>
    </xf>
    <xf numFmtId="2" fontId="22" fillId="0" borderId="2" xfId="10" applyNumberFormat="1" applyFont="1" applyFill="1" applyBorder="1" applyAlignment="1">
      <alignment horizontal="center"/>
    </xf>
    <xf numFmtId="1" fontId="26" fillId="0" borderId="2" xfId="10" applyNumberFormat="1" applyFont="1" applyBorder="1" applyAlignment="1">
      <alignment horizontal="center"/>
    </xf>
    <xf numFmtId="2" fontId="74" fillId="0" borderId="2" xfId="10" applyNumberFormat="1" applyFont="1" applyFill="1" applyBorder="1" applyAlignment="1">
      <alignment horizontal="center"/>
    </xf>
    <xf numFmtId="1" fontId="37" fillId="14" borderId="2" xfId="10" applyNumberFormat="1" applyFont="1" applyFill="1" applyBorder="1" applyAlignment="1">
      <alignment horizontal="center"/>
    </xf>
    <xf numFmtId="44" fontId="45" fillId="14" borderId="2" xfId="11" applyFont="1" applyFill="1" applyBorder="1" applyAlignment="1">
      <alignment horizontal="center"/>
    </xf>
    <xf numFmtId="2" fontId="45" fillId="0" borderId="2" xfId="10" applyNumberFormat="1" applyFont="1" applyFill="1" applyBorder="1" applyAlignment="1">
      <alignment horizontal="center"/>
    </xf>
    <xf numFmtId="1" fontId="69" fillId="28" borderId="2" xfId="10" applyNumberFormat="1" applyFont="1" applyFill="1" applyBorder="1" applyAlignment="1">
      <alignment horizontal="center"/>
    </xf>
    <xf numFmtId="2" fontId="50" fillId="0" borderId="2" xfId="10" applyNumberFormat="1" applyFont="1" applyFill="1" applyBorder="1" applyAlignment="1">
      <alignment horizontal="center"/>
    </xf>
    <xf numFmtId="1" fontId="69" fillId="15" borderId="2" xfId="10" applyNumberFormat="1" applyFont="1" applyFill="1" applyBorder="1" applyAlignment="1">
      <alignment horizontal="center"/>
    </xf>
    <xf numFmtId="1" fontId="67" fillId="15" borderId="2" xfId="10" applyNumberFormat="1" applyFont="1" applyFill="1" applyBorder="1" applyAlignment="1">
      <alignment horizontal="center"/>
    </xf>
    <xf numFmtId="0" fontId="23" fillId="14" borderId="2" xfId="221" applyFont="1" applyFill="1" applyBorder="1" applyAlignment="1"/>
    <xf numFmtId="0" fontId="52" fillId="38" borderId="1" xfId="0" applyFont="1" applyFill="1" applyBorder="1" applyAlignment="1">
      <alignment horizontal="center"/>
    </xf>
    <xf numFmtId="166" fontId="6" fillId="0" borderId="0" xfId="10" applyNumberFormat="1" applyFont="1"/>
    <xf numFmtId="44" fontId="13" fillId="0" borderId="1" xfId="0" applyNumberFormat="1" applyFont="1" applyBorder="1"/>
    <xf numFmtId="44" fontId="24" fillId="7" borderId="2" xfId="3771" applyFont="1" applyFill="1" applyBorder="1" applyAlignment="1">
      <alignment horizontal="right"/>
    </xf>
    <xf numFmtId="44" fontId="24" fillId="7" borderId="2" xfId="3771" applyFont="1" applyFill="1" applyBorder="1" applyAlignment="1">
      <alignment horizontal="center"/>
    </xf>
    <xf numFmtId="0" fontId="4" fillId="0" borderId="2" xfId="3770"/>
    <xf numFmtId="44" fontId="11" fillId="0" borderId="2" xfId="3771" applyFont="1" applyBorder="1" applyAlignment="1"/>
    <xf numFmtId="49" fontId="24" fillId="0" borderId="2" xfId="3771" applyNumberFormat="1" applyFont="1" applyBorder="1" applyAlignment="1"/>
    <xf numFmtId="0" fontId="22" fillId="0" borderId="2" xfId="3770" applyFont="1"/>
    <xf numFmtId="44" fontId="22" fillId="28" borderId="2" xfId="3771" applyFont="1" applyFill="1" applyBorder="1" applyAlignment="1">
      <alignment horizontal="center"/>
    </xf>
    <xf numFmtId="44" fontId="22" fillId="8" borderId="2" xfId="3771" applyFont="1" applyFill="1" applyBorder="1" applyAlignment="1"/>
    <xf numFmtId="44" fontId="22" fillId="35" borderId="2" xfId="3771" applyFont="1" applyFill="1" applyBorder="1" applyAlignment="1"/>
    <xf numFmtId="0" fontId="22" fillId="0" borderId="2" xfId="3770" applyFont="1" applyAlignment="1">
      <alignment horizontal="center"/>
    </xf>
    <xf numFmtId="44" fontId="22" fillId="36" borderId="2" xfId="3771" applyFont="1" applyFill="1" applyBorder="1" applyAlignment="1"/>
    <xf numFmtId="44" fontId="22" fillId="0" borderId="2" xfId="3771" applyFont="1" applyBorder="1" applyAlignment="1"/>
    <xf numFmtId="0" fontId="26" fillId="0" borderId="2" xfId="3770" applyFont="1"/>
    <xf numFmtId="44" fontId="46" fillId="28" borderId="2" xfId="3771" applyFont="1" applyFill="1" applyBorder="1" applyAlignment="1">
      <alignment horizontal="center"/>
    </xf>
    <xf numFmtId="44" fontId="46" fillId="35" borderId="2" xfId="3771" applyFont="1" applyFill="1" applyBorder="1" applyAlignment="1"/>
    <xf numFmtId="0" fontId="46" fillId="0" borderId="2" xfId="3770" applyFont="1" applyAlignment="1">
      <alignment horizontal="center"/>
    </xf>
    <xf numFmtId="44" fontId="46" fillId="36" borderId="2" xfId="3771" applyFont="1" applyFill="1" applyBorder="1" applyAlignment="1"/>
    <xf numFmtId="0" fontId="46" fillId="0" borderId="2" xfId="3770" applyFont="1"/>
    <xf numFmtId="44" fontId="26" fillId="28" borderId="2" xfId="3771" applyFont="1" applyFill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44" fontId="11" fillId="0" borderId="5" xfId="0" applyNumberFormat="1" applyFont="1" applyBorder="1"/>
    <xf numFmtId="44" fontId="8" fillId="25" borderId="0" xfId="11" applyFont="1" applyFill="1" applyAlignment="1"/>
    <xf numFmtId="44" fontId="8" fillId="0" borderId="0" xfId="11" applyFont="1" applyFill="1" applyAlignment="1"/>
    <xf numFmtId="0" fontId="26" fillId="35" borderId="2" xfId="0" applyFont="1" applyFill="1" applyBorder="1" applyAlignment="1">
      <alignment horizontal="center"/>
    </xf>
    <xf numFmtId="0" fontId="26" fillId="35" borderId="2" xfId="0" applyFont="1" applyFill="1" applyBorder="1"/>
    <xf numFmtId="44" fontId="36" fillId="35" borderId="2" xfId="11" applyFont="1" applyFill="1" applyBorder="1" applyAlignment="1">
      <alignment horizontal="center"/>
    </xf>
    <xf numFmtId="44" fontId="26" fillId="35" borderId="2" xfId="0" applyNumberFormat="1" applyFont="1" applyFill="1" applyBorder="1" applyAlignment="1">
      <alignment horizontal="center"/>
    </xf>
    <xf numFmtId="44" fontId="49" fillId="35" borderId="2" xfId="0" applyNumberFormat="1" applyFont="1" applyFill="1" applyBorder="1" applyAlignment="1">
      <alignment horizontal="center"/>
    </xf>
    <xf numFmtId="0" fontId="5" fillId="35" borderId="0" xfId="0" applyFont="1" applyFill="1" applyAlignment="1">
      <alignment horizontal="center"/>
    </xf>
    <xf numFmtId="0" fontId="45" fillId="35" borderId="0" xfId="0" applyFont="1" applyFill="1" applyAlignment="1">
      <alignment horizontal="center"/>
    </xf>
    <xf numFmtId="2" fontId="23" fillId="0" borderId="2" xfId="10" applyNumberFormat="1" applyFont="1" applyFill="1" applyBorder="1" applyAlignment="1">
      <alignment horizontal="center"/>
    </xf>
    <xf numFmtId="14" fontId="24" fillId="7" borderId="4" xfId="0" applyNumberFormat="1" applyFont="1" applyFill="1" applyBorder="1" applyAlignment="1">
      <alignment wrapText="1"/>
    </xf>
    <xf numFmtId="14" fontId="10" fillId="42" borderId="2" xfId="0" applyNumberFormat="1" applyFont="1" applyFill="1" applyBorder="1"/>
    <xf numFmtId="44" fontId="11" fillId="28" borderId="2" xfId="0" applyNumberFormat="1" applyFont="1" applyFill="1" applyBorder="1" applyAlignment="1">
      <alignment vertical="top"/>
    </xf>
    <xf numFmtId="44" fontId="23" fillId="28" borderId="2" xfId="0" applyNumberFormat="1" applyFont="1" applyFill="1" applyBorder="1" applyAlignment="1">
      <alignment vertical="top"/>
    </xf>
    <xf numFmtId="44" fontId="23" fillId="14" borderId="2" xfId="11" applyFont="1" applyFill="1" applyBorder="1"/>
    <xf numFmtId="44" fontId="22" fillId="0" borderId="2" xfId="11" applyFont="1" applyFill="1" applyBorder="1"/>
    <xf numFmtId="44" fontId="49" fillId="12" borderId="14" xfId="11" applyFont="1" applyFill="1" applyBorder="1" applyAlignment="1">
      <alignment horizontal="center"/>
    </xf>
    <xf numFmtId="44" fontId="49" fillId="12" borderId="16" xfId="11" applyFont="1" applyFill="1" applyBorder="1" applyAlignment="1">
      <alignment horizontal="center"/>
    </xf>
    <xf numFmtId="44" fontId="49" fillId="12" borderId="19" xfId="11" applyFont="1" applyFill="1" applyBorder="1" applyAlignment="1">
      <alignment horizontal="center"/>
    </xf>
    <xf numFmtId="0" fontId="49" fillId="0" borderId="0" xfId="0" applyFont="1" applyAlignment="1">
      <alignment horizontal="left"/>
    </xf>
    <xf numFmtId="0" fontId="49" fillId="0" borderId="12" xfId="0" applyFont="1" applyBorder="1" applyAlignment="1">
      <alignment horizontal="left"/>
    </xf>
    <xf numFmtId="0" fontId="49" fillId="0" borderId="15" xfId="0" applyFont="1" applyBorder="1" applyAlignment="1">
      <alignment horizontal="left"/>
    </xf>
    <xf numFmtId="0" fontId="54" fillId="0" borderId="2" xfId="0" applyFont="1" applyBorder="1" applyAlignment="1">
      <alignment horizontal="center"/>
    </xf>
    <xf numFmtId="0" fontId="49" fillId="0" borderId="17" xfId="0" applyFont="1" applyBorder="1" applyAlignment="1">
      <alignment horizontal="left"/>
    </xf>
    <xf numFmtId="0" fontId="51" fillId="0" borderId="0" xfId="0" applyFont="1" applyAlignment="1">
      <alignment horizontal="left"/>
    </xf>
    <xf numFmtId="0" fontId="39" fillId="0" borderId="2" xfId="0" applyFont="1" applyBorder="1" applyAlignment="1">
      <alignment horizontal="center"/>
    </xf>
    <xf numFmtId="1" fontId="45" fillId="0" borderId="2" xfId="0" applyNumberFormat="1" applyFont="1" applyBorder="1" applyAlignment="1">
      <alignment horizontal="center"/>
    </xf>
    <xf numFmtId="44" fontId="23" fillId="34" borderId="2" xfId="11" applyFont="1" applyFill="1" applyBorder="1"/>
    <xf numFmtId="164" fontId="45" fillId="0" borderId="2" xfId="11" applyNumberFormat="1" applyFont="1" applyFill="1" applyBorder="1" applyAlignment="1">
      <alignment horizontal="right"/>
    </xf>
    <xf numFmtId="164" fontId="36" fillId="0" borderId="2" xfId="11" applyNumberFormat="1" applyFont="1" applyFill="1" applyBorder="1" applyAlignment="1">
      <alignment horizontal="center"/>
    </xf>
    <xf numFmtId="9" fontId="23" fillId="0" borderId="2" xfId="3769" applyFont="1" applyFill="1" applyBorder="1" applyAlignment="1">
      <alignment horizontal="center"/>
    </xf>
    <xf numFmtId="0" fontId="96" fillId="0" borderId="2" xfId="0" applyFont="1" applyBorder="1" applyAlignment="1">
      <alignment horizontal="left"/>
    </xf>
    <xf numFmtId="0" fontId="74" fillId="0" borderId="2" xfId="221" applyFont="1" applyFill="1" applyBorder="1" applyAlignment="1">
      <alignment horizontal="center"/>
    </xf>
    <xf numFmtId="0" fontId="26" fillId="0" borderId="22" xfId="603" applyFont="1" applyBorder="1" applyAlignment="1">
      <alignment horizontal="left"/>
    </xf>
    <xf numFmtId="0" fontId="5" fillId="8" borderId="2" xfId="0" applyFont="1" applyFill="1" applyBorder="1"/>
    <xf numFmtId="2" fontId="41" fillId="0" borderId="2" xfId="10" applyNumberFormat="1" applyFont="1" applyFill="1" applyBorder="1" applyAlignment="1">
      <alignment horizontal="center"/>
    </xf>
    <xf numFmtId="44" fontId="37" fillId="28" borderId="2" xfId="11" applyFont="1" applyFill="1" applyBorder="1" applyAlignment="1">
      <alignment horizontal="center"/>
    </xf>
    <xf numFmtId="44" fontId="5" fillId="0" borderId="2" xfId="11" applyFont="1" applyBorder="1" applyAlignment="1">
      <alignment horizontal="center"/>
    </xf>
    <xf numFmtId="44" fontId="70" fillId="28" borderId="2" xfId="11" applyFont="1" applyFill="1" applyBorder="1" applyAlignment="1">
      <alignment horizontal="center"/>
    </xf>
    <xf numFmtId="44" fontId="67" fillId="28" borderId="2" xfId="11" applyFont="1" applyFill="1" applyBorder="1" applyAlignment="1">
      <alignment horizontal="center"/>
    </xf>
    <xf numFmtId="164" fontId="26" fillId="0" borderId="5" xfId="0" applyNumberFormat="1" applyFont="1" applyBorder="1" applyAlignment="1">
      <alignment horizontal="center"/>
    </xf>
    <xf numFmtId="0" fontId="37" fillId="0" borderId="2" xfId="9" applyFont="1" applyFill="1" applyBorder="1" applyAlignment="1">
      <alignment horizontal="center"/>
    </xf>
    <xf numFmtId="0" fontId="64" fillId="19" borderId="2" xfId="0" applyFont="1" applyFill="1" applyBorder="1" applyAlignment="1">
      <alignment horizontal="center"/>
    </xf>
    <xf numFmtId="0" fontId="11" fillId="19" borderId="2" xfId="0" applyFont="1" applyFill="1" applyBorder="1" applyAlignment="1">
      <alignment horizontal="center"/>
    </xf>
    <xf numFmtId="44" fontId="64" fillId="0" borderId="2" xfId="0" applyNumberFormat="1" applyFont="1" applyBorder="1" applyAlignment="1">
      <alignment horizontal="center"/>
    </xf>
    <xf numFmtId="0" fontId="11" fillId="0" borderId="2" xfId="221" applyFont="1" applyFill="1" applyBorder="1" applyAlignment="1">
      <alignment horizontal="left"/>
    </xf>
    <xf numFmtId="0" fontId="49" fillId="0" borderId="5" xfId="0" applyFont="1" applyBorder="1"/>
    <xf numFmtId="0" fontId="36" fillId="0" borderId="5" xfId="0" applyFont="1" applyBorder="1"/>
    <xf numFmtId="0" fontId="36" fillId="0" borderId="2" xfId="0" applyFont="1" applyBorder="1" applyAlignment="1">
      <alignment horizontal="left"/>
    </xf>
    <xf numFmtId="0" fontId="46" fillId="14" borderId="2" xfId="0" applyFont="1" applyFill="1" applyBorder="1"/>
    <xf numFmtId="164" fontId="22" fillId="0" borderId="2" xfId="221" applyNumberFormat="1" applyFont="1" applyFill="1" applyBorder="1" applyAlignment="1">
      <alignment horizontal="center"/>
    </xf>
    <xf numFmtId="164" fontId="37" fillId="0" borderId="5" xfId="0" applyNumberFormat="1" applyFont="1" applyBorder="1" applyAlignment="1">
      <alignment horizontal="center"/>
    </xf>
    <xf numFmtId="0" fontId="96" fillId="0" borderId="2" xfId="0" applyFont="1" applyBorder="1" applyAlignment="1">
      <alignment horizontal="center"/>
    </xf>
    <xf numFmtId="44" fontId="36" fillId="0" borderId="5" xfId="11" applyFont="1" applyFill="1" applyBorder="1" applyAlignment="1">
      <alignment horizontal="center"/>
    </xf>
    <xf numFmtId="0" fontId="42" fillId="0" borderId="2" xfId="0" applyFont="1" applyBorder="1" applyAlignment="1">
      <alignment horizontal="center"/>
    </xf>
    <xf numFmtId="0" fontId="74" fillId="0" borderId="2" xfId="9" applyFont="1" applyFill="1" applyBorder="1" applyAlignment="1">
      <alignment horizontal="center"/>
    </xf>
    <xf numFmtId="1" fontId="46" fillId="0" borderId="2" xfId="0" applyNumberFormat="1" applyFont="1" applyBorder="1" applyAlignment="1">
      <alignment horizontal="center"/>
    </xf>
    <xf numFmtId="0" fontId="40" fillId="19" borderId="2" xfId="0" applyFont="1" applyFill="1" applyBorder="1" applyAlignment="1">
      <alignment horizontal="center"/>
    </xf>
    <xf numFmtId="2" fontId="11" fillId="0" borderId="2" xfId="10" applyNumberFormat="1" applyFont="1" applyFill="1" applyBorder="1" applyAlignment="1">
      <alignment horizontal="center"/>
    </xf>
    <xf numFmtId="2" fontId="67" fillId="15" borderId="2" xfId="10" applyNumberFormat="1" applyFont="1" applyFill="1" applyBorder="1" applyAlignment="1">
      <alignment horizontal="center"/>
    </xf>
    <xf numFmtId="2" fontId="40" fillId="0" borderId="2" xfId="10" applyNumberFormat="1" applyFont="1" applyFill="1" applyBorder="1" applyAlignment="1">
      <alignment horizontal="center"/>
    </xf>
    <xf numFmtId="44" fontId="26" fillId="0" borderId="2" xfId="9" applyNumberFormat="1" applyFont="1" applyFill="1" applyBorder="1" applyAlignment="1">
      <alignment horizontal="center"/>
    </xf>
    <xf numFmtId="44" fontId="37" fillId="8" borderId="2" xfId="0" applyNumberFormat="1" applyFont="1" applyFill="1" applyBorder="1" applyAlignment="1">
      <alignment horizontal="center"/>
    </xf>
    <xf numFmtId="8" fontId="26" fillId="0" borderId="2" xfId="11" applyNumberFormat="1" applyFont="1" applyFill="1" applyBorder="1" applyAlignment="1">
      <alignment horizontal="right"/>
    </xf>
    <xf numFmtId="44" fontId="26" fillId="0" borderId="2" xfId="11" applyFont="1" applyFill="1" applyBorder="1" applyAlignment="1"/>
    <xf numFmtId="44" fontId="40" fillId="8" borderId="2" xfId="11" applyFont="1" applyFill="1" applyBorder="1" applyAlignment="1">
      <alignment horizontal="right"/>
    </xf>
    <xf numFmtId="44" fontId="23" fillId="25" borderId="5" xfId="0" applyNumberFormat="1" applyFont="1" applyFill="1" applyBorder="1"/>
    <xf numFmtId="44" fontId="23" fillId="23" borderId="2" xfId="0" applyNumberFormat="1" applyFont="1" applyFill="1" applyBorder="1"/>
    <xf numFmtId="44" fontId="23" fillId="30" borderId="2" xfId="11" applyFont="1" applyFill="1" applyBorder="1"/>
    <xf numFmtId="2" fontId="26" fillId="0" borderId="2" xfId="10" applyNumberFormat="1" applyFont="1" applyBorder="1" applyAlignment="1">
      <alignment horizontal="center"/>
    </xf>
    <xf numFmtId="2" fontId="79" fillId="0" borderId="2" xfId="10" applyNumberFormat="1" applyFont="1" applyFill="1" applyBorder="1" applyAlignment="1">
      <alignment horizontal="center"/>
    </xf>
    <xf numFmtId="44" fontId="79" fillId="0" borderId="2" xfId="0" applyNumberFormat="1" applyFont="1" applyBorder="1" applyAlignment="1">
      <alignment horizontal="center"/>
    </xf>
    <xf numFmtId="44" fontId="5" fillId="30" borderId="2" xfId="11" applyFont="1" applyFill="1" applyBorder="1" applyAlignment="1">
      <alignment horizontal="center"/>
    </xf>
    <xf numFmtId="9" fontId="5" fillId="0" borderId="2" xfId="0" applyNumberFormat="1" applyFont="1" applyBorder="1" applyAlignment="1">
      <alignment horizontal="center"/>
    </xf>
    <xf numFmtId="44" fontId="37" fillId="30" borderId="2" xfId="11" applyFont="1" applyFill="1" applyBorder="1" applyAlignment="1">
      <alignment horizontal="center"/>
    </xf>
    <xf numFmtId="44" fontId="74" fillId="0" borderId="2" xfId="11" applyFont="1" applyFill="1" applyBorder="1" applyAlignment="1">
      <alignment horizontal="right"/>
    </xf>
    <xf numFmtId="164" fontId="74" fillId="0" borderId="2" xfId="11" applyNumberFormat="1" applyFont="1" applyFill="1" applyBorder="1" applyAlignment="1">
      <alignment horizontal="right"/>
    </xf>
    <xf numFmtId="2" fontId="51" fillId="0" borderId="2" xfId="10" applyNumberFormat="1" applyFont="1" applyFill="1" applyBorder="1" applyAlignment="1">
      <alignment horizontal="center"/>
    </xf>
    <xf numFmtId="2" fontId="46" fillId="14" borderId="2" xfId="10" applyNumberFormat="1" applyFont="1" applyFill="1" applyBorder="1" applyAlignment="1">
      <alignment horizontal="center"/>
    </xf>
    <xf numFmtId="2" fontId="37" fillId="14" borderId="2" xfId="10" applyNumberFormat="1" applyFont="1" applyFill="1" applyBorder="1" applyAlignment="1">
      <alignment horizontal="center"/>
    </xf>
    <xf numFmtId="0" fontId="5" fillId="0" borderId="2" xfId="9" applyFont="1" applyFill="1" applyBorder="1" applyAlignment="1"/>
    <xf numFmtId="0" fontId="37" fillId="0" borderId="2" xfId="9" applyFont="1" applyFill="1" applyBorder="1" applyAlignment="1"/>
    <xf numFmtId="44" fontId="46" fillId="0" borderId="2" xfId="11" applyFont="1" applyBorder="1" applyAlignment="1">
      <alignment horizontal="center"/>
    </xf>
    <xf numFmtId="2" fontId="45" fillId="14" borderId="2" xfId="10" applyNumberFormat="1" applyFont="1" applyFill="1" applyBorder="1" applyAlignment="1">
      <alignment horizontal="center"/>
    </xf>
    <xf numFmtId="2" fontId="37" fillId="28" borderId="2" xfId="10" applyNumberFormat="1" applyFont="1" applyFill="1" applyBorder="1" applyAlignment="1">
      <alignment horizontal="center"/>
    </xf>
    <xf numFmtId="2" fontId="72" fillId="28" borderId="2" xfId="10" applyNumberFormat="1" applyFont="1" applyFill="1" applyBorder="1" applyAlignment="1">
      <alignment horizontal="center"/>
    </xf>
    <xf numFmtId="2" fontId="69" fillId="28" borderId="2" xfId="10" applyNumberFormat="1" applyFont="1" applyFill="1" applyBorder="1" applyAlignment="1">
      <alignment horizontal="center"/>
    </xf>
    <xf numFmtId="2" fontId="68" fillId="15" borderId="2" xfId="10" applyNumberFormat="1" applyFont="1" applyFill="1" applyBorder="1" applyAlignment="1">
      <alignment horizontal="center"/>
    </xf>
    <xf numFmtId="2" fontId="69" fillId="15" borderId="2" xfId="10" applyNumberFormat="1" applyFont="1" applyFill="1" applyBorder="1" applyAlignment="1">
      <alignment horizontal="center"/>
    </xf>
    <xf numFmtId="164" fontId="41" fillId="0" borderId="2" xfId="0" applyNumberFormat="1" applyFont="1" applyBorder="1" applyAlignment="1">
      <alignment horizontal="center"/>
    </xf>
    <xf numFmtId="0" fontId="41" fillId="19" borderId="2" xfId="0" applyFont="1" applyFill="1" applyBorder="1" applyAlignment="1">
      <alignment horizontal="center"/>
    </xf>
    <xf numFmtId="0" fontId="26" fillId="10" borderId="2" xfId="0" applyFont="1" applyFill="1" applyBorder="1" applyAlignment="1">
      <alignment horizontal="center"/>
    </xf>
    <xf numFmtId="0" fontId="26" fillId="10" borderId="2" xfId="0" applyFont="1" applyFill="1" applyBorder="1"/>
    <xf numFmtId="2" fontId="46" fillId="10" borderId="2" xfId="10" applyNumberFormat="1" applyFont="1" applyFill="1" applyBorder="1" applyAlignment="1">
      <alignment horizontal="center"/>
    </xf>
    <xf numFmtId="1" fontId="26" fillId="10" borderId="2" xfId="10" applyNumberFormat="1" applyFont="1" applyFill="1" applyBorder="1" applyAlignment="1">
      <alignment horizontal="center"/>
    </xf>
    <xf numFmtId="44" fontId="46" fillId="10" borderId="2" xfId="0" applyNumberFormat="1" applyFont="1" applyFill="1" applyBorder="1" applyAlignment="1">
      <alignment horizontal="center"/>
    </xf>
    <xf numFmtId="44" fontId="26" fillId="10" borderId="2" xfId="11" applyFont="1" applyFill="1" applyBorder="1" applyAlignment="1">
      <alignment horizontal="center"/>
    </xf>
    <xf numFmtId="44" fontId="49" fillId="10" borderId="2" xfId="0" applyNumberFormat="1" applyFont="1" applyFill="1" applyBorder="1" applyAlignment="1">
      <alignment horizontal="center"/>
    </xf>
    <xf numFmtId="0" fontId="46" fillId="10" borderId="0" xfId="0" applyFont="1" applyFill="1" applyAlignment="1">
      <alignment horizontal="center"/>
    </xf>
    <xf numFmtId="164" fontId="36" fillId="0" borderId="2" xfId="0" applyNumberFormat="1" applyFont="1" applyBorder="1" applyAlignment="1">
      <alignment horizontal="center"/>
    </xf>
    <xf numFmtId="44" fontId="36" fillId="8" borderId="2" xfId="11" applyFont="1" applyFill="1" applyBorder="1" applyAlignment="1">
      <alignment horizontal="right"/>
    </xf>
    <xf numFmtId="164" fontId="95" fillId="0" borderId="2" xfId="11" applyNumberFormat="1" applyFont="1" applyFill="1" applyBorder="1" applyAlignment="1">
      <alignment horizontal="right"/>
    </xf>
    <xf numFmtId="2" fontId="36" fillId="0" borderId="0" xfId="0" applyNumberFormat="1" applyFont="1" applyAlignment="1">
      <alignment horizontal="center"/>
    </xf>
    <xf numFmtId="2" fontId="36" fillId="0" borderId="2" xfId="10" applyNumberFormat="1" applyFont="1" applyFill="1" applyBorder="1" applyAlignment="1">
      <alignment horizontal="center"/>
    </xf>
    <xf numFmtId="1" fontId="36" fillId="0" borderId="2" xfId="10" applyNumberFormat="1" applyFont="1" applyFill="1" applyBorder="1" applyAlignment="1">
      <alignment horizontal="center"/>
    </xf>
    <xf numFmtId="44" fontId="36" fillId="0" borderId="0" xfId="0" applyNumberFormat="1" applyFont="1" applyAlignment="1">
      <alignment horizontal="center"/>
    </xf>
    <xf numFmtId="44" fontId="36" fillId="0" borderId="2" xfId="0" applyNumberFormat="1" applyFont="1" applyBorder="1" applyAlignment="1">
      <alignment horizontal="center"/>
    </xf>
    <xf numFmtId="44" fontId="36" fillId="0" borderId="2" xfId="0" applyNumberFormat="1" applyFont="1" applyBorder="1"/>
    <xf numFmtId="44" fontId="95" fillId="0" borderId="0" xfId="0" applyNumberFormat="1" applyFont="1" applyAlignment="1">
      <alignment horizontal="center"/>
    </xf>
    <xf numFmtId="9" fontId="95" fillId="0" borderId="0" xfId="0" applyNumberFormat="1" applyFont="1" applyAlignment="1">
      <alignment horizontal="center"/>
    </xf>
    <xf numFmtId="44" fontId="95" fillId="0" borderId="2" xfId="0" applyNumberFormat="1" applyFont="1" applyBorder="1" applyAlignment="1">
      <alignment horizontal="center"/>
    </xf>
    <xf numFmtId="0" fontId="95" fillId="0" borderId="0" xfId="0" applyFont="1" applyAlignment="1">
      <alignment horizontal="center"/>
    </xf>
    <xf numFmtId="0" fontId="95" fillId="0" borderId="2" xfId="0" applyFont="1" applyBorder="1" applyAlignment="1">
      <alignment horizontal="center"/>
    </xf>
    <xf numFmtId="44" fontId="36" fillId="0" borderId="2" xfId="11" applyFont="1" applyFill="1" applyBorder="1" applyAlignment="1"/>
    <xf numFmtId="0" fontId="95" fillId="0" borderId="2" xfId="221" applyFont="1" applyFill="1" applyBorder="1" applyAlignment="1">
      <alignment horizontal="left"/>
    </xf>
    <xf numFmtId="0" fontId="95" fillId="0" borderId="2" xfId="0" applyFont="1" applyBorder="1"/>
    <xf numFmtId="164" fontId="95" fillId="0" borderId="2" xfId="0" applyNumberFormat="1" applyFont="1" applyBorder="1" applyAlignment="1">
      <alignment horizontal="center"/>
    </xf>
    <xf numFmtId="44" fontId="95" fillId="8" borderId="2" xfId="11" applyFont="1" applyFill="1" applyBorder="1" applyAlignment="1">
      <alignment horizontal="right"/>
    </xf>
    <xf numFmtId="0" fontId="95" fillId="19" borderId="2" xfId="0" applyFont="1" applyFill="1" applyBorder="1" applyAlignment="1">
      <alignment horizontal="center"/>
    </xf>
    <xf numFmtId="44" fontId="95" fillId="0" borderId="0" xfId="0" applyNumberFormat="1" applyFont="1"/>
    <xf numFmtId="0" fontId="95" fillId="0" borderId="0" xfId="0" applyFont="1"/>
    <xf numFmtId="0" fontId="36" fillId="0" borderId="2" xfId="221" applyFont="1" applyFill="1" applyBorder="1"/>
    <xf numFmtId="164" fontId="36" fillId="0" borderId="2" xfId="221" applyNumberFormat="1" applyFont="1" applyFill="1" applyBorder="1" applyAlignment="1">
      <alignment horizontal="center"/>
    </xf>
    <xf numFmtId="0" fontId="36" fillId="0" borderId="2" xfId="221" applyFont="1" applyFill="1" applyBorder="1" applyAlignment="1">
      <alignment horizontal="center"/>
    </xf>
    <xf numFmtId="2" fontId="36" fillId="0" borderId="2" xfId="0" applyNumberFormat="1" applyFont="1" applyBorder="1" applyAlignment="1">
      <alignment horizontal="center"/>
    </xf>
    <xf numFmtId="44" fontId="95" fillId="0" borderId="2" xfId="11" applyFont="1" applyFill="1" applyBorder="1" applyAlignment="1">
      <alignment horizontal="center"/>
    </xf>
    <xf numFmtId="0" fontId="36" fillId="28" borderId="0" xfId="0" applyFont="1" applyFill="1" applyAlignment="1">
      <alignment horizontal="center"/>
    </xf>
    <xf numFmtId="0" fontId="36" fillId="0" borderId="0" xfId="9" applyFont="1" applyFill="1" applyAlignment="1">
      <alignment horizontal="center"/>
    </xf>
    <xf numFmtId="0" fontId="36" fillId="0" borderId="5" xfId="0" applyFont="1" applyBorder="1" applyAlignment="1">
      <alignment horizontal="center"/>
    </xf>
    <xf numFmtId="164" fontId="46" fillId="0" borderId="2" xfId="221" applyNumberFormat="1" applyFont="1" applyFill="1" applyBorder="1" applyAlignment="1">
      <alignment horizontal="center"/>
    </xf>
    <xf numFmtId="164" fontId="26" fillId="0" borderId="2" xfId="11" applyNumberFormat="1" applyFont="1" applyFill="1" applyBorder="1" applyAlignment="1">
      <alignment horizontal="center"/>
    </xf>
    <xf numFmtId="0" fontId="95" fillId="0" borderId="2" xfId="0" applyFont="1" applyBorder="1" applyAlignment="1">
      <alignment horizontal="left"/>
    </xf>
    <xf numFmtId="0" fontId="97" fillId="8" borderId="0" xfId="0" applyFont="1" applyFill="1" applyAlignment="1">
      <alignment horizontal="center"/>
    </xf>
    <xf numFmtId="44" fontId="95" fillId="0" borderId="2" xfId="11" applyFont="1" applyFill="1" applyBorder="1" applyAlignment="1">
      <alignment horizontal="right"/>
    </xf>
    <xf numFmtId="2" fontId="95" fillId="0" borderId="0" xfId="0" applyNumberFormat="1" applyFont="1" applyAlignment="1">
      <alignment horizontal="center"/>
    </xf>
    <xf numFmtId="2" fontId="36" fillId="0" borderId="2" xfId="10" applyNumberFormat="1" applyFont="1" applyBorder="1" applyAlignment="1">
      <alignment horizontal="center"/>
    </xf>
    <xf numFmtId="1" fontId="95" fillId="0" borderId="2" xfId="10" applyNumberFormat="1" applyFont="1" applyFill="1" applyBorder="1" applyAlignment="1">
      <alignment horizontal="center"/>
    </xf>
    <xf numFmtId="9" fontId="36" fillId="0" borderId="0" xfId="0" applyNumberFormat="1" applyFont="1" applyAlignment="1">
      <alignment horizontal="center"/>
    </xf>
    <xf numFmtId="44" fontId="54" fillId="0" borderId="2" xfId="0" applyNumberFormat="1" applyFont="1" applyBorder="1" applyAlignment="1">
      <alignment horizontal="center"/>
    </xf>
    <xf numFmtId="44" fontId="36" fillId="0" borderId="2" xfId="11" applyFont="1" applyFill="1" applyBorder="1" applyAlignment="1">
      <alignment horizontal="right"/>
    </xf>
    <xf numFmtId="0" fontId="54" fillId="0" borderId="0" xfId="0" applyFont="1" applyAlignment="1">
      <alignment horizontal="center"/>
    </xf>
    <xf numFmtId="1" fontId="95" fillId="0" borderId="2" xfId="10" applyNumberFormat="1" applyFont="1" applyBorder="1" applyAlignment="1">
      <alignment horizontal="center"/>
    </xf>
    <xf numFmtId="0" fontId="54" fillId="0" borderId="0" xfId="9" applyFont="1" applyFill="1" applyAlignment="1"/>
    <xf numFmtId="0" fontId="12" fillId="0" borderId="0" xfId="0" applyFont="1" applyAlignment="1">
      <alignment horizontal="center"/>
    </xf>
    <xf numFmtId="0" fontId="95" fillId="28" borderId="0" xfId="0" applyFont="1" applyFill="1" applyAlignment="1">
      <alignment horizontal="center"/>
    </xf>
    <xf numFmtId="44" fontId="36" fillId="0" borderId="2" xfId="11" applyFont="1" applyBorder="1" applyAlignment="1">
      <alignment horizontal="center"/>
    </xf>
    <xf numFmtId="2" fontId="95" fillId="0" borderId="2" xfId="10" applyNumberFormat="1" applyFont="1" applyBorder="1" applyAlignment="1">
      <alignment horizontal="center"/>
    </xf>
    <xf numFmtId="0" fontId="95" fillId="0" borderId="2" xfId="9" applyFont="1" applyFill="1" applyBorder="1" applyAlignment="1">
      <alignment horizontal="center"/>
    </xf>
    <xf numFmtId="0" fontId="95" fillId="19" borderId="2" xfId="9" applyFont="1" applyFill="1" applyBorder="1" applyAlignment="1">
      <alignment horizontal="center"/>
    </xf>
    <xf numFmtId="0" fontId="45" fillId="0" borderId="5" xfId="0" applyFont="1" applyBorder="1"/>
    <xf numFmtId="2" fontId="49" fillId="0" borderId="2" xfId="0" applyNumberFormat="1" applyFont="1" applyBorder="1" applyAlignment="1">
      <alignment horizontal="center"/>
    </xf>
    <xf numFmtId="0" fontId="74" fillId="19" borderId="2" xfId="9" applyFont="1" applyFill="1" applyBorder="1" applyAlignment="1">
      <alignment horizontal="center"/>
    </xf>
    <xf numFmtId="44" fontId="69" fillId="15" borderId="2" xfId="11" applyFont="1" applyFill="1" applyBorder="1" applyAlignment="1">
      <alignment horizontal="center"/>
    </xf>
    <xf numFmtId="0" fontId="67" fillId="15" borderId="2" xfId="9" applyFont="1" applyFill="1" applyBorder="1" applyAlignment="1"/>
    <xf numFmtId="2" fontId="49" fillId="8" borderId="2" xfId="10" applyNumberFormat="1" applyFont="1" applyFill="1" applyBorder="1" applyAlignment="1">
      <alignment horizontal="center"/>
    </xf>
    <xf numFmtId="44" fontId="74" fillId="0" borderId="2" xfId="11" applyFont="1" applyFill="1" applyBorder="1" applyAlignment="1"/>
    <xf numFmtId="2" fontId="22" fillId="0" borderId="2" xfId="0" applyNumberFormat="1" applyFont="1" applyBorder="1" applyAlignment="1">
      <alignment horizontal="center"/>
    </xf>
    <xf numFmtId="44" fontId="69" fillId="15" borderId="2" xfId="0" applyNumberFormat="1" applyFont="1" applyFill="1" applyBorder="1" applyAlignment="1">
      <alignment horizontal="center"/>
    </xf>
    <xf numFmtId="0" fontId="79" fillId="0" borderId="2" xfId="0" applyFont="1" applyBorder="1" applyAlignment="1">
      <alignment horizontal="center"/>
    </xf>
    <xf numFmtId="1" fontId="23" fillId="0" borderId="2" xfId="0" applyNumberFormat="1" applyFont="1" applyBorder="1" applyAlignment="1">
      <alignment horizontal="center"/>
    </xf>
    <xf numFmtId="2" fontId="37" fillId="0" borderId="2" xfId="0" applyNumberFormat="1" applyFont="1" applyBorder="1" applyAlignment="1">
      <alignment horizontal="center"/>
    </xf>
    <xf numFmtId="2" fontId="74" fillId="0" borderId="2" xfId="0" applyNumberFormat="1" applyFont="1" applyBorder="1" applyAlignment="1">
      <alignment horizontal="center"/>
    </xf>
    <xf numFmtId="44" fontId="23" fillId="8" borderId="2" xfId="0" applyNumberFormat="1" applyFont="1" applyFill="1" applyBorder="1" applyAlignment="1">
      <alignment horizontal="center"/>
    </xf>
    <xf numFmtId="44" fontId="46" fillId="14" borderId="2" xfId="0" applyNumberFormat="1" applyFont="1" applyFill="1" applyBorder="1" applyAlignment="1">
      <alignment horizontal="center"/>
    </xf>
    <xf numFmtId="44" fontId="45" fillId="14" borderId="2" xfId="0" applyNumberFormat="1" applyFont="1" applyFill="1" applyBorder="1"/>
    <xf numFmtId="8" fontId="37" fillId="0" borderId="2" xfId="11" applyNumberFormat="1" applyFont="1" applyFill="1" applyBorder="1" applyAlignment="1">
      <alignment horizontal="right"/>
    </xf>
    <xf numFmtId="44" fontId="49" fillId="8" borderId="2" xfId="0" applyNumberFormat="1" applyFont="1" applyFill="1" applyBorder="1" applyAlignment="1">
      <alignment horizontal="center"/>
    </xf>
    <xf numFmtId="44" fontId="23" fillId="0" borderId="2" xfId="0" applyNumberFormat="1" applyFont="1" applyBorder="1"/>
    <xf numFmtId="43" fontId="11" fillId="0" borderId="5" xfId="10" applyFont="1" applyBorder="1"/>
    <xf numFmtId="0" fontId="92" fillId="0" borderId="2" xfId="0" applyFont="1" applyBorder="1"/>
    <xf numFmtId="44" fontId="23" fillId="8" borderId="0" xfId="0" applyNumberFormat="1" applyFont="1" applyFill="1"/>
    <xf numFmtId="44" fontId="11" fillId="32" borderId="0" xfId="0" applyNumberFormat="1" applyFont="1" applyFill="1"/>
    <xf numFmtId="44" fontId="11" fillId="34" borderId="0" xfId="0" applyNumberFormat="1" applyFont="1" applyFill="1"/>
    <xf numFmtId="44" fontId="58" fillId="0" borderId="0" xfId="11" applyFont="1"/>
    <xf numFmtId="44" fontId="11" fillId="43" borderId="5" xfId="0" applyNumberFormat="1" applyFont="1" applyFill="1" applyBorder="1"/>
    <xf numFmtId="44" fontId="11" fillId="43" borderId="20" xfId="0" applyNumberFormat="1" applyFont="1" applyFill="1" applyBorder="1"/>
    <xf numFmtId="44" fontId="23" fillId="43" borderId="5" xfId="0" applyNumberFormat="1" applyFont="1" applyFill="1" applyBorder="1"/>
    <xf numFmtId="44" fontId="23" fillId="43" borderId="20" xfId="0" applyNumberFormat="1" applyFont="1" applyFill="1" applyBorder="1"/>
    <xf numFmtId="44" fontId="11" fillId="11" borderId="5" xfId="0" applyNumberFormat="1" applyFont="1" applyFill="1" applyBorder="1"/>
    <xf numFmtId="44" fontId="58" fillId="11" borderId="0" xfId="11" applyFont="1" applyFill="1"/>
    <xf numFmtId="44" fontId="0" fillId="11" borderId="0" xfId="0" applyNumberFormat="1" applyFill="1"/>
    <xf numFmtId="0" fontId="78" fillId="0" borderId="0" xfId="0" applyFont="1"/>
    <xf numFmtId="44" fontId="11" fillId="8" borderId="5" xfId="0" applyNumberFormat="1" applyFont="1" applyFill="1" applyBorder="1"/>
    <xf numFmtId="0" fontId="98" fillId="0" borderId="0" xfId="0" applyFont="1"/>
    <xf numFmtId="0" fontId="11" fillId="0" borderId="6" xfId="0" applyFont="1" applyBorder="1" applyAlignment="1">
      <alignment horizontal="center"/>
    </xf>
    <xf numFmtId="44" fontId="11" fillId="8" borderId="0" xfId="0" applyNumberFormat="1" applyFont="1" applyFill="1" applyAlignment="1">
      <alignment vertical="top"/>
    </xf>
    <xf numFmtId="44" fontId="11" fillId="0" borderId="2" xfId="0" applyNumberFormat="1" applyFont="1" applyBorder="1" applyAlignment="1">
      <alignment vertical="top"/>
    </xf>
    <xf numFmtId="14" fontId="10" fillId="2" borderId="4" xfId="0" applyNumberFormat="1" applyFont="1" applyFill="1" applyBorder="1" applyAlignment="1">
      <alignment horizontal="center" wrapText="1"/>
    </xf>
    <xf numFmtId="44" fontId="11" fillId="44" borderId="20" xfId="0" applyNumberFormat="1" applyFont="1" applyFill="1" applyBorder="1"/>
    <xf numFmtId="2" fontId="26" fillId="0" borderId="2" xfId="0" applyNumberFormat="1" applyFont="1" applyBorder="1" applyAlignment="1">
      <alignment horizontal="center"/>
    </xf>
    <xf numFmtId="2" fontId="46" fillId="0" borderId="2" xfId="0" applyNumberFormat="1" applyFont="1" applyBorder="1" applyAlignment="1">
      <alignment horizontal="center"/>
    </xf>
    <xf numFmtId="164" fontId="26" fillId="10" borderId="2" xfId="0" applyNumberFormat="1" applyFont="1" applyFill="1" applyBorder="1" applyAlignment="1">
      <alignment horizontal="center"/>
    </xf>
    <xf numFmtId="164" fontId="50" fillId="0" borderId="2" xfId="0" applyNumberFormat="1" applyFont="1" applyBorder="1" applyAlignment="1">
      <alignment horizontal="center"/>
    </xf>
    <xf numFmtId="0" fontId="67" fillId="19" borderId="2" xfId="0" applyFont="1" applyFill="1" applyBorder="1" applyAlignment="1">
      <alignment horizontal="center"/>
    </xf>
    <xf numFmtId="0" fontId="70" fillId="19" borderId="2" xfId="0" applyFont="1" applyFill="1" applyBorder="1" applyAlignment="1">
      <alignment horizontal="center"/>
    </xf>
    <xf numFmtId="2" fontId="37" fillId="0" borderId="2" xfId="10" applyNumberFormat="1" applyFont="1" applyBorder="1" applyAlignment="1">
      <alignment horizontal="center"/>
    </xf>
    <xf numFmtId="2" fontId="64" fillId="0" borderId="2" xfId="10" applyNumberFormat="1" applyFont="1" applyFill="1" applyBorder="1" applyAlignment="1">
      <alignment horizontal="center"/>
    </xf>
    <xf numFmtId="2" fontId="23" fillId="8" borderId="2" xfId="10" applyNumberFormat="1" applyFont="1" applyFill="1" applyBorder="1" applyAlignment="1">
      <alignment horizontal="center"/>
    </xf>
    <xf numFmtId="44" fontId="37" fillId="0" borderId="2" xfId="11" applyFont="1" applyBorder="1" applyAlignment="1">
      <alignment horizontal="center"/>
    </xf>
    <xf numFmtId="44" fontId="37" fillId="14" borderId="2" xfId="0" applyNumberFormat="1" applyFont="1" applyFill="1" applyBorder="1"/>
    <xf numFmtId="44" fontId="37" fillId="28" borderId="2" xfId="0" applyNumberFormat="1" applyFont="1" applyFill="1" applyBorder="1"/>
    <xf numFmtId="0" fontId="46" fillId="10" borderId="2" xfId="0" applyFont="1" applyFill="1" applyBorder="1" applyAlignment="1">
      <alignment horizontal="center"/>
    </xf>
    <xf numFmtId="0" fontId="49" fillId="0" borderId="5" xfId="0" applyFont="1" applyBorder="1" applyAlignment="1">
      <alignment horizontal="left"/>
    </xf>
    <xf numFmtId="0" fontId="20" fillId="0" borderId="2" xfId="221" applyFill="1" applyBorder="1"/>
    <xf numFmtId="17" fontId="46" fillId="0" borderId="2" xfId="0" quotePrefix="1" applyNumberFormat="1" applyFont="1" applyBorder="1" applyAlignment="1">
      <alignment horizontal="left"/>
    </xf>
    <xf numFmtId="0" fontId="22" fillId="0" borderId="22" xfId="221" applyFont="1" applyFill="1" applyBorder="1" applyAlignment="1">
      <alignment horizontal="left"/>
    </xf>
    <xf numFmtId="0" fontId="45" fillId="8" borderId="2" xfId="0" applyFont="1" applyFill="1" applyBorder="1" applyAlignment="1">
      <alignment horizontal="left"/>
    </xf>
    <xf numFmtId="0" fontId="37" fillId="0" borderId="22" xfId="221" applyFont="1" applyFill="1" applyBorder="1" applyAlignment="1">
      <alignment horizontal="left"/>
    </xf>
    <xf numFmtId="0" fontId="45" fillId="13" borderId="2" xfId="221" applyFont="1" applyFill="1" applyBorder="1"/>
    <xf numFmtId="0" fontId="73" fillId="0" borderId="2" xfId="221" applyFont="1" applyFill="1" applyBorder="1"/>
    <xf numFmtId="0" fontId="22" fillId="0" borderId="2" xfId="221" applyFont="1" applyFill="1" applyBorder="1"/>
    <xf numFmtId="0" fontId="20" fillId="6" borderId="2" xfId="221" applyBorder="1"/>
    <xf numFmtId="0" fontId="40" fillId="0" borderId="6" xfId="0" applyFont="1" applyBorder="1" applyAlignment="1">
      <alignment horizontal="center"/>
    </xf>
    <xf numFmtId="0" fontId="26" fillId="0" borderId="5" xfId="603" applyFont="1" applyBorder="1" applyAlignment="1">
      <alignment horizontal="center"/>
    </xf>
    <xf numFmtId="0" fontId="59" fillId="0" borderId="5" xfId="0" applyFont="1" applyBorder="1" applyAlignment="1">
      <alignment horizontal="center"/>
    </xf>
    <xf numFmtId="0" fontId="45" fillId="13" borderId="2" xfId="221" applyFont="1" applyFill="1" applyBorder="1" applyAlignment="1">
      <alignment horizontal="center"/>
    </xf>
    <xf numFmtId="0" fontId="20" fillId="6" borderId="2" xfId="221" applyBorder="1" applyAlignment="1">
      <alignment horizontal="center"/>
    </xf>
    <xf numFmtId="0" fontId="37" fillId="8" borderId="2" xfId="0" applyFont="1" applyFill="1" applyBorder="1" applyAlignment="1">
      <alignment horizontal="center"/>
    </xf>
    <xf numFmtId="44" fontId="49" fillId="0" borderId="5" xfId="11" applyFont="1" applyFill="1" applyBorder="1" applyAlignment="1">
      <alignment horizontal="right"/>
    </xf>
    <xf numFmtId="44" fontId="40" fillId="0" borderId="5" xfId="11" applyFont="1" applyFill="1" applyBorder="1" applyAlignment="1">
      <alignment horizontal="right"/>
    </xf>
    <xf numFmtId="44" fontId="22" fillId="0" borderId="5" xfId="11" applyFont="1" applyFill="1" applyBorder="1" applyAlignment="1">
      <alignment horizontal="center"/>
    </xf>
    <xf numFmtId="170" fontId="20" fillId="0" borderId="2" xfId="222" applyNumberFormat="1" applyFill="1" applyBorder="1"/>
    <xf numFmtId="44" fontId="49" fillId="0" borderId="5" xfId="11" applyFont="1" applyFill="1" applyBorder="1" applyAlignment="1">
      <alignment horizontal="center"/>
    </xf>
    <xf numFmtId="170" fontId="45" fillId="0" borderId="2" xfId="222" applyNumberFormat="1" applyFont="1" applyFill="1" applyBorder="1"/>
    <xf numFmtId="170" fontId="45" fillId="13" borderId="2" xfId="222" applyNumberFormat="1" applyFont="1" applyFill="1" applyBorder="1"/>
    <xf numFmtId="44" fontId="22" fillId="6" borderId="2" xfId="11" applyFont="1" applyFill="1" applyBorder="1"/>
    <xf numFmtId="170" fontId="20" fillId="6" borderId="2" xfId="222" applyNumberFormat="1" applyBorder="1"/>
    <xf numFmtId="1" fontId="36" fillId="0" borderId="2" xfId="0" applyNumberFormat="1" applyFont="1" applyBorder="1" applyAlignment="1">
      <alignment horizontal="center"/>
    </xf>
    <xf numFmtId="44" fontId="65" fillId="15" borderId="2" xfId="0" applyNumberFormat="1" applyFont="1" applyFill="1" applyBorder="1" applyAlignment="1">
      <alignment horizontal="center"/>
    </xf>
    <xf numFmtId="44" fontId="49" fillId="0" borderId="2" xfId="0" applyNumberFormat="1" applyFont="1" applyBorder="1"/>
    <xf numFmtId="0" fontId="50" fillId="14" borderId="2" xfId="0" applyFont="1" applyFill="1" applyBorder="1" applyAlignment="1">
      <alignment horizontal="center"/>
    </xf>
    <xf numFmtId="0" fontId="5" fillId="0" borderId="2" xfId="9" applyFont="1" applyFill="1" applyBorder="1" applyAlignment="1">
      <alignment horizontal="center"/>
    </xf>
    <xf numFmtId="44" fontId="45" fillId="30" borderId="2" xfId="11" applyFont="1" applyFill="1" applyBorder="1" applyAlignment="1">
      <alignment horizontal="center"/>
    </xf>
    <xf numFmtId="44" fontId="23" fillId="8" borderId="2" xfId="0" applyNumberFormat="1" applyFont="1" applyFill="1" applyBorder="1" applyAlignment="1">
      <alignment vertical="top"/>
    </xf>
    <xf numFmtId="2" fontId="95" fillId="0" borderId="2" xfId="10" applyNumberFormat="1" applyFont="1" applyFill="1" applyBorder="1" applyAlignment="1">
      <alignment horizontal="center"/>
    </xf>
    <xf numFmtId="0" fontId="95" fillId="14" borderId="0" xfId="0" applyFont="1" applyFill="1" applyAlignment="1">
      <alignment horizontal="center"/>
    </xf>
    <xf numFmtId="164" fontId="49" fillId="8" borderId="2" xfId="0" applyNumberFormat="1" applyFont="1" applyFill="1" applyBorder="1" applyAlignment="1">
      <alignment horizontal="center"/>
    </xf>
    <xf numFmtId="44" fontId="95" fillId="0" borderId="2" xfId="0" applyNumberFormat="1" applyFont="1" applyBorder="1"/>
    <xf numFmtId="0" fontId="36" fillId="45" borderId="2" xfId="0" applyFont="1" applyFill="1" applyBorder="1" applyAlignment="1">
      <alignment horizontal="center"/>
    </xf>
    <xf numFmtId="0" fontId="26" fillId="45" borderId="2" xfId="0" applyFont="1" applyFill="1" applyBorder="1" applyAlignment="1">
      <alignment horizontal="center"/>
    </xf>
    <xf numFmtId="2" fontId="49" fillId="19" borderId="2" xfId="0" applyNumberFormat="1" applyFont="1" applyFill="1" applyBorder="1" applyAlignment="1">
      <alignment horizontal="center"/>
    </xf>
    <xf numFmtId="44" fontId="67" fillId="28" borderId="2" xfId="0" applyNumberFormat="1" applyFont="1" applyFill="1" applyBorder="1"/>
    <xf numFmtId="44" fontId="70" fillId="28" borderId="2" xfId="0" applyNumberFormat="1" applyFont="1" applyFill="1" applyBorder="1"/>
    <xf numFmtId="44" fontId="74" fillId="0" borderId="2" xfId="0" applyNumberFormat="1" applyFont="1" applyBorder="1"/>
    <xf numFmtId="9" fontId="37" fillId="0" borderId="2" xfId="0" applyNumberFormat="1" applyFont="1" applyBorder="1" applyAlignment="1">
      <alignment horizontal="center"/>
    </xf>
    <xf numFmtId="0" fontId="45" fillId="28" borderId="2" xfId="0" applyFont="1" applyFill="1" applyBorder="1" applyAlignment="1">
      <alignment horizontal="center"/>
    </xf>
    <xf numFmtId="43" fontId="23" fillId="0" borderId="5" xfId="10" applyFont="1" applyBorder="1"/>
    <xf numFmtId="44" fontId="81" fillId="11" borderId="0" xfId="11" applyFont="1" applyFill="1"/>
    <xf numFmtId="44" fontId="81" fillId="0" borderId="0" xfId="11" applyFont="1"/>
    <xf numFmtId="44" fontId="35" fillId="25" borderId="0" xfId="11" applyFont="1" applyFill="1" applyAlignment="1"/>
    <xf numFmtId="44" fontId="35" fillId="0" borderId="0" xfId="11" applyFont="1" applyFill="1" applyAlignment="1"/>
    <xf numFmtId="44" fontId="5" fillId="8" borderId="2" xfId="604" applyFont="1" applyFill="1" applyBorder="1" applyAlignment="1">
      <alignment horizontal="right"/>
    </xf>
    <xf numFmtId="44" fontId="5" fillId="0" borderId="2" xfId="604" applyFont="1" applyFill="1" applyBorder="1" applyAlignment="1">
      <alignment horizontal="right"/>
    </xf>
    <xf numFmtId="0" fontId="5" fillId="45" borderId="2" xfId="0" applyFont="1" applyFill="1" applyBorder="1" applyAlignment="1">
      <alignment horizontal="center"/>
    </xf>
    <xf numFmtId="2" fontId="74" fillId="0" borderId="2" xfId="10" applyNumberFormat="1" applyFont="1" applyBorder="1" applyAlignment="1">
      <alignment horizontal="center"/>
    </xf>
    <xf numFmtId="44" fontId="5" fillId="0" borderId="2" xfId="604" applyFont="1" applyFill="1" applyBorder="1" applyAlignment="1">
      <alignment horizontal="center"/>
    </xf>
    <xf numFmtId="44" fontId="5" fillId="0" borderId="2" xfId="604" applyFont="1" applyBorder="1" applyAlignment="1">
      <alignment horizontal="center"/>
    </xf>
    <xf numFmtId="44" fontId="74" fillId="0" borderId="2" xfId="604" applyFont="1" applyFill="1" applyBorder="1" applyAlignment="1">
      <alignment horizontal="right"/>
    </xf>
    <xf numFmtId="1" fontId="74" fillId="0" borderId="2" xfId="10" applyNumberFormat="1" applyFont="1" applyBorder="1" applyAlignment="1">
      <alignment horizontal="center"/>
    </xf>
    <xf numFmtId="0" fontId="74" fillId="0" borderId="0" xfId="9" applyFont="1" applyFill="1" applyAlignment="1"/>
    <xf numFmtId="0" fontId="99" fillId="0" borderId="2" xfId="0" applyFont="1" applyBorder="1"/>
    <xf numFmtId="44" fontId="5" fillId="0" borderId="2" xfId="11" applyFont="1" applyFill="1" applyBorder="1"/>
    <xf numFmtId="2" fontId="5" fillId="35" borderId="2" xfId="10" applyNumberFormat="1" applyFont="1" applyFill="1" applyBorder="1" applyAlignment="1">
      <alignment horizontal="center"/>
    </xf>
    <xf numFmtId="1" fontId="5" fillId="35" borderId="2" xfId="10" applyNumberFormat="1" applyFont="1" applyFill="1" applyBorder="1" applyAlignment="1">
      <alignment horizontal="center"/>
    </xf>
    <xf numFmtId="44" fontId="5" fillId="35" borderId="0" xfId="0" applyNumberFormat="1" applyFont="1" applyFill="1" applyAlignment="1">
      <alignment horizontal="center"/>
    </xf>
    <xf numFmtId="44" fontId="5" fillId="35" borderId="2" xfId="0" applyNumberFormat="1" applyFont="1" applyFill="1" applyBorder="1" applyAlignment="1">
      <alignment horizontal="center"/>
    </xf>
    <xf numFmtId="43" fontId="22" fillId="0" borderId="5" xfId="10" applyFont="1" applyBorder="1"/>
    <xf numFmtId="44" fontId="22" fillId="43" borderId="5" xfId="0" applyNumberFormat="1" applyFont="1" applyFill="1" applyBorder="1"/>
    <xf numFmtId="44" fontId="22" fillId="30" borderId="0" xfId="0" applyNumberFormat="1" applyFont="1" applyFill="1"/>
    <xf numFmtId="44" fontId="46" fillId="30" borderId="2" xfId="11" applyFont="1" applyFill="1" applyBorder="1" applyAlignment="1">
      <alignment horizontal="center"/>
    </xf>
    <xf numFmtId="2" fontId="45" fillId="0" borderId="2" xfId="10" applyNumberFormat="1" applyFont="1" applyBorder="1" applyAlignment="1">
      <alignment horizontal="center"/>
    </xf>
    <xf numFmtId="0" fontId="74" fillId="45" borderId="2" xfId="0" applyFont="1" applyFill="1" applyBorder="1" applyAlignment="1">
      <alignment horizontal="center"/>
    </xf>
    <xf numFmtId="44" fontId="37" fillId="8" borderId="2" xfId="0" applyNumberFormat="1" applyFont="1" applyFill="1" applyBorder="1"/>
    <xf numFmtId="0" fontId="37" fillId="0" borderId="22" xfId="603" applyFont="1" applyBorder="1" applyAlignment="1">
      <alignment horizontal="left"/>
    </xf>
    <xf numFmtId="0" fontId="36" fillId="0" borderId="2" xfId="9" applyFont="1" applyFill="1" applyBorder="1" applyAlignment="1">
      <alignment horizontal="left"/>
    </xf>
    <xf numFmtId="0" fontId="36" fillId="0" borderId="2" xfId="603" applyFont="1" applyAlignment="1">
      <alignment horizontal="left"/>
    </xf>
    <xf numFmtId="0" fontId="5" fillId="0" borderId="2" xfId="9" applyFont="1" applyFill="1" applyBorder="1" applyAlignment="1">
      <alignment horizontal="left"/>
    </xf>
    <xf numFmtId="0" fontId="5" fillId="0" borderId="22" xfId="221" applyFont="1" applyFill="1" applyBorder="1" applyAlignment="1">
      <alignment horizontal="left"/>
    </xf>
    <xf numFmtId="0" fontId="26" fillId="0" borderId="22" xfId="0" applyFont="1" applyBorder="1" applyAlignment="1">
      <alignment horizontal="left"/>
    </xf>
    <xf numFmtId="0" fontId="23" fillId="8" borderId="2" xfId="221" applyFont="1" applyFill="1" applyBorder="1"/>
    <xf numFmtId="0" fontId="45" fillId="0" borderId="2" xfId="603" applyFont="1" applyAlignment="1">
      <alignment horizontal="left"/>
    </xf>
    <xf numFmtId="0" fontId="76" fillId="0" borderId="2" xfId="221" applyFont="1" applyFill="1" applyBorder="1"/>
    <xf numFmtId="44" fontId="49" fillId="8" borderId="2" xfId="11" applyFont="1" applyFill="1" applyBorder="1" applyAlignment="1">
      <alignment horizontal="right"/>
    </xf>
    <xf numFmtId="44" fontId="23" fillId="0" borderId="2" xfId="11" applyFont="1" applyFill="1" applyBorder="1" applyAlignment="1">
      <alignment horizontal="center"/>
    </xf>
    <xf numFmtId="44" fontId="46" fillId="0" borderId="0" xfId="0" applyNumberFormat="1" applyFont="1"/>
    <xf numFmtId="0" fontId="11" fillId="0" borderId="2" xfId="0" applyFont="1" applyBorder="1" applyAlignment="1">
      <alignment horizontal="left"/>
    </xf>
    <xf numFmtId="0" fontId="54" fillId="0" borderId="13" xfId="0" applyFont="1" applyBorder="1" applyAlignment="1">
      <alignment horizontal="left"/>
    </xf>
    <xf numFmtId="0" fontId="54" fillId="0" borderId="2" xfId="0" applyFont="1" applyBorder="1" applyAlignment="1">
      <alignment horizontal="left"/>
    </xf>
    <xf numFmtId="0" fontId="54" fillId="0" borderId="18" xfId="0" applyFont="1" applyBorder="1" applyAlignment="1">
      <alignment horizontal="left"/>
    </xf>
    <xf numFmtId="44" fontId="100" fillId="10" borderId="2" xfId="11" applyFont="1" applyFill="1" applyBorder="1" applyAlignment="1">
      <alignment horizontal="right"/>
    </xf>
    <xf numFmtId="0" fontId="94" fillId="35" borderId="2" xfId="0" applyFont="1" applyFill="1" applyBorder="1" applyAlignment="1">
      <alignment horizontal="center"/>
    </xf>
    <xf numFmtId="44" fontId="23" fillId="43" borderId="2" xfId="0" applyNumberFormat="1" applyFont="1" applyFill="1" applyBorder="1"/>
    <xf numFmtId="44" fontId="22" fillId="43" borderId="2" xfId="0" applyNumberFormat="1" applyFont="1" applyFill="1" applyBorder="1"/>
    <xf numFmtId="44" fontId="22" fillId="34" borderId="0" xfId="0" applyNumberFormat="1" applyFont="1" applyFill="1"/>
    <xf numFmtId="0" fontId="26" fillId="0" borderId="2" xfId="0" quotePrefix="1" applyFont="1" applyBorder="1" applyAlignment="1">
      <alignment horizontal="left"/>
    </xf>
    <xf numFmtId="0" fontId="50" fillId="0" borderId="5" xfId="0" applyFont="1" applyBorder="1" applyAlignment="1">
      <alignment horizontal="center"/>
    </xf>
    <xf numFmtId="0" fontId="37" fillId="0" borderId="5" xfId="221" applyFont="1" applyFill="1" applyAlignment="1">
      <alignment horizontal="left"/>
    </xf>
    <xf numFmtId="0" fontId="74" fillId="15" borderId="0" xfId="0" applyFont="1" applyFill="1" applyAlignment="1">
      <alignment horizontal="center"/>
    </xf>
    <xf numFmtId="164" fontId="46" fillId="0" borderId="2" xfId="11" applyNumberFormat="1" applyFont="1" applyFill="1" applyBorder="1" applyAlignment="1">
      <alignment horizontal="right"/>
    </xf>
    <xf numFmtId="44" fontId="26" fillId="8" borderId="2" xfId="604" applyFont="1" applyFill="1" applyBorder="1" applyAlignment="1">
      <alignment horizontal="right"/>
    </xf>
    <xf numFmtId="44" fontId="26" fillId="0" borderId="2" xfId="604" applyFont="1" applyFill="1" applyBorder="1" applyAlignment="1">
      <alignment horizontal="right"/>
    </xf>
    <xf numFmtId="2" fontId="46" fillId="0" borderId="2" xfId="10" applyNumberFormat="1" applyFont="1" applyBorder="1" applyAlignment="1">
      <alignment horizontal="center"/>
    </xf>
    <xf numFmtId="44" fontId="26" fillId="0" borderId="2" xfId="604" applyFont="1" applyFill="1" applyBorder="1" applyAlignment="1">
      <alignment horizontal="center"/>
    </xf>
    <xf numFmtId="44" fontId="26" fillId="0" borderId="2" xfId="604" applyFont="1" applyBorder="1" applyAlignment="1">
      <alignment horizontal="center"/>
    </xf>
    <xf numFmtId="0" fontId="45" fillId="0" borderId="0" xfId="0" quotePrefix="1" applyFont="1" applyAlignment="1">
      <alignment horizontal="center"/>
    </xf>
    <xf numFmtId="0" fontId="74" fillId="0" borderId="0" xfId="0" quotePrefix="1" applyFont="1" applyAlignment="1">
      <alignment horizontal="center"/>
    </xf>
    <xf numFmtId="16" fontId="37" fillId="0" borderId="0" xfId="0" quotePrefix="1" applyNumberFormat="1" applyFont="1" applyAlignment="1">
      <alignment horizontal="center"/>
    </xf>
    <xf numFmtId="0" fontId="5" fillId="0" borderId="2" xfId="0" quotePrefix="1" applyFont="1" applyBorder="1" applyAlignment="1">
      <alignment horizontal="center"/>
    </xf>
    <xf numFmtId="9" fontId="74" fillId="0" borderId="2" xfId="0" applyNumberFormat="1" applyFont="1" applyBorder="1" applyAlignment="1">
      <alignment horizontal="center"/>
    </xf>
    <xf numFmtId="44" fontId="74" fillId="0" borderId="0" xfId="0" applyNumberFormat="1" applyFont="1"/>
    <xf numFmtId="0" fontId="5" fillId="0" borderId="0" xfId="0" quotePrefix="1" applyFont="1" applyAlignment="1">
      <alignment horizontal="center"/>
    </xf>
    <xf numFmtId="9" fontId="74" fillId="0" borderId="0" xfId="0" applyNumberFormat="1" applyFont="1" applyAlignment="1">
      <alignment horizontal="center"/>
    </xf>
    <xf numFmtId="2" fontId="5" fillId="0" borderId="2" xfId="10" applyNumberFormat="1" applyFont="1" applyBorder="1" applyAlignment="1">
      <alignment horizontal="center"/>
    </xf>
    <xf numFmtId="44" fontId="5" fillId="0" borderId="2" xfId="11" applyFont="1" applyBorder="1" applyAlignment="1">
      <alignment horizontal="right"/>
    </xf>
    <xf numFmtId="0" fontId="26" fillId="0" borderId="0" xfId="0" quotePrefix="1" applyFont="1" applyAlignment="1">
      <alignment horizontal="center"/>
    </xf>
    <xf numFmtId="0" fontId="37" fillId="0" borderId="0" xfId="0" quotePrefix="1" applyFont="1" applyAlignment="1">
      <alignment horizontal="center"/>
    </xf>
    <xf numFmtId="0" fontId="46" fillId="0" borderId="0" xfId="0" quotePrefix="1" applyFont="1" applyAlignment="1">
      <alignment horizontal="center"/>
    </xf>
    <xf numFmtId="0" fontId="45" fillId="15" borderId="2" xfId="0" applyFont="1" applyFill="1" applyBorder="1" applyAlignment="1">
      <alignment horizontal="center"/>
    </xf>
    <xf numFmtId="0" fontId="45" fillId="15" borderId="0" xfId="0" quotePrefix="1" applyFont="1" applyFill="1" applyAlignment="1">
      <alignment horizontal="center"/>
    </xf>
    <xf numFmtId="0" fontId="45" fillId="15" borderId="2" xfId="0" applyFont="1" applyFill="1" applyBorder="1"/>
    <xf numFmtId="164" fontId="45" fillId="15" borderId="2" xfId="0" applyNumberFormat="1" applyFont="1" applyFill="1" applyBorder="1" applyAlignment="1">
      <alignment horizontal="center"/>
    </xf>
    <xf numFmtId="44" fontId="45" fillId="15" borderId="2" xfId="11" applyFont="1" applyFill="1" applyBorder="1" applyAlignment="1">
      <alignment horizontal="right"/>
    </xf>
    <xf numFmtId="2" fontId="45" fillId="15" borderId="2" xfId="10" applyNumberFormat="1" applyFont="1" applyFill="1" applyBorder="1" applyAlignment="1">
      <alignment horizontal="center"/>
    </xf>
    <xf numFmtId="1" fontId="45" fillId="15" borderId="2" xfId="10" applyNumberFormat="1" applyFont="1" applyFill="1" applyBorder="1" applyAlignment="1">
      <alignment horizontal="center"/>
    </xf>
    <xf numFmtId="44" fontId="45" fillId="15" borderId="0" xfId="0" applyNumberFormat="1" applyFont="1" applyFill="1"/>
    <xf numFmtId="44" fontId="45" fillId="15" borderId="2" xfId="0" applyNumberFormat="1" applyFont="1" applyFill="1" applyBorder="1"/>
    <xf numFmtId="44" fontId="45" fillId="15" borderId="2" xfId="11" applyFont="1" applyFill="1" applyBorder="1" applyAlignment="1">
      <alignment horizontal="center"/>
    </xf>
    <xf numFmtId="9" fontId="45" fillId="15" borderId="0" xfId="0" applyNumberFormat="1" applyFont="1" applyFill="1" applyAlignment="1">
      <alignment horizontal="center"/>
    </xf>
    <xf numFmtId="16" fontId="45" fillId="0" borderId="0" xfId="0" quotePrefix="1" applyNumberFormat="1" applyFont="1" applyAlignment="1">
      <alignment horizontal="center"/>
    </xf>
    <xf numFmtId="1" fontId="40" fillId="0" borderId="2" xfId="0" applyNumberFormat="1" applyFont="1" applyBorder="1" applyAlignment="1">
      <alignment horizontal="center"/>
    </xf>
    <xf numFmtId="9" fontId="95" fillId="0" borderId="2" xfId="0" applyNumberFormat="1" applyFont="1" applyBorder="1" applyAlignment="1">
      <alignment horizontal="center"/>
    </xf>
    <xf numFmtId="44" fontId="5" fillId="0" borderId="2" xfId="604" applyFont="1" applyFill="1" applyBorder="1" applyAlignment="1"/>
    <xf numFmtId="44" fontId="23" fillId="0" borderId="20" xfId="0" applyNumberFormat="1" applyFont="1" applyBorder="1"/>
    <xf numFmtId="44" fontId="45" fillId="0" borderId="2" xfId="0" applyNumberFormat="1" applyFont="1" applyBorder="1" applyAlignment="1">
      <alignment vertical="top"/>
    </xf>
    <xf numFmtId="44" fontId="45" fillId="0" borderId="0" xfId="11" applyFont="1" applyFill="1" applyAlignment="1"/>
    <xf numFmtId="44" fontId="45" fillId="23" borderId="0" xfId="11" applyFont="1" applyFill="1" applyAlignment="1"/>
    <xf numFmtId="0" fontId="5" fillId="0" borderId="22" xfId="0" applyFont="1" applyBorder="1" applyAlignment="1">
      <alignment horizontal="left"/>
    </xf>
    <xf numFmtId="17" fontId="5" fillId="0" borderId="2" xfId="0" quotePrefix="1" applyNumberFormat="1" applyFont="1" applyBorder="1" applyAlignment="1">
      <alignment horizontal="left"/>
    </xf>
    <xf numFmtId="0" fontId="22" fillId="0" borderId="5" xfId="0" applyFont="1" applyBorder="1"/>
    <xf numFmtId="0" fontId="50" fillId="0" borderId="2" xfId="9" applyFont="1" applyFill="1" applyBorder="1" applyAlignment="1">
      <alignment horizontal="center"/>
    </xf>
    <xf numFmtId="1" fontId="41" fillId="0" borderId="2" xfId="0" applyNumberFormat="1" applyFont="1" applyBorder="1" applyAlignment="1">
      <alignment horizontal="center"/>
    </xf>
    <xf numFmtId="0" fontId="50" fillId="19" borderId="2" xfId="9" applyFont="1" applyFill="1" applyBorder="1" applyAlignment="1">
      <alignment horizontal="center"/>
    </xf>
    <xf numFmtId="0" fontId="45" fillId="36" borderId="2" xfId="0" applyFont="1" applyFill="1" applyBorder="1" applyAlignment="1">
      <alignment horizontal="center"/>
    </xf>
    <xf numFmtId="44" fontId="22" fillId="28" borderId="2" xfId="0" applyNumberFormat="1" applyFont="1" applyFill="1" applyBorder="1" applyAlignment="1">
      <alignment vertical="top"/>
    </xf>
    <xf numFmtId="44" fontId="22" fillId="23" borderId="2" xfId="0" applyNumberFormat="1" applyFont="1" applyFill="1" applyBorder="1" applyAlignment="1">
      <alignment vertical="top"/>
    </xf>
    <xf numFmtId="2" fontId="22" fillId="0" borderId="0" xfId="0" applyNumberFormat="1" applyFont="1"/>
    <xf numFmtId="164" fontId="74" fillId="0" borderId="2" xfId="221" applyNumberFormat="1" applyFont="1" applyFill="1" applyBorder="1" applyAlignment="1">
      <alignment horizontal="center"/>
    </xf>
    <xf numFmtId="165" fontId="23" fillId="25" borderId="0" xfId="0" applyNumberFormat="1" applyFont="1" applyFill="1"/>
    <xf numFmtId="44" fontId="23" fillId="15" borderId="2" xfId="0" applyNumberFormat="1" applyFont="1" applyFill="1" applyBorder="1" applyAlignment="1">
      <alignment vertical="top"/>
    </xf>
    <xf numFmtId="0" fontId="26" fillId="0" borderId="2" xfId="0" quotePrefix="1" applyFont="1" applyBorder="1" applyAlignment="1">
      <alignment horizontal="center"/>
    </xf>
    <xf numFmtId="0" fontId="36" fillId="0" borderId="2" xfId="0" quotePrefix="1" applyFont="1" applyBorder="1" applyAlignment="1">
      <alignment horizontal="center"/>
    </xf>
    <xf numFmtId="16" fontId="26" fillId="0" borderId="2" xfId="0" quotePrefix="1" applyNumberFormat="1" applyFont="1" applyBorder="1" applyAlignment="1">
      <alignment horizontal="center"/>
    </xf>
    <xf numFmtId="16" fontId="5" fillId="0" borderId="2" xfId="0" quotePrefix="1" applyNumberFormat="1" applyFont="1" applyBorder="1" applyAlignment="1">
      <alignment horizontal="center"/>
    </xf>
    <xf numFmtId="0" fontId="36" fillId="0" borderId="5" xfId="0" applyFont="1" applyBorder="1" applyAlignment="1">
      <alignment horizontal="left"/>
    </xf>
    <xf numFmtId="0" fontId="37" fillId="0" borderId="6" xfId="0" applyFont="1" applyBorder="1" applyAlignment="1">
      <alignment horizontal="center"/>
    </xf>
    <xf numFmtId="0" fontId="45" fillId="0" borderId="2" xfId="603" applyFont="1" applyAlignment="1">
      <alignment horizontal="center"/>
    </xf>
    <xf numFmtId="0" fontId="46" fillId="14" borderId="0" xfId="0" applyFont="1" applyFill="1" applyAlignment="1">
      <alignment horizontal="center"/>
    </xf>
    <xf numFmtId="0" fontId="49" fillId="19" borderId="2" xfId="9" applyFont="1" applyFill="1" applyBorder="1" applyAlignment="1">
      <alignment horizontal="center"/>
    </xf>
    <xf numFmtId="8" fontId="41" fillId="0" borderId="2" xfId="11" applyNumberFormat="1" applyFont="1" applyFill="1" applyBorder="1" applyAlignment="1">
      <alignment horizontal="center"/>
    </xf>
    <xf numFmtId="0" fontId="53" fillId="0" borderId="2" xfId="0" applyFont="1" applyBorder="1" applyAlignment="1">
      <alignment horizontal="center"/>
    </xf>
    <xf numFmtId="44" fontId="49" fillId="0" borderId="2" xfId="11" applyFont="1" applyFill="1" applyBorder="1" applyAlignment="1"/>
    <xf numFmtId="44" fontId="67" fillId="15" borderId="2" xfId="11" applyFont="1" applyFill="1" applyBorder="1" applyAlignment="1"/>
    <xf numFmtId="44" fontId="26" fillId="0" borderId="2" xfId="604" applyFont="1" applyFill="1" applyBorder="1" applyAlignment="1"/>
    <xf numFmtId="1" fontId="46" fillId="0" borderId="2" xfId="10" applyNumberFormat="1" applyFont="1" applyBorder="1" applyAlignment="1">
      <alignment horizontal="center"/>
    </xf>
    <xf numFmtId="0" fontId="37" fillId="0" borderId="2" xfId="9" applyFont="1" applyFill="1" applyBorder="1" applyAlignment="1">
      <alignment horizontal="left"/>
    </xf>
    <xf numFmtId="44" fontId="37" fillId="0" borderId="2" xfId="9" applyNumberFormat="1" applyFont="1" applyFill="1" applyBorder="1" applyAlignment="1">
      <alignment horizontal="center"/>
    </xf>
    <xf numFmtId="44" fontId="37" fillId="0" borderId="2" xfId="9" applyNumberFormat="1" applyFont="1" applyFill="1" applyBorder="1" applyAlignment="1"/>
    <xf numFmtId="0" fontId="23" fillId="14" borderId="2" xfId="0" applyFont="1" applyFill="1" applyBorder="1" applyAlignment="1">
      <alignment horizontal="center"/>
    </xf>
    <xf numFmtId="44" fontId="36" fillId="14" borderId="2" xfId="11" applyFont="1" applyFill="1" applyBorder="1" applyAlignment="1">
      <alignment horizontal="center"/>
    </xf>
    <xf numFmtId="2" fontId="23" fillId="14" borderId="2" xfId="10" applyNumberFormat="1" applyFont="1" applyFill="1" applyBorder="1" applyAlignment="1">
      <alignment horizontal="center"/>
    </xf>
    <xf numFmtId="1" fontId="23" fillId="14" borderId="2" xfId="10" applyNumberFormat="1" applyFont="1" applyFill="1" applyBorder="1" applyAlignment="1">
      <alignment horizontal="center"/>
    </xf>
    <xf numFmtId="44" fontId="23" fillId="14" borderId="2" xfId="0" applyNumberFormat="1" applyFont="1" applyFill="1" applyBorder="1" applyAlignment="1">
      <alignment horizontal="center"/>
    </xf>
    <xf numFmtId="44" fontId="49" fillId="14" borderId="2" xfId="0" applyNumberFormat="1" applyFont="1" applyFill="1" applyBorder="1" applyAlignment="1">
      <alignment horizontal="center"/>
    </xf>
    <xf numFmtId="1" fontId="45" fillId="0" borderId="2" xfId="10" applyNumberFormat="1" applyFont="1" applyBorder="1" applyAlignment="1">
      <alignment horizontal="center"/>
    </xf>
    <xf numFmtId="0" fontId="37" fillId="0" borderId="2" xfId="603" applyFont="1" applyAlignment="1">
      <alignment horizontal="center"/>
    </xf>
    <xf numFmtId="16" fontId="5" fillId="0" borderId="2" xfId="0" quotePrefix="1" applyNumberFormat="1" applyFont="1" applyBorder="1" applyAlignment="1">
      <alignment horizontal="left"/>
    </xf>
    <xf numFmtId="16" fontId="5" fillId="0" borderId="2" xfId="0" quotePrefix="1" applyNumberFormat="1" applyFont="1" applyBorder="1"/>
    <xf numFmtId="0" fontId="5" fillId="0" borderId="5" xfId="603" applyFont="1" applyBorder="1" applyAlignment="1">
      <alignment horizontal="center"/>
    </xf>
    <xf numFmtId="164" fontId="26" fillId="0" borderId="2" xfId="0" quotePrefix="1" applyNumberFormat="1" applyFont="1" applyBorder="1" applyAlignment="1">
      <alignment horizontal="center"/>
    </xf>
    <xf numFmtId="16" fontId="5" fillId="0" borderId="0" xfId="0" quotePrefix="1" applyNumberFormat="1" applyFont="1" applyAlignment="1">
      <alignment horizontal="center"/>
    </xf>
    <xf numFmtId="16" fontId="37" fillId="0" borderId="0" xfId="0" quotePrefix="1" applyNumberFormat="1" applyFont="1" applyAlignment="1">
      <alignment horizontal="left"/>
    </xf>
    <xf numFmtId="2" fontId="5" fillId="0" borderId="2" xfId="10" quotePrefix="1" applyNumberFormat="1" applyFont="1" applyFill="1" applyBorder="1" applyAlignment="1">
      <alignment horizontal="center"/>
    </xf>
    <xf numFmtId="16" fontId="5" fillId="0" borderId="0" xfId="0" quotePrefix="1" applyNumberFormat="1" applyFont="1"/>
    <xf numFmtId="44" fontId="5" fillId="0" borderId="2" xfId="11" quotePrefix="1" applyFont="1" applyFill="1" applyBorder="1" applyAlignment="1">
      <alignment horizontal="center"/>
    </xf>
    <xf numFmtId="44" fontId="5" fillId="0" borderId="2" xfId="9" applyNumberFormat="1" applyFont="1" applyFill="1" applyBorder="1" applyAlignment="1">
      <alignment horizontal="center"/>
    </xf>
    <xf numFmtId="44" fontId="26" fillId="35" borderId="2" xfId="0" applyNumberFormat="1" applyFont="1" applyFill="1" applyBorder="1"/>
    <xf numFmtId="44" fontId="65" fillId="15" borderId="2" xfId="0" applyNumberFormat="1" applyFont="1" applyFill="1" applyBorder="1"/>
    <xf numFmtId="44" fontId="5" fillId="0" borderId="2" xfId="0" quotePrefix="1" applyNumberFormat="1" applyFont="1" applyBorder="1" applyAlignment="1">
      <alignment horizontal="center"/>
    </xf>
    <xf numFmtId="44" fontId="5" fillId="0" borderId="2" xfId="0" quotePrefix="1" applyNumberFormat="1" applyFont="1" applyBorder="1"/>
    <xf numFmtId="44" fontId="45" fillId="0" borderId="2" xfId="0" quotePrefix="1" applyNumberFormat="1" applyFont="1" applyBorder="1" applyAlignment="1">
      <alignment horizontal="center"/>
    </xf>
    <xf numFmtId="9" fontId="37" fillId="0" borderId="2" xfId="3769" applyFont="1" applyBorder="1" applyAlignment="1">
      <alignment horizontal="center"/>
    </xf>
    <xf numFmtId="44" fontId="5" fillId="0" borderId="0" xfId="11" applyFont="1" applyFill="1" applyAlignment="1">
      <alignment horizontal="center"/>
    </xf>
    <xf numFmtId="0" fontId="95" fillId="0" borderId="0" xfId="0" quotePrefix="1" applyFont="1" applyAlignment="1">
      <alignment horizontal="center"/>
    </xf>
    <xf numFmtId="0" fontId="36" fillId="0" borderId="0" xfId="0" quotePrefix="1" applyFont="1" applyAlignment="1">
      <alignment horizontal="center"/>
    </xf>
    <xf numFmtId="44" fontId="45" fillId="8" borderId="2" xfId="11" applyFont="1" applyFill="1" applyBorder="1" applyAlignment="1">
      <alignment horizontal="center"/>
    </xf>
    <xf numFmtId="0" fontId="37" fillId="0" borderId="2" xfId="0" quotePrefix="1" applyFont="1" applyBorder="1" applyAlignment="1">
      <alignment horizontal="center"/>
    </xf>
    <xf numFmtId="0" fontId="5" fillId="29" borderId="2" xfId="0" applyFont="1" applyFill="1" applyBorder="1" applyAlignment="1">
      <alignment horizontal="center"/>
    </xf>
    <xf numFmtId="0" fontId="49" fillId="0" borderId="2" xfId="9" applyFont="1" applyFill="1" applyBorder="1" applyAlignment="1">
      <alignment horizontal="center"/>
    </xf>
    <xf numFmtId="0" fontId="65" fillId="28" borderId="0" xfId="0" applyFont="1" applyFill="1" applyAlignment="1">
      <alignment horizontal="center"/>
    </xf>
    <xf numFmtId="0" fontId="49" fillId="19" borderId="0" xfId="0" applyFont="1" applyFill="1" applyAlignment="1">
      <alignment horizontal="center"/>
    </xf>
    <xf numFmtId="0" fontId="53" fillId="0" borderId="2" xfId="603" applyFont="1" applyAlignment="1">
      <alignment horizontal="left"/>
    </xf>
    <xf numFmtId="44" fontId="37" fillId="0" borderId="2" xfId="0" quotePrefix="1" applyNumberFormat="1" applyFont="1" applyBorder="1" applyAlignment="1">
      <alignment horizontal="center"/>
    </xf>
    <xf numFmtId="0" fontId="95" fillId="45" borderId="2" xfId="0" applyFont="1" applyFill="1" applyBorder="1" applyAlignment="1">
      <alignment horizontal="center"/>
    </xf>
    <xf numFmtId="0" fontId="52" fillId="19" borderId="1" xfId="0" applyFont="1" applyFill="1" applyBorder="1" applyAlignment="1">
      <alignment horizontal="center"/>
    </xf>
    <xf numFmtId="9" fontId="26" fillId="0" borderId="2" xfId="3769" applyFont="1" applyBorder="1" applyAlignment="1">
      <alignment horizontal="center"/>
    </xf>
    <xf numFmtId="1" fontId="5" fillId="0" borderId="2" xfId="10" applyNumberFormat="1" applyFont="1" applyBorder="1" applyAlignment="1">
      <alignment horizontal="center"/>
    </xf>
    <xf numFmtId="9" fontId="36" fillId="0" borderId="2" xfId="0" applyNumberFormat="1" applyFont="1" applyBorder="1" applyAlignment="1">
      <alignment horizontal="center"/>
    </xf>
    <xf numFmtId="0" fontId="54" fillId="0" borderId="0" xfId="0" applyFont="1"/>
    <xf numFmtId="0" fontId="12" fillId="19" borderId="2" xfId="0" applyFont="1" applyFill="1" applyBorder="1" applyAlignment="1">
      <alignment horizontal="center"/>
    </xf>
    <xf numFmtId="0" fontId="36" fillId="14" borderId="0" xfId="0" applyFont="1" applyFill="1" applyAlignment="1">
      <alignment horizontal="center"/>
    </xf>
    <xf numFmtId="44" fontId="36" fillId="0" borderId="2" xfId="11" applyFont="1" applyBorder="1" applyAlignment="1">
      <alignment horizontal="right"/>
    </xf>
    <xf numFmtId="1" fontId="36" fillId="0" borderId="2" xfId="10" applyNumberFormat="1" applyFont="1" applyBorder="1" applyAlignment="1">
      <alignment horizontal="center"/>
    </xf>
    <xf numFmtId="44" fontId="22" fillId="34" borderId="5" xfId="0" applyNumberFormat="1" applyFont="1" applyFill="1" applyBorder="1"/>
    <xf numFmtId="44" fontId="22" fillId="34" borderId="20" xfId="0" applyNumberFormat="1" applyFont="1" applyFill="1" applyBorder="1"/>
    <xf numFmtId="44" fontId="22" fillId="43" borderId="20" xfId="0" applyNumberFormat="1" applyFont="1" applyFill="1" applyBorder="1"/>
    <xf numFmtId="44" fontId="95" fillId="0" borderId="2" xfId="11" applyFont="1" applyBorder="1" applyAlignment="1">
      <alignment horizontal="right"/>
    </xf>
    <xf numFmtId="1" fontId="54" fillId="0" borderId="2" xfId="10" applyNumberFormat="1" applyFont="1" applyBorder="1" applyAlignment="1">
      <alignment horizontal="center"/>
    </xf>
    <xf numFmtId="44" fontId="8" fillId="0" borderId="0" xfId="0" applyNumberFormat="1" applyFont="1"/>
    <xf numFmtId="44" fontId="22" fillId="0" borderId="20" xfId="0" applyNumberFormat="1" applyFont="1" applyBorder="1"/>
    <xf numFmtId="44" fontId="22" fillId="34" borderId="20" xfId="11" applyFont="1" applyFill="1" applyBorder="1"/>
    <xf numFmtId="0" fontId="102" fillId="0" borderId="0" xfId="0" applyFont="1"/>
    <xf numFmtId="2" fontId="11" fillId="0" borderId="2" xfId="0" applyNumberFormat="1" applyFont="1" applyBorder="1" applyAlignment="1">
      <alignment horizontal="center"/>
    </xf>
    <xf numFmtId="44" fontId="26" fillId="35" borderId="0" xfId="0" applyNumberFormat="1" applyFont="1" applyFill="1" applyAlignment="1">
      <alignment horizontal="center"/>
    </xf>
    <xf numFmtId="44" fontId="36" fillId="0" borderId="2" xfId="0" quotePrefix="1" applyNumberFormat="1" applyFont="1" applyBorder="1" applyAlignment="1">
      <alignment horizontal="center"/>
    </xf>
    <xf numFmtId="44" fontId="36" fillId="0" borderId="2" xfId="3769" applyNumberFormat="1" applyFont="1" applyBorder="1" applyAlignment="1">
      <alignment horizontal="center"/>
    </xf>
    <xf numFmtId="44" fontId="36" fillId="8" borderId="2" xfId="604" applyFont="1" applyFill="1" applyBorder="1" applyAlignment="1">
      <alignment horizontal="right"/>
    </xf>
    <xf numFmtId="44" fontId="36" fillId="0" borderId="2" xfId="604" applyFont="1" applyFill="1" applyBorder="1" applyAlignment="1">
      <alignment horizontal="right"/>
    </xf>
    <xf numFmtId="44" fontId="36" fillId="0" borderId="2" xfId="604" applyFont="1" applyFill="1" applyBorder="1" applyAlignment="1">
      <alignment horizontal="center"/>
    </xf>
    <xf numFmtId="44" fontId="37" fillId="0" borderId="2" xfId="11" applyFont="1" applyBorder="1"/>
    <xf numFmtId="44" fontId="36" fillId="0" borderId="2" xfId="11" applyFont="1" applyBorder="1"/>
    <xf numFmtId="44" fontId="37" fillId="0" borderId="2" xfId="3769" applyNumberFormat="1" applyFont="1" applyBorder="1" applyAlignment="1">
      <alignment horizontal="center"/>
    </xf>
    <xf numFmtId="0" fontId="36" fillId="0" borderId="2" xfId="3775" applyFont="1" applyBorder="1"/>
    <xf numFmtId="44" fontId="26" fillId="0" borderId="2" xfId="11" applyFont="1" applyBorder="1" applyAlignment="1">
      <alignment horizontal="right"/>
    </xf>
    <xf numFmtId="44" fontId="45" fillId="0" borderId="2" xfId="11" applyFont="1" applyBorder="1" applyAlignment="1">
      <alignment horizontal="right"/>
    </xf>
    <xf numFmtId="44" fontId="45" fillId="0" borderId="2" xfId="11" applyFont="1" applyBorder="1" applyAlignment="1">
      <alignment horizontal="center"/>
    </xf>
    <xf numFmtId="9" fontId="45" fillId="0" borderId="2" xfId="0" applyNumberFormat="1" applyFont="1" applyBorder="1" applyAlignment="1">
      <alignment horizontal="center"/>
    </xf>
    <xf numFmtId="44" fontId="5" fillId="0" borderId="2" xfId="3769" applyNumberFormat="1" applyFont="1" applyBorder="1" applyAlignment="1">
      <alignment horizontal="center"/>
    </xf>
    <xf numFmtId="0" fontId="46" fillId="0" borderId="2" xfId="0" quotePrefix="1" applyFont="1" applyBorder="1" applyAlignment="1">
      <alignment horizontal="center"/>
    </xf>
    <xf numFmtId="0" fontId="37" fillId="0" borderId="22" xfId="0" applyFont="1" applyBorder="1" applyAlignment="1">
      <alignment horizontal="left"/>
    </xf>
    <xf numFmtId="1" fontId="26" fillId="10" borderId="2" xfId="0" applyNumberFormat="1" applyFont="1" applyFill="1" applyBorder="1" applyAlignment="1">
      <alignment horizontal="center"/>
    </xf>
    <xf numFmtId="1" fontId="37" fillId="14" borderId="2" xfId="0" applyNumberFormat="1" applyFont="1" applyFill="1" applyBorder="1" applyAlignment="1">
      <alignment horizontal="center"/>
    </xf>
    <xf numFmtId="2" fontId="23" fillId="0" borderId="2" xfId="0" applyNumberFormat="1" applyFont="1" applyBorder="1" applyAlignment="1">
      <alignment horizontal="center"/>
    </xf>
    <xf numFmtId="44" fontId="5" fillId="0" borderId="5" xfId="0" applyNumberFormat="1" applyFont="1" applyBorder="1" applyAlignment="1">
      <alignment horizontal="center"/>
    </xf>
    <xf numFmtId="44" fontId="5" fillId="0" borderId="5" xfId="0" applyNumberFormat="1" applyFont="1" applyBorder="1"/>
    <xf numFmtId="9" fontId="46" fillId="0" borderId="2" xfId="0" applyNumberFormat="1" applyFont="1" applyBorder="1" applyAlignment="1">
      <alignment horizontal="center"/>
    </xf>
    <xf numFmtId="0" fontId="99" fillId="0" borderId="2" xfId="0" applyFont="1" applyBorder="1" applyAlignment="1">
      <alignment horizontal="center"/>
    </xf>
    <xf numFmtId="0" fontId="5" fillId="0" borderId="5" xfId="603" applyFont="1" applyBorder="1" applyAlignment="1">
      <alignment horizontal="left"/>
    </xf>
    <xf numFmtId="0" fontId="60" fillId="8" borderId="2" xfId="0" applyFont="1" applyFill="1" applyBorder="1" applyAlignment="1">
      <alignment horizontal="center"/>
    </xf>
    <xf numFmtId="0" fontId="65" fillId="19" borderId="2" xfId="0" applyFont="1" applyFill="1" applyBorder="1" applyAlignment="1">
      <alignment horizontal="center"/>
    </xf>
    <xf numFmtId="0" fontId="49" fillId="35" borderId="2" xfId="0" applyFont="1" applyFill="1" applyBorder="1" applyAlignment="1">
      <alignment horizontal="center"/>
    </xf>
    <xf numFmtId="44" fontId="11" fillId="0" borderId="2" xfId="0" applyNumberFormat="1" applyFont="1" applyBorder="1"/>
    <xf numFmtId="44" fontId="26" fillId="0" borderId="2" xfId="11" applyFont="1" applyBorder="1"/>
    <xf numFmtId="44" fontId="46" fillId="0" borderId="2" xfId="11" applyFont="1" applyFill="1" applyBorder="1" applyAlignment="1"/>
    <xf numFmtId="2" fontId="5" fillId="14" borderId="2" xfId="10" applyNumberFormat="1" applyFont="1" applyFill="1" applyBorder="1" applyAlignment="1">
      <alignment horizontal="center"/>
    </xf>
    <xf numFmtId="1" fontId="5" fillId="14" borderId="2" xfId="10" applyNumberFormat="1" applyFont="1" applyFill="1" applyBorder="1" applyAlignment="1">
      <alignment horizontal="center"/>
    </xf>
    <xf numFmtId="44" fontId="5" fillId="14" borderId="2" xfId="0" applyNumberFormat="1" applyFont="1" applyFill="1" applyBorder="1" applyAlignment="1">
      <alignment horizontal="center"/>
    </xf>
    <xf numFmtId="0" fontId="1" fillId="0" borderId="2" xfId="0" applyFont="1" applyBorder="1"/>
    <xf numFmtId="44" fontId="45" fillId="0" borderId="2" xfId="11" applyFont="1" applyFill="1" applyBorder="1" applyAlignment="1"/>
    <xf numFmtId="0" fontId="50" fillId="0" borderId="2" xfId="9" applyFont="1" applyFill="1" applyBorder="1" applyAlignment="1">
      <alignment horizontal="left"/>
    </xf>
    <xf numFmtId="0" fontId="60" fillId="35" borderId="2" xfId="0" applyFont="1" applyFill="1" applyBorder="1" applyAlignment="1">
      <alignment horizontal="center"/>
    </xf>
    <xf numFmtId="44" fontId="26" fillId="10" borderId="2" xfId="0" applyNumberFormat="1" applyFont="1" applyFill="1" applyBorder="1"/>
    <xf numFmtId="1" fontId="67" fillId="15" borderId="2" xfId="0" applyNumberFormat="1" applyFont="1" applyFill="1" applyBorder="1" applyAlignment="1">
      <alignment horizontal="center"/>
    </xf>
    <xf numFmtId="0" fontId="67" fillId="19" borderId="2" xfId="9" applyFont="1" applyFill="1" applyBorder="1" applyAlignment="1">
      <alignment horizontal="center"/>
    </xf>
    <xf numFmtId="0" fontId="81" fillId="0" borderId="2" xfId="0" applyFont="1" applyBorder="1"/>
    <xf numFmtId="1" fontId="77" fillId="0" borderId="0" xfId="0" applyNumberFormat="1" applyFont="1" applyAlignment="1">
      <alignment horizontal="center"/>
    </xf>
    <xf numFmtId="44" fontId="5" fillId="8" borderId="0" xfId="0" applyNumberFormat="1" applyFont="1" applyFill="1"/>
    <xf numFmtId="44" fontId="22" fillId="23" borderId="2" xfId="0" applyNumberFormat="1" applyFont="1" applyFill="1" applyBorder="1"/>
    <xf numFmtId="44" fontId="5" fillId="8" borderId="0" xfId="0" applyNumberFormat="1" applyFont="1" applyFill="1" applyAlignment="1">
      <alignment horizontal="center"/>
    </xf>
    <xf numFmtId="43" fontId="45" fillId="0" borderId="5" xfId="10" applyFont="1" applyBorder="1"/>
    <xf numFmtId="44" fontId="23" fillId="0" borderId="5" xfId="0" applyNumberFormat="1" applyFont="1" applyBorder="1"/>
    <xf numFmtId="9" fontId="5" fillId="0" borderId="2" xfId="3769" applyFont="1" applyBorder="1" applyAlignment="1">
      <alignment horizontal="center"/>
    </xf>
    <xf numFmtId="0" fontId="49" fillId="0" borderId="2" xfId="221" applyFont="1" applyFill="1" applyBorder="1" applyAlignment="1"/>
    <xf numFmtId="44" fontId="65" fillId="15" borderId="2" xfId="11" applyFont="1" applyFill="1" applyBorder="1" applyAlignment="1"/>
    <xf numFmtId="0" fontId="1" fillId="0" borderId="0" xfId="0" applyFont="1"/>
    <xf numFmtId="44" fontId="1" fillId="0" borderId="2" xfId="11" applyFont="1" applyBorder="1"/>
    <xf numFmtId="0" fontId="1" fillId="0" borderId="2" xfId="3773" applyFont="1"/>
    <xf numFmtId="9" fontId="1" fillId="0" borderId="2" xfId="3769" applyFont="1" applyBorder="1"/>
    <xf numFmtId="44" fontId="37" fillId="0" borderId="2" xfId="11" applyFont="1" applyFill="1" applyBorder="1"/>
    <xf numFmtId="1" fontId="50" fillId="0" borderId="2" xfId="10" applyNumberFormat="1" applyFont="1" applyBorder="1" applyAlignment="1">
      <alignment horizontal="center"/>
    </xf>
    <xf numFmtId="0" fontId="74" fillId="0" borderId="2" xfId="603" applyFont="1" applyAlignment="1">
      <alignment horizontal="left"/>
    </xf>
    <xf numFmtId="0" fontId="11" fillId="0" borderId="2" xfId="221" applyFont="1" applyFill="1" applyBorder="1"/>
    <xf numFmtId="0" fontId="58" fillId="0" borderId="2" xfId="0" applyFont="1" applyBorder="1"/>
    <xf numFmtId="44" fontId="26" fillId="0" borderId="2" xfId="3769" applyNumberFormat="1" applyFont="1" applyBorder="1" applyAlignment="1">
      <alignment horizontal="center"/>
    </xf>
    <xf numFmtId="44" fontId="23" fillId="0" borderId="2" xfId="0" applyNumberFormat="1" applyFont="1" applyBorder="1" applyAlignment="1">
      <alignment vertical="top"/>
    </xf>
    <xf numFmtId="44" fontId="45" fillId="0" borderId="2" xfId="3769" applyNumberFormat="1" applyFont="1" applyBorder="1" applyAlignment="1">
      <alignment horizontal="center"/>
    </xf>
    <xf numFmtId="0" fontId="49" fillId="0" borderId="2" xfId="0" applyFont="1" applyBorder="1" applyAlignment="1">
      <alignment horizontal="center" vertical="center"/>
    </xf>
    <xf numFmtId="1" fontId="45" fillId="15" borderId="2" xfId="0" applyNumberFormat="1" applyFont="1" applyFill="1" applyBorder="1" applyAlignment="1">
      <alignment horizontal="center"/>
    </xf>
    <xf numFmtId="1" fontId="74" fillId="0" borderId="2" xfId="0" applyNumberFormat="1" applyFont="1" applyBorder="1" applyAlignment="1">
      <alignment horizontal="center"/>
    </xf>
    <xf numFmtId="0" fontId="69" fillId="19" borderId="2" xfId="0" applyFont="1" applyFill="1" applyBorder="1" applyAlignment="1">
      <alignment horizontal="center"/>
    </xf>
    <xf numFmtId="44" fontId="37" fillId="28" borderId="2" xfId="0" applyNumberFormat="1" applyFont="1" applyFill="1" applyBorder="1" applyAlignment="1">
      <alignment horizontal="center"/>
    </xf>
    <xf numFmtId="44" fontId="74" fillId="0" borderId="2" xfId="0" quotePrefix="1" applyNumberFormat="1" applyFont="1" applyBorder="1" applyAlignment="1">
      <alignment horizontal="center"/>
    </xf>
    <xf numFmtId="44" fontId="45" fillId="15" borderId="2" xfId="0" applyNumberFormat="1" applyFont="1" applyFill="1" applyBorder="1" applyAlignment="1">
      <alignment horizontal="center"/>
    </xf>
    <xf numFmtId="44" fontId="26" fillId="10" borderId="2" xfId="0" applyNumberFormat="1" applyFont="1" applyFill="1" applyBorder="1" applyAlignment="1">
      <alignment horizontal="center"/>
    </xf>
    <xf numFmtId="44" fontId="70" fillId="28" borderId="2" xfId="0" applyNumberFormat="1" applyFont="1" applyFill="1" applyBorder="1" applyAlignment="1">
      <alignment horizontal="center"/>
    </xf>
    <xf numFmtId="44" fontId="67" fillId="28" borderId="2" xfId="0" applyNumberFormat="1" applyFont="1" applyFill="1" applyBorder="1" applyAlignment="1">
      <alignment horizontal="center"/>
    </xf>
    <xf numFmtId="44" fontId="65" fillId="15" borderId="2" xfId="11" applyFont="1" applyFill="1" applyBorder="1" applyAlignment="1">
      <alignment horizontal="center"/>
    </xf>
    <xf numFmtId="0" fontId="68" fillId="15" borderId="2" xfId="221" applyFont="1" applyFill="1" applyBorder="1" applyAlignment="1">
      <alignment horizontal="left"/>
    </xf>
    <xf numFmtId="0" fontId="67" fillId="15" borderId="2" xfId="221" applyFont="1" applyFill="1" applyBorder="1" applyAlignment="1">
      <alignment horizontal="left"/>
    </xf>
    <xf numFmtId="0" fontId="26" fillId="35" borderId="2" xfId="221" applyFont="1" applyFill="1" applyBorder="1" applyAlignment="1">
      <alignment horizontal="left"/>
    </xf>
    <xf numFmtId="17" fontId="26" fillId="0" borderId="5" xfId="0" quotePrefix="1" applyNumberFormat="1" applyFont="1" applyBorder="1" applyAlignment="1">
      <alignment horizontal="left"/>
    </xf>
    <xf numFmtId="0" fontId="26" fillId="0" borderId="22" xfId="221" applyFont="1" applyFill="1" applyBorder="1" applyAlignment="1">
      <alignment horizontal="left"/>
    </xf>
    <xf numFmtId="0" fontId="45" fillId="25" borderId="2" xfId="0" applyFont="1" applyFill="1" applyBorder="1" applyAlignment="1">
      <alignment horizontal="left"/>
    </xf>
    <xf numFmtId="0" fontId="64" fillId="0" borderId="2" xfId="0" applyFont="1" applyBorder="1" applyAlignment="1">
      <alignment horizontal="left"/>
    </xf>
    <xf numFmtId="0" fontId="67" fillId="15" borderId="2" xfId="0" applyFont="1" applyFill="1" applyBorder="1" applyAlignment="1">
      <alignment horizontal="left"/>
    </xf>
    <xf numFmtId="0" fontId="65" fillId="15" borderId="2" xfId="221" applyFont="1" applyFill="1" applyBorder="1"/>
    <xf numFmtId="0" fontId="37" fillId="25" borderId="2" xfId="0" applyFont="1" applyFill="1" applyBorder="1" applyAlignment="1">
      <alignment horizontal="left"/>
    </xf>
    <xf numFmtId="0" fontId="69" fillId="15" borderId="2" xfId="0" applyFont="1" applyFill="1" applyBorder="1" applyAlignment="1">
      <alignment horizontal="left"/>
    </xf>
    <xf numFmtId="0" fontId="37" fillId="28" borderId="2" xfId="221" applyFont="1" applyFill="1" applyBorder="1" applyAlignment="1">
      <alignment horizontal="left"/>
    </xf>
    <xf numFmtId="0" fontId="59" fillId="0" borderId="5" xfId="0" applyFont="1" applyBorder="1" applyAlignment="1">
      <alignment horizontal="left"/>
    </xf>
    <xf numFmtId="0" fontId="5" fillId="25" borderId="2" xfId="0" applyFont="1" applyFill="1" applyBorder="1"/>
    <xf numFmtId="0" fontId="5" fillId="25" borderId="2" xfId="221" applyFont="1" applyFill="1" applyBorder="1" applyAlignment="1"/>
    <xf numFmtId="0" fontId="74" fillId="25" borderId="2" xfId="0" applyFont="1" applyFill="1" applyBorder="1"/>
    <xf numFmtId="0" fontId="5" fillId="39" borderId="2" xfId="0" applyFont="1" applyFill="1" applyBorder="1" applyAlignment="1">
      <alignment horizontal="center"/>
    </xf>
    <xf numFmtId="0" fontId="67" fillId="15" borderId="2" xfId="0" applyFont="1" applyFill="1" applyBorder="1" applyAlignment="1">
      <alignment horizontal="center" vertical="center"/>
    </xf>
    <xf numFmtId="0" fontId="66" fillId="15" borderId="2" xfId="0" applyFont="1" applyFill="1" applyBorder="1" applyAlignment="1">
      <alignment horizontal="center"/>
    </xf>
    <xf numFmtId="44" fontId="67" fillId="15" borderId="2" xfId="11" applyFont="1" applyFill="1" applyBorder="1" applyAlignment="1">
      <alignment horizontal="right"/>
    </xf>
    <xf numFmtId="44" fontId="67" fillId="28" borderId="2" xfId="11" applyFont="1" applyFill="1" applyBorder="1" applyAlignment="1">
      <alignment horizontal="right"/>
    </xf>
    <xf numFmtId="44" fontId="70" fillId="28" borderId="2" xfId="11" applyFont="1" applyFill="1" applyBorder="1" applyAlignment="1">
      <alignment horizontal="right"/>
    </xf>
    <xf numFmtId="44" fontId="22" fillId="8" borderId="5" xfId="11" applyFont="1" applyFill="1" applyBorder="1" applyAlignment="1">
      <alignment horizontal="center"/>
    </xf>
    <xf numFmtId="44" fontId="37" fillId="28" borderId="2" xfId="11" applyFont="1" applyFill="1" applyBorder="1" applyAlignment="1">
      <alignment horizontal="right"/>
    </xf>
    <xf numFmtId="44" fontId="37" fillId="8" borderId="2" xfId="11" applyFont="1" applyFill="1" applyBorder="1" applyAlignment="1">
      <alignment horizontal="center"/>
    </xf>
    <xf numFmtId="44" fontId="5" fillId="8" borderId="2" xfId="11" applyFont="1" applyFill="1" applyBorder="1" applyAlignment="1">
      <alignment horizontal="center"/>
    </xf>
    <xf numFmtId="44" fontId="65" fillId="15" borderId="2" xfId="11" applyFont="1" applyFill="1" applyBorder="1" applyAlignment="1">
      <alignment horizontal="right"/>
    </xf>
    <xf numFmtId="44" fontId="26" fillId="0" borderId="5" xfId="11" applyFont="1" applyFill="1" applyBorder="1" applyAlignment="1">
      <alignment horizontal="center"/>
    </xf>
    <xf numFmtId="0" fontId="46" fillId="36" borderId="2" xfId="0" applyFont="1" applyFill="1" applyBorder="1" applyAlignment="1">
      <alignment horizontal="center"/>
    </xf>
    <xf numFmtId="0" fontId="26" fillId="19" borderId="5" xfId="0" applyFont="1" applyFill="1" applyBorder="1" applyAlignment="1">
      <alignment horizontal="center"/>
    </xf>
    <xf numFmtId="0" fontId="37" fillId="36" borderId="2" xfId="0" applyFont="1" applyFill="1" applyBorder="1" applyAlignment="1">
      <alignment horizontal="center"/>
    </xf>
    <xf numFmtId="44" fontId="71" fillId="28" borderId="2" xfId="0" applyNumberFormat="1" applyFont="1" applyFill="1" applyBorder="1" applyAlignment="1">
      <alignment horizontal="center"/>
    </xf>
    <xf numFmtId="44" fontId="46" fillId="0" borderId="2" xfId="0" quotePrefix="1" applyNumberFormat="1" applyFont="1" applyBorder="1" applyAlignment="1">
      <alignment horizontal="center"/>
    </xf>
    <xf numFmtId="44" fontId="22" fillId="0" borderId="2" xfId="0" applyNumberFormat="1" applyFont="1" applyBorder="1" applyAlignment="1">
      <alignment vertical="top"/>
    </xf>
    <xf numFmtId="44" fontId="49" fillId="0" borderId="0" xfId="11" applyFont="1" applyFill="1" applyAlignment="1"/>
    <xf numFmtId="44" fontId="49" fillId="23" borderId="0" xfId="11" applyFont="1" applyFill="1" applyAlignment="1"/>
    <xf numFmtId="44" fontId="23" fillId="0" borderId="0" xfId="11" applyFont="1"/>
    <xf numFmtId="44" fontId="23" fillId="14" borderId="0" xfId="0" applyNumberFormat="1" applyFont="1" applyFill="1" applyAlignment="1">
      <alignment horizontal="center"/>
    </xf>
    <xf numFmtId="0" fontId="65" fillId="0" borderId="2" xfId="0" applyFont="1" applyBorder="1" applyAlignment="1">
      <alignment horizontal="center"/>
    </xf>
    <xf numFmtId="0" fontId="65" fillId="0" borderId="2" xfId="0" applyFont="1" applyBorder="1" applyAlignment="1">
      <alignment horizontal="left"/>
    </xf>
    <xf numFmtId="0" fontId="65" fillId="0" borderId="2" xfId="0" applyFont="1" applyBorder="1"/>
    <xf numFmtId="164" fontId="65" fillId="0" borderId="2" xfId="0" applyNumberFormat="1" applyFont="1" applyBorder="1" applyAlignment="1">
      <alignment horizontal="center"/>
    </xf>
    <xf numFmtId="1" fontId="65" fillId="0" borderId="2" xfId="0" applyNumberFormat="1" applyFont="1" applyBorder="1" applyAlignment="1">
      <alignment horizontal="center"/>
    </xf>
    <xf numFmtId="2" fontId="65" fillId="0" borderId="2" xfId="10" applyNumberFormat="1" applyFont="1" applyFill="1" applyBorder="1" applyAlignment="1">
      <alignment horizontal="center"/>
    </xf>
    <xf numFmtId="0" fontId="65" fillId="0" borderId="0" xfId="0" applyFont="1"/>
    <xf numFmtId="0" fontId="105" fillId="0" borderId="0" xfId="0" applyFont="1"/>
    <xf numFmtId="0" fontId="69" fillId="7" borderId="0" xfId="0" applyFont="1" applyFill="1" applyAlignment="1">
      <alignment horizontal="center"/>
    </xf>
    <xf numFmtId="1" fontId="65" fillId="0" borderId="2" xfId="10" applyNumberFormat="1" applyFont="1" applyFill="1" applyBorder="1" applyAlignment="1">
      <alignment horizontal="center"/>
    </xf>
    <xf numFmtId="44" fontId="65" fillId="0" borderId="2" xfId="0" applyNumberFormat="1" applyFont="1" applyBorder="1" applyAlignment="1">
      <alignment horizontal="center"/>
    </xf>
    <xf numFmtId="0" fontId="74" fillId="0" borderId="5" xfId="0" applyFont="1" applyBorder="1" applyAlignment="1">
      <alignment horizontal="center"/>
    </xf>
    <xf numFmtId="0" fontId="65" fillId="0" borderId="0" xfId="0" applyFont="1" applyAlignment="1">
      <alignment horizontal="center"/>
    </xf>
    <xf numFmtId="0" fontId="37" fillId="35" borderId="2" xfId="0" applyFont="1" applyFill="1" applyBorder="1" applyAlignment="1">
      <alignment horizontal="center"/>
    </xf>
    <xf numFmtId="44" fontId="65" fillId="0" borderId="0" xfId="0" applyNumberFormat="1" applyFont="1" applyAlignment="1">
      <alignment horizontal="center"/>
    </xf>
    <xf numFmtId="44" fontId="65" fillId="0" borderId="0" xfId="0" applyNumberFormat="1" applyFont="1"/>
    <xf numFmtId="44" fontId="5" fillId="8" borderId="2" xfId="0" applyNumberFormat="1" applyFont="1" applyFill="1" applyBorder="1"/>
    <xf numFmtId="44" fontId="65" fillId="0" borderId="2" xfId="604" applyFont="1" applyFill="1" applyBorder="1" applyAlignment="1">
      <alignment horizontal="right"/>
    </xf>
    <xf numFmtId="44" fontId="65" fillId="0" borderId="2" xfId="604" applyFont="1" applyFill="1" applyAlignment="1"/>
    <xf numFmtId="44" fontId="65" fillId="0" borderId="2" xfId="604" applyFont="1" applyFill="1" applyAlignment="1">
      <alignment horizontal="center"/>
    </xf>
    <xf numFmtId="9" fontId="65" fillId="0" borderId="2" xfId="604" applyNumberFormat="1" applyFont="1" applyFill="1" applyAlignment="1">
      <alignment horizontal="center"/>
    </xf>
    <xf numFmtId="0" fontId="49" fillId="8" borderId="5" xfId="0" applyFont="1" applyFill="1" applyBorder="1" applyAlignment="1">
      <alignment horizontal="left"/>
    </xf>
    <xf numFmtId="0" fontId="70" fillId="28" borderId="2" xfId="221" applyFont="1" applyFill="1" applyBorder="1" applyAlignment="1">
      <alignment horizontal="left"/>
    </xf>
    <xf numFmtId="1" fontId="49" fillId="8" borderId="2" xfId="0" applyNumberFormat="1" applyFont="1" applyFill="1" applyBorder="1" applyAlignment="1">
      <alignment horizontal="center"/>
    </xf>
    <xf numFmtId="2" fontId="40" fillId="0" borderId="2" xfId="0" applyNumberFormat="1" applyFont="1" applyBorder="1" applyAlignment="1">
      <alignment horizontal="center"/>
    </xf>
    <xf numFmtId="2" fontId="37" fillId="14" borderId="2" xfId="0" applyNumberFormat="1" applyFont="1" applyFill="1" applyBorder="1" applyAlignment="1">
      <alignment horizontal="center"/>
    </xf>
    <xf numFmtId="44" fontId="69" fillId="28" borderId="2" xfId="0" applyNumberFormat="1" applyFont="1" applyFill="1" applyBorder="1" applyAlignment="1">
      <alignment horizontal="center"/>
    </xf>
    <xf numFmtId="44" fontId="26" fillId="0" borderId="2" xfId="0" quotePrefix="1" applyNumberFormat="1" applyFont="1" applyBorder="1" applyAlignment="1">
      <alignment horizontal="center"/>
    </xf>
    <xf numFmtId="0" fontId="62" fillId="0" borderId="5" xfId="0" applyFont="1" applyBorder="1" applyAlignment="1">
      <alignment horizontal="left"/>
    </xf>
    <xf numFmtId="164" fontId="5" fillId="0" borderId="5" xfId="0" applyNumberFormat="1" applyFont="1" applyBorder="1" applyAlignment="1">
      <alignment horizontal="center"/>
    </xf>
    <xf numFmtId="44" fontId="26" fillId="0" borderId="5" xfId="0" applyNumberFormat="1" applyFont="1" applyBorder="1" applyAlignment="1">
      <alignment horizontal="center"/>
    </xf>
    <xf numFmtId="0" fontId="74" fillId="0" borderId="2" xfId="0" quotePrefix="1" applyFont="1" applyBorder="1" applyAlignment="1">
      <alignment horizontal="center"/>
    </xf>
    <xf numFmtId="0" fontId="46" fillId="0" borderId="5" xfId="603" applyFont="1" applyBorder="1" applyAlignment="1">
      <alignment horizontal="left"/>
    </xf>
    <xf numFmtId="17" fontId="49" fillId="0" borderId="2" xfId="0" quotePrefix="1" applyNumberFormat="1" applyFont="1" applyBorder="1" applyAlignment="1">
      <alignment horizontal="left"/>
    </xf>
    <xf numFmtId="0" fontId="46" fillId="0" borderId="22" xfId="0" applyFont="1" applyBorder="1" applyAlignment="1">
      <alignment horizontal="left"/>
    </xf>
    <xf numFmtId="44" fontId="46" fillId="0" borderId="5" xfId="11" applyFont="1" applyFill="1" applyBorder="1" applyAlignment="1">
      <alignment horizontal="right"/>
    </xf>
    <xf numFmtId="0" fontId="5" fillId="35" borderId="2" xfId="0" applyFont="1" applyFill="1" applyBorder="1" applyAlignment="1">
      <alignment horizontal="center"/>
    </xf>
    <xf numFmtId="1" fontId="11" fillId="0" borderId="2" xfId="0" applyNumberFormat="1" applyFont="1" applyBorder="1" applyAlignment="1">
      <alignment horizontal="center"/>
    </xf>
    <xf numFmtId="1" fontId="103" fillId="0" borderId="2" xfId="0" applyNumberFormat="1" applyFont="1" applyBorder="1" applyAlignment="1">
      <alignment horizontal="center"/>
    </xf>
    <xf numFmtId="44" fontId="74" fillId="8" borderId="2" xfId="0" applyNumberFormat="1" applyFont="1" applyFill="1" applyBorder="1"/>
    <xf numFmtId="44" fontId="46" fillId="8" borderId="2" xfId="0" applyNumberFormat="1" applyFont="1" applyFill="1" applyBorder="1"/>
    <xf numFmtId="44" fontId="74" fillId="8" borderId="2" xfId="0" applyNumberFormat="1" applyFont="1" applyFill="1" applyBorder="1" applyAlignment="1">
      <alignment horizontal="center"/>
    </xf>
    <xf numFmtId="44" fontId="46" fillId="8" borderId="2" xfId="0" applyNumberFormat="1" applyFont="1" applyFill="1" applyBorder="1" applyAlignment="1">
      <alignment horizontal="center"/>
    </xf>
    <xf numFmtId="9" fontId="5" fillId="0" borderId="5" xfId="0" applyNumberFormat="1" applyFont="1" applyBorder="1" applyAlignment="1">
      <alignment horizontal="center"/>
    </xf>
    <xf numFmtId="0" fontId="26" fillId="0" borderId="5" xfId="221" applyFont="1" applyFill="1" applyAlignment="1">
      <alignment horizontal="left"/>
    </xf>
    <xf numFmtId="0" fontId="5" fillId="0" borderId="5" xfId="221" applyFont="1" applyFill="1" applyAlignment="1">
      <alignment horizontal="left"/>
    </xf>
    <xf numFmtId="0" fontId="22" fillId="0" borderId="5" xfId="221" applyFont="1" applyFill="1" applyAlignment="1">
      <alignment horizontal="left"/>
    </xf>
    <xf numFmtId="0" fontId="22" fillId="0" borderId="5" xfId="221" applyFont="1" applyFill="1" applyAlignment="1">
      <alignment horizontal="center"/>
    </xf>
    <xf numFmtId="1" fontId="50" fillId="0" borderId="2" xfId="0" applyNumberFormat="1" applyFont="1" applyBorder="1" applyAlignment="1">
      <alignment horizontal="center"/>
    </xf>
    <xf numFmtId="16" fontId="26" fillId="0" borderId="0" xfId="0" quotePrefix="1" applyNumberFormat="1" applyFont="1" applyAlignment="1">
      <alignment horizontal="center"/>
    </xf>
    <xf numFmtId="44" fontId="65" fillId="0" borderId="2" xfId="604" applyFont="1" applyFill="1" applyBorder="1" applyAlignment="1"/>
    <xf numFmtId="44" fontId="65" fillId="0" borderId="2" xfId="604" applyFont="1" applyFill="1" applyBorder="1" applyAlignment="1">
      <alignment horizontal="center"/>
    </xf>
    <xf numFmtId="9" fontId="65" fillId="0" borderId="2" xfId="604" applyNumberFormat="1" applyFont="1" applyFill="1" applyBorder="1" applyAlignment="1">
      <alignment horizontal="center"/>
    </xf>
    <xf numFmtId="2" fontId="95" fillId="0" borderId="2" xfId="10" applyNumberFormat="1" applyFont="1" applyBorder="1" applyAlignment="1">
      <alignment horizontal="right"/>
    </xf>
    <xf numFmtId="43" fontId="5" fillId="0" borderId="2" xfId="0" applyNumberFormat="1" applyFont="1" applyBorder="1" applyAlignment="1">
      <alignment horizontal="center"/>
    </xf>
    <xf numFmtId="43" fontId="36" fillId="0" borderId="2" xfId="0" applyNumberFormat="1" applyFont="1" applyBorder="1" applyAlignment="1">
      <alignment horizontal="center"/>
    </xf>
    <xf numFmtId="43" fontId="37" fillId="0" borderId="2" xfId="0" applyNumberFormat="1" applyFont="1" applyBorder="1" applyAlignment="1">
      <alignment horizontal="center"/>
    </xf>
    <xf numFmtId="44" fontId="12" fillId="43" borderId="5" xfId="0" applyNumberFormat="1" applyFont="1" applyFill="1" applyBorder="1"/>
    <xf numFmtId="2" fontId="26" fillId="35" borderId="2" xfId="10" applyNumberFormat="1" applyFont="1" applyFill="1" applyBorder="1" applyAlignment="1">
      <alignment horizontal="center"/>
    </xf>
    <xf numFmtId="1" fontId="26" fillId="35" borderId="2" xfId="10" applyNumberFormat="1" applyFont="1" applyFill="1" applyBorder="1" applyAlignment="1">
      <alignment horizontal="center"/>
    </xf>
    <xf numFmtId="44" fontId="26" fillId="35" borderId="2" xfId="11" applyFont="1" applyFill="1" applyBorder="1" applyAlignment="1">
      <alignment horizontal="center"/>
    </xf>
    <xf numFmtId="0" fontId="67" fillId="15" borderId="2" xfId="9" applyFont="1" applyFill="1" applyBorder="1" applyAlignment="1">
      <alignment horizontal="center"/>
    </xf>
    <xf numFmtId="2" fontId="51" fillId="0" borderId="2" xfId="0" applyNumberFormat="1" applyFont="1" applyBorder="1" applyAlignment="1">
      <alignment horizontal="center"/>
    </xf>
    <xf numFmtId="44" fontId="11" fillId="35" borderId="2" xfId="0" applyNumberFormat="1" applyFont="1" applyFill="1" applyBorder="1" applyAlignment="1">
      <alignment horizontal="center"/>
    </xf>
    <xf numFmtId="9" fontId="26" fillId="0" borderId="0" xfId="0" applyNumberFormat="1" applyFont="1"/>
    <xf numFmtId="9" fontId="37" fillId="0" borderId="0" xfId="0" applyNumberFormat="1" applyFont="1"/>
    <xf numFmtId="9" fontId="37" fillId="0" borderId="2" xfId="0" applyNumberFormat="1" applyFont="1" applyBorder="1"/>
    <xf numFmtId="9" fontId="46" fillId="0" borderId="2" xfId="0" applyNumberFormat="1" applyFont="1" applyBorder="1"/>
    <xf numFmtId="9" fontId="5" fillId="0" borderId="2" xfId="0" applyNumberFormat="1" applyFont="1" applyBorder="1"/>
    <xf numFmtId="9" fontId="41" fillId="0" borderId="2" xfId="0" applyNumberFormat="1" applyFont="1" applyBorder="1" applyAlignment="1">
      <alignment horizontal="center"/>
    </xf>
    <xf numFmtId="9" fontId="26" fillId="0" borderId="2" xfId="0" applyNumberFormat="1" applyFont="1" applyBorder="1"/>
    <xf numFmtId="9" fontId="46" fillId="0" borderId="0" xfId="0" applyNumberFormat="1" applyFont="1"/>
    <xf numFmtId="9" fontId="49" fillId="0" borderId="2" xfId="0" applyNumberFormat="1" applyFont="1" applyBorder="1" applyAlignment="1">
      <alignment horizontal="center"/>
    </xf>
    <xf numFmtId="9" fontId="36" fillId="0" borderId="2" xfId="0" applyNumberFormat="1" applyFont="1" applyBorder="1"/>
    <xf numFmtId="9" fontId="49" fillId="0" borderId="2" xfId="0" applyNumberFormat="1" applyFont="1" applyBorder="1"/>
    <xf numFmtId="9" fontId="74" fillId="0" borderId="2" xfId="0" applyNumberFormat="1" applyFont="1" applyBorder="1"/>
    <xf numFmtId="9" fontId="5" fillId="0" borderId="0" xfId="0" applyNumberFormat="1" applyFont="1"/>
    <xf numFmtId="9" fontId="45" fillId="0" borderId="2" xfId="0" applyNumberFormat="1" applyFont="1" applyBorder="1"/>
    <xf numFmtId="9" fontId="49" fillId="0" borderId="0" xfId="0" applyNumberFormat="1" applyFont="1" applyAlignment="1">
      <alignment horizontal="center"/>
    </xf>
    <xf numFmtId="9" fontId="22" fillId="0" borderId="2" xfId="0" applyNumberFormat="1" applyFont="1" applyBorder="1"/>
    <xf numFmtId="9" fontId="22" fillId="0" borderId="2" xfId="0" applyNumberFormat="1" applyFont="1" applyBorder="1" applyAlignment="1">
      <alignment horizontal="center"/>
    </xf>
    <xf numFmtId="9" fontId="40" fillId="0" borderId="2" xfId="0" applyNumberFormat="1" applyFont="1" applyBorder="1" applyAlignment="1">
      <alignment horizontal="center"/>
    </xf>
    <xf numFmtId="9" fontId="95" fillId="0" borderId="2" xfId="0" applyNumberFormat="1" applyFont="1" applyBorder="1"/>
    <xf numFmtId="9" fontId="37" fillId="14" borderId="2" xfId="0" applyNumberFormat="1" applyFont="1" applyFill="1" applyBorder="1"/>
    <xf numFmtId="9" fontId="37" fillId="0" borderId="2" xfId="9" applyNumberFormat="1" applyFont="1" applyFill="1" applyBorder="1" applyAlignment="1"/>
    <xf numFmtId="9" fontId="45" fillId="15" borderId="2" xfId="0" applyNumberFormat="1" applyFont="1" applyFill="1" applyBorder="1"/>
    <xf numFmtId="9" fontId="11" fillId="0" borderId="2" xfId="0" applyNumberFormat="1" applyFont="1" applyBorder="1"/>
    <xf numFmtId="9" fontId="65" fillId="0" borderId="2" xfId="0" applyNumberFormat="1" applyFont="1" applyBorder="1"/>
    <xf numFmtId="9" fontId="5" fillId="0" borderId="5" xfId="0" applyNumberFormat="1" applyFont="1" applyBorder="1"/>
    <xf numFmtId="9" fontId="70" fillId="28" borderId="2" xfId="0" applyNumberFormat="1" applyFont="1" applyFill="1" applyBorder="1"/>
    <xf numFmtId="9" fontId="23" fillId="0" borderId="2" xfId="0" applyNumberFormat="1" applyFont="1" applyBorder="1" applyAlignment="1">
      <alignment horizontal="center"/>
    </xf>
    <xf numFmtId="9" fontId="67" fillId="15" borderId="2" xfId="0" applyNumberFormat="1" applyFont="1" applyFill="1" applyBorder="1"/>
    <xf numFmtId="44" fontId="5" fillId="0" borderId="2" xfId="11" applyFont="1" applyBorder="1"/>
    <xf numFmtId="0" fontId="26" fillId="8" borderId="0" xfId="0" applyFont="1" applyFill="1" applyAlignment="1">
      <alignment horizontal="center"/>
    </xf>
    <xf numFmtId="0" fontId="74" fillId="11" borderId="0" xfId="0" applyFont="1" applyFill="1" applyAlignment="1">
      <alignment horizontal="center"/>
    </xf>
    <xf numFmtId="0" fontId="74" fillId="0" borderId="2" xfId="603" applyFont="1" applyAlignment="1">
      <alignment horizontal="center"/>
    </xf>
    <xf numFmtId="44" fontId="74" fillId="8" borderId="2" xfId="11" applyFont="1" applyFill="1" applyBorder="1" applyAlignment="1"/>
    <xf numFmtId="44" fontId="5" fillId="8" borderId="2" xfId="11" applyFont="1" applyFill="1" applyBorder="1" applyAlignment="1"/>
    <xf numFmtId="0" fontId="74" fillId="8" borderId="0" xfId="0" applyFont="1" applyFill="1" applyAlignment="1">
      <alignment horizontal="center"/>
    </xf>
    <xf numFmtId="0" fontId="74" fillId="0" borderId="2" xfId="221" applyFont="1" applyFill="1" applyBorder="1"/>
    <xf numFmtId="164" fontId="5" fillId="0" borderId="2" xfId="11" applyNumberFormat="1" applyFont="1" applyFill="1" applyBorder="1" applyAlignment="1">
      <alignment horizontal="center"/>
    </xf>
    <xf numFmtId="0" fontId="5" fillId="0" borderId="2" xfId="0" quotePrefix="1" applyFont="1" applyBorder="1" applyAlignment="1">
      <alignment horizontal="left"/>
    </xf>
    <xf numFmtId="44" fontId="5" fillId="0" borderId="2" xfId="0" applyNumberFormat="1" applyFont="1" applyBorder="1" applyAlignment="1">
      <alignment horizontal="right"/>
    </xf>
    <xf numFmtId="44" fontId="5" fillId="8" borderId="2" xfId="11" applyFont="1" applyFill="1" applyBorder="1"/>
    <xf numFmtId="0" fontId="5" fillId="19" borderId="5" xfId="0" applyFont="1" applyFill="1" applyBorder="1" applyAlignment="1">
      <alignment horizontal="center"/>
    </xf>
    <xf numFmtId="44" fontId="5" fillId="8" borderId="2" xfId="0" applyNumberFormat="1" applyFont="1" applyFill="1" applyBorder="1" applyAlignment="1">
      <alignment horizontal="center"/>
    </xf>
    <xf numFmtId="44" fontId="74" fillId="30" borderId="2" xfId="11" applyFont="1" applyFill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11" fillId="25" borderId="2" xfId="0" applyFont="1" applyFill="1" applyBorder="1" applyAlignment="1">
      <alignment horizontal="center"/>
    </xf>
    <xf numFmtId="0" fontId="11" fillId="13" borderId="2" xfId="221" applyFont="1" applyFill="1" applyBorder="1"/>
    <xf numFmtId="0" fontId="5" fillId="14" borderId="2" xfId="221" applyFont="1" applyFill="1" applyBorder="1" applyAlignment="1">
      <alignment horizontal="left"/>
    </xf>
    <xf numFmtId="0" fontId="11" fillId="14" borderId="2" xfId="0" applyFont="1" applyFill="1" applyBorder="1"/>
    <xf numFmtId="0" fontId="11" fillId="14" borderId="2" xfId="221" applyFont="1" applyFill="1" applyBorder="1" applyAlignment="1">
      <alignment horizontal="center"/>
    </xf>
    <xf numFmtId="0" fontId="11" fillId="13" borderId="2" xfId="221" applyFont="1" applyFill="1" applyBorder="1" applyAlignment="1">
      <alignment horizontal="center"/>
    </xf>
    <xf numFmtId="164" fontId="5" fillId="14" borderId="2" xfId="0" applyNumberFormat="1" applyFont="1" applyFill="1" applyBorder="1" applyAlignment="1">
      <alignment horizontal="center"/>
    </xf>
    <xf numFmtId="0" fontId="5" fillId="14" borderId="2" xfId="0" applyFont="1" applyFill="1" applyBorder="1" applyAlignment="1">
      <alignment horizontal="center"/>
    </xf>
    <xf numFmtId="170" fontId="11" fillId="34" borderId="2" xfId="222" applyNumberFormat="1" applyFont="1" applyFill="1" applyBorder="1"/>
    <xf numFmtId="44" fontId="51" fillId="8" borderId="2" xfId="11" applyFont="1" applyFill="1" applyBorder="1" applyAlignment="1">
      <alignment horizontal="right"/>
    </xf>
    <xf numFmtId="44" fontId="51" fillId="0" borderId="2" xfId="11" applyFont="1" applyFill="1" applyBorder="1" applyAlignment="1">
      <alignment horizontal="right"/>
    </xf>
    <xf numFmtId="44" fontId="51" fillId="0" borderId="2" xfId="11" applyFont="1" applyFill="1" applyBorder="1" applyAlignment="1">
      <alignment horizontal="center"/>
    </xf>
    <xf numFmtId="44" fontId="51" fillId="0" borderId="2" xfId="11" applyFont="1" applyFill="1" applyBorder="1" applyAlignment="1"/>
    <xf numFmtId="170" fontId="11" fillId="8" borderId="2" xfId="222" applyNumberFormat="1" applyFont="1" applyFill="1" applyBorder="1"/>
    <xf numFmtId="0" fontId="11" fillId="46" borderId="2" xfId="0" applyFont="1" applyFill="1" applyBorder="1" applyAlignment="1">
      <alignment horizontal="center"/>
    </xf>
    <xf numFmtId="0" fontId="74" fillId="35" borderId="0" xfId="0" applyFont="1" applyFill="1" applyAlignment="1">
      <alignment horizontal="center"/>
    </xf>
    <xf numFmtId="164" fontId="5" fillId="0" borderId="2" xfId="0" quotePrefix="1" applyNumberFormat="1" applyFont="1" applyBorder="1" applyAlignment="1">
      <alignment horizontal="center"/>
    </xf>
    <xf numFmtId="0" fontId="45" fillId="0" borderId="5" xfId="221" applyFont="1" applyFill="1"/>
    <xf numFmtId="16" fontId="35" fillId="0" borderId="0" xfId="0" quotePrefix="1" applyNumberFormat="1" applyFont="1" applyAlignment="1">
      <alignment horizontal="center"/>
    </xf>
    <xf numFmtId="164" fontId="23" fillId="0" borderId="2" xfId="0" applyNumberFormat="1" applyFont="1" applyBorder="1" applyAlignment="1">
      <alignment horizontal="center"/>
    </xf>
    <xf numFmtId="44" fontId="23" fillId="8" borderId="0" xfId="0" applyNumberFormat="1" applyFont="1" applyFill="1" applyAlignment="1">
      <alignment vertical="top"/>
    </xf>
    <xf numFmtId="0" fontId="36" fillId="0" borderId="22" xfId="221" applyFont="1" applyFill="1" applyBorder="1" applyAlignment="1">
      <alignment horizontal="left"/>
    </xf>
    <xf numFmtId="44" fontId="49" fillId="8" borderId="2" xfId="0" applyNumberFormat="1" applyFont="1" applyFill="1" applyBorder="1"/>
    <xf numFmtId="0" fontId="40" fillId="0" borderId="2" xfId="603" applyFont="1" applyAlignment="1">
      <alignment horizontal="left"/>
    </xf>
    <xf numFmtId="2" fontId="45" fillId="14" borderId="0" xfId="0" applyNumberFormat="1" applyFont="1" applyFill="1" applyAlignment="1">
      <alignment horizontal="center"/>
    </xf>
    <xf numFmtId="44" fontId="45" fillId="8" borderId="2" xfId="0" applyNumberFormat="1" applyFont="1" applyFill="1" applyBorder="1"/>
    <xf numFmtId="44" fontId="45" fillId="8" borderId="2" xfId="0" applyNumberFormat="1" applyFont="1" applyFill="1" applyBorder="1" applyAlignment="1">
      <alignment horizontal="center"/>
    </xf>
    <xf numFmtId="0" fontId="63" fillId="8" borderId="0" xfId="0" applyFont="1" applyFill="1" applyAlignment="1">
      <alignment horizontal="center"/>
    </xf>
    <xf numFmtId="0" fontId="45" fillId="36" borderId="0" xfId="0" applyFont="1" applyFill="1" applyAlignment="1">
      <alignment horizontal="center"/>
    </xf>
    <xf numFmtId="0" fontId="37" fillId="36" borderId="0" xfId="0" applyFont="1" applyFill="1"/>
    <xf numFmtId="0" fontId="26" fillId="36" borderId="0" xfId="0" applyFont="1" applyFill="1" applyAlignment="1">
      <alignment horizontal="center"/>
    </xf>
    <xf numFmtId="0" fontId="37" fillId="36" borderId="0" xfId="0" applyFont="1" applyFill="1" applyAlignment="1">
      <alignment horizontal="center"/>
    </xf>
    <xf numFmtId="0" fontId="50" fillId="36" borderId="0" xfId="0" applyFont="1" applyFill="1" applyAlignment="1">
      <alignment horizontal="center"/>
    </xf>
    <xf numFmtId="0" fontId="49" fillId="36" borderId="0" xfId="0" applyFont="1" applyFill="1" applyAlignment="1">
      <alignment horizontal="center"/>
    </xf>
    <xf numFmtId="0" fontId="51" fillId="36" borderId="0" xfId="0" applyFont="1" applyFill="1" applyAlignment="1">
      <alignment horizontal="center"/>
    </xf>
    <xf numFmtId="0" fontId="74" fillId="36" borderId="0" xfId="0" applyFont="1" applyFill="1" applyAlignment="1">
      <alignment horizontal="center"/>
    </xf>
    <xf numFmtId="0" fontId="67" fillId="28" borderId="2" xfId="221" applyFont="1" applyFill="1" applyBorder="1" applyAlignment="1">
      <alignment horizontal="left"/>
    </xf>
    <xf numFmtId="0" fontId="53" fillId="0" borderId="0" xfId="0" applyFont="1" applyAlignment="1">
      <alignment horizontal="center"/>
    </xf>
    <xf numFmtId="0" fontId="67" fillId="0" borderId="0" xfId="0" applyFont="1" applyAlignment="1">
      <alignment horizontal="center"/>
    </xf>
    <xf numFmtId="0" fontId="107" fillId="0" borderId="0" xfId="0" applyFont="1" applyAlignment="1">
      <alignment horizontal="center"/>
    </xf>
    <xf numFmtId="171" fontId="65" fillId="0" borderId="0" xfId="11" applyNumberFormat="1" applyFont="1" applyFill="1" applyAlignment="1"/>
    <xf numFmtId="44" fontId="65" fillId="0" borderId="2" xfId="11" applyFont="1" applyFill="1" applyBorder="1" applyAlignment="1">
      <alignment horizontal="right"/>
    </xf>
    <xf numFmtId="44" fontId="26" fillId="0" borderId="2" xfId="11" applyFont="1" applyFill="1" applyBorder="1"/>
    <xf numFmtId="44" fontId="11" fillId="34" borderId="2" xfId="0" applyNumberFormat="1" applyFont="1" applyFill="1" applyBorder="1"/>
    <xf numFmtId="0" fontId="101" fillId="35" borderId="2" xfId="0" applyFont="1" applyFill="1" applyBorder="1" applyAlignment="1">
      <alignment horizontal="center"/>
    </xf>
    <xf numFmtId="43" fontId="26" fillId="0" borderId="2" xfId="0" applyNumberFormat="1" applyFont="1" applyBorder="1"/>
    <xf numFmtId="43" fontId="65" fillId="0" borderId="2" xfId="10" applyFont="1" applyFill="1" applyBorder="1" applyAlignment="1"/>
    <xf numFmtId="168" fontId="65" fillId="0" borderId="2" xfId="10" applyNumberFormat="1" applyFont="1" applyFill="1" applyBorder="1" applyAlignment="1">
      <alignment horizontal="center"/>
    </xf>
    <xf numFmtId="171" fontId="65" fillId="0" borderId="2" xfId="11" applyNumberFormat="1" applyFont="1" applyFill="1" applyBorder="1" applyAlignment="1">
      <alignment horizontal="center"/>
    </xf>
    <xf numFmtId="44" fontId="65" fillId="0" borderId="2" xfId="11" applyFont="1" applyFill="1" applyBorder="1" applyAlignment="1"/>
    <xf numFmtId="44" fontId="26" fillId="8" borderId="2" xfId="0" applyNumberFormat="1" applyFont="1" applyFill="1" applyBorder="1"/>
    <xf numFmtId="43" fontId="26" fillId="0" borderId="2" xfId="0" applyNumberFormat="1" applyFont="1" applyBorder="1" applyAlignment="1">
      <alignment horizontal="center"/>
    </xf>
    <xf numFmtId="0" fontId="49" fillId="7" borderId="0" xfId="0" applyFont="1" applyFill="1" applyAlignment="1">
      <alignment horizontal="center"/>
    </xf>
    <xf numFmtId="16" fontId="37" fillId="0" borderId="2" xfId="0" quotePrefix="1" applyNumberFormat="1" applyFont="1" applyBorder="1" applyAlignment="1">
      <alignment horizontal="left"/>
    </xf>
    <xf numFmtId="0" fontId="106" fillId="0" borderId="2" xfId="0" applyFont="1" applyBorder="1"/>
    <xf numFmtId="0" fontId="37" fillId="39" borderId="2" xfId="0" applyFont="1" applyFill="1" applyBorder="1" applyAlignment="1">
      <alignment horizontal="center"/>
    </xf>
    <xf numFmtId="0" fontId="36" fillId="8" borderId="2" xfId="0" applyFont="1" applyFill="1" applyBorder="1" applyAlignment="1">
      <alignment horizontal="center"/>
    </xf>
    <xf numFmtId="1" fontId="64" fillId="0" borderId="2" xfId="0" applyNumberFormat="1" applyFont="1" applyBorder="1" applyAlignment="1">
      <alignment horizontal="center"/>
    </xf>
    <xf numFmtId="2" fontId="64" fillId="0" borderId="2" xfId="0" applyNumberFormat="1" applyFont="1" applyBorder="1" applyAlignment="1">
      <alignment horizontal="center"/>
    </xf>
    <xf numFmtId="2" fontId="67" fillId="15" borderId="2" xfId="0" applyNumberFormat="1" applyFont="1" applyFill="1" applyBorder="1" applyAlignment="1">
      <alignment horizontal="center"/>
    </xf>
    <xf numFmtId="2" fontId="45" fillId="15" borderId="2" xfId="0" applyNumberFormat="1" applyFont="1" applyFill="1" applyBorder="1" applyAlignment="1">
      <alignment horizontal="center"/>
    </xf>
    <xf numFmtId="44" fontId="22" fillId="35" borderId="2" xfId="0" applyNumberFormat="1" applyFont="1" applyFill="1" applyBorder="1" applyAlignment="1">
      <alignment horizontal="center"/>
    </xf>
    <xf numFmtId="44" fontId="65" fillId="0" borderId="2" xfId="0" applyNumberFormat="1" applyFont="1" applyBorder="1"/>
    <xf numFmtId="9" fontId="65" fillId="0" borderId="2" xfId="0" applyNumberFormat="1" applyFont="1" applyBorder="1" applyAlignment="1">
      <alignment horizontal="center"/>
    </xf>
    <xf numFmtId="9" fontId="49" fillId="8" borderId="2" xfId="0" applyNumberFormat="1" applyFont="1" applyFill="1" applyBorder="1"/>
    <xf numFmtId="9" fontId="5" fillId="0" borderId="2" xfId="0" quotePrefix="1" applyNumberFormat="1" applyFont="1" applyBorder="1"/>
    <xf numFmtId="9" fontId="23" fillId="8" borderId="2" xfId="0" applyNumberFormat="1" applyFont="1" applyFill="1" applyBorder="1" applyAlignment="1">
      <alignment horizontal="center"/>
    </xf>
    <xf numFmtId="9" fontId="45" fillId="14" borderId="2" xfId="0" applyNumberFormat="1" applyFont="1" applyFill="1" applyBorder="1"/>
    <xf numFmtId="0" fontId="26" fillId="0" borderId="32" xfId="0" applyFont="1" applyBorder="1" applyAlignment="1">
      <alignment horizontal="left"/>
    </xf>
    <xf numFmtId="44" fontId="40" fillId="0" borderId="2" xfId="11" applyFont="1" applyFill="1" applyBorder="1" applyAlignment="1">
      <alignment horizontal="center"/>
    </xf>
    <xf numFmtId="9" fontId="49" fillId="0" borderId="2" xfId="9" applyNumberFormat="1" applyFont="1" applyFill="1" applyBorder="1" applyAlignment="1"/>
    <xf numFmtId="9" fontId="5" fillId="0" borderId="2" xfId="9" applyNumberFormat="1" applyFont="1" applyFill="1" applyBorder="1" applyAlignment="1">
      <alignment horizontal="center"/>
    </xf>
    <xf numFmtId="9" fontId="49" fillId="0" borderId="2" xfId="9" applyNumberFormat="1" applyFont="1" applyFill="1" applyBorder="1" applyAlignment="1">
      <alignment horizontal="center"/>
    </xf>
    <xf numFmtId="44" fontId="65" fillId="0" borderId="2" xfId="11" applyFont="1" applyFill="1" applyBorder="1" applyAlignment="1">
      <alignment horizontal="center"/>
    </xf>
    <xf numFmtId="16" fontId="37" fillId="0" borderId="2" xfId="0" quotePrefix="1" applyNumberFormat="1" applyFont="1" applyBorder="1" applyAlignment="1">
      <alignment horizontal="center"/>
    </xf>
    <xf numFmtId="0" fontId="22" fillId="40" borderId="2" xfId="0" applyFont="1" applyFill="1" applyBorder="1" applyAlignment="1">
      <alignment horizontal="left"/>
    </xf>
    <xf numFmtId="0" fontId="26" fillId="0" borderId="5" xfId="0" applyFont="1" applyBorder="1" applyAlignment="1">
      <alignment horizontal="left" vertical="center"/>
    </xf>
    <xf numFmtId="0" fontId="108" fillId="0" borderId="2" xfId="0" applyFont="1" applyBorder="1"/>
    <xf numFmtId="0" fontId="37" fillId="0" borderId="32" xfId="0" applyFont="1" applyBorder="1" applyAlignment="1">
      <alignment horizontal="left"/>
    </xf>
    <xf numFmtId="0" fontId="26" fillId="8" borderId="2" xfId="0" applyFont="1" applyFill="1" applyBorder="1"/>
    <xf numFmtId="0" fontId="23" fillId="0" borderId="5" xfId="0" applyFont="1" applyBorder="1" applyAlignment="1">
      <alignment horizontal="center"/>
    </xf>
    <xf numFmtId="0" fontId="22" fillId="0" borderId="6" xfId="221" applyFont="1" applyFill="1" applyBorder="1" applyAlignment="1">
      <alignment horizontal="center"/>
    </xf>
    <xf numFmtId="0" fontId="23" fillId="8" borderId="2" xfId="221" applyFont="1" applyFill="1" applyBorder="1" applyAlignment="1">
      <alignment horizontal="center"/>
    </xf>
    <xf numFmtId="0" fontId="94" fillId="35" borderId="5" xfId="0" applyFont="1" applyFill="1" applyBorder="1" applyAlignment="1">
      <alignment horizontal="center"/>
    </xf>
    <xf numFmtId="44" fontId="65" fillId="8" borderId="2" xfId="604" applyFont="1" applyFill="1" applyBorder="1" applyAlignment="1">
      <alignment horizontal="right"/>
    </xf>
    <xf numFmtId="1" fontId="69" fillId="15" borderId="2" xfId="0" applyNumberFormat="1" applyFont="1" applyFill="1" applyBorder="1" applyAlignment="1">
      <alignment horizontal="center"/>
    </xf>
    <xf numFmtId="1" fontId="95" fillId="0" borderId="2" xfId="0" applyNumberFormat="1" applyFont="1" applyBorder="1" applyAlignment="1">
      <alignment horizontal="center"/>
    </xf>
    <xf numFmtId="1" fontId="77" fillId="0" borderId="2" xfId="0" applyNumberFormat="1" applyFont="1" applyBorder="1" applyAlignment="1">
      <alignment horizontal="center"/>
    </xf>
    <xf numFmtId="2" fontId="41" fillId="0" borderId="2" xfId="0" applyNumberFormat="1" applyFont="1" applyBorder="1" applyAlignment="1">
      <alignment horizontal="center"/>
    </xf>
    <xf numFmtId="2" fontId="69" fillId="15" borderId="2" xfId="0" applyNumberFormat="1" applyFont="1" applyFill="1" applyBorder="1" applyAlignment="1">
      <alignment horizontal="center"/>
    </xf>
    <xf numFmtId="2" fontId="50" fillId="0" borderId="2" xfId="0" applyNumberFormat="1" applyFont="1" applyBorder="1" applyAlignment="1">
      <alignment horizontal="center"/>
    </xf>
    <xf numFmtId="43" fontId="36" fillId="0" borderId="2" xfId="0" applyNumberFormat="1" applyFont="1" applyBorder="1"/>
    <xf numFmtId="9" fontId="65" fillId="15" borderId="2" xfId="0" applyNumberFormat="1" applyFont="1" applyFill="1" applyBorder="1"/>
    <xf numFmtId="9" fontId="41" fillId="0" borderId="2" xfId="0" applyNumberFormat="1" applyFont="1" applyBorder="1"/>
    <xf numFmtId="9" fontId="50" fillId="0" borderId="2" xfId="0" applyNumberFormat="1" applyFont="1" applyBorder="1" applyAlignment="1">
      <alignment horizontal="center"/>
    </xf>
    <xf numFmtId="0" fontId="104" fillId="8" borderId="0" xfId="0" applyFont="1" applyFill="1" applyAlignment="1">
      <alignment horizontal="center"/>
    </xf>
    <xf numFmtId="44" fontId="46" fillId="14" borderId="0" xfId="0" applyNumberFormat="1" applyFont="1" applyFill="1" applyAlignment="1">
      <alignment horizontal="center"/>
    </xf>
    <xf numFmtId="0" fontId="37" fillId="0" borderId="2" xfId="0" quotePrefix="1" applyFont="1" applyBorder="1" applyAlignment="1">
      <alignment horizontal="left"/>
    </xf>
    <xf numFmtId="0" fontId="45" fillId="28" borderId="0" xfId="0" applyFont="1" applyFill="1" applyAlignment="1">
      <alignment horizontal="center"/>
    </xf>
    <xf numFmtId="44" fontId="37" fillId="0" borderId="5" xfId="11" applyFont="1" applyFill="1" applyBorder="1" applyAlignment="1">
      <alignment horizontal="center"/>
    </xf>
    <xf numFmtId="43" fontId="5" fillId="0" borderId="2" xfId="10" applyFont="1" applyFill="1" applyBorder="1" applyAlignment="1">
      <alignment horizontal="center"/>
    </xf>
    <xf numFmtId="171" fontId="5" fillId="0" borderId="0" xfId="11" applyNumberFormat="1" applyFont="1" applyFill="1" applyAlignment="1"/>
    <xf numFmtId="0" fontId="26" fillId="8" borderId="2" xfId="0" quotePrefix="1" applyFont="1" applyFill="1" applyBorder="1" applyAlignment="1">
      <alignment horizontal="center"/>
    </xf>
    <xf numFmtId="0" fontId="26" fillId="8" borderId="2" xfId="0" applyFont="1" applyFill="1" applyBorder="1" applyAlignment="1">
      <alignment horizontal="left"/>
    </xf>
    <xf numFmtId="164" fontId="26" fillId="8" borderId="2" xfId="0" applyNumberFormat="1" applyFont="1" applyFill="1" applyBorder="1" applyAlignment="1">
      <alignment horizontal="center"/>
    </xf>
    <xf numFmtId="2" fontId="37" fillId="8" borderId="2" xfId="0" applyNumberFormat="1" applyFont="1" applyFill="1" applyBorder="1" applyAlignment="1">
      <alignment horizontal="center"/>
    </xf>
    <xf numFmtId="2" fontId="26" fillId="8" borderId="2" xfId="0" applyNumberFormat="1" applyFont="1" applyFill="1" applyBorder="1" applyAlignment="1">
      <alignment horizontal="center"/>
    </xf>
    <xf numFmtId="1" fontId="26" fillId="8" borderId="2" xfId="0" applyNumberFormat="1" applyFont="1" applyFill="1" applyBorder="1" applyAlignment="1">
      <alignment horizontal="center"/>
    </xf>
    <xf numFmtId="2" fontId="46" fillId="8" borderId="2" xfId="10" applyNumberFormat="1" applyFont="1" applyFill="1" applyBorder="1" applyAlignment="1">
      <alignment horizontal="center"/>
    </xf>
    <xf numFmtId="1" fontId="46" fillId="8" borderId="2" xfId="10" applyNumberFormat="1" applyFont="1" applyFill="1" applyBorder="1" applyAlignment="1">
      <alignment horizontal="center"/>
    </xf>
    <xf numFmtId="44" fontId="26" fillId="8" borderId="2" xfId="0" applyNumberFormat="1" applyFont="1" applyFill="1" applyBorder="1" applyAlignment="1">
      <alignment horizontal="center"/>
    </xf>
    <xf numFmtId="44" fontId="26" fillId="8" borderId="2" xfId="11" applyFont="1" applyFill="1" applyBorder="1" applyAlignment="1">
      <alignment horizontal="center"/>
    </xf>
    <xf numFmtId="0" fontId="46" fillId="8" borderId="2" xfId="0" applyFont="1" applyFill="1" applyBorder="1" applyAlignment="1">
      <alignment horizontal="center"/>
    </xf>
    <xf numFmtId="9" fontId="26" fillId="8" borderId="2" xfId="0" applyNumberFormat="1" applyFont="1" applyFill="1" applyBorder="1"/>
    <xf numFmtId="0" fontId="5" fillId="8" borderId="0" xfId="0" applyFont="1" applyFill="1" applyAlignment="1">
      <alignment horizontal="center"/>
    </xf>
    <xf numFmtId="0" fontId="37" fillId="8" borderId="2" xfId="0" applyFont="1" applyFill="1" applyBorder="1" applyAlignment="1">
      <alignment horizontal="left"/>
    </xf>
    <xf numFmtId="0" fontId="37" fillId="8" borderId="2" xfId="0" applyFont="1" applyFill="1" applyBorder="1"/>
    <xf numFmtId="164" fontId="37" fillId="8" borderId="2" xfId="0" applyNumberFormat="1" applyFont="1" applyFill="1" applyBorder="1" applyAlignment="1">
      <alignment horizontal="center"/>
    </xf>
    <xf numFmtId="0" fontId="37" fillId="8" borderId="0" xfId="0" applyFont="1" applyFill="1" applyAlignment="1">
      <alignment horizontal="center"/>
    </xf>
    <xf numFmtId="1" fontId="37" fillId="8" borderId="2" xfId="0" applyNumberFormat="1" applyFont="1" applyFill="1" applyBorder="1" applyAlignment="1">
      <alignment horizontal="center"/>
    </xf>
    <xf numFmtId="2" fontId="45" fillId="8" borderId="2" xfId="10" applyNumberFormat="1" applyFont="1" applyFill="1" applyBorder="1" applyAlignment="1">
      <alignment horizontal="center"/>
    </xf>
    <xf numFmtId="1" fontId="45" fillId="8" borderId="2" xfId="10" applyNumberFormat="1" applyFont="1" applyFill="1" applyBorder="1" applyAlignment="1">
      <alignment horizontal="center"/>
    </xf>
    <xf numFmtId="44" fontId="37" fillId="8" borderId="0" xfId="0" applyNumberFormat="1" applyFont="1" applyFill="1" applyAlignment="1">
      <alignment horizontal="center"/>
    </xf>
    <xf numFmtId="0" fontId="26" fillId="8" borderId="2" xfId="221" applyFont="1" applyFill="1" applyBorder="1" applyAlignment="1">
      <alignment horizontal="left"/>
    </xf>
    <xf numFmtId="164" fontId="26" fillId="8" borderId="2" xfId="221" applyNumberFormat="1" applyFont="1" applyFill="1" applyBorder="1" applyAlignment="1">
      <alignment horizontal="center"/>
    </xf>
    <xf numFmtId="2" fontId="26" fillId="8" borderId="2" xfId="10" applyNumberFormat="1" applyFont="1" applyFill="1" applyBorder="1" applyAlignment="1">
      <alignment horizontal="center"/>
    </xf>
    <xf numFmtId="1" fontId="26" fillId="8" borderId="2" xfId="10" applyNumberFormat="1" applyFont="1" applyFill="1" applyBorder="1" applyAlignment="1">
      <alignment horizontal="center"/>
    </xf>
    <xf numFmtId="44" fontId="26" fillId="8" borderId="0" xfId="0" applyNumberFormat="1" applyFont="1" applyFill="1" applyAlignment="1">
      <alignment horizontal="center"/>
    </xf>
    <xf numFmtId="0" fontId="46" fillId="8" borderId="0" xfId="0" applyFont="1" applyFill="1" applyAlignment="1">
      <alignment horizontal="center"/>
    </xf>
    <xf numFmtId="0" fontId="37" fillId="8" borderId="0" xfId="0" quotePrefix="1" applyFont="1" applyFill="1" applyAlignment="1">
      <alignment horizontal="center"/>
    </xf>
    <xf numFmtId="0" fontId="37" fillId="8" borderId="2" xfId="221" applyFont="1" applyFill="1" applyBorder="1" applyAlignment="1">
      <alignment horizontal="left"/>
    </xf>
    <xf numFmtId="164" fontId="37" fillId="8" borderId="2" xfId="221" applyNumberFormat="1" applyFont="1" applyFill="1" applyBorder="1" applyAlignment="1">
      <alignment horizontal="center"/>
    </xf>
    <xf numFmtId="2" fontId="37" fillId="8" borderId="2" xfId="10" applyNumberFormat="1" applyFont="1" applyFill="1" applyBorder="1" applyAlignment="1">
      <alignment horizontal="center"/>
    </xf>
    <xf numFmtId="1" fontId="37" fillId="8" borderId="2" xfId="10" applyNumberFormat="1" applyFont="1" applyFill="1" applyBorder="1" applyAlignment="1">
      <alignment horizontal="center"/>
    </xf>
    <xf numFmtId="0" fontId="45" fillId="8" borderId="2" xfId="0" applyFont="1" applyFill="1" applyBorder="1" applyAlignment="1">
      <alignment horizontal="center"/>
    </xf>
    <xf numFmtId="0" fontId="26" fillId="8" borderId="2" xfId="0" applyFont="1" applyFill="1" applyBorder="1" applyAlignment="1">
      <alignment horizontal="left" vertical="center"/>
    </xf>
    <xf numFmtId="0" fontId="26" fillId="8" borderId="2" xfId="221" applyFont="1" applyFill="1" applyBorder="1" applyAlignment="1">
      <alignment horizontal="center"/>
    </xf>
    <xf numFmtId="0" fontId="37" fillId="8" borderId="2" xfId="221" applyFont="1" applyFill="1" applyBorder="1" applyAlignment="1">
      <alignment horizontal="center"/>
    </xf>
    <xf numFmtId="0" fontId="26" fillId="0" borderId="5" xfId="221" applyFont="1" applyFill="1"/>
    <xf numFmtId="0" fontId="37" fillId="0" borderId="5" xfId="221" applyFont="1" applyFill="1"/>
    <xf numFmtId="1" fontId="67" fillId="15" borderId="0" xfId="0" applyNumberFormat="1" applyFont="1" applyFill="1" applyAlignment="1">
      <alignment horizontal="center"/>
    </xf>
    <xf numFmtId="1" fontId="68" fillId="15" borderId="0" xfId="0" applyNumberFormat="1" applyFont="1" applyFill="1" applyAlignment="1">
      <alignment horizontal="center"/>
    </xf>
    <xf numFmtId="2" fontId="68" fillId="15" borderId="0" xfId="0" applyNumberFormat="1" applyFont="1" applyFill="1" applyAlignment="1">
      <alignment horizontal="center"/>
    </xf>
    <xf numFmtId="2" fontId="45" fillId="15" borderId="0" xfId="0" applyNumberFormat="1" applyFont="1" applyFill="1" applyAlignment="1">
      <alignment horizontal="center"/>
    </xf>
    <xf numFmtId="44" fontId="65" fillId="15" borderId="0" xfId="0" applyNumberFormat="1" applyFont="1" applyFill="1" applyAlignment="1">
      <alignment horizontal="center"/>
    </xf>
    <xf numFmtId="2" fontId="65" fillId="28" borderId="0" xfId="0" applyNumberFormat="1" applyFont="1" applyFill="1" applyAlignment="1">
      <alignment horizontal="center"/>
    </xf>
    <xf numFmtId="0" fontId="36" fillId="0" borderId="0" xfId="0" applyFont="1"/>
    <xf numFmtId="44" fontId="41" fillId="35" borderId="0" xfId="0" applyNumberFormat="1" applyFont="1" applyFill="1" applyAlignment="1">
      <alignment horizontal="center"/>
    </xf>
    <xf numFmtId="0" fontId="49" fillId="35" borderId="0" xfId="0" applyFont="1" applyFill="1" applyAlignment="1">
      <alignment horizontal="center"/>
    </xf>
    <xf numFmtId="0" fontId="50" fillId="7" borderId="1" xfId="0" applyFont="1" applyFill="1" applyBorder="1" applyAlignment="1">
      <alignment horizontal="center"/>
    </xf>
    <xf numFmtId="0" fontId="36" fillId="0" borderId="22" xfId="0" applyFont="1" applyBorder="1" applyAlignment="1">
      <alignment horizontal="left"/>
    </xf>
    <xf numFmtId="44" fontId="36" fillId="0" borderId="0" xfId="0" applyNumberFormat="1" applyFont="1"/>
    <xf numFmtId="9" fontId="67" fillId="15" borderId="2" xfId="9" applyNumberFormat="1" applyFont="1" applyFill="1" applyBorder="1" applyAlignment="1"/>
    <xf numFmtId="0" fontId="95" fillId="0" borderId="2" xfId="0" quotePrefix="1" applyFont="1" applyBorder="1" applyAlignment="1">
      <alignment horizontal="center"/>
    </xf>
    <xf numFmtId="0" fontId="49" fillId="8" borderId="22" xfId="0" applyFont="1" applyFill="1" applyBorder="1" applyAlignment="1">
      <alignment horizontal="left"/>
    </xf>
    <xf numFmtId="0" fontId="45" fillId="0" borderId="22" xfId="221" applyFont="1" applyFill="1" applyBorder="1" applyAlignment="1">
      <alignment horizontal="left"/>
    </xf>
    <xf numFmtId="0" fontId="46" fillId="0" borderId="22" xfId="221" applyFont="1" applyFill="1" applyBorder="1"/>
    <xf numFmtId="0" fontId="49" fillId="0" borderId="22" xfId="0" applyFont="1" applyBorder="1" applyAlignment="1">
      <alignment horizontal="left"/>
    </xf>
    <xf numFmtId="0" fontId="23" fillId="0" borderId="22" xfId="221" applyFont="1" applyFill="1" applyBorder="1" applyAlignment="1">
      <alignment horizontal="left"/>
    </xf>
    <xf numFmtId="0" fontId="46" fillId="0" borderId="32" xfId="0" applyFont="1" applyBorder="1" applyAlignment="1">
      <alignment horizontal="left"/>
    </xf>
    <xf numFmtId="0" fontId="108" fillId="0" borderId="32" xfId="0" applyFont="1" applyBorder="1"/>
    <xf numFmtId="0" fontId="96" fillId="0" borderId="5" xfId="0" applyFont="1" applyBorder="1" applyAlignment="1">
      <alignment horizontal="left"/>
    </xf>
    <xf numFmtId="0" fontId="62" fillId="0" borderId="5" xfId="0" applyFont="1" applyBorder="1" applyAlignment="1">
      <alignment horizontal="center"/>
    </xf>
    <xf numFmtId="0" fontId="11" fillId="0" borderId="5" xfId="0" applyFont="1" applyBorder="1" applyAlignment="1">
      <alignment horizontal="center"/>
    </xf>
    <xf numFmtId="0" fontId="96" fillId="0" borderId="5" xfId="0" applyFont="1" applyBorder="1" applyAlignment="1">
      <alignment horizontal="center"/>
    </xf>
    <xf numFmtId="44" fontId="23" fillId="6" borderId="5" xfId="11" applyFont="1" applyFill="1" applyBorder="1"/>
    <xf numFmtId="44" fontId="23" fillId="8" borderId="5" xfId="11" applyFont="1" applyFill="1" applyBorder="1"/>
    <xf numFmtId="44" fontId="36" fillId="8" borderId="5" xfId="11" applyFont="1" applyFill="1" applyBorder="1" applyAlignment="1">
      <alignment horizontal="right"/>
    </xf>
    <xf numFmtId="44" fontId="23" fillId="33" borderId="2" xfId="11" applyFont="1" applyFill="1" applyBorder="1"/>
    <xf numFmtId="1" fontId="5" fillId="0" borderId="5" xfId="0" applyNumberFormat="1" applyFont="1" applyBorder="1" applyAlignment="1">
      <alignment horizontal="center"/>
    </xf>
    <xf numFmtId="1" fontId="63" fillId="0" borderId="2" xfId="0" applyNumberFormat="1" applyFont="1" applyBorder="1" applyAlignment="1">
      <alignment horizontal="center"/>
    </xf>
    <xf numFmtId="2" fontId="5" fillId="0" borderId="5" xfId="0" applyNumberFormat="1" applyFont="1" applyBorder="1" applyAlignment="1">
      <alignment horizontal="center"/>
    </xf>
    <xf numFmtId="2" fontId="12" fillId="0" borderId="2" xfId="0" applyNumberFormat="1" applyFont="1" applyBorder="1" applyAlignment="1">
      <alignment horizontal="center"/>
    </xf>
    <xf numFmtId="2" fontId="5" fillId="0" borderId="5" xfId="10" applyNumberFormat="1" applyFont="1" applyFill="1" applyBorder="1" applyAlignment="1">
      <alignment horizontal="center"/>
    </xf>
    <xf numFmtId="1" fontId="5" fillId="0" borderId="5" xfId="10" applyNumberFormat="1" applyFont="1" applyFill="1" applyBorder="1" applyAlignment="1">
      <alignment horizontal="center"/>
    </xf>
    <xf numFmtId="44" fontId="95" fillId="0" borderId="2" xfId="11" applyFont="1" applyBorder="1" applyAlignment="1">
      <alignment horizontal="center"/>
    </xf>
    <xf numFmtId="9" fontId="37" fillId="28" borderId="2" xfId="0" applyNumberFormat="1" applyFont="1" applyFill="1" applyBorder="1"/>
    <xf numFmtId="9" fontId="26" fillId="10" borderId="2" xfId="0" applyNumberFormat="1" applyFont="1" applyFill="1" applyBorder="1"/>
    <xf numFmtId="9" fontId="64" fillId="0" borderId="2" xfId="0" applyNumberFormat="1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44" fontId="36" fillId="0" borderId="5" xfId="11" applyFont="1" applyFill="1" applyBorder="1" applyAlignment="1">
      <alignment horizontal="right"/>
    </xf>
    <xf numFmtId="0" fontId="36" fillId="0" borderId="6" xfId="0" applyFont="1" applyBorder="1" applyAlignment="1">
      <alignment horizontal="center"/>
    </xf>
    <xf numFmtId="0" fontId="12" fillId="0" borderId="0" xfId="0" applyFont="1"/>
    <xf numFmtId="0" fontId="109" fillId="0" borderId="2" xfId="0" applyFont="1" applyBorder="1"/>
    <xf numFmtId="0" fontId="5" fillId="25" borderId="2" xfId="0" applyFont="1" applyFill="1" applyBorder="1" applyAlignment="1">
      <alignment horizontal="left"/>
    </xf>
    <xf numFmtId="0" fontId="5" fillId="25" borderId="2" xfId="221" applyFont="1" applyFill="1" applyBorder="1" applyAlignment="1">
      <alignment horizontal="left"/>
    </xf>
    <xf numFmtId="164" fontId="5" fillId="25" borderId="2" xfId="0" applyNumberFormat="1" applyFont="1" applyFill="1" applyBorder="1" applyAlignment="1">
      <alignment horizontal="center"/>
    </xf>
    <xf numFmtId="44" fontId="5" fillId="25" borderId="2" xfId="11" applyFont="1" applyFill="1" applyBorder="1" applyAlignment="1">
      <alignment horizontal="right"/>
    </xf>
    <xf numFmtId="1" fontId="5" fillId="25" borderId="2" xfId="0" applyNumberFormat="1" applyFont="1" applyFill="1" applyBorder="1" applyAlignment="1">
      <alignment horizontal="center"/>
    </xf>
    <xf numFmtId="2" fontId="5" fillId="25" borderId="2" xfId="10" applyNumberFormat="1" applyFont="1" applyFill="1" applyBorder="1" applyAlignment="1">
      <alignment horizontal="center"/>
    </xf>
    <xf numFmtId="1" fontId="5" fillId="25" borderId="2" xfId="10" applyNumberFormat="1" applyFont="1" applyFill="1" applyBorder="1" applyAlignment="1">
      <alignment horizontal="center"/>
    </xf>
    <xf numFmtId="44" fontId="5" fillId="25" borderId="2" xfId="0" applyNumberFormat="1" applyFont="1" applyFill="1" applyBorder="1" applyAlignment="1">
      <alignment horizontal="center"/>
    </xf>
    <xf numFmtId="44" fontId="5" fillId="25" borderId="0" xfId="0" applyNumberFormat="1" applyFont="1" applyFill="1" applyAlignment="1">
      <alignment horizontal="center"/>
    </xf>
    <xf numFmtId="44" fontId="5" fillId="25" borderId="2" xfId="11" applyFont="1" applyFill="1" applyBorder="1" applyAlignment="1">
      <alignment horizontal="center"/>
    </xf>
    <xf numFmtId="44" fontId="74" fillId="25" borderId="2" xfId="0" applyNumberFormat="1" applyFont="1" applyFill="1" applyBorder="1" applyAlignment="1">
      <alignment horizontal="center"/>
    </xf>
    <xf numFmtId="0" fontId="74" fillId="25" borderId="0" xfId="0" applyFont="1" applyFill="1" applyAlignment="1">
      <alignment horizontal="center"/>
    </xf>
    <xf numFmtId="0" fontId="74" fillId="25" borderId="2" xfId="0" applyFont="1" applyFill="1" applyBorder="1" applyAlignment="1">
      <alignment horizontal="center"/>
    </xf>
    <xf numFmtId="44" fontId="5" fillId="25" borderId="2" xfId="0" applyNumberFormat="1" applyFont="1" applyFill="1" applyBorder="1"/>
    <xf numFmtId="9" fontId="5" fillId="25" borderId="2" xfId="0" applyNumberFormat="1" applyFont="1" applyFill="1" applyBorder="1"/>
    <xf numFmtId="0" fontId="37" fillId="25" borderId="0" xfId="0" quotePrefix="1" applyFont="1" applyFill="1" applyAlignment="1">
      <alignment horizontal="center"/>
    </xf>
    <xf numFmtId="0" fontId="37" fillId="25" borderId="2" xfId="221" applyFont="1" applyFill="1" applyBorder="1" applyAlignment="1">
      <alignment horizontal="left"/>
    </xf>
    <xf numFmtId="0" fontId="37" fillId="25" borderId="2" xfId="0" applyFont="1" applyFill="1" applyBorder="1"/>
    <xf numFmtId="164" fontId="37" fillId="25" borderId="2" xfId="0" applyNumberFormat="1" applyFont="1" applyFill="1" applyBorder="1" applyAlignment="1">
      <alignment horizontal="center"/>
    </xf>
    <xf numFmtId="44" fontId="37" fillId="25" borderId="2" xfId="11" applyFont="1" applyFill="1" applyBorder="1" applyAlignment="1">
      <alignment horizontal="right"/>
    </xf>
    <xf numFmtId="1" fontId="37" fillId="25" borderId="2" xfId="0" applyNumberFormat="1" applyFont="1" applyFill="1" applyBorder="1" applyAlignment="1">
      <alignment horizontal="center"/>
    </xf>
    <xf numFmtId="2" fontId="37" fillId="25" borderId="2" xfId="10" applyNumberFormat="1" applyFont="1" applyFill="1" applyBorder="1" applyAlignment="1">
      <alignment horizontal="center"/>
    </xf>
    <xf numFmtId="1" fontId="37" fillId="25" borderId="2" xfId="10" applyNumberFormat="1" applyFont="1" applyFill="1" applyBorder="1" applyAlignment="1">
      <alignment horizontal="center"/>
    </xf>
    <xf numFmtId="44" fontId="37" fillId="25" borderId="2" xfId="0" applyNumberFormat="1" applyFont="1" applyFill="1" applyBorder="1" applyAlignment="1">
      <alignment horizontal="center"/>
    </xf>
    <xf numFmtId="44" fontId="37" fillId="25" borderId="0" xfId="0" applyNumberFormat="1" applyFont="1" applyFill="1" applyAlignment="1">
      <alignment horizontal="center"/>
    </xf>
    <xf numFmtId="44" fontId="37" fillId="25" borderId="2" xfId="11" applyFont="1" applyFill="1" applyBorder="1" applyAlignment="1">
      <alignment horizontal="center"/>
    </xf>
    <xf numFmtId="0" fontId="37" fillId="25" borderId="0" xfId="0" applyFont="1" applyFill="1" applyAlignment="1">
      <alignment horizontal="center"/>
    </xf>
    <xf numFmtId="44" fontId="37" fillId="25" borderId="2" xfId="0" applyNumberFormat="1" applyFont="1" applyFill="1" applyBorder="1"/>
    <xf numFmtId="9" fontId="37" fillId="25" borderId="2" xfId="0" applyNumberFormat="1" applyFont="1" applyFill="1" applyBorder="1"/>
    <xf numFmtId="0" fontId="26" fillId="25" borderId="2" xfId="0" applyFont="1" applyFill="1" applyBorder="1" applyAlignment="1">
      <alignment horizontal="left"/>
    </xf>
    <xf numFmtId="0" fontId="26" fillId="25" borderId="2" xfId="221" applyFont="1" applyFill="1" applyBorder="1" applyAlignment="1">
      <alignment horizontal="left"/>
    </xf>
    <xf numFmtId="0" fontId="26" fillId="25" borderId="2" xfId="0" applyFont="1" applyFill="1" applyBorder="1"/>
    <xf numFmtId="164" fontId="26" fillId="25" borderId="2" xfId="0" applyNumberFormat="1" applyFont="1" applyFill="1" applyBorder="1" applyAlignment="1">
      <alignment horizontal="center"/>
    </xf>
    <xf numFmtId="44" fontId="26" fillId="25" borderId="2" xfId="11" applyFont="1" applyFill="1" applyBorder="1" applyAlignment="1">
      <alignment horizontal="right"/>
    </xf>
    <xf numFmtId="2" fontId="26" fillId="25" borderId="2" xfId="10" applyNumberFormat="1" applyFont="1" applyFill="1" applyBorder="1" applyAlignment="1">
      <alignment horizontal="center"/>
    </xf>
    <xf numFmtId="1" fontId="26" fillId="25" borderId="2" xfId="10" applyNumberFormat="1" applyFont="1" applyFill="1" applyBorder="1" applyAlignment="1">
      <alignment horizontal="center"/>
    </xf>
    <xf numFmtId="44" fontId="26" fillId="25" borderId="2" xfId="0" applyNumberFormat="1" applyFont="1" applyFill="1" applyBorder="1" applyAlignment="1">
      <alignment horizontal="center"/>
    </xf>
    <xf numFmtId="44" fontId="26" fillId="25" borderId="0" xfId="0" applyNumberFormat="1" applyFont="1" applyFill="1" applyAlignment="1">
      <alignment horizontal="center"/>
    </xf>
    <xf numFmtId="44" fontId="26" fillId="25" borderId="2" xfId="11" applyFont="1" applyFill="1" applyBorder="1" applyAlignment="1">
      <alignment horizontal="center"/>
    </xf>
    <xf numFmtId="9" fontId="26" fillId="25" borderId="2" xfId="0" applyNumberFormat="1" applyFont="1" applyFill="1" applyBorder="1" applyAlignment="1">
      <alignment horizontal="center"/>
    </xf>
    <xf numFmtId="44" fontId="26" fillId="25" borderId="2" xfId="0" applyNumberFormat="1" applyFont="1" applyFill="1" applyBorder="1"/>
    <xf numFmtId="9" fontId="26" fillId="25" borderId="2" xfId="0" applyNumberFormat="1" applyFont="1" applyFill="1" applyBorder="1"/>
    <xf numFmtId="0" fontId="46" fillId="25" borderId="0" xfId="0" applyFont="1" applyFill="1" applyAlignment="1">
      <alignment horizontal="center"/>
    </xf>
    <xf numFmtId="0" fontId="45" fillId="25" borderId="0" xfId="0" applyFont="1" applyFill="1" applyAlignment="1">
      <alignment horizontal="center"/>
    </xf>
    <xf numFmtId="0" fontId="36" fillId="25" borderId="2" xfId="0" applyFont="1" applyFill="1" applyBorder="1" applyAlignment="1">
      <alignment horizontal="left"/>
    </xf>
    <xf numFmtId="44" fontId="12" fillId="0" borderId="2" xfId="0" applyNumberFormat="1" applyFont="1" applyBorder="1" applyAlignment="1">
      <alignment vertical="top"/>
    </xf>
    <xf numFmtId="44" fontId="54" fillId="0" borderId="0" xfId="11" applyFont="1" applyFill="1" applyAlignment="1"/>
    <xf numFmtId="44" fontId="54" fillId="23" borderId="0" xfId="11" applyFont="1" applyFill="1" applyAlignment="1"/>
    <xf numFmtId="0" fontId="46" fillId="0" borderId="5" xfId="221" applyFont="1" applyFill="1" applyAlignment="1">
      <alignment horizontal="left"/>
    </xf>
    <xf numFmtId="0" fontId="37" fillId="0" borderId="5" xfId="221" applyFont="1" applyFill="1" applyAlignment="1"/>
    <xf numFmtId="0" fontId="45" fillId="0" borderId="5" xfId="221" applyFont="1" applyFill="1" applyAlignment="1"/>
    <xf numFmtId="0" fontId="37" fillId="0" borderId="5" xfId="221" applyFont="1" applyFill="1" applyAlignment="1">
      <alignment horizontal="center"/>
    </xf>
    <xf numFmtId="0" fontId="26" fillId="0" borderId="5" xfId="221" applyFont="1" applyFill="1" applyAlignment="1">
      <alignment horizontal="center"/>
    </xf>
    <xf numFmtId="0" fontId="5" fillId="0" borderId="5" xfId="221" applyFont="1" applyFill="1" applyAlignment="1">
      <alignment horizontal="center"/>
    </xf>
    <xf numFmtId="0" fontId="45" fillId="0" borderId="5" xfId="221" applyFont="1" applyFill="1" applyAlignment="1">
      <alignment horizontal="center"/>
    </xf>
    <xf numFmtId="1" fontId="23" fillId="8" borderId="2" xfId="0" applyNumberFormat="1" applyFont="1" applyFill="1" applyBorder="1" applyAlignment="1">
      <alignment horizontal="center"/>
    </xf>
    <xf numFmtId="2" fontId="12" fillId="0" borderId="0" xfId="0" applyNumberFormat="1" applyFont="1" applyAlignment="1">
      <alignment horizontal="center"/>
    </xf>
    <xf numFmtId="44" fontId="79" fillId="14" borderId="2" xfId="0" applyNumberFormat="1" applyFont="1" applyFill="1" applyBorder="1" applyAlignment="1">
      <alignment horizontal="center"/>
    </xf>
    <xf numFmtId="9" fontId="37" fillId="8" borderId="2" xfId="0" applyNumberFormat="1" applyFont="1" applyFill="1" applyBorder="1" applyAlignment="1">
      <alignment horizontal="center"/>
    </xf>
    <xf numFmtId="0" fontId="67" fillId="28" borderId="0" xfId="0" applyFont="1" applyFill="1"/>
    <xf numFmtId="9" fontId="67" fillId="28" borderId="0" xfId="0" applyNumberFormat="1" applyFont="1" applyFill="1"/>
    <xf numFmtId="9" fontId="23" fillId="0" borderId="2" xfId="0" applyNumberFormat="1" applyFont="1" applyBorder="1"/>
    <xf numFmtId="9" fontId="37" fillId="8" borderId="2" xfId="0" applyNumberFormat="1" applyFont="1" applyFill="1" applyBorder="1"/>
    <xf numFmtId="0" fontId="37" fillId="0" borderId="6" xfId="0" applyFont="1" applyBorder="1" applyAlignment="1">
      <alignment horizontal="left"/>
    </xf>
    <xf numFmtId="0" fontId="45" fillId="0" borderId="6" xfId="0" applyFont="1" applyBorder="1" applyAlignment="1">
      <alignment horizontal="center"/>
    </xf>
    <xf numFmtId="2" fontId="5" fillId="25" borderId="2" xfId="0" applyNumberFormat="1" applyFont="1" applyFill="1" applyBorder="1" applyAlignment="1">
      <alignment horizontal="center"/>
    </xf>
    <xf numFmtId="2" fontId="22" fillId="10" borderId="2" xfId="0" applyNumberFormat="1" applyFont="1" applyFill="1" applyBorder="1" applyAlignment="1">
      <alignment horizontal="center"/>
    </xf>
    <xf numFmtId="2" fontId="37" fillId="25" borderId="2" xfId="0" applyNumberFormat="1" applyFont="1" applyFill="1" applyBorder="1" applyAlignment="1">
      <alignment horizontal="center"/>
    </xf>
    <xf numFmtId="9" fontId="26" fillId="10" borderId="2" xfId="0" applyNumberFormat="1" applyFont="1" applyFill="1" applyBorder="1" applyAlignment="1">
      <alignment horizontal="center"/>
    </xf>
    <xf numFmtId="9" fontId="26" fillId="8" borderId="0" xfId="0" applyNumberFormat="1" applyFont="1" applyFill="1" applyAlignment="1">
      <alignment horizontal="center"/>
    </xf>
    <xf numFmtId="16" fontId="74" fillId="0" borderId="2" xfId="0" quotePrefix="1" applyNumberFormat="1" applyFont="1" applyBorder="1" applyAlignment="1">
      <alignment horizontal="center"/>
    </xf>
    <xf numFmtId="0" fontId="5" fillId="25" borderId="2" xfId="0" quotePrefix="1" applyFont="1" applyFill="1" applyBorder="1" applyAlignment="1">
      <alignment horizontal="center"/>
    </xf>
    <xf numFmtId="0" fontId="37" fillId="25" borderId="2" xfId="0" quotePrefix="1" applyFont="1" applyFill="1" applyBorder="1" applyAlignment="1">
      <alignment horizontal="center"/>
    </xf>
    <xf numFmtId="0" fontId="5" fillId="0" borderId="5" xfId="221" applyFont="1" applyFill="1" applyAlignment="1"/>
    <xf numFmtId="0" fontId="74" fillId="0" borderId="5" xfId="0" applyFont="1" applyBorder="1"/>
    <xf numFmtId="0" fontId="26" fillId="0" borderId="5" xfId="221" applyFont="1" applyFill="1" applyAlignment="1"/>
    <xf numFmtId="1" fontId="104" fillId="0" borderId="2" xfId="0" applyNumberFormat="1" applyFont="1" applyBorder="1" applyAlignment="1">
      <alignment horizontal="center"/>
    </xf>
    <xf numFmtId="1" fontId="46" fillId="14" borderId="2" xfId="0" applyNumberFormat="1" applyFont="1" applyFill="1" applyBorder="1" applyAlignment="1">
      <alignment horizontal="center"/>
    </xf>
    <xf numFmtId="0" fontId="71" fillId="28" borderId="2" xfId="0" applyFont="1" applyFill="1" applyBorder="1" applyAlignment="1">
      <alignment horizontal="center"/>
    </xf>
    <xf numFmtId="2" fontId="71" fillId="28" borderId="2" xfId="0" applyNumberFormat="1" applyFont="1" applyFill="1" applyBorder="1" applyAlignment="1">
      <alignment horizontal="center"/>
    </xf>
    <xf numFmtId="2" fontId="37" fillId="28" borderId="2" xfId="0" applyNumberFormat="1" applyFont="1" applyFill="1" applyBorder="1" applyAlignment="1">
      <alignment horizontal="center"/>
    </xf>
    <xf numFmtId="44" fontId="45" fillId="28" borderId="2" xfId="0" applyNumberFormat="1" applyFont="1" applyFill="1" applyBorder="1" applyAlignment="1">
      <alignment horizontal="center"/>
    </xf>
    <xf numFmtId="9" fontId="74" fillId="25" borderId="2" xfId="0" applyNumberFormat="1" applyFont="1" applyFill="1" applyBorder="1" applyAlignment="1">
      <alignment horizontal="center"/>
    </xf>
    <xf numFmtId="0" fontId="51" fillId="0" borderId="2" xfId="0" applyFont="1" applyBorder="1"/>
    <xf numFmtId="9" fontId="11" fillId="0" borderId="2" xfId="0" applyNumberFormat="1" applyFont="1" applyBorder="1" applyAlignment="1">
      <alignment horizontal="center"/>
    </xf>
    <xf numFmtId="9" fontId="46" fillId="14" borderId="2" xfId="0" applyNumberFormat="1" applyFont="1" applyFill="1" applyBorder="1" applyAlignment="1">
      <alignment horizontal="center"/>
    </xf>
    <xf numFmtId="0" fontId="49" fillId="0" borderId="2" xfId="603" applyFont="1" applyAlignment="1">
      <alignment horizontal="left"/>
    </xf>
    <xf numFmtId="2" fontId="95" fillId="0" borderId="2" xfId="0" applyNumberFormat="1" applyFont="1" applyBorder="1" applyAlignment="1">
      <alignment horizontal="center"/>
    </xf>
    <xf numFmtId="0" fontId="74" fillId="0" borderId="5" xfId="0" applyFont="1" applyBorder="1" applyAlignment="1">
      <alignment horizontal="left"/>
    </xf>
    <xf numFmtId="0" fontId="26" fillId="8" borderId="0" xfId="0" quotePrefix="1" applyFont="1" applyFill="1" applyAlignment="1">
      <alignment horizontal="center"/>
    </xf>
    <xf numFmtId="0" fontId="74" fillId="14" borderId="2" xfId="0" quotePrefix="1" applyFont="1" applyFill="1" applyBorder="1" applyAlignment="1">
      <alignment horizontal="center"/>
    </xf>
    <xf numFmtId="16" fontId="46" fillId="0" borderId="0" xfId="0" quotePrefix="1" applyNumberFormat="1" applyFont="1" applyAlignment="1">
      <alignment horizontal="center"/>
    </xf>
    <xf numFmtId="0" fontId="45" fillId="0" borderId="5" xfId="221" applyFont="1" applyFill="1" applyAlignment="1">
      <alignment horizontal="left"/>
    </xf>
    <xf numFmtId="0" fontId="23" fillId="6" borderId="5" xfId="221" applyFont="1"/>
    <xf numFmtId="0" fontId="46" fillId="0" borderId="5" xfId="221" applyFont="1" applyFill="1"/>
    <xf numFmtId="0" fontId="74" fillId="0" borderId="2" xfId="0" quotePrefix="1" applyFont="1" applyBorder="1" applyAlignment="1">
      <alignment horizontal="left"/>
    </xf>
    <xf numFmtId="0" fontId="23" fillId="0" borderId="5" xfId="221" applyFont="1" applyFill="1"/>
    <xf numFmtId="0" fontId="5" fillId="0" borderId="5" xfId="221" applyFont="1" applyFill="1"/>
    <xf numFmtId="0" fontId="46" fillId="0" borderId="10" xfId="0" applyFont="1" applyBorder="1"/>
    <xf numFmtId="0" fontId="23" fillId="6" borderId="5" xfId="221" applyFont="1" applyAlignment="1">
      <alignment horizontal="center"/>
    </xf>
    <xf numFmtId="0" fontId="23" fillId="0" borderId="5" xfId="221" applyFont="1" applyFill="1" applyAlignment="1">
      <alignment horizontal="center"/>
    </xf>
    <xf numFmtId="0" fontId="46" fillId="0" borderId="5" xfId="221" applyFont="1" applyFill="1" applyAlignment="1">
      <alignment horizontal="center"/>
    </xf>
    <xf numFmtId="164" fontId="45" fillId="0" borderId="5" xfId="0" applyNumberFormat="1" applyFont="1" applyBorder="1" applyAlignment="1">
      <alignment horizontal="center"/>
    </xf>
    <xf numFmtId="164" fontId="36" fillId="0" borderId="5" xfId="0" applyNumberFormat="1" applyFont="1" applyBorder="1" applyAlignment="1">
      <alignment horizontal="center"/>
    </xf>
    <xf numFmtId="0" fontId="11" fillId="0" borderId="5" xfId="221" applyFont="1" applyFill="1" applyAlignment="1">
      <alignment horizontal="center"/>
    </xf>
    <xf numFmtId="170" fontId="23" fillId="6" borderId="5" xfId="222" applyNumberFormat="1" applyFont="1"/>
    <xf numFmtId="1" fontId="26" fillId="25" borderId="2" xfId="0" applyNumberFormat="1" applyFont="1" applyFill="1" applyBorder="1" applyAlignment="1">
      <alignment horizontal="center"/>
    </xf>
    <xf numFmtId="1" fontId="95" fillId="0" borderId="0" xfId="0" applyNumberFormat="1" applyFont="1" applyAlignment="1">
      <alignment horizontal="center"/>
    </xf>
    <xf numFmtId="1" fontId="36" fillId="0" borderId="0" xfId="0" applyNumberFormat="1" applyFont="1" applyAlignment="1">
      <alignment horizontal="center"/>
    </xf>
    <xf numFmtId="1" fontId="46" fillId="0" borderId="0" xfId="0" applyNumberFormat="1" applyFont="1" applyAlignment="1">
      <alignment horizontal="center"/>
    </xf>
    <xf numFmtId="2" fontId="5" fillId="35" borderId="2" xfId="0" applyNumberFormat="1" applyFont="1" applyFill="1" applyBorder="1" applyAlignment="1">
      <alignment horizontal="center"/>
    </xf>
    <xf numFmtId="2" fontId="26" fillId="25" borderId="0" xfId="0" applyNumberFormat="1" applyFont="1" applyFill="1" applyAlignment="1">
      <alignment horizontal="center"/>
    </xf>
    <xf numFmtId="2" fontId="37" fillId="25" borderId="0" xfId="0" applyNumberFormat="1" applyFont="1" applyFill="1" applyAlignment="1">
      <alignment horizontal="center"/>
    </xf>
    <xf numFmtId="2" fontId="5" fillId="25" borderId="0" xfId="0" applyNumberFormat="1" applyFont="1" applyFill="1" applyAlignment="1">
      <alignment horizontal="center"/>
    </xf>
    <xf numFmtId="2" fontId="5" fillId="14" borderId="0" xfId="0" applyNumberFormat="1" applyFont="1" applyFill="1" applyAlignment="1">
      <alignment horizontal="center"/>
    </xf>
    <xf numFmtId="2" fontId="49" fillId="8" borderId="0" xfId="0" applyNumberFormat="1" applyFont="1" applyFill="1" applyAlignment="1">
      <alignment horizontal="center"/>
    </xf>
    <xf numFmtId="2" fontId="71" fillId="28" borderId="0" xfId="0" applyNumberFormat="1" applyFont="1" applyFill="1" applyAlignment="1">
      <alignment horizontal="center"/>
    </xf>
    <xf numFmtId="44" fontId="5" fillId="14" borderId="0" xfId="0" applyNumberFormat="1" applyFont="1" applyFill="1" applyAlignment="1">
      <alignment horizontal="center"/>
    </xf>
    <xf numFmtId="44" fontId="71" fillId="28" borderId="0" xfId="0" applyNumberFormat="1" applyFont="1" applyFill="1" applyAlignment="1">
      <alignment horizontal="center"/>
    </xf>
    <xf numFmtId="9" fontId="37" fillId="25" borderId="2" xfId="0" applyNumberFormat="1" applyFont="1" applyFill="1" applyBorder="1" applyAlignment="1">
      <alignment horizontal="center"/>
    </xf>
    <xf numFmtId="9" fontId="65" fillId="0" borderId="0" xfId="0" applyNumberFormat="1" applyFont="1" applyAlignment="1">
      <alignment horizontal="center"/>
    </xf>
    <xf numFmtId="0" fontId="71" fillId="28" borderId="0" xfId="0" applyFont="1" applyFill="1" applyAlignment="1">
      <alignment horizontal="center"/>
    </xf>
    <xf numFmtId="9" fontId="36" fillId="0" borderId="0" xfId="0" applyNumberFormat="1" applyFont="1"/>
    <xf numFmtId="0" fontId="46" fillId="0" borderId="5" xfId="221" applyFont="1" applyFill="1" applyAlignment="1"/>
    <xf numFmtId="0" fontId="11" fillId="0" borderId="5" xfId="221" applyFont="1" applyFill="1"/>
    <xf numFmtId="0" fontId="74" fillId="0" borderId="5" xfId="221" applyFont="1" applyFill="1" applyAlignment="1">
      <alignment horizontal="left"/>
    </xf>
    <xf numFmtId="0" fontId="74" fillId="0" borderId="5" xfId="221" applyFont="1" applyFill="1"/>
    <xf numFmtId="0" fontId="77" fillId="0" borderId="5" xfId="221" applyFont="1" applyFill="1"/>
    <xf numFmtId="0" fontId="36" fillId="0" borderId="5" xfId="221" applyFont="1" applyFill="1" applyAlignment="1"/>
    <xf numFmtId="0" fontId="74" fillId="0" borderId="5" xfId="221" applyFont="1" applyFill="1" applyAlignment="1">
      <alignment horizontal="center"/>
    </xf>
    <xf numFmtId="170" fontId="11" fillId="8" borderId="5" xfId="222" applyNumberFormat="1" applyFont="1" applyFill="1"/>
    <xf numFmtId="2" fontId="23" fillId="14" borderId="0" xfId="0" applyNumberFormat="1" applyFont="1" applyFill="1" applyAlignment="1">
      <alignment horizontal="center"/>
    </xf>
    <xf numFmtId="44" fontId="23" fillId="8" borderId="0" xfId="0" applyNumberFormat="1" applyFont="1" applyFill="1" applyAlignment="1">
      <alignment horizontal="center"/>
    </xf>
    <xf numFmtId="44" fontId="49" fillId="8" borderId="0" xfId="0" applyNumberFormat="1" applyFont="1" applyFill="1"/>
    <xf numFmtId="44" fontId="51" fillId="0" borderId="0" xfId="0" applyNumberFormat="1" applyFont="1"/>
    <xf numFmtId="0" fontId="37" fillId="25" borderId="5" xfId="0" applyFont="1" applyFill="1" applyBorder="1" applyAlignment="1">
      <alignment horizontal="center"/>
    </xf>
    <xf numFmtId="0" fontId="5" fillId="25" borderId="0" xfId="0" quotePrefix="1" applyFont="1" applyFill="1" applyAlignment="1">
      <alignment horizontal="center"/>
    </xf>
    <xf numFmtId="0" fontId="45" fillId="14" borderId="0" xfId="0" quotePrefix="1" applyFont="1" applyFill="1" applyAlignment="1">
      <alignment horizontal="center"/>
    </xf>
    <xf numFmtId="0" fontId="26" fillId="25" borderId="0" xfId="0" quotePrefix="1" applyFont="1" applyFill="1" applyAlignment="1">
      <alignment horizontal="center"/>
    </xf>
    <xf numFmtId="0" fontId="49" fillId="8" borderId="0" xfId="0" applyFont="1" applyFill="1" applyAlignment="1">
      <alignment horizontal="center"/>
    </xf>
    <xf numFmtId="16" fontId="37" fillId="0" borderId="5" xfId="0" quotePrefix="1" applyNumberFormat="1" applyFont="1" applyBorder="1" applyAlignment="1">
      <alignment horizontal="left"/>
    </xf>
    <xf numFmtId="0" fontId="26" fillId="0" borderId="5" xfId="9" applyFont="1" applyFill="1" applyBorder="1" applyAlignment="1">
      <alignment horizontal="left"/>
    </xf>
    <xf numFmtId="0" fontId="23" fillId="13" borderId="5" xfId="221" applyFont="1" applyFill="1"/>
    <xf numFmtId="0" fontId="5" fillId="0" borderId="22" xfId="603" applyFont="1" applyBorder="1" applyAlignment="1">
      <alignment horizontal="left"/>
    </xf>
    <xf numFmtId="0" fontId="74" fillId="0" borderId="22" xfId="221" applyFont="1" applyFill="1" applyBorder="1" applyAlignment="1">
      <alignment horizontal="left"/>
    </xf>
    <xf numFmtId="0" fontId="36" fillId="0" borderId="6" xfId="0" applyFont="1" applyBorder="1" applyAlignment="1">
      <alignment horizontal="left"/>
    </xf>
    <xf numFmtId="0" fontId="36" fillId="0" borderId="6" xfId="221" applyFont="1" applyFill="1" applyBorder="1" applyAlignment="1">
      <alignment horizontal="left"/>
    </xf>
    <xf numFmtId="0" fontId="36" fillId="0" borderId="5" xfId="221" applyFont="1" applyFill="1"/>
    <xf numFmtId="0" fontId="5" fillId="0" borderId="22" xfId="221" applyFont="1" applyFill="1" applyBorder="1"/>
    <xf numFmtId="0" fontId="67" fillId="28" borderId="11" xfId="221" applyFont="1" applyFill="1" applyBorder="1" applyAlignment="1">
      <alignment horizontal="left"/>
    </xf>
    <xf numFmtId="0" fontId="49" fillId="0" borderId="5" xfId="9" applyFont="1" applyFill="1" applyBorder="1" applyAlignment="1">
      <alignment horizontal="left"/>
    </xf>
    <xf numFmtId="0" fontId="45" fillId="15" borderId="2" xfId="603" applyFont="1" applyFill="1" applyAlignment="1">
      <alignment horizontal="left"/>
    </xf>
    <xf numFmtId="0" fontId="26" fillId="0" borderId="11" xfId="221" applyFont="1" applyFill="1" applyBorder="1" applyAlignment="1">
      <alignment horizontal="left"/>
    </xf>
    <xf numFmtId="0" fontId="37" fillId="0" borderId="22" xfId="221" applyFont="1" applyFill="1" applyBorder="1"/>
    <xf numFmtId="0" fontId="20" fillId="6" borderId="5" xfId="221"/>
    <xf numFmtId="0" fontId="45" fillId="0" borderId="22" xfId="221" applyFont="1" applyFill="1" applyBorder="1"/>
    <xf numFmtId="0" fontId="26" fillId="10" borderId="5" xfId="603" applyFont="1" applyFill="1" applyBorder="1" applyAlignment="1">
      <alignment horizontal="left"/>
    </xf>
    <xf numFmtId="0" fontId="37" fillId="28" borderId="5" xfId="221" applyFont="1" applyFill="1" applyAlignment="1">
      <alignment horizontal="left"/>
    </xf>
    <xf numFmtId="16" fontId="5" fillId="0" borderId="5" xfId="0" quotePrefix="1" applyNumberFormat="1" applyFont="1" applyBorder="1" applyAlignment="1">
      <alignment horizontal="left"/>
    </xf>
    <xf numFmtId="0" fontId="26" fillId="0" borderId="22" xfId="0" applyFont="1" applyBorder="1" applyAlignment="1">
      <alignment horizontal="left" vertical="center"/>
    </xf>
    <xf numFmtId="0" fontId="37" fillId="0" borderId="11" xfId="221" applyFont="1" applyFill="1" applyBorder="1" applyAlignment="1">
      <alignment horizontal="left"/>
    </xf>
    <xf numFmtId="0" fontId="23" fillId="13" borderId="11" xfId="221" applyFont="1" applyFill="1" applyBorder="1"/>
    <xf numFmtId="0" fontId="5" fillId="0" borderId="32" xfId="0" applyFont="1" applyBorder="1" applyAlignment="1">
      <alignment horizontal="left"/>
    </xf>
    <xf numFmtId="0" fontId="26" fillId="0" borderId="32" xfId="603" applyFont="1" applyBorder="1" applyAlignment="1">
      <alignment horizontal="left"/>
    </xf>
    <xf numFmtId="0" fontId="45" fillId="0" borderId="32" xfId="0" applyFont="1" applyBorder="1" applyAlignment="1">
      <alignment horizontal="left"/>
    </xf>
    <xf numFmtId="0" fontId="37" fillId="0" borderId="32" xfId="603" applyFont="1" applyBorder="1" applyAlignment="1">
      <alignment horizontal="left"/>
    </xf>
    <xf numFmtId="16" fontId="37" fillId="0" borderId="5" xfId="0" quotePrefix="1" applyNumberFormat="1" applyFont="1" applyBorder="1"/>
    <xf numFmtId="16" fontId="5" fillId="0" borderId="5" xfId="0" quotePrefix="1" applyNumberFormat="1" applyFont="1" applyBorder="1"/>
    <xf numFmtId="0" fontId="26" fillId="0" borderId="10" xfId="0" applyFont="1" applyBorder="1"/>
    <xf numFmtId="0" fontId="45" fillId="14" borderId="5" xfId="0" applyFont="1" applyFill="1" applyBorder="1"/>
    <xf numFmtId="16" fontId="5" fillId="0" borderId="5" xfId="0" quotePrefix="1" applyNumberFormat="1" applyFont="1" applyBorder="1" applyAlignment="1">
      <alignment horizontal="center"/>
    </xf>
    <xf numFmtId="0" fontId="23" fillId="0" borderId="6" xfId="221" applyFont="1" applyFill="1" applyBorder="1" applyAlignment="1">
      <alignment horizontal="center"/>
    </xf>
    <xf numFmtId="0" fontId="65" fillId="0" borderId="6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74" fillId="0" borderId="9" xfId="0" applyFont="1" applyBorder="1" applyAlignment="1">
      <alignment horizontal="center"/>
    </xf>
    <xf numFmtId="16" fontId="26" fillId="0" borderId="5" xfId="0" quotePrefix="1" applyNumberFormat="1" applyFont="1" applyBorder="1" applyAlignment="1">
      <alignment horizontal="center"/>
    </xf>
    <xf numFmtId="0" fontId="49" fillId="0" borderId="5" xfId="0" applyFont="1" applyBorder="1" applyAlignment="1">
      <alignment horizontal="center" vertical="center"/>
    </xf>
    <xf numFmtId="164" fontId="45" fillId="0" borderId="0" xfId="0" applyNumberFormat="1" applyFont="1" applyAlignment="1">
      <alignment horizontal="center"/>
    </xf>
    <xf numFmtId="164" fontId="5" fillId="0" borderId="5" xfId="221" applyNumberFormat="1" applyFont="1" applyFill="1" applyAlignment="1">
      <alignment horizontal="center"/>
    </xf>
    <xf numFmtId="164" fontId="65" fillId="0" borderId="5" xfId="0" applyNumberFormat="1" applyFont="1" applyBorder="1" applyAlignment="1">
      <alignment horizontal="center"/>
    </xf>
    <xf numFmtId="164" fontId="26" fillId="0" borderId="10" xfId="0" applyNumberFormat="1" applyFont="1" applyBorder="1" applyAlignment="1">
      <alignment horizontal="center"/>
    </xf>
    <xf numFmtId="0" fontId="101" fillId="35" borderId="5" xfId="0" applyFont="1" applyFill="1" applyBorder="1" applyAlignment="1">
      <alignment horizontal="center"/>
    </xf>
    <xf numFmtId="0" fontId="60" fillId="0" borderId="5" xfId="0" applyFont="1" applyBorder="1" applyAlignment="1">
      <alignment horizontal="center"/>
    </xf>
    <xf numFmtId="0" fontId="94" fillId="35" borderId="10" xfId="0" applyFont="1" applyFill="1" applyBorder="1" applyAlignment="1">
      <alignment horizontal="center"/>
    </xf>
    <xf numFmtId="44" fontId="5" fillId="0" borderId="5" xfId="11" quotePrefix="1" applyFont="1" applyFill="1" applyBorder="1" applyAlignment="1">
      <alignment horizontal="right"/>
    </xf>
    <xf numFmtId="44" fontId="22" fillId="8" borderId="2" xfId="11" applyFont="1" applyFill="1" applyBorder="1" applyAlignment="1">
      <alignment horizontal="center"/>
    </xf>
    <xf numFmtId="44" fontId="5" fillId="27" borderId="5" xfId="11" applyFont="1" applyFill="1" applyBorder="1" applyAlignment="1">
      <alignment horizontal="right"/>
    </xf>
    <xf numFmtId="44" fontId="23" fillId="8" borderId="2" xfId="11" applyFont="1" applyFill="1" applyBorder="1" applyAlignment="1">
      <alignment horizontal="right"/>
    </xf>
    <xf numFmtId="1" fontId="65" fillId="0" borderId="0" xfId="0" applyNumberFormat="1" applyFont="1" applyAlignment="1">
      <alignment horizontal="center"/>
    </xf>
    <xf numFmtId="1" fontId="64" fillId="0" borderId="0" xfId="0" applyNumberFormat="1" applyFont="1" applyAlignment="1">
      <alignment horizontal="center"/>
    </xf>
    <xf numFmtId="1" fontId="74" fillId="0" borderId="0" xfId="0" applyNumberFormat="1" applyFont="1" applyAlignment="1">
      <alignment horizontal="center"/>
    </xf>
    <xf numFmtId="1" fontId="49" fillId="0" borderId="5" xfId="0" applyNumberFormat="1" applyFont="1" applyBorder="1" applyAlignment="1">
      <alignment horizontal="center"/>
    </xf>
    <xf numFmtId="1" fontId="45" fillId="15" borderId="0" xfId="0" applyNumberFormat="1" applyFont="1" applyFill="1" applyAlignment="1">
      <alignment horizontal="center"/>
    </xf>
    <xf numFmtId="1" fontId="23" fillId="0" borderId="0" xfId="0" applyNumberFormat="1" applyFont="1" applyAlignment="1">
      <alignment horizontal="center"/>
    </xf>
    <xf numFmtId="1" fontId="22" fillId="0" borderId="0" xfId="0" applyNumberFormat="1" applyFont="1" applyAlignment="1">
      <alignment horizontal="center"/>
    </xf>
    <xf numFmtId="1" fontId="23" fillId="14" borderId="0" xfId="0" applyNumberFormat="1" applyFont="1" applyFill="1" applyAlignment="1">
      <alignment horizontal="center"/>
    </xf>
    <xf numFmtId="1" fontId="68" fillId="15" borderId="2" xfId="0" applyNumberFormat="1" applyFont="1" applyFill="1" applyBorder="1" applyAlignment="1">
      <alignment horizontal="center"/>
    </xf>
    <xf numFmtId="0" fontId="65" fillId="28" borderId="2" xfId="0" applyFont="1" applyFill="1" applyBorder="1" applyAlignment="1">
      <alignment horizontal="center"/>
    </xf>
    <xf numFmtId="1" fontId="26" fillId="8" borderId="0" xfId="0" applyNumberFormat="1" applyFont="1" applyFill="1" applyAlignment="1">
      <alignment horizontal="center"/>
    </xf>
    <xf numFmtId="2" fontId="64" fillId="0" borderId="0" xfId="0" applyNumberFormat="1" applyFont="1" applyAlignment="1">
      <alignment horizontal="center"/>
    </xf>
    <xf numFmtId="2" fontId="40" fillId="0" borderId="0" xfId="0" applyNumberFormat="1" applyFont="1" applyAlignment="1">
      <alignment horizontal="center"/>
    </xf>
    <xf numFmtId="2" fontId="69" fillId="15" borderId="0" xfId="0" applyNumberFormat="1" applyFont="1" applyFill="1" applyAlignment="1">
      <alignment horizontal="center"/>
    </xf>
    <xf numFmtId="2" fontId="46" fillId="14" borderId="2" xfId="0" applyNumberFormat="1" applyFont="1" applyFill="1" applyBorder="1" applyAlignment="1">
      <alignment horizontal="center"/>
    </xf>
    <xf numFmtId="2" fontId="49" fillId="0" borderId="5" xfId="0" applyNumberFormat="1" applyFont="1" applyBorder="1" applyAlignment="1">
      <alignment horizontal="center"/>
    </xf>
    <xf numFmtId="2" fontId="37" fillId="28" borderId="0" xfId="0" applyNumberFormat="1" applyFont="1" applyFill="1" applyAlignment="1">
      <alignment horizontal="center"/>
    </xf>
    <xf numFmtId="2" fontId="26" fillId="35" borderId="2" xfId="0" applyNumberFormat="1" applyFont="1" applyFill="1" applyBorder="1" applyAlignment="1">
      <alignment horizontal="center"/>
    </xf>
    <xf numFmtId="2" fontId="49" fillId="8" borderId="2" xfId="0" applyNumberFormat="1" applyFont="1" applyFill="1" applyBorder="1" applyAlignment="1">
      <alignment horizontal="center"/>
    </xf>
    <xf numFmtId="2" fontId="23" fillId="8" borderId="0" xfId="0" applyNumberFormat="1" applyFont="1" applyFill="1" applyAlignment="1">
      <alignment horizontal="center"/>
    </xf>
    <xf numFmtId="0" fontId="49" fillId="19" borderId="5" xfId="0" applyFont="1" applyFill="1" applyBorder="1" applyAlignment="1">
      <alignment horizontal="center"/>
    </xf>
    <xf numFmtId="0" fontId="5" fillId="45" borderId="5" xfId="0" applyFont="1" applyFill="1" applyBorder="1" applyAlignment="1">
      <alignment horizontal="center"/>
    </xf>
    <xf numFmtId="0" fontId="37" fillId="19" borderId="0" xfId="0" applyFont="1" applyFill="1" applyAlignment="1">
      <alignment horizontal="center"/>
    </xf>
    <xf numFmtId="2" fontId="36" fillId="0" borderId="5" xfId="0" applyNumberFormat="1" applyFont="1" applyBorder="1" applyAlignment="1">
      <alignment horizontal="center"/>
    </xf>
    <xf numFmtId="43" fontId="37" fillId="0" borderId="0" xfId="0" applyNumberFormat="1" applyFont="1" applyAlignment="1">
      <alignment horizontal="center"/>
    </xf>
    <xf numFmtId="2" fontId="49" fillId="0" borderId="5" xfId="10" applyNumberFormat="1" applyFont="1" applyFill="1" applyBorder="1" applyAlignment="1">
      <alignment horizontal="center"/>
    </xf>
    <xf numFmtId="44" fontId="49" fillId="0" borderId="5" xfId="0" applyNumberFormat="1" applyFont="1" applyBorder="1" applyAlignment="1">
      <alignment horizontal="center"/>
    </xf>
    <xf numFmtId="44" fontId="46" fillId="10" borderId="0" xfId="0" applyNumberFormat="1" applyFont="1" applyFill="1" applyAlignment="1">
      <alignment horizontal="center"/>
    </xf>
    <xf numFmtId="44" fontId="41" fillId="14" borderId="0" xfId="0" applyNumberFormat="1" applyFont="1" applyFill="1" applyAlignment="1">
      <alignment horizontal="center"/>
    </xf>
    <xf numFmtId="44" fontId="74" fillId="0" borderId="5" xfId="0" applyNumberFormat="1" applyFont="1" applyBorder="1" applyAlignment="1">
      <alignment horizontal="center"/>
    </xf>
    <xf numFmtId="44" fontId="65" fillId="28" borderId="0" xfId="0" applyNumberFormat="1" applyFont="1" applyFill="1" applyAlignment="1">
      <alignment horizontal="center"/>
    </xf>
    <xf numFmtId="9" fontId="5" fillId="25" borderId="2" xfId="0" applyNumberFormat="1" applyFont="1" applyFill="1" applyBorder="1" applyAlignment="1">
      <alignment horizontal="center"/>
    </xf>
    <xf numFmtId="9" fontId="46" fillId="8" borderId="2" xfId="0" applyNumberFormat="1" applyFont="1" applyFill="1" applyBorder="1" applyAlignment="1">
      <alignment horizontal="center"/>
    </xf>
    <xf numFmtId="9" fontId="45" fillId="8" borderId="2" xfId="0" applyNumberFormat="1" applyFont="1" applyFill="1" applyBorder="1" applyAlignment="1">
      <alignment horizontal="center"/>
    </xf>
    <xf numFmtId="9" fontId="45" fillId="15" borderId="2" xfId="0" applyNumberFormat="1" applyFont="1" applyFill="1" applyBorder="1" applyAlignment="1">
      <alignment horizontal="center"/>
    </xf>
    <xf numFmtId="9" fontId="26" fillId="14" borderId="0" xfId="0" applyNumberFormat="1" applyFont="1" applyFill="1" applyAlignment="1">
      <alignment horizontal="center"/>
    </xf>
    <xf numFmtId="9" fontId="26" fillId="35" borderId="2" xfId="0" applyNumberFormat="1" applyFont="1" applyFill="1" applyBorder="1" applyAlignment="1">
      <alignment horizontal="center"/>
    </xf>
    <xf numFmtId="9" fontId="26" fillId="8" borderId="2" xfId="0" applyNumberFormat="1" applyFont="1" applyFill="1" applyBorder="1" applyAlignment="1">
      <alignment horizontal="center"/>
    </xf>
    <xf numFmtId="0" fontId="5" fillId="25" borderId="0" xfId="0" applyFont="1" applyFill="1" applyAlignment="1">
      <alignment horizontal="center"/>
    </xf>
    <xf numFmtId="0" fontId="65" fillId="15" borderId="0" xfId="0" applyFont="1" applyFill="1"/>
    <xf numFmtId="0" fontId="26" fillId="8" borderId="0" xfId="0" applyFont="1" applyFill="1"/>
    <xf numFmtId="44" fontId="5" fillId="8" borderId="5" xfId="0" applyNumberFormat="1" applyFont="1" applyFill="1" applyBorder="1"/>
    <xf numFmtId="44" fontId="26" fillId="0" borderId="5" xfId="0" applyNumberFormat="1" applyFont="1" applyBorder="1"/>
    <xf numFmtId="9" fontId="22" fillId="0" borderId="0" xfId="0" applyNumberFormat="1" applyFont="1" applyAlignment="1">
      <alignment horizontal="center"/>
    </xf>
    <xf numFmtId="9" fontId="45" fillId="0" borderId="0" xfId="0" applyNumberFormat="1" applyFont="1"/>
    <xf numFmtId="9" fontId="95" fillId="0" borderId="0" xfId="0" applyNumberFormat="1" applyFont="1"/>
    <xf numFmtId="9" fontId="64" fillId="0" borderId="0" xfId="0" applyNumberFormat="1" applyFont="1" applyAlignment="1">
      <alignment horizontal="center"/>
    </xf>
    <xf numFmtId="9" fontId="74" fillId="0" borderId="0" xfId="0" applyNumberFormat="1" applyFont="1"/>
    <xf numFmtId="9" fontId="49" fillId="0" borderId="5" xfId="0" applyNumberFormat="1" applyFont="1" applyBorder="1"/>
    <xf numFmtId="9" fontId="49" fillId="0" borderId="0" xfId="0" applyNumberFormat="1" applyFont="1"/>
    <xf numFmtId="9" fontId="49" fillId="0" borderId="5" xfId="0" applyNumberFormat="1" applyFont="1" applyBorder="1" applyAlignment="1">
      <alignment horizontal="center"/>
    </xf>
    <xf numFmtId="9" fontId="67" fillId="28" borderId="2" xfId="0" applyNumberFormat="1" applyFont="1" applyFill="1" applyBorder="1"/>
    <xf numFmtId="9" fontId="26" fillId="0" borderId="5" xfId="0" applyNumberFormat="1" applyFont="1" applyBorder="1"/>
    <xf numFmtId="9" fontId="26" fillId="8" borderId="0" xfId="0" applyNumberFormat="1" applyFont="1" applyFill="1"/>
    <xf numFmtId="9" fontId="22" fillId="0" borderId="0" xfId="0" applyNumberFormat="1" applyFont="1"/>
    <xf numFmtId="9" fontId="45" fillId="15" borderId="0" xfId="0" applyNumberFormat="1" applyFont="1" applyFill="1"/>
    <xf numFmtId="9" fontId="26" fillId="35" borderId="2" xfId="0" applyNumberFormat="1" applyFont="1" applyFill="1" applyBorder="1"/>
    <xf numFmtId="9" fontId="51" fillId="0" borderId="0" xfId="0" applyNumberFormat="1" applyFont="1"/>
    <xf numFmtId="43" fontId="12" fillId="0" borderId="5" xfId="10" applyFont="1" applyBorder="1"/>
    <xf numFmtId="44" fontId="12" fillId="34" borderId="5" xfId="0" applyNumberFormat="1" applyFont="1" applyFill="1" applyBorder="1"/>
    <xf numFmtId="44" fontId="12" fillId="25" borderId="2" xfId="11" applyFont="1" applyFill="1" applyBorder="1"/>
    <xf numFmtId="44" fontId="12" fillId="23" borderId="2" xfId="11" applyFont="1" applyFill="1" applyBorder="1"/>
    <xf numFmtId="44" fontId="12" fillId="30" borderId="2" xfId="11" applyFont="1" applyFill="1" applyBorder="1"/>
    <xf numFmtId="44" fontId="12" fillId="0" borderId="2" xfId="11" applyFont="1" applyFill="1" applyBorder="1"/>
    <xf numFmtId="9" fontId="12" fillId="0" borderId="2" xfId="3769" applyFont="1" applyFill="1" applyBorder="1" applyAlignment="1">
      <alignment horizontal="center"/>
    </xf>
    <xf numFmtId="0" fontId="32" fillId="0" borderId="0" xfId="0" applyFont="1"/>
    <xf numFmtId="0" fontId="110" fillId="0" borderId="0" xfId="0" applyFont="1"/>
    <xf numFmtId="44" fontId="12" fillId="23" borderId="0" xfId="11" applyFont="1" applyFill="1" applyAlignment="1"/>
    <xf numFmtId="171" fontId="5" fillId="0" borderId="2" xfId="11" applyNumberFormat="1" applyFont="1" applyFill="1" applyBorder="1" applyAlignment="1">
      <alignment horizontal="center"/>
    </xf>
    <xf numFmtId="0" fontId="12" fillId="0" borderId="2" xfId="0" applyFont="1" applyBorder="1"/>
    <xf numFmtId="44" fontId="12" fillId="0" borderId="5" xfId="0" applyNumberFormat="1" applyFont="1" applyBorder="1"/>
    <xf numFmtId="44" fontId="12" fillId="30" borderId="0" xfId="11" applyFont="1" applyFill="1" applyAlignment="1"/>
    <xf numFmtId="44" fontId="12" fillId="0" borderId="0" xfId="11" applyFont="1" applyAlignment="1"/>
    <xf numFmtId="9" fontId="12" fillId="0" borderId="0" xfId="3769" applyFont="1" applyAlignment="1">
      <alignment horizontal="center"/>
    </xf>
    <xf numFmtId="44" fontId="12" fillId="23" borderId="2" xfId="0" applyNumberFormat="1" applyFont="1" applyFill="1" applyBorder="1"/>
    <xf numFmtId="0" fontId="95" fillId="17" borderId="0" xfId="0" applyFont="1" applyFill="1"/>
    <xf numFmtId="44" fontId="12" fillId="43" borderId="20" xfId="0" applyNumberFormat="1" applyFont="1" applyFill="1" applyBorder="1"/>
    <xf numFmtId="44" fontId="12" fillId="30" borderId="0" xfId="0" applyNumberFormat="1" applyFont="1" applyFill="1"/>
    <xf numFmtId="44" fontId="12" fillId="0" borderId="20" xfId="0" applyNumberFormat="1" applyFont="1" applyBorder="1"/>
    <xf numFmtId="0" fontId="12" fillId="17" borderId="0" xfId="0" applyFont="1" applyFill="1"/>
    <xf numFmtId="0" fontId="111" fillId="0" borderId="0" xfId="0" applyFont="1"/>
    <xf numFmtId="44" fontId="23" fillId="25" borderId="2" xfId="11" applyFont="1" applyFill="1" applyBorder="1"/>
    <xf numFmtId="44" fontId="23" fillId="23" borderId="2" xfId="11" applyFont="1" applyFill="1" applyBorder="1"/>
    <xf numFmtId="44" fontId="23" fillId="32" borderId="5" xfId="0" applyNumberFormat="1" applyFont="1" applyFill="1" applyBorder="1"/>
    <xf numFmtId="44" fontId="23" fillId="30" borderId="2" xfId="0" applyNumberFormat="1" applyFont="1" applyFill="1" applyBorder="1"/>
    <xf numFmtId="44" fontId="23" fillId="32" borderId="20" xfId="0" applyNumberFormat="1" applyFont="1" applyFill="1" applyBorder="1"/>
    <xf numFmtId="44" fontId="23" fillId="25" borderId="0" xfId="0" applyNumberFormat="1" applyFont="1" applyFill="1"/>
    <xf numFmtId="44" fontId="23" fillId="23" borderId="0" xfId="0" applyNumberFormat="1" applyFont="1" applyFill="1"/>
    <xf numFmtId="44" fontId="23" fillId="30" borderId="0" xfId="0" applyNumberFormat="1" applyFont="1" applyFill="1"/>
    <xf numFmtId="44" fontId="45" fillId="34" borderId="0" xfId="11" applyFont="1" applyFill="1"/>
  </cellXfs>
  <cellStyles count="3776">
    <cellStyle name="Bad" xfId="9" builtinId="27"/>
    <cellStyle name="Comma" xfId="10" builtinId="3"/>
    <cellStyle name="Currency" xfId="11" builtinId="4"/>
    <cellStyle name="Currency 2" xfId="604" xr:uid="{00000000-0005-0000-0000-000003000000}"/>
    <cellStyle name="Currency 3" xfId="738" xr:uid="{00000000-0005-0000-0000-000004000000}"/>
    <cellStyle name="Currency 4" xfId="3771" xr:uid="{3C21720A-F3CE-784D-9DEC-B06374E179A9}"/>
    <cellStyle name="Followed Hyperlink" xfId="2564" builtinId="9" hidden="1"/>
    <cellStyle name="Followed Hyperlink" xfId="1136" builtinId="9" hidden="1"/>
    <cellStyle name="Followed Hyperlink" xfId="584" builtinId="9" hidden="1"/>
    <cellStyle name="Followed Hyperlink" xfId="888" builtinId="9" hidden="1"/>
    <cellStyle name="Followed Hyperlink" xfId="3580" builtinId="9" hidden="1"/>
    <cellStyle name="Followed Hyperlink" xfId="414" builtinId="9" hidden="1"/>
    <cellStyle name="Followed Hyperlink" xfId="2040" builtinId="9" hidden="1"/>
    <cellStyle name="Followed Hyperlink" xfId="664" builtinId="9" hidden="1"/>
    <cellStyle name="Followed Hyperlink" xfId="1944" builtinId="9" hidden="1"/>
    <cellStyle name="Followed Hyperlink" xfId="870" builtinId="9" hidden="1"/>
    <cellStyle name="Followed Hyperlink" xfId="3072" builtinId="9" hidden="1"/>
    <cellStyle name="Followed Hyperlink" xfId="946" builtinId="9" hidden="1"/>
    <cellStyle name="Followed Hyperlink" xfId="3116" builtinId="9" hidden="1"/>
    <cellStyle name="Followed Hyperlink" xfId="1420" builtinId="9" hidden="1"/>
    <cellStyle name="Followed Hyperlink" xfId="3568" builtinId="9" hidden="1"/>
    <cellStyle name="Followed Hyperlink" xfId="1400" builtinId="9" hidden="1"/>
    <cellStyle name="Followed Hyperlink" xfId="3694" builtinId="9" hidden="1"/>
    <cellStyle name="Followed Hyperlink" xfId="2976" builtinId="9" hidden="1"/>
    <cellStyle name="Followed Hyperlink" xfId="123" builtinId="9" hidden="1"/>
    <cellStyle name="Followed Hyperlink" xfId="2600" builtinId="9" hidden="1"/>
    <cellStyle name="Followed Hyperlink" xfId="552" builtinId="9" hidden="1"/>
    <cellStyle name="Followed Hyperlink" xfId="3012" builtinId="9" hidden="1"/>
    <cellStyle name="Followed Hyperlink" xfId="2484" builtinId="9" hidden="1"/>
    <cellStyle name="Followed Hyperlink" xfId="2772" builtinId="9" hidden="1"/>
    <cellStyle name="Followed Hyperlink" xfId="3100" builtinId="9" hidden="1"/>
    <cellStyle name="Followed Hyperlink" xfId="187" builtinId="9" hidden="1"/>
    <cellStyle name="Followed Hyperlink" xfId="2766" builtinId="9" hidden="1"/>
    <cellStyle name="Followed Hyperlink" xfId="298" builtinId="9" hidden="1"/>
    <cellStyle name="Followed Hyperlink" xfId="3178" builtinId="9" hidden="1"/>
    <cellStyle name="Followed Hyperlink" xfId="1050" builtinId="9" hidden="1"/>
    <cellStyle name="Followed Hyperlink" xfId="474" builtinId="9" hidden="1"/>
    <cellStyle name="Followed Hyperlink" xfId="620" builtinId="9" hidden="1"/>
    <cellStyle name="Followed Hyperlink" xfId="2848" builtinId="9" hidden="1"/>
    <cellStyle name="Followed Hyperlink" xfId="626" builtinId="9" hidden="1"/>
    <cellStyle name="Followed Hyperlink" xfId="1690" builtinId="9" hidden="1"/>
    <cellStyle name="Followed Hyperlink" xfId="3166" builtinId="9" hidden="1"/>
    <cellStyle name="Followed Hyperlink" xfId="2350" builtinId="9" hidden="1"/>
    <cellStyle name="Followed Hyperlink" xfId="3420" builtinId="9" hidden="1"/>
    <cellStyle name="Followed Hyperlink" xfId="2332" builtinId="9" hidden="1"/>
    <cellStyle name="Followed Hyperlink" xfId="880" builtinId="9" hidden="1"/>
    <cellStyle name="Followed Hyperlink" xfId="1236" builtinId="9" hidden="1"/>
    <cellStyle name="Followed Hyperlink" xfId="500" builtinId="9" hidden="1"/>
    <cellStyle name="Followed Hyperlink" xfId="1836" builtinId="9" hidden="1"/>
    <cellStyle name="Followed Hyperlink" xfId="131" builtinId="9" hidden="1"/>
    <cellStyle name="Followed Hyperlink" xfId="314" builtinId="9" hidden="1"/>
    <cellStyle name="Followed Hyperlink" xfId="246" builtinId="9" hidden="1"/>
    <cellStyle name="Followed Hyperlink" xfId="896" builtinId="9" hidden="1"/>
    <cellStyle name="Followed Hyperlink" xfId="278" builtinId="9" hidden="1"/>
    <cellStyle name="Followed Hyperlink" xfId="3398" builtinId="9" hidden="1"/>
    <cellStyle name="Followed Hyperlink" xfId="2612" builtinId="9" hidden="1"/>
    <cellStyle name="Followed Hyperlink" xfId="1392" builtinId="9" hidden="1"/>
    <cellStyle name="Followed Hyperlink" xfId="3510" builtinId="9" hidden="1"/>
    <cellStyle name="Followed Hyperlink" xfId="3590" builtinId="9" hidden="1"/>
    <cellStyle name="Followed Hyperlink" xfId="1038" builtinId="9" hidden="1"/>
    <cellStyle name="Followed Hyperlink" xfId="1800" builtinId="9" hidden="1"/>
    <cellStyle name="Followed Hyperlink" xfId="2768" builtinId="9" hidden="1"/>
    <cellStyle name="Followed Hyperlink" xfId="1334" builtinId="9" hidden="1"/>
    <cellStyle name="Followed Hyperlink" xfId="1822" builtinId="9" hidden="1"/>
    <cellStyle name="Followed Hyperlink" xfId="1952" builtinId="9" hidden="1"/>
    <cellStyle name="Followed Hyperlink" xfId="2640" builtinId="9" hidden="1"/>
    <cellStyle name="Followed Hyperlink" xfId="1246" builtinId="9" hidden="1"/>
    <cellStyle name="Followed Hyperlink" xfId="758" builtinId="9" hidden="1"/>
    <cellStyle name="Followed Hyperlink" xfId="2900" builtinId="9" hidden="1"/>
    <cellStyle name="Followed Hyperlink" xfId="1142" builtinId="9" hidden="1"/>
    <cellStyle name="Followed Hyperlink" xfId="338" builtinId="9" hidden="1"/>
    <cellStyle name="Followed Hyperlink" xfId="2386" builtinId="9" hidden="1"/>
    <cellStyle name="Followed Hyperlink" xfId="2860" builtinId="9" hidden="1"/>
    <cellStyle name="Followed Hyperlink" xfId="39" builtinId="9" hidden="1"/>
    <cellStyle name="Followed Hyperlink" xfId="83" builtinId="9" hidden="1"/>
    <cellStyle name="Followed Hyperlink" xfId="3348" builtinId="9" hidden="1"/>
    <cellStyle name="Followed Hyperlink" xfId="1526" builtinId="9" hidden="1"/>
    <cellStyle name="Followed Hyperlink" xfId="109" builtinId="9" hidden="1"/>
    <cellStyle name="Followed Hyperlink" xfId="316" builtinId="9" hidden="1"/>
    <cellStyle name="Followed Hyperlink" xfId="1024" builtinId="9" hidden="1"/>
    <cellStyle name="Followed Hyperlink" xfId="2278" builtinId="9" hidden="1"/>
    <cellStyle name="Followed Hyperlink" xfId="3486" builtinId="9" hidden="1"/>
    <cellStyle name="Followed Hyperlink" xfId="1172" builtinId="9" hidden="1"/>
    <cellStyle name="Followed Hyperlink" xfId="2314" builtinId="9" hidden="1"/>
    <cellStyle name="Followed Hyperlink" xfId="1454" builtinId="9" hidden="1"/>
    <cellStyle name="Followed Hyperlink" xfId="1906" builtinId="9" hidden="1"/>
    <cellStyle name="Followed Hyperlink" xfId="2510" builtinId="9" hidden="1"/>
    <cellStyle name="Followed Hyperlink" xfId="1938" builtinId="9" hidden="1"/>
    <cellStyle name="Followed Hyperlink" xfId="1934" builtinId="9" hidden="1"/>
    <cellStyle name="Followed Hyperlink" xfId="3066" builtinId="9" hidden="1"/>
    <cellStyle name="Followed Hyperlink" xfId="1278" builtinId="9" hidden="1"/>
    <cellStyle name="Followed Hyperlink" xfId="207" builtinId="9" hidden="1"/>
    <cellStyle name="Followed Hyperlink" xfId="444" builtinId="9" hidden="1"/>
    <cellStyle name="Followed Hyperlink" xfId="1374" builtinId="9" hidden="1"/>
    <cellStyle name="Followed Hyperlink" xfId="1946" builtinId="9" hidden="1"/>
    <cellStyle name="Followed Hyperlink" xfId="1056" builtinId="9" hidden="1"/>
    <cellStyle name="Followed Hyperlink" xfId="662" builtinId="9" hidden="1"/>
    <cellStyle name="Followed Hyperlink" xfId="3344" builtinId="9" hidden="1"/>
    <cellStyle name="Followed Hyperlink" xfId="1122" builtinId="9" hidden="1"/>
    <cellStyle name="Followed Hyperlink" xfId="1570" builtinId="9" hidden="1"/>
    <cellStyle name="Followed Hyperlink" xfId="2160" builtinId="9" hidden="1"/>
    <cellStyle name="Followed Hyperlink" xfId="1714" builtinId="9" hidden="1"/>
    <cellStyle name="Followed Hyperlink" xfId="1016" builtinId="9" hidden="1"/>
    <cellStyle name="Followed Hyperlink" xfId="3696" builtinId="9" hidden="1"/>
    <cellStyle name="Followed Hyperlink" xfId="1304" builtinId="9" hidden="1"/>
    <cellStyle name="Followed Hyperlink" xfId="2478" builtinId="9" hidden="1"/>
    <cellStyle name="Followed Hyperlink" xfId="1782" builtinId="9" hidden="1"/>
    <cellStyle name="Followed Hyperlink" xfId="3386" builtinId="9" hidden="1"/>
    <cellStyle name="Followed Hyperlink" xfId="1316" builtinId="9" hidden="1"/>
    <cellStyle name="Followed Hyperlink" xfId="2868" builtinId="9" hidden="1"/>
    <cellStyle name="Followed Hyperlink" xfId="3440" builtinId="9" hidden="1"/>
    <cellStyle name="Followed Hyperlink" xfId="1208" builtinId="9" hidden="1"/>
    <cellStyle name="Followed Hyperlink" xfId="1146" builtinId="9" hidden="1"/>
    <cellStyle name="Followed Hyperlink" xfId="2382" builtinId="9" hidden="1"/>
    <cellStyle name="Followed Hyperlink" xfId="2778" builtinId="9" hidden="1"/>
    <cellStyle name="Followed Hyperlink" xfId="1616" builtinId="9" hidden="1"/>
    <cellStyle name="Followed Hyperlink" xfId="636" builtinId="9" hidden="1"/>
    <cellStyle name="Followed Hyperlink" xfId="149" builtinId="9" hidden="1"/>
    <cellStyle name="Followed Hyperlink" xfId="2814" builtinId="9" hidden="1"/>
    <cellStyle name="Followed Hyperlink" xfId="1588" builtinId="9" hidden="1"/>
    <cellStyle name="Followed Hyperlink" xfId="1820" builtinId="9" hidden="1"/>
    <cellStyle name="Followed Hyperlink" xfId="3522" builtinId="9" hidden="1"/>
    <cellStyle name="Followed Hyperlink" xfId="2532" builtinId="9" hidden="1"/>
    <cellStyle name="Followed Hyperlink" xfId="3218" builtinId="9" hidden="1"/>
    <cellStyle name="Followed Hyperlink" xfId="1068" builtinId="9" hidden="1"/>
    <cellStyle name="Followed Hyperlink" xfId="3176" builtinId="9" hidden="1"/>
    <cellStyle name="Followed Hyperlink" xfId="3732" builtinId="9" hidden="1"/>
    <cellStyle name="Followed Hyperlink" xfId="3024" builtinId="9" hidden="1"/>
    <cellStyle name="Followed Hyperlink" xfId="332" builtinId="9" hidden="1"/>
    <cellStyle name="Followed Hyperlink" xfId="2722" builtinId="9" hidden="1"/>
    <cellStyle name="Followed Hyperlink" xfId="694" builtinId="9" hidden="1"/>
    <cellStyle name="Followed Hyperlink" xfId="1998" builtinId="9" hidden="1"/>
    <cellStyle name="Followed Hyperlink" xfId="556" builtinId="9" hidden="1"/>
    <cellStyle name="Followed Hyperlink" xfId="173" builtinId="9" hidden="1"/>
    <cellStyle name="Followed Hyperlink" xfId="1852" builtinId="9" hidden="1"/>
    <cellStyle name="Followed Hyperlink" xfId="1706" builtinId="9" hidden="1"/>
    <cellStyle name="Followed Hyperlink" xfId="622" builtinId="9" hidden="1"/>
    <cellStyle name="Followed Hyperlink" xfId="512" builtinId="9" hidden="1"/>
    <cellStyle name="Followed Hyperlink" xfId="680" builtinId="9" hidden="1"/>
    <cellStyle name="Followed Hyperlink" xfId="920" builtinId="9" hidden="1"/>
    <cellStyle name="Followed Hyperlink" xfId="2254" builtinId="9" hidden="1"/>
    <cellStyle name="Followed Hyperlink" xfId="2518" builtinId="9" hidden="1"/>
    <cellStyle name="Followed Hyperlink" xfId="2844" builtinId="9" hidden="1"/>
    <cellStyle name="Followed Hyperlink" xfId="2498" builtinId="9" hidden="1"/>
    <cellStyle name="Followed Hyperlink" xfId="454" builtinId="9" hidden="1"/>
    <cellStyle name="Followed Hyperlink" xfId="2338" builtinId="9" hidden="1"/>
    <cellStyle name="Followed Hyperlink" xfId="294" builtinId="9" hidden="1"/>
    <cellStyle name="Followed Hyperlink" xfId="2170" builtinId="9" hidden="1"/>
    <cellStyle name="Followed Hyperlink" xfId="2136" builtinId="9" hidden="1"/>
    <cellStyle name="Followed Hyperlink" xfId="47" builtinId="9" hidden="1"/>
    <cellStyle name="Followed Hyperlink" xfId="3660" builtinId="9" hidden="1"/>
    <cellStyle name="Followed Hyperlink" xfId="2440" builtinId="9" hidden="1"/>
    <cellStyle name="Followed Hyperlink" xfId="1942" builtinId="9" hidden="1"/>
    <cellStyle name="Followed Hyperlink" xfId="924" builtinId="9" hidden="1"/>
    <cellStyle name="Followed Hyperlink" xfId="2728" builtinId="9" hidden="1"/>
    <cellStyle name="Followed Hyperlink" xfId="3418" builtinId="9" hidden="1"/>
    <cellStyle name="Followed Hyperlink" xfId="3704" builtinId="9" hidden="1"/>
    <cellStyle name="Followed Hyperlink" xfId="2068" builtinId="9" hidden="1"/>
    <cellStyle name="Followed Hyperlink" xfId="3574" builtinId="9" hidden="1"/>
    <cellStyle name="Followed Hyperlink" xfId="2606" builtinId="9" hidden="1"/>
    <cellStyle name="Followed Hyperlink" xfId="2198" builtinId="9" hidden="1"/>
    <cellStyle name="Followed Hyperlink" xfId="944" builtinId="9" hidden="1"/>
    <cellStyle name="Followed Hyperlink" xfId="2552" builtinId="9" hidden="1"/>
    <cellStyle name="Followed Hyperlink" xfId="3124" builtinId="9" hidden="1"/>
    <cellStyle name="Followed Hyperlink" xfId="1576" builtinId="9" hidden="1"/>
    <cellStyle name="Followed Hyperlink" xfId="3270" builtinId="9" hidden="1"/>
    <cellStyle name="Followed Hyperlink" xfId="1678" builtinId="9" hidden="1"/>
    <cellStyle name="Followed Hyperlink" xfId="2272" builtinId="9" hidden="1"/>
    <cellStyle name="Followed Hyperlink" xfId="2344" builtinId="9" hidden="1"/>
    <cellStyle name="Followed Hyperlink" xfId="1666" builtinId="9" hidden="1"/>
    <cellStyle name="Followed Hyperlink" xfId="744" builtinId="9" hidden="1"/>
    <cellStyle name="Followed Hyperlink" xfId="1156" builtinId="9" hidden="1"/>
    <cellStyle name="Followed Hyperlink" xfId="2706" builtinId="9" hidden="1"/>
    <cellStyle name="Followed Hyperlink" xfId="127" builtinId="9" hidden="1"/>
    <cellStyle name="Followed Hyperlink" xfId="1758" builtinId="9" hidden="1"/>
    <cellStyle name="Followed Hyperlink" xfId="492" builtinId="9" hidden="1"/>
    <cellStyle name="Followed Hyperlink" xfId="145" builtinId="9" hidden="1"/>
    <cellStyle name="Followed Hyperlink" xfId="3474" builtinId="9" hidden="1"/>
    <cellStyle name="Followed Hyperlink" xfId="236" builtinId="9" hidden="1"/>
    <cellStyle name="Followed Hyperlink" xfId="197" builtinId="9" hidden="1"/>
    <cellStyle name="Followed Hyperlink" xfId="782" builtinId="9" hidden="1"/>
    <cellStyle name="Followed Hyperlink" xfId="57" builtinId="9" hidden="1"/>
    <cellStyle name="Followed Hyperlink" xfId="3112" builtinId="9" hidden="1"/>
    <cellStyle name="Followed Hyperlink" xfId="548" builtinId="9" hidden="1"/>
    <cellStyle name="Followed Hyperlink" xfId="288" builtinId="9" hidden="1"/>
    <cellStyle name="Followed Hyperlink" xfId="1368" builtinId="9" hidden="1"/>
    <cellStyle name="Followed Hyperlink" xfId="698" builtinId="9" hidden="1"/>
    <cellStyle name="Followed Hyperlink" xfId="1382" builtinId="9" hidden="1"/>
    <cellStyle name="Followed Hyperlink" xfId="2108" builtinId="9" hidden="1"/>
    <cellStyle name="Followed Hyperlink" xfId="2680" builtinId="9" hidden="1"/>
    <cellStyle name="Followed Hyperlink" xfId="2922" builtinId="9" hidden="1"/>
    <cellStyle name="Followed Hyperlink" xfId="722" builtinId="9" hidden="1"/>
    <cellStyle name="Followed Hyperlink" xfId="502" builtinId="9" hidden="1"/>
    <cellStyle name="Followed Hyperlink" xfId="59" builtinId="9" hidden="1"/>
    <cellStyle name="Followed Hyperlink" xfId="2404" builtinId="9" hidden="1"/>
    <cellStyle name="Followed Hyperlink" xfId="1652" builtinId="9" hidden="1"/>
    <cellStyle name="Followed Hyperlink" xfId="2850" builtinId="9" hidden="1"/>
    <cellStyle name="Followed Hyperlink" xfId="2666" builtinId="9" hidden="1"/>
    <cellStyle name="Followed Hyperlink" xfId="2968" builtinId="9" hidden="1"/>
    <cellStyle name="Followed Hyperlink" xfId="3180" builtinId="9" hidden="1"/>
    <cellStyle name="Followed Hyperlink" xfId="3666" builtinId="9" hidden="1"/>
    <cellStyle name="Followed Hyperlink" xfId="1132" builtinId="9" hidden="1"/>
    <cellStyle name="Followed Hyperlink" xfId="2458" builtinId="9" hidden="1"/>
    <cellStyle name="Followed Hyperlink" xfId="2486" builtinId="9" hidden="1"/>
    <cellStyle name="Followed Hyperlink" xfId="3602" builtinId="9" hidden="1"/>
    <cellStyle name="Followed Hyperlink" xfId="1656" builtinId="9" hidden="1"/>
    <cellStyle name="Followed Hyperlink" xfId="3610" builtinId="9" hidden="1"/>
    <cellStyle name="Followed Hyperlink" xfId="3752" builtinId="9" hidden="1"/>
    <cellStyle name="Followed Hyperlink" xfId="1346" builtinId="9" hidden="1"/>
    <cellStyle name="Followed Hyperlink" xfId="2082" builtinId="9" hidden="1"/>
    <cellStyle name="Followed Hyperlink" xfId="2616" builtinId="9" hidden="1"/>
    <cellStyle name="Followed Hyperlink" xfId="2978" builtinId="9" hidden="1"/>
    <cellStyle name="Followed Hyperlink" xfId="484" builtinId="9" hidden="1"/>
    <cellStyle name="Followed Hyperlink" xfId="1364" builtinId="9" hidden="1"/>
    <cellStyle name="Followed Hyperlink" xfId="956" builtinId="9" hidden="1"/>
    <cellStyle name="Followed Hyperlink" xfId="1074" builtinId="9" hidden="1"/>
    <cellStyle name="Followed Hyperlink" xfId="2808" builtinId="9" hidden="1"/>
    <cellStyle name="Followed Hyperlink" xfId="3380" builtinId="9" hidden="1"/>
    <cellStyle name="Followed Hyperlink" xfId="3586" builtinId="9" hidden="1"/>
    <cellStyle name="Followed Hyperlink" xfId="3014" builtinId="9" hidden="1"/>
    <cellStyle name="Followed Hyperlink" xfId="2172" builtinId="9" hidden="1"/>
    <cellStyle name="Followed Hyperlink" xfId="3636" builtinId="9" hidden="1"/>
    <cellStyle name="Followed Hyperlink" xfId="1388" builtinId="9" hidden="1"/>
    <cellStyle name="Followed Hyperlink" xfId="724" builtinId="9" hidden="1"/>
    <cellStyle name="Followed Hyperlink" xfId="790" builtinId="9" hidden="1"/>
    <cellStyle name="Followed Hyperlink" xfId="3538" builtinId="9" hidden="1"/>
    <cellStyle name="Followed Hyperlink" xfId="2304" builtinId="9" hidden="1"/>
    <cellStyle name="Followed Hyperlink" xfId="1442" builtinId="9" hidden="1"/>
    <cellStyle name="Followed Hyperlink" xfId="3200" builtinId="9" hidden="1"/>
    <cellStyle name="Followed Hyperlink" xfId="1608" builtinId="9" hidden="1"/>
    <cellStyle name="Followed Hyperlink" xfId="3158" builtinId="9" hidden="1"/>
    <cellStyle name="Followed Hyperlink" xfId="1956" builtinId="9" hidden="1"/>
    <cellStyle name="Followed Hyperlink" xfId="3488" builtinId="9" hidden="1"/>
    <cellStyle name="Followed Hyperlink" xfId="756" builtinId="9" hidden="1"/>
    <cellStyle name="Followed Hyperlink" xfId="2092" builtinId="9" hidden="1"/>
    <cellStyle name="Followed Hyperlink" xfId="3038" builtinId="9" hidden="1"/>
    <cellStyle name="Followed Hyperlink" xfId="79" builtinId="9" hidden="1"/>
    <cellStyle name="Followed Hyperlink" xfId="402" builtinId="9" hidden="1"/>
    <cellStyle name="Followed Hyperlink" xfId="2668" builtinId="9" hidden="1"/>
    <cellStyle name="Followed Hyperlink" xfId="1398" builtinId="9" hidden="1"/>
    <cellStyle name="Followed Hyperlink" xfId="2522" builtinId="9" hidden="1"/>
    <cellStyle name="Followed Hyperlink" xfId="2252" builtinId="9" hidden="1"/>
    <cellStyle name="Followed Hyperlink" xfId="3624" builtinId="9" hidden="1"/>
    <cellStyle name="Followed Hyperlink" xfId="1606" builtinId="9" hidden="1"/>
    <cellStyle name="Followed Hyperlink" xfId="704" builtinId="9" hidden="1"/>
    <cellStyle name="Followed Hyperlink" xfId="482" builtinId="9" hidden="1"/>
    <cellStyle name="Followed Hyperlink" xfId="2692" builtinId="9" hidden="1"/>
    <cellStyle name="Followed Hyperlink" xfId="1338" builtinId="9" hidden="1"/>
    <cellStyle name="Followed Hyperlink" xfId="1742" builtinId="9" hidden="1"/>
    <cellStyle name="Followed Hyperlink" xfId="1170" builtinId="9" hidden="1"/>
    <cellStyle name="Followed Hyperlink" xfId="594" builtinId="9" hidden="1"/>
    <cellStyle name="Followed Hyperlink" xfId="63" builtinId="9" hidden="1"/>
    <cellStyle name="Followed Hyperlink" xfId="2476" builtinId="9" hidden="1"/>
    <cellStyle name="Followed Hyperlink" xfId="998" builtinId="9" hidden="1"/>
    <cellStyle name="Followed Hyperlink" xfId="2352" builtinId="9" hidden="1"/>
    <cellStyle name="Followed Hyperlink" xfId="1556" builtinId="9" hidden="1"/>
    <cellStyle name="Followed Hyperlink" xfId="2714" builtinId="9" hidden="1"/>
    <cellStyle name="Followed Hyperlink" xfId="480" builtinId="9" hidden="1"/>
    <cellStyle name="Followed Hyperlink" xfId="1922" builtinId="9" hidden="1"/>
    <cellStyle name="Followed Hyperlink" xfId="2238" builtinId="9" hidden="1"/>
    <cellStyle name="Followed Hyperlink" xfId="3292" builtinId="9" hidden="1"/>
    <cellStyle name="Followed Hyperlink" xfId="834" builtinId="9" hidden="1"/>
    <cellStyle name="Followed Hyperlink" xfId="1336" builtinId="9" hidden="1"/>
    <cellStyle name="Followed Hyperlink" xfId="2712" builtinId="9" hidden="1"/>
    <cellStyle name="Followed Hyperlink" xfId="368" builtinId="9" hidden="1"/>
    <cellStyle name="Followed Hyperlink" xfId="826" builtinId="9" hidden="1"/>
    <cellStyle name="Followed Hyperlink" xfId="1850" builtinId="9" hidden="1"/>
    <cellStyle name="Followed Hyperlink" xfId="2028" builtinId="9" hidden="1"/>
    <cellStyle name="Followed Hyperlink" xfId="3236" builtinId="9" hidden="1"/>
    <cellStyle name="Followed Hyperlink" xfId="1386" builtinId="9" hidden="1"/>
    <cellStyle name="Followed Hyperlink" xfId="3700" builtinId="9" hidden="1"/>
    <cellStyle name="Followed Hyperlink" xfId="1686" builtinId="9" hidden="1"/>
    <cellStyle name="Followed Hyperlink" xfId="430" builtinId="9" hidden="1"/>
    <cellStyle name="Followed Hyperlink" xfId="2758" builtinId="9" hidden="1"/>
    <cellStyle name="Followed Hyperlink" xfId="2414" builtinId="9" hidden="1"/>
    <cellStyle name="Followed Hyperlink" xfId="1864" builtinId="9" hidden="1"/>
    <cellStyle name="Followed Hyperlink" xfId="1042" builtinId="9" hidden="1"/>
    <cellStyle name="Followed Hyperlink" xfId="466" builtinId="9" hidden="1"/>
    <cellStyle name="Followed Hyperlink" xfId="2196" builtinId="9" hidden="1"/>
    <cellStyle name="Followed Hyperlink" xfId="1704" builtinId="9" hidden="1"/>
    <cellStyle name="Followed Hyperlink" xfId="1126" builtinId="9" hidden="1"/>
    <cellStyle name="Followed Hyperlink" xfId="2422" builtinId="9" hidden="1"/>
    <cellStyle name="Followed Hyperlink" xfId="71" builtinId="9" hidden="1"/>
    <cellStyle name="Followed Hyperlink" xfId="2842" builtinId="9" hidden="1"/>
    <cellStyle name="Followed Hyperlink" xfId="1430" builtinId="9" hidden="1"/>
    <cellStyle name="Followed Hyperlink" xfId="3654" builtinId="9" hidden="1"/>
    <cellStyle name="Followed Hyperlink" xfId="730" builtinId="9" hidden="1"/>
    <cellStyle name="Followed Hyperlink" xfId="2408" builtinId="9" hidden="1"/>
    <cellStyle name="Followed Hyperlink" xfId="2034" builtinId="9" hidden="1"/>
    <cellStyle name="Followed Hyperlink" xfId="950" builtinId="9" hidden="1"/>
    <cellStyle name="Followed Hyperlink" xfId="1452" builtinId="9" hidden="1"/>
    <cellStyle name="Followed Hyperlink" xfId="189" builtinId="9" hidden="1"/>
    <cellStyle name="Followed Hyperlink" xfId="3482" builtinId="9" hidden="1"/>
    <cellStyle name="Followed Hyperlink" xfId="904" builtinId="9" hidden="1"/>
    <cellStyle name="Followed Hyperlink" xfId="1180" builtinId="9" hidden="1"/>
    <cellStyle name="Followed Hyperlink" xfId="2048" builtinId="9" hidden="1"/>
    <cellStyle name="Followed Hyperlink" xfId="416" builtinId="9" hidden="1"/>
    <cellStyle name="Followed Hyperlink" xfId="2330" builtinId="9" hidden="1"/>
    <cellStyle name="Followed Hyperlink" xfId="3764" builtinId="9" hidden="1"/>
    <cellStyle name="Followed Hyperlink" xfId="2924" builtinId="9" hidden="1"/>
    <cellStyle name="Followed Hyperlink" xfId="3472" builtinId="9" hidden="1"/>
    <cellStyle name="Followed Hyperlink" xfId="2058" builtinId="9" hidden="1"/>
    <cellStyle name="Followed Hyperlink" xfId="1308" builtinId="9" hidden="1"/>
    <cellStyle name="Followed Hyperlink" xfId="75" builtinId="9" hidden="1"/>
    <cellStyle name="Followed Hyperlink" xfId="1092" builtinId="9" hidden="1"/>
    <cellStyle name="Followed Hyperlink" xfId="167" builtinId="9" hidden="1"/>
    <cellStyle name="Followed Hyperlink" xfId="1424" builtinId="9" hidden="1"/>
    <cellStyle name="Followed Hyperlink" xfId="213" builtinId="9" hidden="1"/>
    <cellStyle name="Followed Hyperlink" xfId="1900" builtinId="9" hidden="1"/>
    <cellStyle name="Followed Hyperlink" xfId="1692" builtinId="9" hidden="1"/>
    <cellStyle name="Followed Hyperlink" xfId="2970" builtinId="9" hidden="1"/>
    <cellStyle name="Followed Hyperlink" xfId="3542" builtinId="9" hidden="1"/>
    <cellStyle name="Followed Hyperlink" xfId="2442" builtinId="9" hidden="1"/>
    <cellStyle name="Followed Hyperlink" xfId="119" builtinId="9" hidden="1"/>
    <cellStyle name="Followed Hyperlink" xfId="1790" builtinId="9" hidden="1"/>
    <cellStyle name="Followed Hyperlink" xfId="1708" builtinId="9" hidden="1"/>
    <cellStyle name="Followed Hyperlink" xfId="2482" builtinId="9" hidden="1"/>
    <cellStyle name="Followed Hyperlink" xfId="1564" builtinId="9" hidden="1"/>
    <cellStyle name="Followed Hyperlink" xfId="976" builtinId="9" hidden="1"/>
    <cellStyle name="Followed Hyperlink" xfId="2604" builtinId="9" hidden="1"/>
    <cellStyle name="Followed Hyperlink" xfId="2802" builtinId="9" hidden="1"/>
    <cellStyle name="Followed Hyperlink" xfId="2460" builtinId="9" hidden="1"/>
    <cellStyle name="Followed Hyperlink" xfId="654" builtinId="9" hidden="1"/>
    <cellStyle name="Followed Hyperlink" xfId="446" builtinId="9" hidden="1"/>
    <cellStyle name="Followed Hyperlink" xfId="3138" builtinId="9" hidden="1"/>
    <cellStyle name="Followed Hyperlink" xfId="3184" builtinId="9" hidden="1"/>
    <cellStyle name="Followed Hyperlink" xfId="3206" builtinId="9" hidden="1"/>
    <cellStyle name="Followed Hyperlink" xfId="55" builtinId="9" hidden="1"/>
    <cellStyle name="Followed Hyperlink" xfId="161" builtinId="9" hidden="1"/>
    <cellStyle name="Followed Hyperlink" xfId="15" builtinId="9" hidden="1"/>
    <cellStyle name="Followed Hyperlink" xfId="151" builtinId="9" hidden="1"/>
    <cellStyle name="Followed Hyperlink" xfId="528" builtinId="9" hidden="1"/>
    <cellStyle name="Followed Hyperlink" xfId="2598" builtinId="9" hidden="1"/>
    <cellStyle name="Followed Hyperlink" xfId="3102" builtinId="9" hidden="1"/>
    <cellStyle name="Followed Hyperlink" xfId="3594" builtinId="9" hidden="1"/>
    <cellStyle name="Followed Hyperlink" xfId="1954" builtinId="9" hidden="1"/>
    <cellStyle name="Followed Hyperlink" xfId="1908" builtinId="9" hidden="1"/>
    <cellStyle name="Followed Hyperlink" xfId="3098" builtinId="9" hidden="1"/>
    <cellStyle name="Followed Hyperlink" xfId="2022" builtinId="9" hidden="1"/>
    <cellStyle name="Followed Hyperlink" xfId="3296" builtinId="9" hidden="1"/>
    <cellStyle name="Followed Hyperlink" xfId="640" builtinId="9" hidden="1"/>
    <cellStyle name="Followed Hyperlink" xfId="1324" builtinId="9" hidden="1"/>
    <cellStyle name="Followed Hyperlink" xfId="33" builtinId="9" hidden="1"/>
    <cellStyle name="Followed Hyperlink" xfId="3096" builtinId="9" hidden="1"/>
    <cellStyle name="Followed Hyperlink" xfId="3342" builtinId="9" hidden="1"/>
    <cellStyle name="Followed Hyperlink" xfId="1284" builtinId="9" hidden="1"/>
    <cellStyle name="Followed Hyperlink" xfId="326" builtinId="9" hidden="1"/>
    <cellStyle name="Followed Hyperlink" xfId="970" builtinId="9" hidden="1"/>
    <cellStyle name="Followed Hyperlink" xfId="2266" builtinId="9" hidden="1"/>
    <cellStyle name="Followed Hyperlink" xfId="2200" builtinId="9" hidden="1"/>
    <cellStyle name="Followed Hyperlink" xfId="3082" builtinId="9" hidden="1"/>
    <cellStyle name="Followed Hyperlink" xfId="3448" builtinId="9" hidden="1"/>
    <cellStyle name="Followed Hyperlink" xfId="1948" builtinId="9" hidden="1"/>
    <cellStyle name="Followed Hyperlink" xfId="1578" builtinId="9" hidden="1"/>
    <cellStyle name="Followed Hyperlink" xfId="2374" builtinId="9" hidden="1"/>
    <cellStyle name="Followed Hyperlink" xfId="1600" builtinId="9" hidden="1"/>
    <cellStyle name="Followed Hyperlink" xfId="1230" builtinId="9" hidden="1"/>
    <cellStyle name="Followed Hyperlink" xfId="2656" builtinId="9" hidden="1"/>
    <cellStyle name="Followed Hyperlink" xfId="3212" builtinId="9" hidden="1"/>
    <cellStyle name="Followed Hyperlink" xfId="37" builtinId="9" hidden="1"/>
    <cellStyle name="Followed Hyperlink" xfId="938" builtinId="9" hidden="1"/>
    <cellStyle name="Followed Hyperlink" xfId="674" builtinId="9" hidden="1"/>
    <cellStyle name="Followed Hyperlink" xfId="3416" builtinId="9" hidden="1"/>
    <cellStyle name="Followed Hyperlink" xfId="1214" builtinId="9" hidden="1"/>
    <cellStyle name="Followed Hyperlink" xfId="2934" builtinId="9" hidden="1"/>
    <cellStyle name="Followed Hyperlink" xfId="3740" builtinId="9" hidden="1"/>
    <cellStyle name="Followed Hyperlink" xfId="2790" builtinId="9" hidden="1"/>
    <cellStyle name="Followed Hyperlink" xfId="3310" builtinId="9" hidden="1"/>
    <cellStyle name="Followed Hyperlink" xfId="3392" builtinId="9" hidden="1"/>
    <cellStyle name="Followed Hyperlink" xfId="702" builtinId="9" hidden="1"/>
    <cellStyle name="Followed Hyperlink" xfId="1548" builtinId="9" hidden="1"/>
    <cellStyle name="Followed Hyperlink" xfId="690" builtinId="9" hidden="1"/>
    <cellStyle name="Followed Hyperlink" xfId="2372" builtinId="9" hidden="1"/>
    <cellStyle name="Followed Hyperlink" xfId="2866" builtinId="9" hidden="1"/>
    <cellStyle name="Followed Hyperlink" xfId="2066" builtinId="9" hidden="1"/>
    <cellStyle name="Followed Hyperlink" xfId="1966" builtinId="9" hidden="1"/>
    <cellStyle name="Followed Hyperlink" xfId="324" builtinId="9" hidden="1"/>
    <cellStyle name="Followed Hyperlink" xfId="2184" builtinId="9" hidden="1"/>
    <cellStyle name="Followed Hyperlink" xfId="3576" builtinId="9" hidden="1"/>
    <cellStyle name="Followed Hyperlink" xfId="3390" builtinId="9" hidden="1"/>
    <cellStyle name="Followed Hyperlink" xfId="1052" builtinId="9" hidden="1"/>
    <cellStyle name="Followed Hyperlink" xfId="3560" builtinId="9" hidden="1"/>
    <cellStyle name="Followed Hyperlink" xfId="360" builtinId="9" hidden="1"/>
    <cellStyle name="Followed Hyperlink" xfId="3312" builtinId="9" hidden="1"/>
    <cellStyle name="Followed Hyperlink" xfId="526" builtinId="9" hidden="1"/>
    <cellStyle name="Followed Hyperlink" xfId="2834" builtinId="9" hidden="1"/>
    <cellStyle name="Followed Hyperlink" xfId="536" builtinId="9" hidden="1"/>
    <cellStyle name="Followed Hyperlink" xfId="3140" builtinId="9" hidden="1"/>
    <cellStyle name="Followed Hyperlink" xfId="464" builtinId="9" hidden="1"/>
    <cellStyle name="Followed Hyperlink" xfId="2228" builtinId="9" hidden="1"/>
    <cellStyle name="Followed Hyperlink" xfId="1624" builtinId="9" hidden="1"/>
    <cellStyle name="Followed Hyperlink" xfId="2074" builtinId="9" hidden="1"/>
    <cellStyle name="Followed Hyperlink" xfId="181" builtinId="9" hidden="1"/>
    <cellStyle name="Followed Hyperlink" xfId="2430" builtinId="9" hidden="1"/>
    <cellStyle name="Followed Hyperlink" xfId="1254" builtinId="9" hidden="1"/>
    <cellStyle name="Followed Hyperlink" xfId="3736" builtinId="9" hidden="1"/>
    <cellStyle name="Followed Hyperlink" xfId="1164" builtinId="9" hidden="1"/>
    <cellStyle name="Followed Hyperlink" xfId="2276" builtinId="9" hidden="1"/>
    <cellStyle name="Followed Hyperlink" xfId="642" builtinId="9" hidden="1"/>
    <cellStyle name="Followed Hyperlink" xfId="472" builtinId="9" hidden="1"/>
    <cellStyle name="Followed Hyperlink" xfId="2796" builtinId="9" hidden="1"/>
    <cellStyle name="Followed Hyperlink" xfId="1416" builtinId="9" hidden="1"/>
    <cellStyle name="Followed Hyperlink" xfId="1460" builtinId="9" hidden="1"/>
    <cellStyle name="Followed Hyperlink" xfId="2560" builtinId="9" hidden="1"/>
    <cellStyle name="Followed Hyperlink" xfId="2824" builtinId="9" hidden="1"/>
    <cellStyle name="Followed Hyperlink" xfId="3436" builtinId="9" hidden="1"/>
    <cellStyle name="Followed Hyperlink" xfId="3262" builtinId="9" hidden="1"/>
    <cellStyle name="Followed Hyperlink" xfId="2794" builtinId="9" hidden="1"/>
    <cellStyle name="Followed Hyperlink" xfId="2118" builtinId="9" hidden="1"/>
    <cellStyle name="Followed Hyperlink" xfId="1546" builtinId="9" hidden="1"/>
    <cellStyle name="Followed Hyperlink" xfId="1634" builtinId="9" hidden="1"/>
    <cellStyle name="Followed Hyperlink" xfId="3030" builtinId="9" hidden="1"/>
    <cellStyle name="Followed Hyperlink" xfId="1508" builtinId="9" hidden="1"/>
    <cellStyle name="Followed Hyperlink" xfId="135" builtinId="9" hidden="1"/>
    <cellStyle name="Followed Hyperlink" xfId="1072" builtinId="9" hidden="1"/>
    <cellStyle name="Followed Hyperlink" xfId="2994" builtinId="9" hidden="1"/>
    <cellStyle name="Followed Hyperlink" xfId="185" builtinId="9" hidden="1"/>
    <cellStyle name="Followed Hyperlink" xfId="2910" builtinId="9" hidden="1"/>
    <cellStyle name="Followed Hyperlink" xfId="2670" builtinId="9" hidden="1"/>
    <cellStyle name="Followed Hyperlink" xfId="1378" builtinId="9" hidden="1"/>
    <cellStyle name="Followed Hyperlink" xfId="3364" builtinId="9" hidden="1"/>
    <cellStyle name="Followed Hyperlink" xfId="31" builtinId="9" hidden="1"/>
    <cellStyle name="Followed Hyperlink" xfId="1778" builtinId="9" hidden="1"/>
    <cellStyle name="Followed Hyperlink" xfId="1924" builtinId="9" hidden="1"/>
    <cellStyle name="Followed Hyperlink" xfId="2146" builtinId="9" hidden="1"/>
    <cellStyle name="Followed Hyperlink" xfId="560" builtinId="9" hidden="1"/>
    <cellStyle name="Followed Hyperlink" xfId="1542" builtinId="9" hidden="1"/>
    <cellStyle name="Followed Hyperlink" xfId="2492" builtinId="9" hidden="1"/>
    <cellStyle name="Followed Hyperlink" xfId="1118" builtinId="9" hidden="1"/>
    <cellStyle name="Followed Hyperlink" xfId="2240" builtinId="9" hidden="1"/>
    <cellStyle name="Followed Hyperlink" xfId="139" builtinId="9" hidden="1"/>
    <cellStyle name="Followed Hyperlink" xfId="1696" builtinId="9" hidden="1"/>
    <cellStyle name="Followed Hyperlink" xfId="2324" builtinId="9" hidden="1"/>
    <cellStyle name="Followed Hyperlink" xfId="1994" builtinId="9" hidden="1"/>
    <cellStyle name="Followed Hyperlink" xfId="2562" builtinId="9" hidden="1"/>
    <cellStyle name="Followed Hyperlink" xfId="1990" builtinId="9" hidden="1"/>
    <cellStyle name="Followed Hyperlink" xfId="2506" builtinId="9" hidden="1"/>
    <cellStyle name="Followed Hyperlink" xfId="660" builtinId="9" hidden="1"/>
    <cellStyle name="Followed Hyperlink" xfId="270" builtinId="9" hidden="1"/>
    <cellStyle name="Followed Hyperlink" xfId="1784" builtinId="9" hidden="1"/>
    <cellStyle name="Followed Hyperlink" xfId="3372" builtinId="9" hidden="1"/>
    <cellStyle name="Followed Hyperlink" xfId="2234" builtinId="9" hidden="1"/>
    <cellStyle name="Followed Hyperlink" xfId="254" builtinId="9" hidden="1"/>
    <cellStyle name="Followed Hyperlink" xfId="1302" builtinId="9" hidden="1"/>
    <cellStyle name="Followed Hyperlink" xfId="19" builtinId="9" hidden="1"/>
    <cellStyle name="Followed Hyperlink" xfId="290" builtinId="9" hidden="1"/>
    <cellStyle name="Followed Hyperlink" xfId="2752" builtinId="9" hidden="1"/>
    <cellStyle name="Followed Hyperlink" xfId="2928" builtinId="9" hidden="1"/>
    <cellStyle name="Followed Hyperlink" xfId="3314" builtinId="9" hidden="1"/>
    <cellStyle name="Followed Hyperlink" xfId="2004" builtinId="9" hidden="1"/>
    <cellStyle name="Followed Hyperlink" xfId="2246" builtinId="9" hidden="1"/>
    <cellStyle name="Followed Hyperlink" xfId="1592" builtinId="9" hidden="1"/>
    <cellStyle name="Followed Hyperlink" xfId="1522" builtinId="9" hidden="1"/>
    <cellStyle name="Followed Hyperlink" xfId="1116" builtinId="9" hidden="1"/>
    <cellStyle name="Followed Hyperlink" xfId="1036" builtinId="9" hidden="1"/>
    <cellStyle name="Followed Hyperlink" xfId="3374" builtinId="9" hidden="1"/>
    <cellStyle name="Followed Hyperlink" xfId="2788" builtinId="9" hidden="1"/>
    <cellStyle name="Followed Hyperlink" xfId="3584" builtinId="9" hidden="1"/>
    <cellStyle name="Followed Hyperlink" xfId="1972" builtinId="9" hidden="1"/>
    <cellStyle name="Followed Hyperlink" xfId="940" builtinId="9" hidden="1"/>
    <cellStyle name="Followed Hyperlink" xfId="2208" builtinId="9" hidden="1"/>
    <cellStyle name="Followed Hyperlink" xfId="2962" builtinId="9" hidden="1"/>
    <cellStyle name="Followed Hyperlink" xfId="1862" builtinId="9" hidden="1"/>
    <cellStyle name="Followed Hyperlink" xfId="2566" builtinId="9" hidden="1"/>
    <cellStyle name="Followed Hyperlink" xfId="716" builtinId="9" hidden="1"/>
    <cellStyle name="Followed Hyperlink" xfId="2590" builtinId="9" hidden="1"/>
    <cellStyle name="Followed Hyperlink" xfId="302" builtinId="9" hidden="1"/>
    <cellStyle name="Followed Hyperlink" xfId="1884" builtinId="9" hidden="1"/>
    <cellStyle name="Followed Hyperlink" xfId="1450" builtinId="9" hidden="1"/>
    <cellStyle name="Followed Hyperlink" xfId="1880" builtinId="9" hidden="1"/>
    <cellStyle name="Followed Hyperlink" xfId="3134" builtinId="9" hidden="1"/>
    <cellStyle name="Followed Hyperlink" xfId="2798" builtinId="9" hidden="1"/>
    <cellStyle name="Followed Hyperlink" xfId="199" builtinId="9" hidden="1"/>
    <cellStyle name="Followed Hyperlink" xfId="3228" builtinId="9" hidden="1"/>
    <cellStyle name="Followed Hyperlink" xfId="2836" builtinId="9" hidden="1"/>
    <cellStyle name="Followed Hyperlink" xfId="2800" builtinId="9" hidden="1"/>
    <cellStyle name="Followed Hyperlink" xfId="1512" builtinId="9" hidden="1"/>
    <cellStyle name="Followed Hyperlink" xfId="1238" builtinId="9" hidden="1"/>
    <cellStyle name="Followed Hyperlink" xfId="1640" builtinId="9" hidden="1"/>
    <cellStyle name="Followed Hyperlink" xfId="111" builtinId="9" hidden="1"/>
    <cellStyle name="Followed Hyperlink" xfId="398" builtinId="9" hidden="1"/>
    <cellStyle name="Followed Hyperlink" xfId="1646" builtinId="9" hidden="1"/>
    <cellStyle name="Followed Hyperlink" xfId="2870" builtinId="9" hidden="1"/>
    <cellStyle name="Followed Hyperlink" xfId="2880" builtinId="9" hidden="1"/>
    <cellStyle name="Followed Hyperlink" xfId="2944" builtinId="9" hidden="1"/>
    <cellStyle name="Followed Hyperlink" xfId="2700" builtinId="9" hidden="1"/>
    <cellStyle name="Followed Hyperlink" xfId="1078" builtinId="9" hidden="1"/>
    <cellStyle name="Followed Hyperlink" xfId="2878" builtinId="9" hidden="1"/>
    <cellStyle name="Followed Hyperlink" xfId="3276" builtinId="9" hidden="1"/>
    <cellStyle name="Followed Hyperlink" xfId="1734" builtinId="9" hidden="1"/>
    <cellStyle name="Followed Hyperlink" xfId="1162" builtinId="9" hidden="1"/>
    <cellStyle name="Followed Hyperlink" xfId="3550" builtinId="9" hidden="1"/>
    <cellStyle name="Followed Hyperlink" xfId="3566" builtinId="9" hidden="1"/>
    <cellStyle name="Followed Hyperlink" xfId="2260" builtinId="9" hidden="1"/>
    <cellStyle name="Followed Hyperlink" xfId="498" builtinId="9" hidden="1"/>
    <cellStyle name="Followed Hyperlink" xfId="3596" builtinId="9" hidden="1"/>
    <cellStyle name="Followed Hyperlink" xfId="1572" builtinId="9" hidden="1"/>
    <cellStyle name="Followed Hyperlink" xfId="2194" builtinId="9" hidden="1"/>
    <cellStyle name="Followed Hyperlink" xfId="3294" builtinId="9" hidden="1"/>
    <cellStyle name="Followed Hyperlink" xfId="2446" builtinId="9" hidden="1"/>
    <cellStyle name="Followed Hyperlink" xfId="1402" builtinId="9" hidden="1"/>
    <cellStyle name="Followed Hyperlink" xfId="219" builtinId="9" hidden="1"/>
    <cellStyle name="Followed Hyperlink" xfId="228" builtinId="9" hidden="1"/>
    <cellStyle name="Followed Hyperlink" xfId="3332" builtinId="9" hidden="1"/>
    <cellStyle name="Followed Hyperlink" xfId="872" builtinId="9" hidden="1"/>
    <cellStyle name="Followed Hyperlink" xfId="914" builtinId="9" hidden="1"/>
    <cellStyle name="Followed Hyperlink" xfId="2142" builtinId="9" hidden="1"/>
    <cellStyle name="Followed Hyperlink" xfId="2902" builtinId="9" hidden="1"/>
    <cellStyle name="Followed Hyperlink" xfId="2856" builtinId="9" hidden="1"/>
    <cellStyle name="Followed Hyperlink" xfId="3622" builtinId="9" hidden="1"/>
    <cellStyle name="Followed Hyperlink" xfId="2434" builtinId="9" hidden="1"/>
    <cellStyle name="Followed Hyperlink" xfId="1612" builtinId="9" hidden="1"/>
    <cellStyle name="Followed Hyperlink" xfId="2974" builtinId="9" hidden="1"/>
    <cellStyle name="Followed Hyperlink" xfId="3424" builtinId="9" hidden="1"/>
    <cellStyle name="Followed Hyperlink" xfId="226" builtinId="9" hidden="1"/>
    <cellStyle name="Followed Hyperlink" xfId="2776" builtinId="9" hidden="1"/>
    <cellStyle name="Followed Hyperlink" xfId="3272" builtinId="9" hidden="1"/>
    <cellStyle name="Followed Hyperlink" xfId="1034" builtinId="9" hidden="1"/>
    <cellStyle name="Followed Hyperlink" xfId="1472" builtinId="9" hidden="1"/>
    <cellStyle name="Followed Hyperlink" xfId="1178" builtinId="9" hidden="1"/>
    <cellStyle name="Followed Hyperlink" xfId="1032" builtinId="9" hidden="1"/>
    <cellStyle name="Followed Hyperlink" xfId="3064" builtinId="9" hidden="1"/>
    <cellStyle name="Followed Hyperlink" xfId="2094" builtinId="9" hidden="1"/>
    <cellStyle name="Followed Hyperlink" xfId="159" builtinId="9" hidden="1"/>
    <cellStyle name="Followed Hyperlink" xfId="2736" builtinId="9" hidden="1"/>
    <cellStyle name="Followed Hyperlink" xfId="3000" builtinId="9" hidden="1"/>
    <cellStyle name="Followed Hyperlink" xfId="3544" builtinId="9" hidden="1"/>
    <cellStyle name="Followed Hyperlink" xfId="2972" builtinId="9" hidden="1"/>
    <cellStyle name="Followed Hyperlink" xfId="2400" builtinId="9" hidden="1"/>
    <cellStyle name="Followed Hyperlink" xfId="1654" builtinId="9" hidden="1"/>
    <cellStyle name="Followed Hyperlink" xfId="1256" builtinId="9" hidden="1"/>
    <cellStyle name="Followed Hyperlink" xfId="356" builtinId="9" hidden="1"/>
    <cellStyle name="Followed Hyperlink" xfId="193" builtinId="9" hidden="1"/>
    <cellStyle name="Followed Hyperlink" xfId="2186" builtinId="9" hidden="1"/>
    <cellStyle name="Followed Hyperlink" xfId="2526" builtinId="9" hidden="1"/>
    <cellStyle name="Followed Hyperlink" xfId="1484" builtinId="9" hidden="1"/>
    <cellStyle name="Followed Hyperlink" xfId="2056" builtinId="9" hidden="1"/>
    <cellStyle name="Followed Hyperlink" xfId="1058" builtinId="9" hidden="1"/>
    <cellStyle name="Followed Hyperlink" xfId="2774" builtinId="9" hidden="1"/>
    <cellStyle name="Followed Hyperlink" xfId="2874" builtinId="9" hidden="1"/>
    <cellStyle name="Followed Hyperlink" xfId="3172" builtinId="9" hidden="1"/>
    <cellStyle name="Followed Hyperlink" xfId="1018" builtinId="9" hidden="1"/>
    <cellStyle name="Followed Hyperlink" xfId="2050" builtinId="9" hidden="1"/>
    <cellStyle name="Followed Hyperlink" xfId="2576" builtinId="9" hidden="1"/>
    <cellStyle name="Followed Hyperlink" xfId="1028" builtinId="9" hidden="1"/>
    <cellStyle name="Followed Hyperlink" xfId="330" builtinId="9" hidden="1"/>
    <cellStyle name="Followed Hyperlink" xfId="3634" builtinId="9" hidden="1"/>
    <cellStyle name="Followed Hyperlink" xfId="2268" builtinId="9" hidden="1"/>
    <cellStyle name="Followed Hyperlink" xfId="3002" builtinId="9" hidden="1"/>
    <cellStyle name="Followed Hyperlink" xfId="1958" builtinId="9" hidden="1"/>
    <cellStyle name="Followed Hyperlink" xfId="894" builtinId="9" hidden="1"/>
    <cellStyle name="Followed Hyperlink" xfId="3044" builtinId="9" hidden="1"/>
    <cellStyle name="Followed Hyperlink" xfId="1728" builtinId="9" hidden="1"/>
    <cellStyle name="Followed Hyperlink" xfId="866" builtinId="9" hidden="1"/>
    <cellStyle name="Followed Hyperlink" xfId="2732" builtinId="9" hidden="1"/>
    <cellStyle name="Followed Hyperlink" xfId="296" builtinId="9" hidden="1"/>
    <cellStyle name="Followed Hyperlink" xfId="2054" builtinId="9" hidden="1"/>
    <cellStyle name="Followed Hyperlink" xfId="1856" builtinId="9" hidden="1"/>
    <cellStyle name="Followed Hyperlink" xfId="804" builtinId="9" hidden="1"/>
    <cellStyle name="Followed Hyperlink" xfId="832" builtinId="9" hidden="1"/>
    <cellStyle name="Followed Hyperlink" xfId="1712" builtinId="9" hidden="1"/>
    <cellStyle name="Followed Hyperlink" xfId="2652" builtinId="9" hidden="1"/>
    <cellStyle name="Followed Hyperlink" xfId="3760" builtinId="9" hidden="1"/>
    <cellStyle name="Followed Hyperlink" xfId="384" builtinId="9" hidden="1"/>
    <cellStyle name="Followed Hyperlink" xfId="3422" builtinId="9" hidden="1"/>
    <cellStyle name="Followed Hyperlink" xfId="1748" builtinId="9" hidden="1"/>
    <cellStyle name="Followed Hyperlink" xfId="1006" builtinId="9" hidden="1"/>
    <cellStyle name="Followed Hyperlink" xfId="1632" builtinId="9" hidden="1"/>
    <cellStyle name="Followed Hyperlink" xfId="2832" builtinId="9" hidden="1"/>
    <cellStyle name="Followed Hyperlink" xfId="1168" builtinId="9" hidden="1"/>
    <cellStyle name="Followed Hyperlink" xfId="29" builtinId="9" hidden="1"/>
    <cellStyle name="Followed Hyperlink" xfId="2684" builtinId="9" hidden="1"/>
    <cellStyle name="Followed Hyperlink" xfId="3432" builtinId="9" hidden="1"/>
    <cellStyle name="Followed Hyperlink" xfId="542" builtinId="9" hidden="1"/>
    <cellStyle name="Followed Hyperlink" xfId="928" builtinId="9" hidden="1"/>
    <cellStyle name="Followed Hyperlink" xfId="370" builtinId="9" hidden="1"/>
    <cellStyle name="Followed Hyperlink" xfId="1962" builtinId="9" hidden="1"/>
    <cellStyle name="Followed Hyperlink" xfId="2534" builtinId="9" hidden="1"/>
    <cellStyle name="Followed Hyperlink" xfId="2650" builtinId="9" hidden="1"/>
    <cellStyle name="Followed Hyperlink" xfId="2088" builtinId="9" hidden="1"/>
    <cellStyle name="Followed Hyperlink" xfId="3750" builtinId="9" hidden="1"/>
    <cellStyle name="Followed Hyperlink" xfId="1446" builtinId="9" hidden="1"/>
    <cellStyle name="Followed Hyperlink" xfId="2144" builtinId="9" hidden="1"/>
    <cellStyle name="Followed Hyperlink" xfId="3458" builtinId="9" hidden="1"/>
    <cellStyle name="Followed Hyperlink" xfId="1000" builtinId="9" hidden="1"/>
    <cellStyle name="Followed Hyperlink" xfId="2542" builtinId="9" hidden="1"/>
    <cellStyle name="Followed Hyperlink" xfId="3086" builtinId="9" hidden="1"/>
    <cellStyle name="Followed Hyperlink" xfId="3252" builtinId="9" hidden="1"/>
    <cellStyle name="Followed Hyperlink" xfId="3468" builtinId="9" hidden="1"/>
    <cellStyle name="Followed Hyperlink" xfId="1740" builtinId="9" hidden="1"/>
    <cellStyle name="Followed Hyperlink" xfId="2312" builtinId="9" hidden="1"/>
    <cellStyle name="Followed Hyperlink" xfId="1582" builtinId="9" hidden="1"/>
    <cellStyle name="Followed Hyperlink" xfId="2634" builtinId="9" hidden="1"/>
    <cellStyle name="Followed Hyperlink" xfId="1440" builtinId="9" hidden="1"/>
    <cellStyle name="Followed Hyperlink" xfId="209" builtinId="9" hidden="1"/>
    <cellStyle name="Followed Hyperlink" xfId="2366" builtinId="9" hidden="1"/>
    <cellStyle name="Followed Hyperlink" xfId="1794" builtinId="9" hidden="1"/>
    <cellStyle name="Followed Hyperlink" xfId="1222" builtinId="9" hidden="1"/>
    <cellStyle name="Followed Hyperlink" xfId="2920" builtinId="9" hidden="1"/>
    <cellStyle name="Followed Hyperlink" xfId="2392" builtinId="9" hidden="1"/>
    <cellStyle name="Followed Hyperlink" xfId="163" builtinId="9" hidden="1"/>
    <cellStyle name="Followed Hyperlink" xfId="1914" builtinId="9" hidden="1"/>
    <cellStyle name="Followed Hyperlink" xfId="1524" builtinId="9" hidden="1"/>
    <cellStyle name="Followed Hyperlink" xfId="1894" builtinId="9" hidden="1"/>
    <cellStyle name="Followed Hyperlink" xfId="2662" builtinId="9" hidden="1"/>
    <cellStyle name="Followed Hyperlink" xfId="3234" builtinId="9" hidden="1"/>
    <cellStyle name="Followed Hyperlink" xfId="3410" builtinId="9" hidden="1"/>
    <cellStyle name="Followed Hyperlink" xfId="1486" builtinId="9" hidden="1"/>
    <cellStyle name="Followed Hyperlink" xfId="1960" builtinId="9" hidden="1"/>
    <cellStyle name="Followed Hyperlink" xfId="2398" builtinId="9" hidden="1"/>
    <cellStyle name="Followed Hyperlink" xfId="2964" builtinId="9" hidden="1"/>
    <cellStyle name="Followed Hyperlink" xfId="3338" builtinId="9" hidden="1"/>
    <cellStyle name="Followed Hyperlink" xfId="448" builtinId="9" hidden="1"/>
    <cellStyle name="Followed Hyperlink" xfId="1544" builtinId="9" hidden="1"/>
    <cellStyle name="Followed Hyperlink" xfId="510" builtinId="9" hidden="1"/>
    <cellStyle name="Followed Hyperlink" xfId="2956" builtinId="9" hidden="1"/>
    <cellStyle name="Followed Hyperlink" xfId="1868" builtinId="9" hidden="1"/>
    <cellStyle name="Followed Hyperlink" xfId="2038" builtinId="9" hidden="1"/>
    <cellStyle name="Followed Hyperlink" xfId="2420" builtinId="9" hidden="1"/>
    <cellStyle name="Followed Hyperlink" xfId="1510" builtinId="9" hidden="1"/>
    <cellStyle name="Followed Hyperlink" xfId="3382" builtinId="9" hidden="1"/>
    <cellStyle name="Followed Hyperlink" xfId="2810" builtinId="9" hidden="1"/>
    <cellStyle name="Followed Hyperlink" xfId="900" builtinId="9" hidden="1"/>
    <cellStyle name="Followed Hyperlink" xfId="3612" builtinId="9" hidden="1"/>
    <cellStyle name="Followed Hyperlink" xfId="2818" builtinId="9" hidden="1"/>
    <cellStyle name="Followed Hyperlink" xfId="268" builtinId="9" hidden="1"/>
    <cellStyle name="Followed Hyperlink" xfId="13" builtinId="9" hidden="1"/>
    <cellStyle name="Followed Hyperlink" xfId="828" builtinId="9" hidden="1"/>
    <cellStyle name="Followed Hyperlink" xfId="1630" builtinId="9" hidden="1"/>
    <cellStyle name="Followed Hyperlink" xfId="3300" builtinId="9" hidden="1"/>
    <cellStyle name="Followed Hyperlink" xfId="530" builtinId="9" hidden="1"/>
    <cellStyle name="Followed Hyperlink" xfId="107" builtinId="9" hidden="1"/>
    <cellStyle name="Followed Hyperlink" xfId="3362" builtinId="9" hidden="1"/>
    <cellStyle name="Followed Hyperlink" xfId="3604" builtinId="9" hidden="1"/>
    <cellStyle name="Followed Hyperlink" xfId="2676" builtinId="9" hidden="1"/>
    <cellStyle name="Followed Hyperlink" xfId="486" builtinId="9" hidden="1"/>
    <cellStyle name="Followed Hyperlink" xfId="217" builtinId="9" hidden="1"/>
    <cellStyle name="Followed Hyperlink" xfId="2020" builtinId="9" hidden="1"/>
    <cellStyle name="Followed Hyperlink" xfId="2244" builtinId="9" hidden="1"/>
    <cellStyle name="Followed Hyperlink" xfId="408" builtinId="9" hidden="1"/>
    <cellStyle name="Followed Hyperlink" xfId="404" builtinId="9" hidden="1"/>
    <cellStyle name="Followed Hyperlink" xfId="1396" builtinId="9" hidden="1"/>
    <cellStyle name="Followed Hyperlink" xfId="2908" builtinId="9" hidden="1"/>
    <cellStyle name="Followed Hyperlink" xfId="930" builtinId="9" hidden="1"/>
    <cellStyle name="Followed Hyperlink" xfId="496" builtinId="9" hidden="1"/>
    <cellStyle name="Followed Hyperlink" xfId="2592" builtinId="9" hidden="1"/>
    <cellStyle name="Followed Hyperlink" xfId="3678" builtinId="9" hidden="1"/>
    <cellStyle name="Followed Hyperlink" xfId="918" builtinId="9" hidden="1"/>
    <cellStyle name="Followed Hyperlink" xfId="3444" builtinId="9" hidden="1"/>
    <cellStyle name="Followed Hyperlink" xfId="2718" builtinId="9" hidden="1"/>
    <cellStyle name="Followed Hyperlink" xfId="1538" builtinId="9" hidden="1"/>
    <cellStyle name="Followed Hyperlink" xfId="2024" builtinId="9" hidden="1"/>
    <cellStyle name="Followed Hyperlink" xfId="390" builtinId="9" hidden="1"/>
    <cellStyle name="Followed Hyperlink" xfId="2226" builtinId="9" hidden="1"/>
    <cellStyle name="Followed Hyperlink" xfId="2594" builtinId="9" hidden="1"/>
    <cellStyle name="Followed Hyperlink" xfId="2474" builtinId="9" hidden="1"/>
    <cellStyle name="Followed Hyperlink" xfId="308" builtinId="9" hidden="1"/>
    <cellStyle name="Followed Hyperlink" xfId="3456" builtinId="9" hidden="1"/>
    <cellStyle name="Followed Hyperlink" xfId="3640" builtinId="9" hidden="1"/>
    <cellStyle name="Followed Hyperlink" xfId="3162" builtinId="9" hidden="1"/>
    <cellStyle name="Followed Hyperlink" xfId="3476" builtinId="9" hidden="1"/>
    <cellStyle name="Followed Hyperlink" xfId="2904" builtinId="9" hidden="1"/>
    <cellStyle name="Followed Hyperlink" xfId="2514" builtinId="9" hidden="1"/>
    <cellStyle name="Followed Hyperlink" xfId="2764" builtinId="9" hidden="1"/>
    <cellStyle name="Followed Hyperlink" xfId="3188" builtinId="9" hidden="1"/>
    <cellStyle name="Followed Hyperlink" xfId="614" builtinId="9" hidden="1"/>
    <cellStyle name="Followed Hyperlink" xfId="2012" builtinId="9" hidden="1"/>
    <cellStyle name="Followed Hyperlink" xfId="400" builtinId="9" hidden="1"/>
    <cellStyle name="Followed Hyperlink" xfId="2270" builtinId="9" hidden="1"/>
    <cellStyle name="Followed Hyperlink" xfId="1552" builtinId="9" hidden="1"/>
    <cellStyle name="Followed Hyperlink" xfId="1874" builtinId="9" hidden="1"/>
    <cellStyle name="Followed Hyperlink" xfId="1710" builtinId="9" hidden="1"/>
    <cellStyle name="Followed Hyperlink" xfId="2558" builtinId="9" hidden="1"/>
    <cellStyle name="Followed Hyperlink" xfId="1242" builtinId="9" hidden="1"/>
    <cellStyle name="Followed Hyperlink" xfId="1372" builtinId="9" hidden="1"/>
    <cellStyle name="Followed Hyperlink" xfId="2554" builtinId="9" hidden="1"/>
    <cellStyle name="Followed Hyperlink" xfId="960" builtinId="9" hidden="1"/>
    <cellStyle name="Followed Hyperlink" xfId="1226" builtinId="9" hidden="1"/>
    <cellStyle name="Followed Hyperlink" xfId="1202" builtinId="9" hidden="1"/>
    <cellStyle name="Followed Hyperlink" xfId="262" builtinId="9" hidden="1"/>
    <cellStyle name="Followed Hyperlink" xfId="1110" builtinId="9" hidden="1"/>
    <cellStyle name="Followed Hyperlink" xfId="3512" builtinId="9" hidden="1"/>
    <cellStyle name="Followed Hyperlink" xfId="1066" builtinId="9" hidden="1"/>
    <cellStyle name="Followed Hyperlink" xfId="3278" builtinId="9" hidden="1"/>
    <cellStyle name="Followed Hyperlink" xfId="177" builtinId="9" hidden="1"/>
    <cellStyle name="Followed Hyperlink" xfId="238" builtinId="9" hidden="1"/>
    <cellStyle name="Followed Hyperlink" xfId="392" builtinId="9" hidden="1"/>
    <cellStyle name="Followed Hyperlink" xfId="772" builtinId="9" hidden="1"/>
    <cellStyle name="Followed Hyperlink" xfId="97" builtinId="9" hidden="1"/>
    <cellStyle name="Followed Hyperlink" xfId="460" builtinId="9" hidden="1"/>
    <cellStyle name="Followed Hyperlink" xfId="372" builtinId="9" hidden="1"/>
    <cellStyle name="Followed Hyperlink" xfId="1360" builtinId="9" hidden="1"/>
    <cellStyle name="Followed Hyperlink" xfId="1124" builtinId="9" hidden="1"/>
    <cellStyle name="Followed Hyperlink" xfId="434" builtinId="9" hidden="1"/>
    <cellStyle name="Followed Hyperlink" xfId="2282" builtinId="9" hidden="1"/>
    <cellStyle name="Followed Hyperlink" xfId="3142" builtinId="9" hidden="1"/>
    <cellStyle name="Followed Hyperlink" xfId="1274" builtinId="9" hidden="1"/>
    <cellStyle name="Followed Hyperlink" xfId="1002" builtinId="9" hidden="1"/>
    <cellStyle name="Followed Hyperlink" xfId="286" builtinId="9" hidden="1"/>
    <cellStyle name="Followed Hyperlink" xfId="554" builtinId="9" hidden="1"/>
    <cellStyle name="Followed Hyperlink" xfId="3570" builtinId="9" hidden="1"/>
    <cellStyle name="Followed Hyperlink" xfId="2822" builtinId="9" hidden="1"/>
    <cellStyle name="Followed Hyperlink" xfId="3662" builtinId="9" hidden="1"/>
    <cellStyle name="Followed Hyperlink" xfId="1186" builtinId="9" hidden="1"/>
    <cellStyle name="Followed Hyperlink" xfId="1282" builtinId="9" hidden="1"/>
    <cellStyle name="Followed Hyperlink" xfId="1480" builtinId="9" hidden="1"/>
    <cellStyle name="Followed Hyperlink" xfId="3434" builtinId="9" hidden="1"/>
    <cellStyle name="Followed Hyperlink" xfId="2932" builtinId="9" hidden="1"/>
    <cellStyle name="Followed Hyperlink" xfId="886" builtinId="9" hidden="1"/>
    <cellStyle name="Followed Hyperlink" xfId="906" builtinId="9" hidden="1"/>
    <cellStyle name="Followed Hyperlink" xfId="1344" builtinId="9" hidden="1"/>
    <cellStyle name="Followed Hyperlink" xfId="2602" builtinId="9" hidden="1"/>
    <cellStyle name="Followed Hyperlink" xfId="2708" builtinId="9" hidden="1"/>
    <cellStyle name="Followed Hyperlink" xfId="3746" builtinId="9" hidden="1"/>
    <cellStyle name="Followed Hyperlink" xfId="133" builtinId="9" hidden="1"/>
    <cellStyle name="Followed Hyperlink" xfId="2648" builtinId="9" hidden="1"/>
    <cellStyle name="Followed Hyperlink" xfId="1286" builtinId="9" hidden="1"/>
    <cellStyle name="Followed Hyperlink" xfId="1504" builtinId="9" hidden="1"/>
    <cellStyle name="Followed Hyperlink" xfId="794" builtinId="9" hidden="1"/>
    <cellStyle name="Followed Hyperlink" xfId="1976" builtinId="9" hidden="1"/>
    <cellStyle name="Followed Hyperlink" xfId="2628" builtinId="9" hidden="1"/>
    <cellStyle name="Followed Hyperlink" xfId="258" builtinId="9" hidden="1"/>
    <cellStyle name="Followed Hyperlink" xfId="718" builtinId="9" hidden="1"/>
    <cellStyle name="Followed Hyperlink" xfId="2838" builtinId="9" hidden="1"/>
    <cellStyle name="Followed Hyperlink" xfId="2000" builtinId="9" hidden="1"/>
    <cellStyle name="Followed Hyperlink" xfId="1826" builtinId="9" hidden="1"/>
    <cellStyle name="Followed Hyperlink" xfId="2946" builtinId="9" hidden="1"/>
    <cellStyle name="Followed Hyperlink" xfId="3442" builtinId="9" hidden="1"/>
    <cellStyle name="Followed Hyperlink" xfId="3078" builtinId="9" hidden="1"/>
    <cellStyle name="Followed Hyperlink" xfId="1910" builtinId="9" hidden="1"/>
    <cellStyle name="Followed Hyperlink" xfId="1314" builtinId="9" hidden="1"/>
    <cellStyle name="Followed Hyperlink" xfId="618" builtinId="9" hidden="1"/>
    <cellStyle name="Followed Hyperlink" xfId="578" builtinId="9" hidden="1"/>
    <cellStyle name="Followed Hyperlink" xfId="986" builtinId="9" hidden="1"/>
    <cellStyle name="Followed Hyperlink" xfId="3582" builtinId="9" hidden="1"/>
    <cellStyle name="Followed Hyperlink" xfId="2152" builtinId="9" hidden="1"/>
    <cellStyle name="Followed Hyperlink" xfId="3216" builtinId="9" hidden="1"/>
    <cellStyle name="Followed Hyperlink" xfId="103" builtinId="9" hidden="1"/>
    <cellStyle name="Followed Hyperlink" xfId="2730" builtinId="9" hidden="1"/>
    <cellStyle name="Followed Hyperlink" xfId="1130" builtinId="9" hidden="1"/>
    <cellStyle name="Followed Hyperlink" xfId="3260" builtinId="9" hidden="1"/>
    <cellStyle name="Followed Hyperlink" xfId="3092" builtinId="9" hidden="1"/>
    <cellStyle name="Followed Hyperlink" xfId="2520" builtinId="9" hidden="1"/>
    <cellStyle name="Followed Hyperlink" xfId="686" builtinId="9" hidden="1"/>
    <cellStyle name="Followed Hyperlink" xfId="2166" builtinId="9" hidden="1"/>
    <cellStyle name="Followed Hyperlink" xfId="1700" builtinId="9" hidden="1"/>
    <cellStyle name="Followed Hyperlink" xfId="1054" builtinId="9" hidden="1"/>
    <cellStyle name="Followed Hyperlink" xfId="3414" builtinId="9" hidden="1"/>
    <cellStyle name="Followed Hyperlink" xfId="141" builtinId="9" hidden="1"/>
    <cellStyle name="Followed Hyperlink" xfId="1020" builtinId="9" hidden="1"/>
    <cellStyle name="Followed Hyperlink" xfId="1936" builtinId="9" hidden="1"/>
    <cellStyle name="Followed Hyperlink" xfId="2508" builtinId="9" hidden="1"/>
    <cellStyle name="Followed Hyperlink" xfId="1412" builtinId="9" hidden="1"/>
    <cellStyle name="Followed Hyperlink" xfId="49" builtinId="9" hidden="1"/>
    <cellStyle name="Followed Hyperlink" xfId="644" builtinId="9" hidden="1"/>
    <cellStyle name="Followed Hyperlink" xfId="2660" builtinId="9" hidden="1"/>
    <cellStyle name="Followed Hyperlink" xfId="2488" builtinId="9" hidden="1"/>
    <cellStyle name="Followed Hyperlink" xfId="3248" builtinId="9" hidden="1"/>
    <cellStyle name="Followed Hyperlink" xfId="1610" builtinId="9" hidden="1"/>
    <cellStyle name="Followed Hyperlink" xfId="2102" builtinId="9" hidden="1"/>
    <cellStyle name="Followed Hyperlink" xfId="51" builtinId="9" hidden="1"/>
    <cellStyle name="Followed Hyperlink" xfId="1992" builtinId="9" hidden="1"/>
    <cellStyle name="Followed Hyperlink" xfId="1898" builtinId="9" hidden="1"/>
    <cellStyle name="Followed Hyperlink" xfId="155" builtinId="9" hidden="1"/>
    <cellStyle name="Followed Hyperlink" xfId="858" builtinId="9" hidden="1"/>
    <cellStyle name="Followed Hyperlink" xfId="1462" builtinId="9" hidden="1"/>
    <cellStyle name="Followed Hyperlink" xfId="692" builtinId="9" hidden="1"/>
    <cellStyle name="Followed Hyperlink" xfId="2704" builtinId="9" hidden="1"/>
    <cellStyle name="Followed Hyperlink" xfId="1468" builtinId="9" hidden="1"/>
    <cellStyle name="Followed Hyperlink" xfId="1366" builtinId="9" hidden="1"/>
    <cellStyle name="Followed Hyperlink" xfId="3156" builtinId="9" hidden="1"/>
    <cellStyle name="Followed Hyperlink" xfId="1248" builtinId="9" hidden="1"/>
    <cellStyle name="Followed Hyperlink" xfId="1444" builtinId="9" hidden="1"/>
    <cellStyle name="Followed Hyperlink" xfId="768" builtinId="9" hidden="1"/>
    <cellStyle name="Followed Hyperlink" xfId="2734" builtinId="9" hidden="1"/>
    <cellStyle name="Followed Hyperlink" xfId="3232" builtinId="9" hidden="1"/>
    <cellStyle name="Followed Hyperlink" xfId="1746" builtinId="9" hidden="1"/>
    <cellStyle name="Followed Hyperlink" xfId="624" builtinId="9" hidden="1"/>
    <cellStyle name="Followed Hyperlink" xfId="3346" builtinId="9" hidden="1"/>
    <cellStyle name="Followed Hyperlink" xfId="45" builtinId="9" hidden="1"/>
    <cellStyle name="Followed Hyperlink" xfId="3546" builtinId="9" hidden="1"/>
    <cellStyle name="Followed Hyperlink" xfId="23" builtinId="9" hidden="1"/>
    <cellStyle name="Followed Hyperlink" xfId="714" builtinId="9" hidden="1"/>
    <cellStyle name="Followed Hyperlink" xfId="518" builtinId="9" hidden="1"/>
    <cellStyle name="Followed Hyperlink" xfId="3110" builtinId="9" hidden="1"/>
    <cellStyle name="Followed Hyperlink" xfId="2588" builtinId="9" hidden="1"/>
    <cellStyle name="Followed Hyperlink" xfId="322" builtinId="9" hidden="1"/>
    <cellStyle name="Followed Hyperlink" xfId="3664" builtinId="9" hidden="1"/>
    <cellStyle name="Followed Hyperlink" xfId="696" builtinId="9" hidden="1"/>
    <cellStyle name="Followed Hyperlink" xfId="1798" builtinId="9" hidden="1"/>
    <cellStyle name="Followed Hyperlink" xfId="2164" builtinId="9" hidden="1"/>
    <cellStyle name="Followed Hyperlink" xfId="3060" builtinId="9" hidden="1"/>
    <cellStyle name="Followed Hyperlink" xfId="354" builtinId="9" hidden="1"/>
    <cellStyle name="Followed Hyperlink" xfId="1114" builtinId="9" hidden="1"/>
    <cellStyle name="Followed Hyperlink" xfId="788" builtinId="9" hidden="1"/>
    <cellStyle name="Followed Hyperlink" xfId="1228" builtinId="9" hidden="1"/>
    <cellStyle name="Followed Hyperlink" xfId="854" builtinId="9" hidden="1"/>
    <cellStyle name="Followed Hyperlink" xfId="952" builtinId="9" hidden="1"/>
    <cellStyle name="Followed Hyperlink" xfId="1120" builtinId="9" hidden="1"/>
    <cellStyle name="Followed Hyperlink" xfId="3034" builtinId="9" hidden="1"/>
    <cellStyle name="Followed Hyperlink" xfId="1810" builtinId="9" hidden="1"/>
    <cellStyle name="Followed Hyperlink" xfId="3054" builtinId="9" hidden="1"/>
    <cellStyle name="Followed Hyperlink" xfId="1140" builtinId="9" hidden="1"/>
    <cellStyle name="Followed Hyperlink" xfId="422" builtinId="9" hidden="1"/>
    <cellStyle name="Followed Hyperlink" xfId="1198" builtinId="9" hidden="1"/>
    <cellStyle name="Followed Hyperlink" xfId="183" builtinId="9" hidden="1"/>
    <cellStyle name="Followed Hyperlink" xfId="996" builtinId="9" hidden="1"/>
    <cellStyle name="Followed Hyperlink" xfId="3356" builtinId="9" hidden="1"/>
    <cellStyle name="Followed Hyperlink" xfId="3022" builtinId="9" hidden="1"/>
    <cellStyle name="Followed Hyperlink" xfId="1514" builtinId="9" hidden="1"/>
    <cellStyle name="Followed Hyperlink" xfId="3308" builtinId="9" hidden="1"/>
    <cellStyle name="Followed Hyperlink" xfId="1342" builtinId="9" hidden="1"/>
    <cellStyle name="Followed Hyperlink" xfId="3330" builtinId="9" hidden="1"/>
    <cellStyle name="Followed Hyperlink" xfId="574" builtinId="9" hidden="1"/>
    <cellStyle name="Followed Hyperlink" xfId="432" builtinId="9" hidden="1"/>
    <cellStyle name="Followed Hyperlink" xfId="2214" builtinId="9" hidden="1"/>
    <cellStyle name="Followed Hyperlink" xfId="2618" builtinId="9" hidden="1"/>
    <cellStyle name="Followed Hyperlink" xfId="1082" builtinId="9" hidden="1"/>
    <cellStyle name="Followed Hyperlink" xfId="2568" builtinId="9" hidden="1"/>
    <cellStyle name="Followed Hyperlink" xfId="3114" builtinId="9" hidden="1"/>
    <cellStyle name="Followed Hyperlink" xfId="67" builtinId="9" hidden="1"/>
    <cellStyle name="Followed Hyperlink" xfId="2820" builtinId="9" hidden="1"/>
    <cellStyle name="Followed Hyperlink" xfId="2388" builtinId="9" hidden="1"/>
    <cellStyle name="Followed Hyperlink" xfId="740" builtinId="9" hidden="1"/>
    <cellStyle name="Followed Hyperlink" xfId="2926" builtinId="9" hidden="1"/>
    <cellStyle name="Followed Hyperlink" xfId="992" builtinId="9" hidden="1"/>
    <cellStyle name="Followed Hyperlink" xfId="1348" builtinId="9" hidden="1"/>
    <cellStyle name="Followed Hyperlink" xfId="121" builtinId="9" hidden="1"/>
    <cellStyle name="Followed Hyperlink" xfId="1012" builtinId="9" hidden="1"/>
    <cellStyle name="Followed Hyperlink" xfId="1536" builtinId="9" hidden="1"/>
    <cellStyle name="Followed Hyperlink" xfId="1886" builtinId="9" hidden="1"/>
    <cellStyle name="Followed Hyperlink" xfId="3354" builtinId="9" hidden="1"/>
    <cellStyle name="Followed Hyperlink" xfId="2892" builtinId="9" hidden="1"/>
    <cellStyle name="Followed Hyperlink" xfId="2112" builtinId="9" hidden="1"/>
    <cellStyle name="Followed Hyperlink" xfId="2980" builtinId="9" hidden="1"/>
    <cellStyle name="Followed Hyperlink" xfId="2930" builtinId="9" hidden="1"/>
    <cellStyle name="Followed Hyperlink" xfId="2358" builtinId="9" hidden="1"/>
    <cellStyle name="Followed Hyperlink" xfId="81" builtinId="9" hidden="1"/>
    <cellStyle name="Followed Hyperlink" xfId="1830" builtinId="9" hidden="1"/>
    <cellStyle name="Followed Hyperlink" xfId="1982" builtinId="9" hidden="1"/>
    <cellStyle name="Followed Hyperlink" xfId="602" builtinId="9" hidden="1"/>
    <cellStyle name="Followed Hyperlink" xfId="378" builtinId="9" hidden="1"/>
    <cellStyle name="Followed Hyperlink" xfId="954" builtinId="9" hidden="1"/>
    <cellStyle name="Followed Hyperlink" xfId="3734" builtinId="9" hidden="1"/>
    <cellStyle name="Followed Hyperlink" xfId="1890" builtinId="9" hidden="1"/>
    <cellStyle name="Followed Hyperlink" xfId="684" builtinId="9" hidden="1"/>
    <cellStyle name="Followed Hyperlink" xfId="3242" builtinId="9" hidden="1"/>
    <cellStyle name="Followed Hyperlink" xfId="3724" builtinId="9" hidden="1"/>
    <cellStyle name="Followed Hyperlink" xfId="3152" builtinId="9" hidden="1"/>
    <cellStyle name="Followed Hyperlink" xfId="2580" builtinId="9" hidden="1"/>
    <cellStyle name="Followed Hyperlink" xfId="3328" builtinId="9" hidden="1"/>
    <cellStyle name="Followed Hyperlink" xfId="3288" builtinId="9" hidden="1"/>
    <cellStyle name="Followed Hyperlink" xfId="1418" builtinId="9" hidden="1"/>
    <cellStyle name="Followed Hyperlink" xfId="458" builtinId="9" hidden="1"/>
    <cellStyle name="Followed Hyperlink" xfId="3076" builtinId="9" hidden="1"/>
    <cellStyle name="Followed Hyperlink" xfId="1280" builtinId="9" hidden="1"/>
    <cellStyle name="Followed Hyperlink" xfId="340" builtinId="9" hidden="1"/>
    <cellStyle name="Followed Hyperlink" xfId="1876" builtinId="9" hidden="1"/>
    <cellStyle name="Followed Hyperlink" xfId="2204" builtinId="9" hidden="1"/>
    <cellStyle name="Followed Hyperlink" xfId="1438" builtinId="9" hidden="1"/>
    <cellStyle name="Followed Hyperlink" xfId="1490" builtinId="9" hidden="1"/>
    <cellStyle name="Followed Hyperlink" xfId="1080" builtinId="9" hidden="1"/>
    <cellStyle name="Followed Hyperlink" xfId="440" builtinId="9" hidden="1"/>
    <cellStyle name="Followed Hyperlink" xfId="2230" builtinId="9" hidden="1"/>
    <cellStyle name="Followed Hyperlink" xfId="1658" builtinId="9" hidden="1"/>
    <cellStyle name="Followed Hyperlink" xfId="1086" builtinId="9" hidden="1"/>
    <cellStyle name="Followed Hyperlink" xfId="2138" builtinId="9" hidden="1"/>
    <cellStyle name="Followed Hyperlink" xfId="2614" builtinId="9" hidden="1"/>
    <cellStyle name="Followed Hyperlink" xfId="2816" builtinId="9" hidden="1"/>
    <cellStyle name="Followed Hyperlink" xfId="1218" builtinId="9" hidden="1"/>
    <cellStyle name="Followed Hyperlink" xfId="750" builtinId="9" hidden="1"/>
    <cellStyle name="Followed Hyperlink" xfId="364" builtinId="9" hidden="1"/>
    <cellStyle name="Followed Hyperlink" xfId="129" builtinId="9" hidden="1"/>
    <cellStyle name="Followed Hyperlink" xfId="1494" builtinId="9" hidden="1"/>
    <cellStyle name="Followed Hyperlink" xfId="3616" builtinId="9" hidden="1"/>
    <cellStyle name="Followed Hyperlink" xfId="3728" builtinId="9" hidden="1"/>
    <cellStyle name="Followed Hyperlink" xfId="3630" builtinId="9" hidden="1"/>
    <cellStyle name="Followed Hyperlink" xfId="240" builtinId="9" hidden="1"/>
    <cellStyle name="Followed Hyperlink" xfId="3186" builtinId="9" hidden="1"/>
    <cellStyle name="Followed Hyperlink" xfId="734" builtinId="9" hidden="1"/>
    <cellStyle name="Followed Hyperlink" xfId="1188" builtinId="9" hidden="1"/>
    <cellStyle name="Followed Hyperlink" xfId="2724" builtinId="9" hidden="1"/>
    <cellStyle name="Followed Hyperlink" xfId="3144" builtinId="9" hidden="1"/>
    <cellStyle name="Followed Hyperlink" xfId="2412" builtinId="9" hidden="1"/>
    <cellStyle name="Followed Hyperlink" xfId="2494" builtinId="9" hidden="1"/>
    <cellStyle name="Followed Hyperlink" xfId="3524" builtinId="9" hidden="1"/>
    <cellStyle name="Followed Hyperlink" xfId="2296" builtinId="9" hidden="1"/>
    <cellStyle name="Followed Hyperlink" xfId="1340" builtinId="9" hidden="1"/>
    <cellStyle name="Followed Hyperlink" xfId="2998" builtinId="9" hidden="1"/>
    <cellStyle name="Followed Hyperlink" xfId="2674" builtinId="9" hidden="1"/>
    <cellStyle name="Followed Hyperlink" xfId="348" builtinId="9" hidden="1"/>
    <cellStyle name="Followed Hyperlink" xfId="3350" builtinId="9" hidden="1"/>
    <cellStyle name="Followed Hyperlink" xfId="3452" builtinId="9" hidden="1"/>
    <cellStyle name="Followed Hyperlink" xfId="2716" builtinId="9" hidden="1"/>
    <cellStyle name="Followed Hyperlink" xfId="2830" builtinId="9" hidden="1"/>
    <cellStyle name="Followed Hyperlink" xfId="2262" builtinId="9" hidden="1"/>
    <cellStyle name="Followed Hyperlink" xfId="3490" builtinId="9" hidden="1"/>
    <cellStyle name="Followed Hyperlink" xfId="1786" builtinId="9" hidden="1"/>
    <cellStyle name="Followed Hyperlink" xfId="2354" builtinId="9" hidden="1"/>
    <cellStyle name="Followed Hyperlink" xfId="2448" builtinId="9" hidden="1"/>
    <cellStyle name="Followed Hyperlink" xfId="3498" builtinId="9" hidden="1"/>
    <cellStyle name="Followed Hyperlink" xfId="792" builtinId="9" hidden="1"/>
    <cellStyle name="Followed Hyperlink" xfId="2466" builtinId="9" hidden="1"/>
    <cellStyle name="Followed Hyperlink" xfId="1650" builtinId="9" hidden="1"/>
    <cellStyle name="Followed Hyperlink" xfId="1384" builtinId="9" hidden="1"/>
    <cellStyle name="Followed Hyperlink" xfId="1580" builtinId="9" hidden="1"/>
    <cellStyle name="Followed Hyperlink" xfId="606" builtinId="9" hidden="1"/>
    <cellStyle name="Followed Hyperlink" xfId="1932" builtinId="9" hidden="1"/>
    <cellStyle name="Followed Hyperlink" xfId="3628" builtinId="9" hidden="1"/>
    <cellStyle name="Followed Hyperlink" xfId="810" builtinId="9" hidden="1"/>
    <cellStyle name="Followed Hyperlink" xfId="732" builtinId="9" hidden="1"/>
    <cellStyle name="Followed Hyperlink" xfId="2862" builtinId="9" hidden="1"/>
    <cellStyle name="Followed Hyperlink" xfId="3010" builtinId="9" hidden="1"/>
    <cellStyle name="Followed Hyperlink" xfId="87" builtinId="9" hidden="1"/>
    <cellStyle name="Followed Hyperlink" xfId="572" builtinId="9" hidden="1"/>
    <cellStyle name="Followed Hyperlink" xfId="1918" builtinId="9" hidden="1"/>
    <cellStyle name="Followed Hyperlink" xfId="2664" builtinId="9" hidden="1"/>
    <cellStyle name="Followed Hyperlink" xfId="1720" builtinId="9" hidden="1"/>
    <cellStyle name="Followed Hyperlink" xfId="105" builtinId="9" hidden="1"/>
    <cellStyle name="Followed Hyperlink" xfId="1684" builtinId="9" hidden="1"/>
    <cellStyle name="Followed Hyperlink" xfId="646" builtinId="9" hidden="1"/>
    <cellStyle name="Followed Hyperlink" xfId="3404" builtinId="9" hidden="1"/>
    <cellStyle name="Followed Hyperlink" xfId="1974" builtinId="9" hidden="1"/>
    <cellStyle name="Followed Hyperlink" xfId="2036" builtinId="9" hidden="1"/>
    <cellStyle name="Followed Hyperlink" xfId="1622" builtinId="9" hidden="1"/>
    <cellStyle name="Followed Hyperlink" xfId="95" builtinId="9" hidden="1"/>
    <cellStyle name="Followed Hyperlink" xfId="850" builtinId="9" hidden="1"/>
    <cellStyle name="Followed Hyperlink" xfId="592" builtinId="9" hidden="1"/>
    <cellStyle name="Followed Hyperlink" xfId="3470" builtinId="9" hidden="1"/>
    <cellStyle name="Followed Hyperlink" xfId="3532" builtinId="9" hidden="1"/>
    <cellStyle name="Followed Hyperlink" xfId="2986" builtinId="9" hidden="1"/>
    <cellStyle name="Followed Hyperlink" xfId="3268" builtinId="9" hidden="1"/>
    <cellStyle name="Followed Hyperlink" xfId="3244" builtinId="9" hidden="1"/>
    <cellStyle name="Followed Hyperlink" xfId="2106" builtinId="9" hidden="1"/>
    <cellStyle name="Followed Hyperlink" xfId="3104" builtinId="9" hidden="1"/>
    <cellStyle name="Followed Hyperlink" xfId="1764" builtinId="9" hidden="1"/>
    <cellStyle name="Followed Hyperlink" xfId="2292" builtinId="9" hidden="1"/>
    <cellStyle name="Followed Hyperlink" xfId="3042" builtinId="9" hidden="1"/>
    <cellStyle name="Followed Hyperlink" xfId="2132" builtinId="9" hidden="1"/>
    <cellStyle name="Followed Hyperlink" xfId="1148" builtinId="9" hidden="1"/>
    <cellStyle name="Followed Hyperlink" xfId="728" builtinId="9" hidden="1"/>
    <cellStyle name="Followed Hyperlink" xfId="706" builtinId="9" hidden="1"/>
    <cellStyle name="Followed Hyperlink" xfId="1902" builtinId="9" hidden="1"/>
    <cellStyle name="Followed Hyperlink" xfId="916" builtinId="9" hidden="1"/>
    <cellStyle name="Followed Hyperlink" xfId="306" builtinId="9" hidden="1"/>
    <cellStyle name="Followed Hyperlink" xfId="1048" builtinId="9" hidden="1"/>
    <cellStyle name="Followed Hyperlink" xfId="3534" builtinId="9" hidden="1"/>
    <cellStyle name="Followed Hyperlink" xfId="1904" builtinId="9" hidden="1"/>
    <cellStyle name="Followed Hyperlink" xfId="1940" builtinId="9" hidden="1"/>
    <cellStyle name="Followed Hyperlink" xfId="962" builtinId="9" hidden="1"/>
    <cellStyle name="Followed Hyperlink" xfId="3062" builtinId="9" hidden="1"/>
    <cellStyle name="Followed Hyperlink" xfId="3094" builtinId="9" hidden="1"/>
    <cellStyle name="Followed Hyperlink" xfId="1554" builtinId="9" hidden="1"/>
    <cellStyle name="Followed Hyperlink" xfId="1824" builtinId="9" hidden="1"/>
    <cellStyle name="Followed Hyperlink" xfId="3754" builtinId="9" hidden="1"/>
    <cellStyle name="Followed Hyperlink" xfId="968" builtinId="9" hidden="1"/>
    <cellStyle name="Followed Hyperlink" xfId="2346" builtinId="9" hidden="1"/>
    <cellStyle name="Followed Hyperlink" xfId="2636" builtinId="9" hidden="1"/>
    <cellStyle name="Followed Hyperlink" xfId="1496" builtinId="9" hidden="1"/>
    <cellStyle name="Followed Hyperlink" xfId="2918" builtinId="9" hidden="1"/>
    <cellStyle name="Followed Hyperlink" xfId="2298" builtinId="9" hidden="1"/>
    <cellStyle name="Followed Hyperlink" xfId="1220" builtinId="9" hidden="1"/>
    <cellStyle name="Followed Hyperlink" xfId="670" builtinId="9" hidden="1"/>
    <cellStyle name="Followed Hyperlink" xfId="1244" builtinId="9" hidden="1"/>
    <cellStyle name="Followed Hyperlink" xfId="3710" builtinId="9" hidden="1"/>
    <cellStyle name="Followed Hyperlink" xfId="2750" builtinId="9" hidden="1"/>
    <cellStyle name="Followed Hyperlink" xfId="2960" builtinId="9" hidden="1"/>
    <cellStyle name="Followed Hyperlink" xfId="2550" builtinId="9" hidden="1"/>
    <cellStyle name="Followed Hyperlink" xfId="3718" builtinId="9" hidden="1"/>
    <cellStyle name="Followed Hyperlink" xfId="77" builtinId="9" hidden="1"/>
    <cellStyle name="Followed Hyperlink" xfId="1210" builtinId="9" hidden="1"/>
    <cellStyle name="Followed Hyperlink" xfId="2454" builtinId="9" hidden="1"/>
    <cellStyle name="Followed Hyperlink" xfId="1882" builtinId="9" hidden="1"/>
    <cellStyle name="Followed Hyperlink" xfId="179" builtinId="9" hidden="1"/>
    <cellStyle name="Followed Hyperlink" xfId="468" builtinId="9" hidden="1"/>
    <cellStyle name="Followed Hyperlink" xfId="3518" builtinId="9" hidden="1"/>
    <cellStyle name="Followed Hyperlink" xfId="1022" builtinId="9" hidden="1"/>
    <cellStyle name="Followed Hyperlink" xfId="2286" builtinId="9" hidden="1"/>
    <cellStyle name="Followed Hyperlink" xfId="1806" builtinId="9" hidden="1"/>
    <cellStyle name="Followed Hyperlink" xfId="2738" builtinId="9" hidden="1"/>
    <cellStyle name="Followed Hyperlink" xfId="1878" builtinId="9" hidden="1"/>
    <cellStyle name="Followed Hyperlink" xfId="3412" builtinId="9" hidden="1"/>
    <cellStyle name="Followed Hyperlink" xfId="3084" builtinId="9" hidden="1"/>
    <cellStyle name="Followed Hyperlink" xfId="1870" builtinId="9" hidden="1"/>
    <cellStyle name="Followed Hyperlink" xfId="2536" builtinId="9" hidden="1"/>
    <cellStyle name="Followed Hyperlink" xfId="234" builtinId="9" hidden="1"/>
    <cellStyle name="Followed Hyperlink" xfId="3340" builtinId="9" hidden="1"/>
    <cellStyle name="Followed Hyperlink" xfId="2390" builtinId="9" hidden="1"/>
    <cellStyle name="Followed Hyperlink" xfId="292" builtinId="9" hidden="1"/>
    <cellStyle name="Followed Hyperlink" xfId="800" builtinId="9" hidden="1"/>
    <cellStyle name="Followed Hyperlink" xfId="864" builtinId="9" hidden="1"/>
    <cellStyle name="Followed Hyperlink" xfId="2754" builtinId="9" hidden="1"/>
    <cellStyle name="Followed Hyperlink" xfId="3352" builtinId="9" hidden="1"/>
    <cellStyle name="Followed Hyperlink" xfId="137" builtinId="9" hidden="1"/>
    <cellStyle name="Followed Hyperlink" xfId="1738" builtinId="9" hidden="1"/>
    <cellStyle name="Followed Hyperlink" xfId="514" builtinId="9" hidden="1"/>
    <cellStyle name="Followed Hyperlink" xfId="1718" builtinId="9" hidden="1"/>
    <cellStyle name="Followed Hyperlink" xfId="2162" builtinId="9" hidden="1"/>
    <cellStyle name="Followed Hyperlink" xfId="1590" builtinId="9" hidden="1"/>
    <cellStyle name="Followed Hyperlink" xfId="69" builtinId="9" hidden="1"/>
    <cellStyle name="Followed Hyperlink" xfId="2078" builtinId="9" hidden="1"/>
    <cellStyle name="Followed Hyperlink" xfId="2076" builtinId="9" hidden="1"/>
    <cellStyle name="Followed Hyperlink" xfId="2216" builtinId="9" hidden="1"/>
    <cellStyle name="Followed Hyperlink" xfId="1150" builtinId="9" hidden="1"/>
    <cellStyle name="Followed Hyperlink" xfId="1722" builtinId="9" hidden="1"/>
    <cellStyle name="Followed Hyperlink" xfId="1234" builtinId="9" hidden="1"/>
    <cellStyle name="Followed Hyperlink" xfId="926" builtinId="9" hidden="1"/>
    <cellStyle name="Followed Hyperlink" xfId="1602" builtinId="9" hidden="1"/>
    <cellStyle name="Followed Hyperlink" xfId="3528" builtinId="9" hidden="1"/>
    <cellStyle name="Followed Hyperlink" xfId="2452" builtinId="9" hidden="1"/>
    <cellStyle name="Followed Hyperlink" xfId="2384" builtinId="9" hidden="1"/>
    <cellStyle name="Followed Hyperlink" xfId="1796" builtinId="9" hidden="1"/>
    <cellStyle name="Followed Hyperlink" xfId="374" builtinId="9" hidden="1"/>
    <cellStyle name="Followed Hyperlink" xfId="1808" builtinId="9" hidden="1"/>
    <cellStyle name="Followed Hyperlink" xfId="342" builtinId="9" hidden="1"/>
    <cellStyle name="Followed Hyperlink" xfId="566" builtinId="9" hidden="1"/>
    <cellStyle name="Followed Hyperlink" xfId="2958" builtinId="9" hidden="1"/>
    <cellStyle name="Followed Hyperlink" xfId="1844" builtinId="9" hidden="1"/>
    <cellStyle name="Followed Hyperlink" xfId="1064" builtinId="9" hidden="1"/>
    <cellStyle name="Followed Hyperlink" xfId="2644" builtinId="9" hidden="1"/>
    <cellStyle name="Followed Hyperlink" xfId="282" builtinId="9" hidden="1"/>
    <cellStyle name="Followed Hyperlink" xfId="272" builtinId="9" hidden="1"/>
    <cellStyle name="Followed Hyperlink" xfId="3204" builtinId="9" hidden="1"/>
    <cellStyle name="Followed Hyperlink" xfId="2264" builtinId="9" hidden="1"/>
    <cellStyle name="Followed Hyperlink" xfId="3090" builtinId="9" hidden="1"/>
    <cellStyle name="Followed Hyperlink" xfId="117" builtinId="9" hidden="1"/>
    <cellStyle name="Followed Hyperlink" xfId="890" builtinId="9" hidden="1"/>
    <cellStyle name="Followed Hyperlink" xfId="3578" builtinId="9" hidden="1"/>
    <cellStyle name="Followed Hyperlink" xfId="2586" builtinId="9" hidden="1"/>
    <cellStyle name="Followed Hyperlink" xfId="3208" builtinId="9" hidden="1"/>
    <cellStyle name="Followed Hyperlink" xfId="2864" builtinId="9" hidden="1"/>
    <cellStyle name="Followed Hyperlink" xfId="2578" builtinId="9" hidden="1"/>
    <cellStyle name="Followed Hyperlink" xfId="508" builtinId="9" hidden="1"/>
    <cellStyle name="Followed Hyperlink" xfId="1232" builtinId="9" hidden="1"/>
    <cellStyle name="Followed Hyperlink" xfId="520" builtinId="9" hidden="1"/>
    <cellStyle name="Followed Hyperlink" xfId="3400" builtinId="9" hidden="1"/>
    <cellStyle name="Followed Hyperlink" xfId="814" builtinId="9" hidden="1"/>
    <cellStyle name="Followed Hyperlink" xfId="2256" builtinId="9" hidden="1"/>
    <cellStyle name="Followed Hyperlink" xfId="1804" builtinId="9" hidden="1"/>
    <cellStyle name="Followed Hyperlink" xfId="1112" builtinId="9" hidden="1"/>
    <cellStyle name="Followed Hyperlink" xfId="1888" builtinId="9" hidden="1"/>
    <cellStyle name="Followed Hyperlink" xfId="89" builtinId="9" hidden="1"/>
    <cellStyle name="Followed Hyperlink" xfId="3194" builtinId="9" hidden="1"/>
    <cellStyle name="Followed Hyperlink" xfId="2368" builtinId="9" hidden="1"/>
    <cellStyle name="Followed Hyperlink" xfId="1674" builtinId="9" hidden="1"/>
    <cellStyle name="Followed Hyperlink" xfId="2428" builtinId="9" hidden="1"/>
    <cellStyle name="Followed Hyperlink" xfId="1766" builtinId="9" hidden="1"/>
    <cellStyle name="Followed Hyperlink" xfId="452" builtinId="9" hidden="1"/>
    <cellStyle name="Followed Hyperlink" xfId="230" builtinId="9" hidden="1"/>
    <cellStyle name="Followed Hyperlink" xfId="2858" builtinId="9" hidden="1"/>
    <cellStyle name="Followed Hyperlink" xfId="2610" builtinId="9" hidden="1"/>
    <cellStyle name="Followed Hyperlink" xfId="1192" builtinId="9" hidden="1"/>
    <cellStyle name="Followed Hyperlink" xfId="3284" builtinId="9" hidden="1"/>
    <cellStyle name="Followed Hyperlink" xfId="762" builtinId="9" hidden="1"/>
    <cellStyle name="Followed Hyperlink" xfId="1530" builtinId="9" hidden="1"/>
    <cellStyle name="Followed Hyperlink" xfId="1428" builtinId="9" hidden="1"/>
    <cellStyle name="Followed Hyperlink" xfId="628" builtinId="9" hidden="1"/>
    <cellStyle name="Followed Hyperlink" xfId="1406" builtinId="9" hidden="1"/>
    <cellStyle name="Followed Hyperlink" xfId="516" builtinId="9" hidden="1"/>
    <cellStyle name="Followed Hyperlink" xfId="2418" builtinId="9" hidden="1"/>
    <cellStyle name="Followed Hyperlink" xfId="1926" builtinId="9" hidden="1"/>
    <cellStyle name="Followed Hyperlink" xfId="2098" builtinId="9" hidden="1"/>
    <cellStyle name="Followed Hyperlink" xfId="934" builtinId="9" hidden="1"/>
    <cellStyle name="Followed Hyperlink" xfId="2898" builtinId="9" hidden="1"/>
    <cellStyle name="Followed Hyperlink" xfId="2128" builtinId="9" hidden="1"/>
    <cellStyle name="Followed Hyperlink" xfId="2988" builtinId="9" hidden="1"/>
    <cellStyle name="Followed Hyperlink" xfId="3004" builtinId="9" hidden="1"/>
    <cellStyle name="Followed Hyperlink" xfId="1426" builtinId="9" hidden="1"/>
    <cellStyle name="Followed Hyperlink" xfId="2416" builtinId="9" hidden="1"/>
    <cellStyle name="Followed Hyperlink" xfId="2134" builtinId="9" hidden="1"/>
    <cellStyle name="Followed Hyperlink" xfId="2124" builtinId="9" hidden="1"/>
    <cellStyle name="Followed Hyperlink" xfId="1756" builtinId="9" hidden="1"/>
    <cellStyle name="Followed Hyperlink" xfId="1350" builtinId="9" hidden="1"/>
    <cellStyle name="Followed Hyperlink" xfId="2086" builtinId="9" hidden="1"/>
    <cellStyle name="Followed Hyperlink" xfId="3290" builtinId="9" hidden="1"/>
    <cellStyle name="Followed Hyperlink" xfId="616" builtinId="9" hidden="1"/>
    <cellStyle name="Followed Hyperlink" xfId="388" builtinId="9" hidden="1"/>
    <cellStyle name="Followed Hyperlink" xfId="3462" builtinId="9" hidden="1"/>
    <cellStyle name="Followed Hyperlink" xfId="2006" builtinId="9" hidden="1"/>
    <cellStyle name="Followed Hyperlink" xfId="1206" builtinId="9" hidden="1"/>
    <cellStyle name="Followed Hyperlink" xfId="1478" builtinId="9" hidden="1"/>
    <cellStyle name="Followed Hyperlink" xfId="1204" builtinId="9" hidden="1"/>
    <cellStyle name="Followed Hyperlink" xfId="386" builtinId="9" hidden="1"/>
    <cellStyle name="Followed Hyperlink" xfId="3394" builtinId="9" hidden="1"/>
    <cellStyle name="Followed Hyperlink" xfId="1534" builtinId="9" hidden="1"/>
    <cellStyle name="Followed Hyperlink" xfId="2348" builtinId="9" hidden="1"/>
    <cellStyle name="Followed Hyperlink" xfId="2678" builtinId="9" hidden="1"/>
    <cellStyle name="Followed Hyperlink" xfId="1240" builtinId="9" hidden="1"/>
    <cellStyle name="Followed Hyperlink" xfId="3368" builtinId="9" hidden="1"/>
    <cellStyle name="Followed Hyperlink" xfId="1330" builtinId="9" hidden="1"/>
    <cellStyle name="Followed Hyperlink" xfId="2572" builtinId="9" hidden="1"/>
    <cellStyle name="Followed Hyperlink" xfId="3686" builtinId="9" hidden="1"/>
    <cellStyle name="Followed Hyperlink" xfId="780" builtinId="9" hidden="1"/>
    <cellStyle name="Followed Hyperlink" xfId="856" builtinId="9" hidden="1"/>
    <cellStyle name="Followed Hyperlink" xfId="456" builtinId="9" hidden="1"/>
    <cellStyle name="Followed Hyperlink" xfId="300" builtinId="9" hidden="1"/>
    <cellStyle name="Followed Hyperlink" xfId="3106" builtinId="9" hidden="1"/>
    <cellStyle name="Followed Hyperlink" xfId="1160" builtinId="9" hidden="1"/>
    <cellStyle name="Followed Hyperlink" xfId="2426" builtinId="9" hidden="1"/>
    <cellStyle name="Followed Hyperlink" xfId="2890" builtinId="9" hidden="1"/>
    <cellStyle name="Followed Hyperlink" xfId="3028" builtinId="9" hidden="1"/>
    <cellStyle name="Followed Hyperlink" xfId="3600" builtinId="9" hidden="1"/>
    <cellStyle name="Followed Hyperlink" xfId="3366" builtinId="9" hidden="1"/>
    <cellStyle name="Followed Hyperlink" xfId="2180" builtinId="9" hidden="1"/>
    <cellStyle name="Followed Hyperlink" xfId="2176" builtinId="9" hidden="1"/>
    <cellStyle name="Followed Hyperlink" xfId="2876" builtinId="9" hidden="1"/>
    <cellStyle name="Followed Hyperlink" xfId="1930" builtinId="9" hidden="1"/>
    <cellStyle name="Followed Hyperlink" xfId="3638" builtinId="9" hidden="1"/>
    <cellStyle name="Followed Hyperlink" xfId="1730" builtinId="9" hidden="1"/>
    <cellStyle name="Followed Hyperlink" xfId="2120" builtinId="9" hidden="1"/>
    <cellStyle name="Followed Hyperlink" xfId="1134" builtinId="9" hidden="1"/>
    <cellStyle name="Followed Hyperlink" xfId="3384" builtinId="9" hidden="1"/>
    <cellStyle name="Followed Hyperlink" xfId="2096" builtinId="9" hidden="1"/>
    <cellStyle name="Followed Hyperlink" xfId="2806" builtinId="9" hidden="1"/>
    <cellStyle name="Followed Hyperlink" xfId="3378" builtinId="9" hidden="1"/>
    <cellStyle name="Followed Hyperlink" xfId="1774" builtinId="9" hidden="1"/>
    <cellStyle name="Followed Hyperlink" xfId="2326" builtinId="9" hidden="1"/>
    <cellStyle name="Followed Hyperlink" xfId="1362" builtinId="9" hidden="1"/>
    <cellStyle name="Followed Hyperlink" xfId="2116" builtinId="9" hidden="1"/>
    <cellStyle name="Followed Hyperlink" xfId="1812" builtinId="9" hidden="1"/>
    <cellStyle name="Followed Hyperlink" xfId="726" builtinId="9" hidden="1"/>
    <cellStyle name="Followed Hyperlink" xfId="376" builtinId="9" hidden="1"/>
    <cellStyle name="Followed Hyperlink" xfId="203" builtinId="9" hidden="1"/>
    <cellStyle name="Followed Hyperlink" xfId="1828" builtinId="9" hidden="1"/>
    <cellStyle name="Followed Hyperlink" xfId="2942" builtinId="9" hidden="1"/>
    <cellStyle name="Followed Hyperlink" xfId="3256" builtinId="9" hidden="1"/>
    <cellStyle name="Followed Hyperlink" xfId="1474" builtinId="9" hidden="1"/>
    <cellStyle name="Followed Hyperlink" xfId="1498" builtinId="9" hidden="1"/>
    <cellStyle name="Followed Hyperlink" xfId="3562" builtinId="9" hidden="1"/>
    <cellStyle name="Followed Hyperlink" xfId="2026" builtinId="9" hidden="1"/>
    <cellStyle name="Followed Hyperlink" xfId="1848" builtinId="9" hidden="1"/>
    <cellStyle name="Followed Hyperlink" xfId="598" builtinId="9" hidden="1"/>
    <cellStyle name="Followed Hyperlink" xfId="1390" builtinId="9" hidden="1"/>
    <cellStyle name="Followed Hyperlink" xfId="2148" builtinId="9" hidden="1"/>
    <cellStyle name="Followed Hyperlink" xfId="3516" builtinId="9" hidden="1"/>
    <cellStyle name="Followed Hyperlink" xfId="1076" builtinId="9" hidden="1"/>
    <cellStyle name="Followed Hyperlink" xfId="1792" builtinId="9" hidden="1"/>
    <cellStyle name="Followed Hyperlink" xfId="2248" builtinId="9" hidden="1"/>
    <cellStyle name="Followed Hyperlink" xfId="2014" builtinId="9" hidden="1"/>
    <cellStyle name="Followed Hyperlink" xfId="2140" builtinId="9" hidden="1"/>
    <cellStyle name="Followed Hyperlink" xfId="658" builtinId="9" hidden="1"/>
    <cellStyle name="Followed Hyperlink" xfId="3506" builtinId="9" hidden="1"/>
    <cellStyle name="Followed Hyperlink" xfId="3370" builtinId="9" hidden="1"/>
    <cellStyle name="Followed Hyperlink" xfId="3226" builtinId="9" hidden="1"/>
    <cellStyle name="Followed Hyperlink" xfId="3766" builtinId="9" hidden="1"/>
    <cellStyle name="Followed Hyperlink" xfId="1744" builtinId="9" hidden="1"/>
    <cellStyle name="Followed Hyperlink" xfId="1668" builtinId="9" hidden="1"/>
    <cellStyle name="Followed Hyperlink" xfId="596" builtinId="9" hidden="1"/>
    <cellStyle name="Followed Hyperlink" xfId="1724" builtinId="9" hidden="1"/>
    <cellStyle name="Followed Hyperlink" xfId="420" builtinId="9" hidden="1"/>
    <cellStyle name="Followed Hyperlink" xfId="3484" builtinId="9" hidden="1"/>
    <cellStyle name="Followed Hyperlink" xfId="1568" builtinId="9" hidden="1"/>
    <cellStyle name="Followed Hyperlink" xfId="2174" builtinId="9" hidden="1"/>
    <cellStyle name="Followed Hyperlink" xfId="1466" builtinId="9" hidden="1"/>
    <cellStyle name="Followed Hyperlink" xfId="6" builtinId="9" hidden="1"/>
    <cellStyle name="Followed Hyperlink" xfId="634" builtinId="9" hidden="1"/>
    <cellStyle name="Followed Hyperlink" xfId="836" builtinId="9" hidden="1"/>
    <cellStyle name="Followed Hyperlink" xfId="2538" builtinId="9" hidden="1"/>
    <cellStyle name="Followed Hyperlink" xfId="632" builtinId="9" hidden="1"/>
    <cellStyle name="Followed Hyperlink" xfId="2316" builtinId="9" hidden="1"/>
    <cellStyle name="Followed Hyperlink" xfId="3556" builtinId="9" hidden="1"/>
    <cellStyle name="Followed Hyperlink" xfId="346" builtinId="9" hidden="1"/>
    <cellStyle name="Followed Hyperlink" xfId="2072" builtinId="9" hidden="1"/>
    <cellStyle name="Followed Hyperlink" xfId="1816" builtinId="9" hidden="1"/>
    <cellStyle name="Followed Hyperlink" xfId="3324" builtinId="9" hidden="1"/>
    <cellStyle name="Followed Hyperlink" xfId="806" builtinId="9" hidden="1"/>
    <cellStyle name="Followed Hyperlink" xfId="1814" builtinId="9" hidden="1"/>
    <cellStyle name="Followed Hyperlink" xfId="838" builtinId="9" hidden="1"/>
    <cellStyle name="Followed Hyperlink" xfId="2396" builtinId="9" hidden="1"/>
    <cellStyle name="Followed Hyperlink" xfId="2630" builtinId="9" hidden="1"/>
    <cellStyle name="Followed Hyperlink" xfId="125" builtinId="9" hidden="1"/>
    <cellStyle name="Followed Hyperlink" xfId="3492" builtinId="9" hidden="1"/>
    <cellStyle name="Followed Hyperlink" xfId="2110" builtinId="9" hidden="1"/>
    <cellStyle name="Followed Hyperlink" xfId="3298" builtinId="9" hidden="1"/>
    <cellStyle name="Followed Hyperlink" xfId="612" builtinId="9" hidden="1"/>
    <cellStyle name="Followed Hyperlink" xfId="256" builtinId="9" hidden="1"/>
    <cellStyle name="Followed Hyperlink" xfId="1152" builtinId="9" hidden="1"/>
    <cellStyle name="Followed Hyperlink" xfId="3768" builtinId="9" hidden="1"/>
    <cellStyle name="Followed Hyperlink" xfId="1916" builtinId="9" hidden="1"/>
    <cellStyle name="Followed Hyperlink" xfId="1268" builtinId="9" hidden="1"/>
    <cellStyle name="Followed Hyperlink" xfId="808" builtinId="9" hidden="1"/>
    <cellStyle name="Followed Hyperlink" xfId="1780" builtinId="9" hidden="1"/>
    <cellStyle name="Followed Hyperlink" xfId="3554" builtinId="9" hidden="1"/>
    <cellStyle name="Followed Hyperlink" xfId="3744" builtinId="9" hidden="1"/>
    <cellStyle name="Followed Hyperlink" xfId="2410" builtinId="9" hidden="1"/>
    <cellStyle name="Followed Hyperlink" xfId="470" builtinId="9" hidden="1"/>
    <cellStyle name="Followed Hyperlink" xfId="2178" builtinId="9" hidden="1"/>
    <cellStyle name="Followed Hyperlink" xfId="564" builtinId="9" hidden="1"/>
    <cellStyle name="Followed Hyperlink" xfId="3302" builtinId="9" hidden="1"/>
    <cellStyle name="Followed Hyperlink" xfId="412" builtinId="9" hidden="1"/>
    <cellStyle name="Followed Hyperlink" xfId="17" builtinId="9" hidden="1"/>
    <cellStyle name="Followed Hyperlink" xfId="3758" builtinId="9" hidden="1"/>
    <cellStyle name="Followed Hyperlink" xfId="2952" builtinId="9" hidden="1"/>
    <cellStyle name="Followed Hyperlink" xfId="3446" builtinId="9" hidden="1"/>
    <cellStyle name="Followed Hyperlink" xfId="3190" builtinId="9" hidden="1"/>
    <cellStyle name="Followed Hyperlink" xfId="3762" builtinId="9" hidden="1"/>
    <cellStyle name="Followed Hyperlink" xfId="558" builtinId="9" hidden="1"/>
    <cellStyle name="Followed Hyperlink" xfId="2584" builtinId="9" hidden="1"/>
    <cellStyle name="Followed Hyperlink" xfId="2060" builtinId="9" hidden="1"/>
    <cellStyle name="Followed Hyperlink" xfId="1488" builtinId="9" hidden="1"/>
    <cellStyle name="Followed Hyperlink" xfId="2394" builtinId="9" hidden="1"/>
    <cellStyle name="Followed Hyperlink" xfId="700" builtinId="9" hidden="1"/>
    <cellStyle name="Followed Hyperlink" xfId="1306" builtinId="9" hidden="1"/>
    <cellStyle name="Followed Hyperlink" xfId="1318" builtinId="9" hidden="1"/>
    <cellStyle name="Followed Hyperlink" xfId="974" builtinId="9" hidden="1"/>
    <cellStyle name="Followed Hyperlink" xfId="252" builtinId="9" hidden="1"/>
    <cellStyle name="Followed Hyperlink" xfId="538" builtinId="9" hidden="1"/>
    <cellStyle name="Followed Hyperlink" xfId="2202" builtinId="9" hidden="1"/>
    <cellStyle name="Followed Hyperlink" xfId="3540" builtinId="9" hidden="1"/>
    <cellStyle name="Followed Hyperlink" xfId="3464" builtinId="9" hidden="1"/>
    <cellStyle name="Followed Hyperlink" xfId="2854" builtinId="9" hidden="1"/>
    <cellStyle name="Followed Hyperlink" xfId="672" builtinId="9" hidden="1"/>
    <cellStyle name="Followed Hyperlink" xfId="3224" builtinId="9" hidden="1"/>
    <cellStyle name="Followed Hyperlink" xfId="1138" builtinId="9" hidden="1"/>
    <cellStyle name="Followed Hyperlink" xfId="2210" builtinId="9" hidden="1"/>
    <cellStyle name="Followed Hyperlink" xfId="43" builtinId="9" hidden="1"/>
    <cellStyle name="Followed Hyperlink" xfId="2940" builtinId="9" hidden="1"/>
    <cellStyle name="Followed Hyperlink" xfId="2376" builtinId="9" hidden="1"/>
    <cellStyle name="Followed Hyperlink" xfId="488" builtinId="9" hidden="1"/>
    <cellStyle name="Followed Hyperlink" xfId="3192" builtinId="9" hidden="1"/>
    <cellStyle name="Followed Hyperlink" xfId="2746" builtinId="9" hidden="1"/>
    <cellStyle name="Followed Hyperlink" xfId="3318" builtinId="9" hidden="1"/>
    <cellStyle name="Followed Hyperlink" xfId="3648" builtinId="9" hidden="1"/>
    <cellStyle name="Followed Hyperlink" xfId="2236" builtinId="9" hidden="1"/>
    <cellStyle name="Followed Hyperlink" xfId="2504" builtinId="9" hidden="1"/>
    <cellStyle name="Followed Hyperlink" xfId="1752" builtinId="9" hidden="1"/>
    <cellStyle name="Followed Hyperlink" xfId="1638" builtinId="9" hidden="1"/>
    <cellStyle name="Followed Hyperlink" xfId="1182" builtinId="9" hidden="1"/>
    <cellStyle name="Followed Hyperlink" xfId="2694" builtinId="9" hidden="1"/>
    <cellStyle name="Followed Hyperlink" xfId="2812" builtinId="9" hidden="1"/>
    <cellStyle name="Followed Hyperlink" xfId="396" builtinId="9" hidden="1"/>
    <cellStyle name="Followed Hyperlink" xfId="1988" builtinId="9" hidden="1"/>
    <cellStyle name="Followed Hyperlink" xfId="3650" builtinId="9" hidden="1"/>
    <cellStyle name="Followed Hyperlink" xfId="978" builtinId="9" hidden="1"/>
    <cellStyle name="Followed Hyperlink" xfId="3108" builtinId="9" hidden="1"/>
    <cellStyle name="Followed Hyperlink" xfId="1664" builtinId="9" hidden="1"/>
    <cellStyle name="Followed Hyperlink" xfId="3690" builtinId="9" hidden="1"/>
    <cellStyle name="Followed Hyperlink" xfId="2888" builtinId="9" hidden="1"/>
    <cellStyle name="Followed Hyperlink" xfId="2154" builtinId="9" hidden="1"/>
    <cellStyle name="Followed Hyperlink" xfId="3160" builtinId="9" hidden="1"/>
    <cellStyle name="Followed Hyperlink" xfId="1010" builtinId="9" hidden="1"/>
    <cellStyle name="Followed Hyperlink" xfId="3316" builtinId="9" hidden="1"/>
    <cellStyle name="Followed Hyperlink" xfId="656" builtinId="9" hidden="1"/>
    <cellStyle name="Followed Hyperlink" xfId="2114" builtinId="9" hidden="1"/>
    <cellStyle name="Followed Hyperlink" xfId="3032" builtinId="9" hidden="1"/>
    <cellStyle name="Followed Hyperlink" xfId="784" builtinId="9" hidden="1"/>
    <cellStyle name="Followed Hyperlink" xfId="3558" builtinId="9" hidden="1"/>
    <cellStyle name="Followed Hyperlink" xfId="358" builtinId="9" hidden="1"/>
    <cellStyle name="Followed Hyperlink" xfId="2682" builtinId="9" hidden="1"/>
    <cellStyle name="Followed Hyperlink" xfId="1628" builtinId="9" hidden="1"/>
    <cellStyle name="Followed Hyperlink" xfId="1550" builtinId="9" hidden="1"/>
    <cellStyle name="Followed Hyperlink" xfId="1414" builtinId="9" hidden="1"/>
    <cellStyle name="Followed Hyperlink" xfId="802" builtinId="9" hidden="1"/>
    <cellStyle name="Followed Hyperlink" xfId="3250" builtinId="9" hidden="1"/>
    <cellStyle name="Followed Hyperlink" xfId="964" builtinId="9" hidden="1"/>
    <cellStyle name="Followed Hyperlink" xfId="1376" builtinId="9" hidden="1"/>
    <cellStyle name="Followed Hyperlink" xfId="3148" builtinId="9" hidden="1"/>
    <cellStyle name="Followed Hyperlink" xfId="846" builtinId="9" hidden="1"/>
    <cellStyle name="Followed Hyperlink" xfId="1088" builtinId="9" hidden="1"/>
    <cellStyle name="Followed Hyperlink" xfId="2080" builtinId="9" hidden="1"/>
    <cellStyle name="Followed Hyperlink" xfId="1566" builtinId="9" hidden="1"/>
    <cellStyle name="Followed Hyperlink" xfId="1158" builtinId="9" hidden="1"/>
    <cellStyle name="Followed Hyperlink" xfId="3742" builtinId="9" hidden="1"/>
    <cellStyle name="Followed Hyperlink" xfId="3170" builtinId="9" hidden="1"/>
    <cellStyle name="Followed Hyperlink" xfId="3402" builtinId="9" hidden="1"/>
    <cellStyle name="Followed Hyperlink" xfId="1702" builtinId="9" hidden="1"/>
    <cellStyle name="Followed Hyperlink" xfId="2638" builtinId="9" hidden="1"/>
    <cellStyle name="Followed Hyperlink" xfId="91" builtinId="9" hidden="1"/>
    <cellStyle name="Followed Hyperlink" xfId="3080" builtinId="9" hidden="1"/>
    <cellStyle name="Followed Hyperlink" xfId="3388" builtinId="9" hidden="1"/>
    <cellStyle name="Followed Hyperlink" xfId="712" builtinId="9" hidden="1"/>
    <cellStyle name="Followed Hyperlink" xfId="1262" builtinId="9" hidden="1"/>
    <cellStyle name="Followed Hyperlink" xfId="1858" builtinId="9" hidden="1"/>
    <cellStyle name="Followed Hyperlink" xfId="2016" builtinId="9" hidden="1"/>
    <cellStyle name="Followed Hyperlink" xfId="1860" builtinId="9" hidden="1"/>
    <cellStyle name="Followed Hyperlink" xfId="171" builtinId="9" hidden="1"/>
    <cellStyle name="Followed Hyperlink" xfId="250" builtinId="9" hidden="1"/>
    <cellStyle name="Followed Hyperlink" xfId="3502" builtinId="9" hidden="1"/>
    <cellStyle name="Followed Hyperlink" xfId="1842" builtinId="9" hidden="1"/>
    <cellStyle name="Followed Hyperlink" xfId="860" builtinId="9" hidden="1"/>
    <cellStyle name="Followed Hyperlink" xfId="600" builtinId="9" hidden="1"/>
    <cellStyle name="Followed Hyperlink" xfId="1854" builtinId="9" hidden="1"/>
    <cellStyle name="Followed Hyperlink" xfId="93" builtinId="9" hidden="1"/>
    <cellStyle name="Followed Hyperlink" xfId="2090" builtinId="9" hidden="1"/>
    <cellStyle name="Followed Hyperlink" xfId="1716" builtinId="9" hidden="1"/>
    <cellStyle name="Followed Hyperlink" xfId="2424" builtinId="9" hidden="1"/>
    <cellStyle name="Followed Hyperlink" xfId="3320" builtinId="9" hidden="1"/>
    <cellStyle name="Followed Hyperlink" xfId="3336" builtinId="9" hidden="1"/>
    <cellStyle name="Followed Hyperlink" xfId="878" builtinId="9" hidden="1"/>
    <cellStyle name="Followed Hyperlink" xfId="3564" builtinId="9" hidden="1"/>
    <cellStyle name="Followed Hyperlink" xfId="1128" builtinId="9" hidden="1"/>
    <cellStyle name="Followed Hyperlink" xfId="2470" builtinId="9" hidden="1"/>
    <cellStyle name="Followed Hyperlink" xfId="284" builtinId="9" hidden="1"/>
    <cellStyle name="Followed Hyperlink" xfId="3006" builtinId="9" hidden="1"/>
    <cellStyle name="Followed Hyperlink" xfId="754" builtinId="9" hidden="1"/>
    <cellStyle name="Followed Hyperlink" xfId="175" builtinId="9" hidden="1"/>
    <cellStyle name="Followed Hyperlink" xfId="266" builtinId="9" hidden="1"/>
    <cellStyle name="Followed Hyperlink" xfId="842" builtinId="9" hidden="1"/>
    <cellStyle name="Followed Hyperlink" xfId="2126" builtinId="9" hidden="1"/>
    <cellStyle name="Followed Hyperlink" xfId="1986" builtinId="9" hidden="1"/>
    <cellStyle name="Followed Hyperlink" xfId="1040" builtinId="9" hidden="1"/>
    <cellStyle name="Followed Hyperlink" xfId="1094" builtinId="9" hidden="1"/>
    <cellStyle name="Followed Hyperlink" xfId="504" builtinId="9" hidden="1"/>
    <cellStyle name="Followed Hyperlink" xfId="1044" builtinId="9" hidden="1"/>
    <cellStyle name="Followed Hyperlink" xfId="3438" builtinId="9" hidden="1"/>
    <cellStyle name="Followed Hyperlink" xfId="2726" builtinId="9" hidden="1"/>
    <cellStyle name="Followed Hyperlink" xfId="2990" builtinId="9" hidden="1"/>
    <cellStyle name="Followed Hyperlink" xfId="1598" builtinId="9" hidden="1"/>
    <cellStyle name="Followed Hyperlink" xfId="884" builtinId="9" hidden="1"/>
    <cellStyle name="Followed Hyperlink" xfId="153" builtinId="9" hidden="1"/>
    <cellStyle name="Followed Hyperlink" xfId="876" builtinId="9" hidden="1"/>
    <cellStyle name="Followed Hyperlink" xfId="3058" builtinId="9" hidden="1"/>
    <cellStyle name="Followed Hyperlink" xfId="2852" builtinId="9" hidden="1"/>
    <cellStyle name="Followed Hyperlink" xfId="2336" builtinId="9" hidden="1"/>
    <cellStyle name="Followed Hyperlink" xfId="1662" builtinId="9" hidden="1"/>
    <cellStyle name="Followed Hyperlink" xfId="1030" builtinId="9" hidden="1"/>
    <cellStyle name="Followed Hyperlink" xfId="1920" builtinId="9" hidden="1"/>
    <cellStyle name="Followed Hyperlink" xfId="1408" builtinId="9" hidden="1"/>
    <cellStyle name="Followed Hyperlink" xfId="1060" builtinId="9" hidden="1"/>
    <cellStyle name="Followed Hyperlink" xfId="1770" builtinId="9" hidden="1"/>
    <cellStyle name="Followed Hyperlink" xfId="2294" builtinId="9" hidden="1"/>
    <cellStyle name="Followed Hyperlink" xfId="546" builtinId="9" hidden="1"/>
    <cellStyle name="Followed Hyperlink" xfId="115" builtinId="9" hidden="1"/>
    <cellStyle name="Followed Hyperlink" xfId="394" builtinId="9" hidden="1"/>
    <cellStyle name="Followed Hyperlink" xfId="1896" builtinId="9" hidden="1"/>
    <cellStyle name="Followed Hyperlink" xfId="3074" builtinId="9" hidden="1"/>
    <cellStyle name="Followed Hyperlink" xfId="586" builtinId="9" hidden="1"/>
    <cellStyle name="Followed Hyperlink" xfId="1144" builtinId="9" hidden="1"/>
    <cellStyle name="Followed Hyperlink" xfId="2042" builtinId="9" hidden="1"/>
    <cellStyle name="Followed Hyperlink" xfId="568" builtinId="9" hidden="1"/>
    <cellStyle name="Followed Hyperlink" xfId="3136" builtinId="9" hidden="1"/>
    <cellStyle name="Followed Hyperlink" xfId="2008" builtinId="9" hidden="1"/>
    <cellStyle name="Followed Hyperlink" xfId="3430" builtinId="9" hidden="1"/>
    <cellStyle name="Followed Hyperlink" xfId="2696" builtinId="9" hidden="1"/>
    <cellStyle name="Followed Hyperlink" xfId="848" builtinId="9" hidden="1"/>
    <cellStyle name="Followed Hyperlink" xfId="2672" builtinId="9" hidden="1"/>
    <cellStyle name="Followed Hyperlink" xfId="3026" builtinId="9" hidden="1"/>
    <cellStyle name="Followed Hyperlink" xfId="1464" builtinId="9" hidden="1"/>
    <cellStyle name="Followed Hyperlink" xfId="2290" builtinId="9" hidden="1"/>
    <cellStyle name="Followed Hyperlink" xfId="2690" builtinId="9" hidden="1"/>
    <cellStyle name="Followed Hyperlink" xfId="2530" builtinId="9" hidden="1"/>
    <cellStyle name="Followed Hyperlink" xfId="3036" builtinId="9" hidden="1"/>
    <cellStyle name="Followed Hyperlink" xfId="682" builtinId="9" hidden="1"/>
    <cellStyle name="Followed Hyperlink" xfId="3358" builtinId="9" hidden="1"/>
    <cellStyle name="Followed Hyperlink" xfId="562" builtinId="9" hidden="1"/>
    <cellStyle name="Followed Hyperlink" xfId="2310" builtinId="9" hidden="1"/>
    <cellStyle name="Followed Hyperlink" xfId="191" builtinId="9" hidden="1"/>
    <cellStyle name="Followed Hyperlink" xfId="1184" builtinId="9" hidden="1"/>
    <cellStyle name="Followed Hyperlink" xfId="1154" builtinId="9" hidden="1"/>
    <cellStyle name="Followed Hyperlink" xfId="8" builtinId="9" hidden="1"/>
    <cellStyle name="Followed Hyperlink" xfId="522" builtinId="9" hidden="1"/>
    <cellStyle name="Followed Hyperlink" xfId="1098" builtinId="9" hidden="1"/>
    <cellStyle name="Followed Hyperlink" xfId="1670" builtinId="9" hidden="1"/>
    <cellStyle name="Followed Hyperlink" xfId="582" builtinId="9" hidden="1"/>
    <cellStyle name="Followed Hyperlink" xfId="2450" builtinId="9" hidden="1"/>
    <cellStyle name="Followed Hyperlink" xfId="1574" builtinId="9" hidden="1"/>
    <cellStyle name="Followed Hyperlink" xfId="1950" builtinId="9" hidden="1"/>
    <cellStyle name="Followed Hyperlink" xfId="25" builtinId="9" hidden="1"/>
    <cellStyle name="Followed Hyperlink" xfId="1102" builtinId="9" hidden="1"/>
    <cellStyle name="Followed Hyperlink" xfId="101" builtinId="9" hidden="1"/>
    <cellStyle name="Followed Hyperlink" xfId="1292" builtinId="9" hidden="1"/>
    <cellStyle name="Followed Hyperlink" xfId="892" builtinId="9" hidden="1"/>
    <cellStyle name="Followed Hyperlink" xfId="3454" builtinId="9" hidden="1"/>
    <cellStyle name="Followed Hyperlink" xfId="874" builtinId="9" hidden="1"/>
    <cellStyle name="Followed Hyperlink" xfId="868" builtinId="9" hidden="1"/>
    <cellStyle name="Followed Hyperlink" xfId="1196" builtinId="9" hidden="1"/>
    <cellStyle name="Followed Hyperlink" xfId="2938" builtinId="9" hidden="1"/>
    <cellStyle name="Followed Hyperlink" xfId="3122" builtinId="9" hidden="1"/>
    <cellStyle name="Followed Hyperlink" xfId="3164" builtinId="9" hidden="1"/>
    <cellStyle name="Followed Hyperlink" xfId="1008" builtinId="9" hidden="1"/>
    <cellStyle name="Followed Hyperlink" xfId="3730" builtinId="9" hidden="1"/>
    <cellStyle name="Followed Hyperlink" xfId="2658" builtinId="9" hidden="1"/>
    <cellStyle name="Followed Hyperlink" xfId="3480" builtinId="9" hidden="1"/>
    <cellStyle name="Followed Hyperlink" xfId="35" builtinId="9" hidden="1"/>
    <cellStyle name="Followed Hyperlink" xfId="2362" builtinId="9" hidden="1"/>
    <cellStyle name="Followed Hyperlink" xfId="366" builtinId="9" hidden="1"/>
    <cellStyle name="Followed Hyperlink" xfId="2544" builtinId="9" hidden="1"/>
    <cellStyle name="Followed Hyperlink" xfId="3620" builtinId="9" hidden="1"/>
    <cellStyle name="Followed Hyperlink" xfId="2804" builtinId="9" hidden="1"/>
    <cellStyle name="Followed Hyperlink" xfId="1676" builtinId="9" hidden="1"/>
    <cellStyle name="Followed Hyperlink" xfId="2370" builtinId="9" hidden="1"/>
    <cellStyle name="Followed Hyperlink" xfId="2596" builtinId="9" hidden="1"/>
    <cellStyle name="Followed Hyperlink" xfId="1980" builtinId="9" hidden="1"/>
    <cellStyle name="Followed Hyperlink" xfId="3646" builtinId="9" hidden="1"/>
    <cellStyle name="Followed Hyperlink" xfId="2512" builtinId="9" hidden="1"/>
    <cellStyle name="Followed Hyperlink" xfId="2" builtinId="9" hidden="1"/>
    <cellStyle name="Followed Hyperlink" xfId="2464" builtinId="9" hidden="1"/>
    <cellStyle name="Followed Hyperlink" xfId="2364" builtinId="9" hidden="1"/>
    <cellStyle name="Followed Hyperlink" xfId="588" builtinId="9" hidden="1"/>
    <cellStyle name="Followed Hyperlink" xfId="576" builtinId="9" hidden="1"/>
    <cellStyle name="Followed Hyperlink" xfId="2280" builtinId="9" hidden="1"/>
    <cellStyle name="Followed Hyperlink" xfId="1288" builtinId="9" hidden="1"/>
    <cellStyle name="Followed Hyperlink" xfId="450" builtinId="9" hidden="1"/>
    <cellStyle name="Followed Hyperlink" xfId="882" builtinId="9" hidden="1"/>
    <cellStyle name="Followed Hyperlink" xfId="2192" builtinId="9" hidden="1"/>
    <cellStyle name="Followed Hyperlink" xfId="3258" builtinId="9" hidden="1"/>
    <cellStyle name="Followed Hyperlink" xfId="922" builtinId="9" hidden="1"/>
    <cellStyle name="Followed Hyperlink" xfId="490" builtinId="9" hidden="1"/>
    <cellStyle name="Followed Hyperlink" xfId="424" builtinId="9" hidden="1"/>
    <cellStyle name="Followed Hyperlink" xfId="320" builtinId="9" hidden="1"/>
    <cellStyle name="Followed Hyperlink" xfId="540" builtinId="9" hidden="1"/>
    <cellStyle name="Followed Hyperlink" xfId="2218" builtinId="9" hidden="1"/>
    <cellStyle name="Followed Hyperlink" xfId="852" builtinId="9" hidden="1"/>
    <cellStyle name="Followed Hyperlink" xfId="2686" builtinId="9" hidden="1"/>
    <cellStyle name="Followed Hyperlink" xfId="1604" builtinId="9" hidden="1"/>
    <cellStyle name="Followed Hyperlink" xfId="1736" builtinId="9" hidden="1"/>
    <cellStyle name="Followed Hyperlink" xfId="264" builtinId="9" hidden="1"/>
    <cellStyle name="Followed Hyperlink" xfId="3688" builtinId="9" hidden="1"/>
    <cellStyle name="Followed Hyperlink" xfId="988" builtinId="9" hidden="1"/>
    <cellStyle name="Followed Hyperlink" xfId="1672" builtinId="9" hidden="1"/>
    <cellStyle name="Followed Hyperlink" xfId="812" builtinId="9" hidden="1"/>
    <cellStyle name="Followed Hyperlink" xfId="830" builtinId="9" hidden="1"/>
    <cellStyle name="Followed Hyperlink" xfId="2780" builtinId="9" hidden="1"/>
    <cellStyle name="Followed Hyperlink" xfId="3692" builtinId="9" hidden="1"/>
    <cellStyle name="Followed Hyperlink" xfId="2308" builtinId="9" hidden="1"/>
    <cellStyle name="Followed Hyperlink" xfId="3334" builtinId="9" hidden="1"/>
    <cellStyle name="Followed Hyperlink" xfId="936" builtinId="9" hidden="1"/>
    <cellStyle name="Followed Hyperlink" xfId="760" builtinId="9" hidden="1"/>
    <cellStyle name="Followed Hyperlink" xfId="2914" builtinId="9" hidden="1"/>
    <cellStyle name="Followed Hyperlink" xfId="362" builtinId="9" hidden="1"/>
    <cellStyle name="Followed Hyperlink" xfId="1194" builtinId="9" hidden="1"/>
    <cellStyle name="Followed Hyperlink" xfId="2846" builtinId="9" hidden="1"/>
    <cellStyle name="Followed Hyperlink" xfId="2608" builtinId="9" hidden="1"/>
    <cellStyle name="Followed Hyperlink" xfId="1328" builtinId="9" hidden="1"/>
    <cellStyle name="Followed Hyperlink" xfId="2064" builtinId="9" hidden="1"/>
    <cellStyle name="Followed Hyperlink" xfId="2402" builtinId="9" hidden="1"/>
    <cellStyle name="Followed Hyperlink" xfId="638" builtinId="9" hidden="1"/>
    <cellStyle name="Followed Hyperlink" xfId="1732" builtinId="9" hidden="1"/>
    <cellStyle name="Followed Hyperlink" xfId="1176" builtinId="9" hidden="1"/>
    <cellStyle name="Followed Hyperlink" xfId="1332" builtinId="9" hidden="1"/>
    <cellStyle name="Followed Hyperlink" xfId="334" builtinId="9" hidden="1"/>
    <cellStyle name="Followed Hyperlink" xfId="85" builtinId="9" hidden="1"/>
    <cellStyle name="Followed Hyperlink" xfId="1834" builtinId="9" hidden="1"/>
    <cellStyle name="Followed Hyperlink" xfId="2992" builtinId="9" hidden="1"/>
    <cellStyle name="Followed Hyperlink" xfId="147" builtinId="9" hidden="1"/>
    <cellStyle name="Followed Hyperlink" xfId="3130" builtinId="9" hidden="1"/>
    <cellStyle name="Followed Hyperlink" xfId="2432" builtinId="9" hidden="1"/>
    <cellStyle name="Followed Hyperlink" xfId="3196" builtinId="9" hidden="1"/>
    <cellStyle name="Followed Hyperlink" xfId="2624" builtinId="9" hidden="1"/>
    <cellStyle name="Followed Hyperlink" xfId="506" builtinId="9" hidden="1"/>
    <cellStyle name="Followed Hyperlink" xfId="3020" builtinId="9" hidden="1"/>
    <cellStyle name="Followed Hyperlink" xfId="908" builtinId="9" hidden="1"/>
    <cellStyle name="Followed Hyperlink" xfId="608" builtinId="9" hidden="1"/>
    <cellStyle name="Followed Hyperlink" xfId="3508" builtinId="9" hidden="1"/>
    <cellStyle name="Followed Hyperlink" xfId="1614" builtinId="9" hidden="1"/>
    <cellStyle name="Followed Hyperlink" xfId="1260" builtinId="9" hidden="1"/>
    <cellStyle name="Followed Hyperlink" xfId="1832" builtinId="9" hidden="1"/>
    <cellStyle name="Followed Hyperlink" xfId="3396" builtinId="9" hidden="1"/>
    <cellStyle name="Followed Hyperlink" xfId="1872" builtinId="9" hidden="1"/>
    <cellStyle name="Followed Hyperlink" xfId="3548" builtinId="9" hidden="1"/>
    <cellStyle name="Followed Hyperlink" xfId="2748" builtinId="9" hidden="1"/>
    <cellStyle name="Followed Hyperlink" xfId="4" builtinId="9" hidden="1"/>
    <cellStyle name="Followed Hyperlink" xfId="2274" builtinId="9" hidden="1"/>
    <cellStyle name="Followed Hyperlink" xfId="1026" builtinId="9" hidden="1"/>
    <cellStyle name="Followed Hyperlink" xfId="2062" builtinId="9" hidden="1"/>
    <cellStyle name="Followed Hyperlink" xfId="736" builtinId="9" hidden="1"/>
    <cellStyle name="Followed Hyperlink" xfId="27" builtinId="9" hidden="1"/>
    <cellStyle name="Followed Hyperlink" xfId="462" builtinId="9" hidden="1"/>
    <cellStyle name="Followed Hyperlink" xfId="336" builtinId="9" hidden="1"/>
    <cellStyle name="Followed Hyperlink" xfId="1380" builtinId="9" hidden="1"/>
    <cellStyle name="Followed Hyperlink" xfId="2182" builtinId="9" hidden="1"/>
    <cellStyle name="Followed Hyperlink" xfId="3198" builtinId="9" hidden="1"/>
    <cellStyle name="Followed Hyperlink" xfId="2632" builtinId="9" hidden="1"/>
    <cellStyle name="Followed Hyperlink" xfId="3450" builtinId="9" hidden="1"/>
    <cellStyle name="Followed Hyperlink" xfId="3068" builtinId="9" hidden="1"/>
    <cellStyle name="Followed Hyperlink" xfId="2982" builtinId="9" hidden="1"/>
    <cellStyle name="Followed Hyperlink" xfId="1648" builtinId="9" hidden="1"/>
    <cellStyle name="Followed Hyperlink" xfId="3644" builtinId="9" hidden="1"/>
    <cellStyle name="Followed Hyperlink" xfId="3526" builtinId="9" hidden="1"/>
    <cellStyle name="Followed Hyperlink" xfId="2212" builtinId="9" hidden="1"/>
    <cellStyle name="Followed Hyperlink" xfId="2222" builtinId="9" hidden="1"/>
    <cellStyle name="Followed Hyperlink" xfId="442" builtinId="9" hidden="1"/>
    <cellStyle name="Followed Hyperlink" xfId="580" builtinId="9" hidden="1"/>
    <cellStyle name="Followed Hyperlink" xfId="3182" builtinId="9" hidden="1"/>
    <cellStyle name="Followed Hyperlink" xfId="1500" builtinId="9" hidden="1"/>
    <cellStyle name="Followed Hyperlink" xfId="2840" builtinId="9" hidden="1"/>
    <cellStyle name="Followed Hyperlink" xfId="1802" builtinId="9" hidden="1"/>
    <cellStyle name="Followed Hyperlink" xfId="1264" builtinId="9" hidden="1"/>
    <cellStyle name="Followed Hyperlink" xfId="3478" builtinId="9" hidden="1"/>
    <cellStyle name="Followed Hyperlink" xfId="3756" builtinId="9" hidden="1"/>
    <cellStyle name="Followed Hyperlink" xfId="3712" builtinId="9" hidden="1"/>
    <cellStyle name="Followed Hyperlink" xfId="3426" builtinId="9" hidden="1"/>
    <cellStyle name="Followed Hyperlink" xfId="1586" builtinId="9" hidden="1"/>
    <cellStyle name="Followed Hyperlink" xfId="350" builtinId="9" hidden="1"/>
    <cellStyle name="Followed Hyperlink" xfId="590" builtinId="9" hidden="1"/>
    <cellStyle name="Followed Hyperlink" xfId="3056" builtinId="9" hidden="1"/>
    <cellStyle name="Followed Hyperlink" xfId="1322" builtinId="9" hidden="1"/>
    <cellStyle name="Followed Hyperlink" xfId="3008" builtinId="9" hidden="1"/>
    <cellStyle name="Followed Hyperlink" xfId="3658" builtinId="9" hidden="1"/>
    <cellStyle name="Followed Hyperlink" xfId="966" builtinId="9" hidden="1"/>
    <cellStyle name="Followed Hyperlink" xfId="2688" builtinId="9" hidden="1"/>
    <cellStyle name="Followed Hyperlink" xfId="1594" builtinId="9" hidden="1"/>
    <cellStyle name="Followed Hyperlink" xfId="1300" builtinId="9" hidden="1"/>
    <cellStyle name="Followed Hyperlink" xfId="3716" builtinId="9" hidden="1"/>
    <cellStyle name="Followed Hyperlink" xfId="1224" builtinId="9" hidden="1"/>
    <cellStyle name="Followed Hyperlink" xfId="476" builtinId="9" hidden="1"/>
    <cellStyle name="Followed Hyperlink" xfId="2032" builtinId="9" hidden="1"/>
    <cellStyle name="Followed Hyperlink" xfId="820" builtinId="9" hidden="1"/>
    <cellStyle name="Followed Hyperlink" xfId="310" builtinId="9" hidden="1"/>
    <cellStyle name="Followed Hyperlink" xfId="1516" builtinId="9" hidden="1"/>
    <cellStyle name="Followed Hyperlink" xfId="3174" builtinId="9" hidden="1"/>
    <cellStyle name="Followed Hyperlink" xfId="3684" builtinId="9" hidden="1"/>
    <cellStyle name="Followed Hyperlink" xfId="1046" builtinId="9" hidden="1"/>
    <cellStyle name="Followed Hyperlink" xfId="3246" builtinId="9" hidden="1"/>
    <cellStyle name="Followed Hyperlink" xfId="276" builtinId="9" hidden="1"/>
    <cellStyle name="Followed Hyperlink" xfId="2784" builtinId="9" hidden="1"/>
    <cellStyle name="Followed Hyperlink" xfId="2018" builtinId="9" hidden="1"/>
    <cellStyle name="Followed Hyperlink" xfId="2826" builtinId="9" hidden="1"/>
    <cellStyle name="Followed Hyperlink" xfId="2320" builtinId="9" hidden="1"/>
    <cellStyle name="Followed Hyperlink" xfId="3608" builtinId="9" hidden="1"/>
    <cellStyle name="Followed Hyperlink" xfId="958" builtinId="9" hidden="1"/>
    <cellStyle name="Followed Hyperlink" xfId="720" builtinId="9" hidden="1"/>
    <cellStyle name="Followed Hyperlink" xfId="1294" builtinId="9" hidden="1"/>
    <cellStyle name="Followed Hyperlink" xfId="1866" builtinId="9" hidden="1"/>
    <cellStyle name="Followed Hyperlink" xfId="2438" builtinId="9" hidden="1"/>
    <cellStyle name="Followed Hyperlink" xfId="3286" builtinId="9" hidden="1"/>
    <cellStyle name="Followed Hyperlink" xfId="1436" builtinId="9" hidden="1"/>
    <cellStyle name="Followed Hyperlink" xfId="708" builtinId="9" hidden="1"/>
    <cellStyle name="Followed Hyperlink" xfId="3146" builtinId="9" hidden="1"/>
    <cellStyle name="Followed Hyperlink" xfId="2328" builtinId="9" hidden="1"/>
    <cellStyle name="Followed Hyperlink" xfId="3460" builtinId="9" hidden="1"/>
    <cellStyle name="Followed Hyperlink" xfId="3238" builtinId="9" hidden="1"/>
    <cellStyle name="Followed Hyperlink" xfId="2168" builtinId="9" hidden="1"/>
    <cellStyle name="Followed Hyperlink" xfId="3520" builtinId="9" hidden="1"/>
    <cellStyle name="Followed Hyperlink" xfId="648" builtinId="9" hidden="1"/>
    <cellStyle name="Followed Hyperlink" xfId="195" builtinId="9" hidden="1"/>
    <cellStyle name="Followed Hyperlink" xfId="352" builtinId="9" hidden="1"/>
    <cellStyle name="Followed Hyperlink" xfId="3618" builtinId="9" hidden="1"/>
    <cellStyle name="Followed Hyperlink" xfId="2100" builtinId="9" hidden="1"/>
    <cellStyle name="Followed Hyperlink" xfId="1726" builtinId="9" hidden="1"/>
    <cellStyle name="Followed Hyperlink" xfId="3606" builtinId="9" hidden="1"/>
    <cellStyle name="Followed Hyperlink" xfId="3126" builtinId="9" hidden="1"/>
    <cellStyle name="Followed Hyperlink" xfId="2462" builtinId="9" hidden="1"/>
    <cellStyle name="Followed Hyperlink" xfId="3118" builtinId="9" hidden="1"/>
    <cellStyle name="Followed Hyperlink" xfId="2884" builtinId="9" hidden="1"/>
    <cellStyle name="Followed Hyperlink" xfId="746" builtinId="9" hidden="1"/>
    <cellStyle name="Followed Hyperlink" xfId="165" builtinId="9" hidden="1"/>
    <cellStyle name="Followed Hyperlink" xfId="274" builtinId="9" hidden="1"/>
    <cellStyle name="Followed Hyperlink" xfId="1352" builtinId="9" hidden="1"/>
    <cellStyle name="Followed Hyperlink" xfId="1422" builtinId="9" hidden="1"/>
    <cellStyle name="Followed Hyperlink" xfId="2158" builtinId="9" hidden="1"/>
    <cellStyle name="Followed Hyperlink" xfId="1698" builtinId="9" hidden="1"/>
    <cellStyle name="Followed Hyperlink" xfId="2502" builtinId="9" hidden="1"/>
    <cellStyle name="Followed Hyperlink" xfId="2626" builtinId="9" hidden="1"/>
    <cellStyle name="Followed Hyperlink" xfId="982" builtinId="9" hidden="1"/>
    <cellStyle name="Followed Hyperlink" xfId="2380" builtinId="9" hidden="1"/>
    <cellStyle name="Followed Hyperlink" xfId="3280" builtinId="9" hidden="1"/>
    <cellStyle name="Followed Hyperlink" xfId="1266" builtinId="9" hidden="1"/>
    <cellStyle name="Followed Hyperlink" xfId="3274" builtinId="9" hidden="1"/>
    <cellStyle name="Followed Hyperlink" xfId="666" builtinId="9" hidden="1"/>
    <cellStyle name="Followed Hyperlink" xfId="169" builtinId="9" hidden="1"/>
    <cellStyle name="Followed Hyperlink" xfId="980" builtinId="9" hidden="1"/>
    <cellStyle name="Followed Hyperlink" xfId="3494" builtinId="9" hidden="1"/>
    <cellStyle name="Followed Hyperlink" xfId="1772" builtinId="9" hidden="1"/>
    <cellStyle name="Followed Hyperlink" xfId="3682" builtinId="9" hidden="1"/>
    <cellStyle name="Followed Hyperlink" xfId="1620" builtinId="9" hidden="1"/>
    <cellStyle name="Followed Hyperlink" xfId="380" builtinId="9" hidden="1"/>
    <cellStyle name="Followed Hyperlink" xfId="99" builtinId="9" hidden="1"/>
    <cellStyle name="Followed Hyperlink" xfId="1776" builtinId="9" hidden="1"/>
    <cellStyle name="Followed Hyperlink" xfId="2334" builtinId="9" hidden="1"/>
    <cellStyle name="Followed Hyperlink" xfId="2984" builtinId="9" hidden="1"/>
    <cellStyle name="Followed Hyperlink" xfId="2720" builtinId="9" hidden="1"/>
    <cellStyle name="Followed Hyperlink" xfId="1448" builtinId="9" hidden="1"/>
    <cellStyle name="Followed Hyperlink" xfId="742" builtinId="9" hidden="1"/>
    <cellStyle name="Followed Hyperlink" xfId="2070" builtinId="9" hidden="1"/>
    <cellStyle name="Followed Hyperlink" xfId="2540" builtinId="9" hidden="1"/>
    <cellStyle name="Followed Hyperlink" xfId="2996" builtinId="9" hidden="1"/>
    <cellStyle name="Followed Hyperlink" xfId="2122" builtinId="9" hidden="1"/>
    <cellStyle name="Followed Hyperlink" xfId="2792" builtinId="9" hidden="1"/>
    <cellStyle name="Followed Hyperlink" xfId="2782" builtinId="9" hidden="1"/>
    <cellStyle name="Followed Hyperlink" xfId="1166" builtinId="9" hidden="1"/>
    <cellStyle name="Followed Hyperlink" xfId="3128" builtinId="9" hidden="1"/>
    <cellStyle name="Followed Hyperlink" xfId="2556" builtinId="9" hidden="1"/>
    <cellStyle name="Followed Hyperlink" xfId="688" builtinId="9" hidden="1"/>
    <cellStyle name="Followed Hyperlink" xfId="2948" builtinId="9" hidden="1"/>
    <cellStyle name="Followed Hyperlink" xfId="840" builtinId="9" hidden="1"/>
    <cellStyle name="Followed Hyperlink" xfId="1596" builtinId="9" hidden="1"/>
    <cellStyle name="Followed Hyperlink" xfId="2468" builtinId="9" hidden="1"/>
    <cellStyle name="Followed Hyperlink" xfId="2010" builtinId="9" hidden="1"/>
    <cellStyle name="Followed Hyperlink" xfId="3016" builtinId="9" hidden="1"/>
    <cellStyle name="Followed Hyperlink" xfId="1014" builtinId="9" hidden="1"/>
    <cellStyle name="Followed Hyperlink" xfId="2472" builtinId="9" hidden="1"/>
    <cellStyle name="Followed Hyperlink" xfId="3552" builtinId="9" hidden="1"/>
    <cellStyle name="Followed Hyperlink" xfId="3466" builtinId="9" hidden="1"/>
    <cellStyle name="Followed Hyperlink" xfId="1312" builtinId="9" hidden="1"/>
    <cellStyle name="Followed Hyperlink" xfId="550" builtinId="9" hidden="1"/>
    <cellStyle name="Followed Hyperlink" xfId="786" builtinId="9" hidden="1"/>
    <cellStyle name="Followed Hyperlink" xfId="844" builtinId="9" hidden="1"/>
    <cellStyle name="Followed Hyperlink" xfId="157" builtinId="9" hidden="1"/>
    <cellStyle name="Followed Hyperlink" xfId="1296" builtinId="9" hidden="1"/>
    <cellStyle name="Followed Hyperlink" xfId="382" builtinId="9" hidden="1"/>
    <cellStyle name="Followed Hyperlink" xfId="898" builtinId="9" hidden="1"/>
    <cellStyle name="Followed Hyperlink" xfId="113" builtinId="9" hidden="1"/>
    <cellStyle name="Followed Hyperlink" xfId="3306" builtinId="9" hidden="1"/>
    <cellStyle name="Followed Hyperlink" xfId="1492" builtinId="9" hidden="1"/>
    <cellStyle name="Followed Hyperlink" xfId="2760" builtinId="9" hidden="1"/>
    <cellStyle name="Followed Hyperlink" xfId="1104" builtinId="9" hidden="1"/>
    <cellStyle name="Followed Hyperlink" xfId="3572" builtinId="9" hidden="1"/>
    <cellStyle name="Followed Hyperlink" xfId="1258" builtinId="9" hidden="1"/>
    <cellStyle name="Followed Hyperlink" xfId="3230" builtinId="9" hidden="1"/>
    <cellStyle name="Followed Hyperlink" xfId="2302" builtinId="9" hidden="1"/>
    <cellStyle name="Followed Hyperlink" xfId="3210" builtinId="9" hidden="1"/>
    <cellStyle name="Followed Hyperlink" xfId="710" builtinId="9" hidden="1"/>
    <cellStyle name="Followed Hyperlink" xfId="2646" builtinId="9" hidden="1"/>
    <cellStyle name="Followed Hyperlink" xfId="143" builtinId="9" hidden="1"/>
    <cellStyle name="Followed Hyperlink" xfId="2912" builtinId="9" hidden="1"/>
    <cellStyle name="Followed Hyperlink" xfId="1456" builtinId="9" hidden="1"/>
    <cellStyle name="Followed Hyperlink" xfId="1470" builtinId="9" hidden="1"/>
    <cellStyle name="Followed Hyperlink" xfId="3656" builtinId="9" hidden="1"/>
    <cellStyle name="Followed Hyperlink" xfId="1502" builtinId="9" hidden="1"/>
    <cellStyle name="Followed Hyperlink" xfId="3150" builtinId="9" hidden="1"/>
    <cellStyle name="Followed Hyperlink" xfId="3222" builtinId="9" hidden="1"/>
    <cellStyle name="Followed Hyperlink" xfId="1358" builtinId="9" hidden="1"/>
    <cellStyle name="Followed Hyperlink" xfId="1682" builtinId="9" hidden="1"/>
    <cellStyle name="Followed Hyperlink" xfId="776" builtinId="9" hidden="1"/>
    <cellStyle name="Followed Hyperlink" xfId="1928" builtinId="9" hidden="1"/>
    <cellStyle name="Followed Hyperlink" xfId="2288" builtinId="9" hidden="1"/>
    <cellStyle name="Followed Hyperlink" xfId="3282" builtinId="9" hidden="1"/>
    <cellStyle name="Followed Hyperlink" xfId="1636" builtinId="9" hidden="1"/>
    <cellStyle name="Followed Hyperlink" xfId="3626" builtinId="9" hidden="1"/>
    <cellStyle name="Followed Hyperlink" xfId="2516" builtinId="9" hidden="1"/>
    <cellStyle name="Followed Hyperlink" xfId="2642" builtinId="9" hidden="1"/>
    <cellStyle name="Followed Hyperlink" xfId="1768" builtinId="9" hidden="1"/>
    <cellStyle name="Followed Hyperlink" xfId="1100" builtinId="9" hidden="1"/>
    <cellStyle name="Followed Hyperlink" xfId="1964" builtinId="9" hidden="1"/>
    <cellStyle name="Followed Hyperlink" xfId="2872" builtinId="9" hidden="1"/>
    <cellStyle name="Followed Hyperlink" xfId="2300" builtinId="9" hidden="1"/>
    <cellStyle name="Followed Hyperlink" xfId="1320" builtinId="9" hidden="1"/>
    <cellStyle name="Followed Hyperlink" xfId="1410" builtinId="9" hidden="1"/>
    <cellStyle name="Followed Hyperlink" xfId="2916" builtinId="9" hidden="1"/>
    <cellStyle name="Followed Hyperlink" xfId="3680" builtinId="9" hidden="1"/>
    <cellStyle name="Followed Hyperlink" xfId="3120" builtinId="9" hidden="1"/>
    <cellStyle name="Followed Hyperlink" xfId="1370" builtinId="9" hidden="1"/>
    <cellStyle name="Followed Hyperlink" xfId="1584" builtinId="9" hidden="1"/>
    <cellStyle name="Followed Hyperlink" xfId="2340" builtinId="9" hidden="1"/>
    <cellStyle name="Followed Hyperlink" xfId="910" builtinId="9" hidden="1"/>
    <cellStyle name="Followed Hyperlink" xfId="912" builtinId="9" hidden="1"/>
    <cellStyle name="Followed Hyperlink" xfId="2444" builtinId="9" hidden="1"/>
    <cellStyle name="Followed Hyperlink" xfId="2456" builtinId="9" hidden="1"/>
    <cellStyle name="Followed Hyperlink" xfId="2258" builtinId="9" hidden="1"/>
    <cellStyle name="Followed Hyperlink" xfId="436" builtinId="9" hidden="1"/>
    <cellStyle name="Followed Hyperlink" xfId="1762" builtinId="9" hidden="1"/>
    <cellStyle name="Followed Hyperlink" xfId="2052" builtinId="9" hidden="1"/>
    <cellStyle name="Followed Hyperlink" xfId="524" builtinId="9" hidden="1"/>
    <cellStyle name="Followed Hyperlink" xfId="766" builtinId="9" hidden="1"/>
    <cellStyle name="Followed Hyperlink" xfId="972" builtinId="9" hidden="1"/>
    <cellStyle name="Followed Hyperlink" xfId="1434" builtinId="9" hidden="1"/>
    <cellStyle name="Followed Hyperlink" xfId="3592" builtinId="9" hidden="1"/>
    <cellStyle name="Followed Hyperlink" xfId="3088" builtinId="9" hidden="1"/>
    <cellStyle name="Followed Hyperlink" xfId="2622" builtinId="9" hidden="1"/>
    <cellStyle name="Followed Hyperlink" xfId="862" builtinId="9" hidden="1"/>
    <cellStyle name="Followed Hyperlink" xfId="3408" builtinId="9" hidden="1"/>
    <cellStyle name="Followed Hyperlink" xfId="2744" builtinId="9" hidden="1"/>
    <cellStyle name="Followed Hyperlink" xfId="2742" builtinId="9" hidden="1"/>
    <cellStyle name="Followed Hyperlink" xfId="818" builtinId="9" hidden="1"/>
    <cellStyle name="Followed Hyperlink" xfId="1090" builtinId="9" hidden="1"/>
    <cellStyle name="Followed Hyperlink" xfId="1216" builtinId="9" hidden="1"/>
    <cellStyle name="Followed Hyperlink" xfId="248" builtinId="9" hidden="1"/>
    <cellStyle name="Followed Hyperlink" xfId="932" builtinId="9" hidden="1"/>
    <cellStyle name="Followed Hyperlink" xfId="3702" builtinId="9" hidden="1"/>
    <cellStyle name="Followed Hyperlink" xfId="3050" builtinId="9" hidden="1"/>
    <cellStyle name="Followed Hyperlink" xfId="2284" builtinId="9" hidden="1"/>
    <cellStyle name="Followed Hyperlink" xfId="2242" builtinId="9" hidden="1"/>
    <cellStyle name="Followed Hyperlink" xfId="3668" builtinId="9" hidden="1"/>
    <cellStyle name="Followed Hyperlink" xfId="2224" builtinId="9" hidden="1"/>
    <cellStyle name="Followed Hyperlink" xfId="2966" builtinId="9" hidden="1"/>
    <cellStyle name="Followed Hyperlink" xfId="2342" builtinId="9" hidden="1"/>
    <cellStyle name="Followed Hyperlink" xfId="1688" builtinId="9" hidden="1"/>
    <cellStyle name="Followed Hyperlink" xfId="1250" builtinId="9" hidden="1"/>
    <cellStyle name="Followed Hyperlink" xfId="676" builtinId="9" hidden="1"/>
    <cellStyle name="Followed Hyperlink" xfId="201" builtinId="9" hidden="1"/>
    <cellStyle name="Followed Hyperlink" xfId="1108" builtinId="9" hidden="1"/>
    <cellStyle name="Followed Hyperlink" xfId="1838" builtinId="9" hidden="1"/>
    <cellStyle name="Followed Hyperlink" xfId="2524" builtinId="9" hidden="1"/>
    <cellStyle name="Followed Hyperlink" xfId="2702" builtinId="9" hidden="1"/>
    <cellStyle name="Followed Hyperlink" xfId="1084" builtinId="9" hidden="1"/>
    <cellStyle name="Followed Hyperlink" xfId="1540" builtinId="9" hidden="1"/>
    <cellStyle name="Followed Hyperlink" xfId="2322" builtinId="9" hidden="1"/>
    <cellStyle name="Followed Hyperlink" xfId="1626" builtinId="9" hidden="1"/>
    <cellStyle name="Followed Hyperlink" xfId="1750" builtinId="9" hidden="1"/>
    <cellStyle name="Followed Hyperlink" xfId="2044" builtinId="9" hidden="1"/>
    <cellStyle name="Followed Hyperlink" xfId="1062" builtinId="9" hidden="1"/>
    <cellStyle name="Followed Hyperlink" xfId="2756" builtinId="9" hidden="1"/>
    <cellStyle name="Followed Hyperlink" xfId="2306" builtinId="9" hidden="1"/>
    <cellStyle name="Followed Hyperlink" xfId="312" builtinId="9" hidden="1"/>
    <cellStyle name="Followed Hyperlink" xfId="318" builtinId="9" hidden="1"/>
    <cellStyle name="Followed Hyperlink" xfId="2084" builtinId="9" hidden="1"/>
    <cellStyle name="Followed Hyperlink" xfId="1840" builtinId="9" hidden="1"/>
    <cellStyle name="Followed Hyperlink" xfId="3132" builtinId="9" hidden="1"/>
    <cellStyle name="Followed Hyperlink" xfId="304" builtinId="9" hidden="1"/>
    <cellStyle name="Followed Hyperlink" xfId="3706" builtinId="9" hidden="1"/>
    <cellStyle name="Followed Hyperlink" xfId="1298" builtinId="9" hidden="1"/>
    <cellStyle name="Followed Hyperlink" xfId="770" builtinId="9" hidden="1"/>
    <cellStyle name="Followed Hyperlink" xfId="2950" builtinId="9" hidden="1"/>
    <cellStyle name="Followed Hyperlink" xfId="1694" builtinId="9" hidden="1"/>
    <cellStyle name="Followed Hyperlink" xfId="1070" builtinId="9" hidden="1"/>
    <cellStyle name="Followed Hyperlink" xfId="3254" builtinId="9" hidden="1"/>
    <cellStyle name="Followed Hyperlink" xfId="610" builtinId="9" hidden="1"/>
    <cellStyle name="Followed Hyperlink" xfId="1518" builtinId="9" hidden="1"/>
    <cellStyle name="Followed Hyperlink" xfId="630" builtinId="9" hidden="1"/>
    <cellStyle name="Followed Hyperlink" xfId="1618" builtinId="9" hidden="1"/>
    <cellStyle name="Followed Hyperlink" xfId="2190" builtinId="9" hidden="1"/>
    <cellStyle name="Followed Hyperlink" xfId="2762" builtinId="9" hidden="1"/>
    <cellStyle name="Followed Hyperlink" xfId="2188" builtinId="9" hidden="1"/>
    <cellStyle name="Followed Hyperlink" xfId="232" builtinId="9" hidden="1"/>
    <cellStyle name="Followed Hyperlink" xfId="3748" builtinId="9" hidden="1"/>
    <cellStyle name="Followed Hyperlink" xfId="3720" builtinId="9" hidden="1"/>
    <cellStyle name="Followed Hyperlink" xfId="1562" builtinId="9" hidden="1"/>
    <cellStyle name="Followed Hyperlink" xfId="3514" builtinId="9" hidden="1"/>
    <cellStyle name="Followed Hyperlink" xfId="1200" builtinId="9" hidden="1"/>
    <cellStyle name="Followed Hyperlink" xfId="1272" builtinId="9" hidden="1"/>
    <cellStyle name="Followed Hyperlink" xfId="752" builtinId="9" hidden="1"/>
    <cellStyle name="Followed Hyperlink" xfId="824" builtinId="9" hidden="1"/>
    <cellStyle name="Followed Hyperlink" xfId="3676" builtinId="9" hidden="1"/>
    <cellStyle name="Followed Hyperlink" xfId="1968" builtinId="9" hidden="1"/>
    <cellStyle name="Followed Hyperlink" xfId="816" builtinId="9" hidden="1"/>
    <cellStyle name="Followed Hyperlink" xfId="73" builtinId="9" hidden="1"/>
    <cellStyle name="Followed Hyperlink" xfId="3652" builtinId="9" hidden="1"/>
    <cellStyle name="Followed Hyperlink" xfId="3698" builtinId="9" hidden="1"/>
    <cellStyle name="Followed Hyperlink" xfId="2710" builtinId="9" hidden="1"/>
    <cellStyle name="Followed Hyperlink" xfId="1432" builtinId="9" hidden="1"/>
    <cellStyle name="Followed Hyperlink" xfId="2574" builtinId="9" hidden="1"/>
    <cellStyle name="Followed Hyperlink" xfId="994" builtinId="9" hidden="1"/>
    <cellStyle name="Followed Hyperlink" xfId="418" builtinId="9" hidden="1"/>
    <cellStyle name="Followed Hyperlink" xfId="61" builtinId="9" hidden="1"/>
    <cellStyle name="Followed Hyperlink" xfId="3264" builtinId="9" hidden="1"/>
    <cellStyle name="Followed Hyperlink" xfId="1174" builtinId="9" hidden="1"/>
    <cellStyle name="Followed Hyperlink" xfId="1912" builtinId="9" hidden="1"/>
    <cellStyle name="Followed Hyperlink" xfId="2318" builtinId="9" hidden="1"/>
    <cellStyle name="Followed Hyperlink" xfId="2528" builtinId="9" hidden="1"/>
    <cellStyle name="Followed Hyperlink" xfId="822" builtinId="9" hidden="1"/>
    <cellStyle name="Followed Hyperlink" xfId="3504" builtinId="9" hidden="1"/>
    <cellStyle name="Followed Hyperlink" xfId="902" builtinId="9" hidden="1"/>
    <cellStyle name="Followed Hyperlink" xfId="2360" builtinId="9" hidden="1"/>
    <cellStyle name="Followed Hyperlink" xfId="2896" builtinId="9" hidden="1"/>
    <cellStyle name="Followed Hyperlink" xfId="3046" builtinId="9" hidden="1"/>
    <cellStyle name="Followed Hyperlink" xfId="984" builtinId="9" hidden="1"/>
    <cellStyle name="Followed Hyperlink" xfId="3326" builtinId="9" hidden="1"/>
    <cellStyle name="Followed Hyperlink" xfId="1326" builtinId="9" hidden="1"/>
    <cellStyle name="Followed Hyperlink" xfId="3322" builtinId="9" hidden="1"/>
    <cellStyle name="Followed Hyperlink" xfId="2620" builtinId="9" hidden="1"/>
    <cellStyle name="Followed Hyperlink" xfId="205" builtinId="9" hidden="1"/>
    <cellStyle name="Followed Hyperlink" xfId="748" builtinId="9" hidden="1"/>
    <cellStyle name="Followed Hyperlink" xfId="3240" builtinId="9" hidden="1"/>
    <cellStyle name="Followed Hyperlink" xfId="3726" builtinId="9" hidden="1"/>
    <cellStyle name="Followed Hyperlink" xfId="3154" builtinId="9" hidden="1"/>
    <cellStyle name="Followed Hyperlink" xfId="3070" builtinId="9" hidden="1"/>
    <cellStyle name="Followed Hyperlink" xfId="3496" builtinId="9" hidden="1"/>
    <cellStyle name="Followed Hyperlink" xfId="2936" builtinId="9" hidden="1"/>
    <cellStyle name="Followed Hyperlink" xfId="1096" builtinId="9" hidden="1"/>
    <cellStyle name="Followed Hyperlink" xfId="3040" builtinId="9" hidden="1"/>
    <cellStyle name="Followed Hyperlink" xfId="3536" builtinId="9" hidden="1"/>
    <cellStyle name="Followed Hyperlink" xfId="2220" builtinId="9" hidden="1"/>
    <cellStyle name="Followed Hyperlink" xfId="344" builtinId="9" hidden="1"/>
    <cellStyle name="Followed Hyperlink" xfId="948" builtinId="9" hidden="1"/>
    <cellStyle name="Followed Hyperlink" xfId="774" builtinId="9" hidden="1"/>
    <cellStyle name="Followed Hyperlink" xfId="3018" builtinId="9" hidden="1"/>
    <cellStyle name="Followed Hyperlink" xfId="1970" builtinId="9" hidden="1"/>
    <cellStyle name="Followed Hyperlink" xfId="3376" builtinId="9" hidden="1"/>
    <cellStyle name="Followed Hyperlink" xfId="1788" builtinId="9" hidden="1"/>
    <cellStyle name="Followed Hyperlink" xfId="2232" builtinId="9" hidden="1"/>
    <cellStyle name="Followed Hyperlink" xfId="1660" builtinId="9" hidden="1"/>
    <cellStyle name="Followed Hyperlink" xfId="3202" builtinId="9" hidden="1"/>
    <cellStyle name="Followed Hyperlink" xfId="650" builtinId="9" hidden="1"/>
    <cellStyle name="Followed Hyperlink" xfId="2250" builtinId="9" hidden="1"/>
    <cellStyle name="Followed Hyperlink" xfId="2698" builtinId="9" hidden="1"/>
    <cellStyle name="Followed Hyperlink" xfId="1846" builtinId="9" hidden="1"/>
    <cellStyle name="Followed Hyperlink" xfId="798" builtinId="9" hidden="1"/>
    <cellStyle name="Followed Hyperlink" xfId="2496" builtinId="9" hidden="1"/>
    <cellStyle name="Followed Hyperlink" xfId="532" builtinId="9" hidden="1"/>
    <cellStyle name="Followed Hyperlink" xfId="1560" builtinId="9" hidden="1"/>
    <cellStyle name="Followed Hyperlink" xfId="2406" builtinId="9" hidden="1"/>
    <cellStyle name="Followed Hyperlink" xfId="796" builtinId="9" hidden="1"/>
    <cellStyle name="Followed Hyperlink" xfId="3738" builtinId="9" hidden="1"/>
    <cellStyle name="Followed Hyperlink" xfId="328" builtinId="9" hidden="1"/>
    <cellStyle name="Followed Hyperlink" xfId="1310" builtinId="9" hidden="1"/>
    <cellStyle name="Followed Hyperlink" xfId="3048" builtinId="9" hidden="1"/>
    <cellStyle name="Followed Hyperlink" xfId="652" builtinId="9" hidden="1"/>
    <cellStyle name="Followed Hyperlink" xfId="242" builtinId="9" hidden="1"/>
    <cellStyle name="Followed Hyperlink" xfId="3722" builtinId="9" hidden="1"/>
    <cellStyle name="Followed Hyperlink" xfId="65" builtinId="9" hidden="1"/>
    <cellStyle name="Followed Hyperlink" xfId="2002" builtinId="9" hidden="1"/>
    <cellStyle name="Followed Hyperlink" xfId="211" builtinId="9" hidden="1"/>
    <cellStyle name="Followed Hyperlink" xfId="3672" builtinId="9" hidden="1"/>
    <cellStyle name="Followed Hyperlink" xfId="544" builtinId="9" hidden="1"/>
    <cellStyle name="Followed Hyperlink" xfId="2906" builtinId="9" hidden="1"/>
    <cellStyle name="Followed Hyperlink" xfId="1106" builtinId="9" hidden="1"/>
    <cellStyle name="Followed Hyperlink" xfId="2104" builtinId="9" hidden="1"/>
    <cellStyle name="Followed Hyperlink" xfId="1532" builtinId="9" hidden="1"/>
    <cellStyle name="Followed Hyperlink" xfId="438" builtinId="9" hidden="1"/>
    <cellStyle name="Followed Hyperlink" xfId="2436" builtinId="9" hidden="1"/>
    <cellStyle name="Followed Hyperlink" xfId="1004" builtinId="9" hidden="1"/>
    <cellStyle name="Followed Hyperlink" xfId="2030" builtinId="9" hidden="1"/>
    <cellStyle name="Followed Hyperlink" xfId="428" builtinId="9" hidden="1"/>
    <cellStyle name="Followed Hyperlink" xfId="1190" builtinId="9" hidden="1"/>
    <cellStyle name="Followed Hyperlink" xfId="3714" builtinId="9" hidden="1"/>
    <cellStyle name="Followed Hyperlink" xfId="2654" builtinId="9" hidden="1"/>
    <cellStyle name="Followed Hyperlink" xfId="2570" builtinId="9" hidden="1"/>
    <cellStyle name="Followed Hyperlink" xfId="2490" builtinId="9" hidden="1"/>
    <cellStyle name="Followed Hyperlink" xfId="2480" builtinId="9" hidden="1"/>
    <cellStyle name="Followed Hyperlink" xfId="426" builtinId="9" hidden="1"/>
    <cellStyle name="Followed Hyperlink" xfId="224" builtinId="9" hidden="1"/>
    <cellStyle name="Followed Hyperlink" xfId="2886" builtinId="9" hidden="1"/>
    <cellStyle name="Followed Hyperlink" xfId="53" builtinId="9" hidden="1"/>
    <cellStyle name="Followed Hyperlink" xfId="2740" builtinId="9" hidden="1"/>
    <cellStyle name="Followed Hyperlink" xfId="2378" builtinId="9" hidden="1"/>
    <cellStyle name="Followed Hyperlink" xfId="1482" builtinId="9" hidden="1"/>
    <cellStyle name="Followed Hyperlink" xfId="1558" builtinId="9" hidden="1"/>
    <cellStyle name="Followed Hyperlink" xfId="2130" builtinId="9" hidden="1"/>
    <cellStyle name="Followed Hyperlink" xfId="1978" builtinId="9" hidden="1"/>
    <cellStyle name="Followed Hyperlink" xfId="764" builtinId="9" hidden="1"/>
    <cellStyle name="Followed Hyperlink" xfId="41" builtinId="9" hidden="1"/>
    <cellStyle name="Followed Hyperlink" xfId="778" builtinId="9" hidden="1"/>
    <cellStyle name="Followed Hyperlink" xfId="2548" builtinId="9" hidden="1"/>
    <cellStyle name="Followed Hyperlink" xfId="570" builtinId="9" hidden="1"/>
    <cellStyle name="Followed Hyperlink" xfId="1404" builtinId="9" hidden="1"/>
    <cellStyle name="Followed Hyperlink" xfId="2046" builtinId="9" hidden="1"/>
    <cellStyle name="Followed Hyperlink" xfId="2500" builtinId="9" hidden="1"/>
    <cellStyle name="Followed Hyperlink" xfId="1818" builtinId="9" hidden="1"/>
    <cellStyle name="Followed Hyperlink" xfId="2882" builtinId="9" hidden="1"/>
    <cellStyle name="Followed Hyperlink" xfId="2954" builtinId="9" hidden="1"/>
    <cellStyle name="Followed Hyperlink" xfId="1642" builtinId="9" hidden="1"/>
    <cellStyle name="Followed Hyperlink" xfId="494" builtinId="9" hidden="1"/>
    <cellStyle name="Followed Hyperlink" xfId="3052" builtinId="9" hidden="1"/>
    <cellStyle name="Followed Hyperlink" xfId="3632" builtinId="9" hidden="1"/>
    <cellStyle name="Followed Hyperlink" xfId="2206" builtinId="9" hidden="1"/>
    <cellStyle name="Followed Hyperlink" xfId="2770" builtinId="9" hidden="1"/>
    <cellStyle name="Followed Hyperlink" xfId="2786" builtinId="9" hidden="1"/>
    <cellStyle name="Followed Hyperlink" xfId="2582" builtinId="9" hidden="1"/>
    <cellStyle name="Followed Hyperlink" xfId="1996" builtinId="9" hidden="1"/>
    <cellStyle name="Followed Hyperlink" xfId="478" builtinId="9" hidden="1"/>
    <cellStyle name="Followed Hyperlink" xfId="21" builtinId="9" hidden="1"/>
    <cellStyle name="Followed Hyperlink" xfId="1644" builtinId="9" hidden="1"/>
    <cellStyle name="Followed Hyperlink" xfId="3708" builtinId="9" hidden="1"/>
    <cellStyle name="Followed Hyperlink" xfId="2546" builtinId="9" hidden="1"/>
    <cellStyle name="Followed Hyperlink" xfId="3168" builtinId="9" hidden="1"/>
    <cellStyle name="Followed Hyperlink" xfId="3360" builtinId="9" hidden="1"/>
    <cellStyle name="Followed Hyperlink" xfId="1290" builtinId="9" hidden="1"/>
    <cellStyle name="Followed Hyperlink" xfId="2828" builtinId="9" hidden="1"/>
    <cellStyle name="Followed Hyperlink" xfId="1354" builtinId="9" hidden="1"/>
    <cellStyle name="Followed Hyperlink" xfId="3220" builtinId="9" hidden="1"/>
    <cellStyle name="Followed Hyperlink" xfId="1984" builtinId="9" hidden="1"/>
    <cellStyle name="Followed Hyperlink" xfId="1276" builtinId="9" hidden="1"/>
    <cellStyle name="Followed Hyperlink" xfId="3598" builtinId="9" hidden="1"/>
    <cellStyle name="Followed Hyperlink" xfId="3614" builtinId="9" hidden="1"/>
    <cellStyle name="Followed Hyperlink" xfId="3670" builtinId="9" hidden="1"/>
    <cellStyle name="Followed Hyperlink" xfId="215" builtinId="9" hidden="1"/>
    <cellStyle name="Followed Hyperlink" xfId="406" builtinId="9" hidden="1"/>
    <cellStyle name="Followed Hyperlink" xfId="1680" builtinId="9" hidden="1"/>
    <cellStyle name="Followed Hyperlink" xfId="2156" builtinId="9" hidden="1"/>
    <cellStyle name="Followed Hyperlink" xfId="1528" builtinId="9" hidden="1"/>
    <cellStyle name="Followed Hyperlink" xfId="678" builtinId="9" hidden="1"/>
    <cellStyle name="Followed Hyperlink" xfId="1754" builtinId="9" hidden="1"/>
    <cellStyle name="Followed Hyperlink" xfId="1892" builtinId="9" hidden="1"/>
    <cellStyle name="Followed Hyperlink" xfId="1458" builtinId="9" hidden="1"/>
    <cellStyle name="Followed Hyperlink" xfId="3674" builtinId="9" hidden="1"/>
    <cellStyle name="Followed Hyperlink" xfId="244" builtinId="9" hidden="1"/>
    <cellStyle name="Followed Hyperlink" xfId="1476" builtinId="9" hidden="1"/>
    <cellStyle name="Followed Hyperlink" xfId="1212" builtinId="9" hidden="1"/>
    <cellStyle name="Followed Hyperlink" xfId="1520" builtinId="9" hidden="1"/>
    <cellStyle name="Followed Hyperlink" xfId="3642" builtinId="9" hidden="1"/>
    <cellStyle name="Followed Hyperlink" xfId="2356" builtinId="9" hidden="1"/>
    <cellStyle name="Followed Hyperlink" xfId="2150" builtinId="9" hidden="1"/>
    <cellStyle name="Followed Hyperlink" xfId="3214" builtinId="9" hidden="1"/>
    <cellStyle name="Followed Hyperlink" xfId="3500" builtinId="9" hidden="1"/>
    <cellStyle name="Followed Hyperlink" xfId="1394" builtinId="9" hidden="1"/>
    <cellStyle name="Followed Hyperlink" xfId="280" builtinId="9" hidden="1"/>
    <cellStyle name="Followed Hyperlink" xfId="2894" builtinId="9" hidden="1"/>
    <cellStyle name="Followed Hyperlink" xfId="3428" builtinId="9" hidden="1"/>
    <cellStyle name="Followed Hyperlink" xfId="3588" builtinId="9" hidden="1"/>
    <cellStyle name="Followed Hyperlink" xfId="1356" builtinId="9" hidden="1"/>
    <cellStyle name="Followed Hyperlink" xfId="1270" builtinId="9" hidden="1"/>
    <cellStyle name="Followed Hyperlink" xfId="668" builtinId="9" hidden="1"/>
    <cellStyle name="Followed Hyperlink" xfId="3266" builtinId="9" hidden="1"/>
    <cellStyle name="Followed Hyperlink" xfId="3530" builtinId="9" hidden="1"/>
    <cellStyle name="Followed Hyperlink" xfId="990" builtinId="9" hidden="1"/>
    <cellStyle name="Followed Hyperlink" xfId="3406" builtinId="9" hidden="1"/>
    <cellStyle name="Followed Hyperlink" xfId="942" builtinId="9" hidden="1"/>
    <cellStyle name="Followed Hyperlink" xfId="3304" builtinId="9" hidden="1"/>
    <cellStyle name="Followed Hyperlink" xfId="1506" builtinId="9" hidden="1"/>
    <cellStyle name="Followed Hyperlink" xfId="260" builtinId="9" hidden="1"/>
    <cellStyle name="Followed Hyperlink" xfId="410" builtinId="9" hidden="1"/>
    <cellStyle name="Followed Hyperlink" xfId="1760" builtinId="9" hidden="1"/>
    <cellStyle name="Followed Hyperlink" xfId="534" builtinId="9" hidden="1"/>
    <cellStyle name="Followed Hyperlink" xfId="1252" builtinId="9" hidden="1"/>
    <cellStyle name="Hyperlink" xfId="2957" builtinId="8" hidden="1"/>
    <cellStyle name="Hyperlink" xfId="1719" builtinId="8" hidden="1"/>
    <cellStyle name="Hyperlink" xfId="3331" builtinId="8" hidden="1"/>
    <cellStyle name="Hyperlink" xfId="72" builtinId="8" hidden="1"/>
    <cellStyle name="Hyperlink" xfId="3589" builtinId="8" hidden="1"/>
    <cellStyle name="Hyperlink" xfId="437" builtinId="8" hidden="1"/>
    <cellStyle name="Hyperlink" xfId="303" builtinId="8" hidden="1"/>
    <cellStyle name="Hyperlink" xfId="421" builtinId="8" hidden="1"/>
    <cellStyle name="Hyperlink" xfId="981" builtinId="8" hidden="1"/>
    <cellStyle name="Hyperlink" xfId="3023" builtinId="8" hidden="1"/>
    <cellStyle name="Hyperlink" xfId="321" builtinId="8" hidden="1"/>
    <cellStyle name="Hyperlink" xfId="871" builtinId="8" hidden="1"/>
    <cellStyle name="Hyperlink" xfId="1801" builtinId="8" hidden="1"/>
    <cellStyle name="Hyperlink" xfId="1997" builtinId="8" hidden="1"/>
    <cellStyle name="Hyperlink" xfId="2097" builtinId="8" hidden="1"/>
    <cellStyle name="Hyperlink" xfId="457" builtinId="8" hidden="1"/>
    <cellStyle name="Hyperlink" xfId="791" builtinId="8" hidden="1"/>
    <cellStyle name="Hyperlink" xfId="2443" builtinId="8" hidden="1"/>
    <cellStyle name="Hyperlink" xfId="3401" builtinId="8" hidden="1"/>
    <cellStyle name="Hyperlink" xfId="1883" builtinId="8" hidden="1"/>
    <cellStyle name="Hyperlink" xfId="80" builtinId="8" hidden="1"/>
    <cellStyle name="Hyperlink" xfId="1497" builtinId="8" hidden="1"/>
    <cellStyle name="Hyperlink" xfId="531" builtinId="8" hidden="1"/>
    <cellStyle name="Hyperlink" xfId="1213" builtinId="8" hidden="1"/>
    <cellStyle name="Hyperlink" xfId="2461" builtinId="8" hidden="1"/>
    <cellStyle name="Hyperlink" xfId="657" builtinId="8" hidden="1"/>
    <cellStyle name="Hyperlink" xfId="3055" builtinId="8" hidden="1"/>
    <cellStyle name="Hyperlink" xfId="1917" builtinId="8" hidden="1"/>
    <cellStyle name="Hyperlink" xfId="2071" builtinId="8" hidden="1"/>
    <cellStyle name="Hyperlink" xfId="3139" builtinId="8" hidden="1"/>
    <cellStyle name="Hyperlink" xfId="1851" builtinId="8" hidden="1"/>
    <cellStyle name="Hyperlink" xfId="3195" builtinId="8" hidden="1"/>
    <cellStyle name="Hyperlink" xfId="2589" builtinId="8" hidden="1"/>
    <cellStyle name="Hyperlink" xfId="337" builtinId="8" hidden="1"/>
    <cellStyle name="Hyperlink" xfId="2909" builtinId="8" hidden="1"/>
    <cellStyle name="Hyperlink" xfId="2923" builtinId="8" hidden="1"/>
    <cellStyle name="Hyperlink" xfId="3285" builtinId="8" hidden="1"/>
    <cellStyle name="Hyperlink" xfId="3089" builtinId="8" hidden="1"/>
    <cellStyle name="Hyperlink" xfId="807" builtinId="8" hidden="1"/>
    <cellStyle name="Hyperlink" xfId="449" builtinId="8" hidden="1"/>
    <cellStyle name="Hyperlink" xfId="3031" builtinId="8" hidden="1"/>
    <cellStyle name="Hyperlink" xfId="1343" builtinId="8" hidden="1"/>
    <cellStyle name="Hyperlink" xfId="315" builtinId="8" hidden="1"/>
    <cellStyle name="Hyperlink" xfId="98" builtinId="8" hidden="1"/>
    <cellStyle name="Hyperlink" xfId="957" builtinId="8" hidden="1"/>
    <cellStyle name="Hyperlink" xfId="439" builtinId="8" hidden="1"/>
    <cellStyle name="Hyperlink" xfId="134" builtinId="8" hidden="1"/>
    <cellStyle name="Hyperlink" xfId="2857" builtinId="8" hidden="1"/>
    <cellStyle name="Hyperlink" xfId="3085" builtinId="8" hidden="1"/>
    <cellStyle name="Hyperlink" xfId="2755" builtinId="8" hidden="1"/>
    <cellStyle name="Hyperlink" xfId="1517" builtinId="8" hidden="1"/>
    <cellStyle name="Hyperlink" xfId="2617" builtinId="8" hidden="1"/>
    <cellStyle name="Hyperlink" xfId="2797" builtinId="8" hidden="1"/>
    <cellStyle name="Hyperlink" xfId="3363" builtinId="8" hidden="1"/>
    <cellStyle name="Hyperlink" xfId="489" builtinId="8" hidden="1"/>
    <cellStyle name="Hyperlink" xfId="1283" builtinId="8" hidden="1"/>
    <cellStyle name="Hyperlink" xfId="697" builtinId="8" hidden="1"/>
    <cellStyle name="Hyperlink" xfId="1985" builtinId="8" hidden="1"/>
    <cellStyle name="Hyperlink" xfId="2341" builtinId="8" hidden="1"/>
    <cellStyle name="Hyperlink" xfId="22" builtinId="8" hidden="1"/>
    <cellStyle name="Hyperlink" xfId="1421" builtinId="8" hidden="1"/>
    <cellStyle name="Hyperlink" xfId="3607" builtinId="8" hidden="1"/>
    <cellStyle name="Hyperlink" xfId="2011" builtinId="8" hidden="1"/>
    <cellStyle name="Hyperlink" xfId="3159" builtinId="8" hidden="1"/>
    <cellStyle name="Hyperlink" xfId="817" builtinId="8" hidden="1"/>
    <cellStyle name="Hyperlink" xfId="633" builtinId="8" hidden="1"/>
    <cellStyle name="Hyperlink" xfId="2251" builtinId="8" hidden="1"/>
    <cellStyle name="Hyperlink" xfId="3383" builtinId="8" hidden="1"/>
    <cellStyle name="Hyperlink" xfId="1841" builtinId="8" hidden="1"/>
    <cellStyle name="Hyperlink" xfId="263" builtinId="8" hidden="1"/>
    <cellStyle name="Hyperlink" xfId="473" builtinId="8" hidden="1"/>
    <cellStyle name="Hyperlink" xfId="2069" builtinId="8" hidden="1"/>
    <cellStyle name="Hyperlink" xfId="3623" builtinId="8" hidden="1"/>
    <cellStyle name="Hyperlink" xfId="2653" builtinId="8" hidden="1"/>
    <cellStyle name="Hyperlink" xfId="2125" builtinId="8" hidden="1"/>
    <cellStyle name="Hyperlink" xfId="3621" builtinId="8" hidden="1"/>
    <cellStyle name="Hyperlink" xfId="639" builtinId="8" hidden="1"/>
    <cellStyle name="Hyperlink" xfId="801" builtinId="8" hidden="1"/>
    <cellStyle name="Hyperlink" xfId="2919" builtinId="8" hidden="1"/>
    <cellStyle name="Hyperlink" xfId="1017" builtinId="8" hidden="1"/>
    <cellStyle name="Hyperlink" xfId="3019" builtinId="8" hidden="1"/>
    <cellStyle name="Hyperlink" xfId="717" builtinId="8" hidden="1"/>
    <cellStyle name="Hyperlink" xfId="3183" builtinId="8" hidden="1"/>
    <cellStyle name="Hyperlink" xfId="2735" builtinId="8" hidden="1"/>
    <cellStyle name="Hyperlink" xfId="1601" builtinId="8" hidden="1"/>
    <cellStyle name="Hyperlink" xfId="3441" builtinId="8" hidden="1"/>
    <cellStyle name="Hyperlink" xfId="1835" builtinId="8" hidden="1"/>
    <cellStyle name="Hyperlink" xfId="1527" builtinId="8" hidden="1"/>
    <cellStyle name="Hyperlink" xfId="2729" builtinId="8" hidden="1"/>
    <cellStyle name="Hyperlink" xfId="124" builtinId="8" hidden="1"/>
    <cellStyle name="Hyperlink" xfId="1037" builtinId="8" hidden="1"/>
    <cellStyle name="Hyperlink" xfId="2099" builtinId="8" hidden="1"/>
    <cellStyle name="Hyperlink" xfId="2981" builtinId="8" hidden="1"/>
    <cellStyle name="Hyperlink" xfId="1837" builtinId="8" hidden="1"/>
    <cellStyle name="Hyperlink" xfId="3427" builtinId="8" hidden="1"/>
    <cellStyle name="Hyperlink" xfId="2063" builtinId="8" hidden="1"/>
    <cellStyle name="Hyperlink" xfId="735" builtinId="8" hidden="1"/>
    <cellStyle name="Hyperlink" xfId="1853" builtinId="8" hidden="1"/>
    <cellStyle name="Hyperlink" xfId="929" builtinId="8" hidden="1"/>
    <cellStyle name="Hyperlink" xfId="3295" builtinId="8" hidden="1"/>
    <cellStyle name="Hyperlink" xfId="2003" builtinId="8" hidden="1"/>
    <cellStyle name="Hyperlink" xfId="469" builtinId="8" hidden="1"/>
    <cellStyle name="Hyperlink" xfId="3307" builtinId="8" hidden="1"/>
    <cellStyle name="Hyperlink" xfId="1667" builtinId="8" hidden="1"/>
    <cellStyle name="Hyperlink" xfId="1629" builtinId="8" hidden="1"/>
    <cellStyle name="Hyperlink" xfId="3335" builtinId="8" hidden="1"/>
    <cellStyle name="Hyperlink" xfId="2509" builtinId="8" hidden="1"/>
    <cellStyle name="Hyperlink" xfId="1677" builtinId="8" hidden="1"/>
    <cellStyle name="Hyperlink" xfId="2321" builtinId="8" hidden="1"/>
    <cellStyle name="Hyperlink" xfId="2073" builtinId="8" hidden="1"/>
    <cellStyle name="Hyperlink" xfId="915" builtinId="8" hidden="1"/>
    <cellStyle name="Hyperlink" xfId="2915" builtinId="8" hidden="1"/>
    <cellStyle name="Hyperlink" xfId="1227" builtinId="8" hidden="1"/>
    <cellStyle name="Hyperlink" xfId="1611" builtinId="8" hidden="1"/>
    <cellStyle name="Hyperlink" xfId="503" builtinId="8" hidden="1"/>
    <cellStyle name="Hyperlink" xfId="275" builtinId="8" hidden="1"/>
    <cellStyle name="Hyperlink" xfId="1489" builtinId="8" hidden="1"/>
    <cellStyle name="Hyperlink" xfId="3617" builtinId="8" hidden="1"/>
    <cellStyle name="Hyperlink" xfId="3671" builtinId="8" hidden="1"/>
    <cellStyle name="Hyperlink" xfId="3755" builtinId="8" hidden="1"/>
    <cellStyle name="Hyperlink" xfId="2961" builtinId="8" hidden="1"/>
    <cellStyle name="Hyperlink" xfId="885" builtinId="8" hidden="1"/>
    <cellStyle name="Hyperlink" xfId="2389" builtinId="8" hidden="1"/>
    <cellStyle name="Hyperlink" xfId="2161" builtinId="8" hidden="1"/>
    <cellStyle name="Hyperlink" xfId="877" builtinId="8" hidden="1"/>
    <cellStyle name="Hyperlink" xfId="3209" builtinId="8" hidden="1"/>
    <cellStyle name="Hyperlink" xfId="2663" builtinId="8" hidden="1"/>
    <cellStyle name="Hyperlink" xfId="1477" builtinId="8" hidden="1"/>
    <cellStyle name="Hyperlink" xfId="769" builtinId="8" hidden="1"/>
    <cellStyle name="Hyperlink" xfId="1365" builtinId="8" hidden="1"/>
    <cellStyle name="Hyperlink" xfId="3653" builtinId="8" hidden="1"/>
    <cellStyle name="Hyperlink" xfId="2347" builtinId="8" hidden="1"/>
    <cellStyle name="Hyperlink" xfId="859" builtinId="8" hidden="1"/>
    <cellStyle name="Hyperlink" xfId="2605" builtinId="8" hidden="1"/>
    <cellStyle name="Hyperlink" xfId="2095" builtinId="8" hidden="1"/>
    <cellStyle name="Hyperlink" xfId="3757" builtinId="8" hidden="1"/>
    <cellStyle name="Hyperlink" xfId="3187" builtinId="8" hidden="1"/>
    <cellStyle name="Hyperlink" xfId="1589" builtinId="8" hidden="1"/>
    <cellStyle name="Hyperlink" xfId="1361" builtinId="8" hidden="1"/>
    <cellStyle name="Hyperlink" xfId="509" builtinId="8" hidden="1"/>
    <cellStyle name="Hyperlink" xfId="208" builtinId="8" hidden="1"/>
    <cellStyle name="Hyperlink" xfId="2525" builtinId="8" hidden="1"/>
    <cellStyle name="Hyperlink" xfId="283" builtinId="8" hidden="1"/>
    <cellStyle name="Hyperlink" xfId="301" builtinId="8" hidden="1"/>
    <cellStyle name="Hyperlink" xfId="2749" builtinId="8" hidden="1"/>
    <cellStyle name="Hyperlink" xfId="3417" builtinId="8" hidden="1"/>
    <cellStyle name="Hyperlink" xfId="3155" builtinId="8" hidden="1"/>
    <cellStyle name="Hyperlink" xfId="2151" builtinId="8" hidden="1"/>
    <cellStyle name="Hyperlink" xfId="3457" builtinId="8" hidden="1"/>
    <cellStyle name="Hyperlink" xfId="2409" builtinId="8" hidden="1"/>
    <cellStyle name="Hyperlink" xfId="933" builtinId="8" hidden="1"/>
    <cellStyle name="Hyperlink" xfId="3413" builtinId="8" hidden="1"/>
    <cellStyle name="Hyperlink" xfId="821" builtinId="8" hidden="1"/>
    <cellStyle name="Hyperlink" xfId="2843" builtinId="8" hidden="1"/>
    <cellStyle name="Hyperlink" xfId="2527" builtinId="8" hidden="1"/>
    <cellStyle name="Hyperlink" xfId="3761" builtinId="8" hidden="1"/>
    <cellStyle name="Hyperlink" xfId="773" builtinId="8" hidden="1"/>
    <cellStyle name="Hyperlink" xfId="2241" builtinId="8" hidden="1"/>
    <cellStyle name="Hyperlink" xfId="1567" builtinId="8" hidden="1"/>
    <cellStyle name="Hyperlink" xfId="2757" builtinId="8" hidden="1"/>
    <cellStyle name="Hyperlink" xfId="1257" builtinId="8" hidden="1"/>
    <cellStyle name="Hyperlink" xfId="947" builtinId="8" hidden="1"/>
    <cellStyle name="Hyperlink" xfId="2031" builtinId="8" hidden="1"/>
    <cellStyle name="Hyperlink" xfId="719" builtinId="8" hidden="1"/>
    <cellStyle name="Hyperlink" xfId="1575" builtinId="8" hidden="1"/>
    <cellStyle name="Hyperlink" xfId="3471" builtinId="8" hidden="1"/>
    <cellStyle name="Hyperlink" xfId="1655" builtinId="8" hidden="1"/>
    <cellStyle name="Hyperlink" xfId="1999" builtinId="8" hidden="1"/>
    <cellStyle name="Hyperlink" xfId="1901" builtinId="8" hidden="1"/>
    <cellStyle name="Hyperlink" xfId="3463" builtinId="8" hidden="1"/>
    <cellStyle name="Hyperlink" xfId="1057" builtinId="8" hidden="1"/>
    <cellStyle name="Hyperlink" xfId="935" builtinId="8" hidden="1"/>
    <cellStyle name="Hyperlink" xfId="1349" builtinId="8" hidden="1"/>
    <cellStyle name="Hyperlink" xfId="1763" builtinId="8" hidden="1"/>
    <cellStyle name="Hyperlink" xfId="136" builtinId="8" hidden="1"/>
    <cellStyle name="Hyperlink" xfId="1695" builtinId="8" hidden="1"/>
    <cellStyle name="Hyperlink" xfId="3381" builtinId="8" hidden="1"/>
    <cellStyle name="Hyperlink" xfId="1371" builtinId="8" hidden="1"/>
    <cellStyle name="Hyperlink" xfId="629" builtinId="8" hidden="1"/>
    <cellStyle name="Hyperlink" xfId="2281" builtinId="8" hidden="1"/>
    <cellStyle name="Hyperlink" xfId="3705" builtinId="8" hidden="1"/>
    <cellStyle name="Hyperlink" xfId="2569" builtinId="8" hidden="1"/>
    <cellStyle name="Hyperlink" xfId="1937" builtinId="8" hidden="1"/>
    <cellStyle name="Hyperlink" xfId="881" builtinId="8" hidden="1"/>
    <cellStyle name="Hyperlink" xfId="1189" builtinId="8" hidden="1"/>
    <cellStyle name="Hyperlink" xfId="1353" builtinId="8" hidden="1"/>
    <cellStyle name="Hyperlink" xfId="3551" builtinId="8" hidden="1"/>
    <cellStyle name="Hyperlink" xfId="2193" builtinId="8" hidden="1"/>
    <cellStyle name="Hyperlink" xfId="3217" builtinId="8" hidden="1"/>
    <cellStyle name="Hyperlink" xfId="2787" builtinId="8" hidden="1"/>
    <cellStyle name="Hyperlink" xfId="391" builtinId="8" hidden="1"/>
    <cellStyle name="Hyperlink" xfId="2415" builtinId="8" hidden="1"/>
    <cellStyle name="Hyperlink" xfId="1321" builtinId="8" hidden="1"/>
    <cellStyle name="Hyperlink" xfId="3729" builtinId="8" hidden="1"/>
    <cellStyle name="Hyperlink" xfId="2091" builtinId="8" hidden="1"/>
    <cellStyle name="Hyperlink" xfId="2061" builtinId="8" hidden="1"/>
    <cellStyle name="Hyperlink" xfId="3593" builtinId="8" hidden="1"/>
    <cellStyle name="Hyperlink" xfId="2875" builtinId="8" hidden="1"/>
    <cellStyle name="Hyperlink" xfId="1645" builtinId="8" hidden="1"/>
    <cellStyle name="Hyperlink" xfId="445" builtinId="8" hidden="1"/>
    <cellStyle name="Hyperlink" xfId="235" builtinId="8" hidden="1"/>
    <cellStyle name="Hyperlink" xfId="1117" builtinId="8" hidden="1"/>
    <cellStyle name="Hyperlink" xfId="3613" builtinId="8" hidden="1"/>
    <cellStyle name="Hyperlink" xfId="1925" builtinId="8" hidden="1"/>
    <cellStyle name="Hyperlink" xfId="2399" builtinId="8" hidden="1"/>
    <cellStyle name="Hyperlink" xfId="40" builtinId="8" hidden="1"/>
    <cellStyle name="Hyperlink" xfId="767" builtinId="8" hidden="1"/>
    <cellStyle name="Hyperlink" xfId="1955" builtinId="8" hidden="1"/>
    <cellStyle name="Hyperlink" xfId="3667" builtinId="8" hidden="1"/>
    <cellStyle name="Hyperlink" xfId="3039" builtinId="8" hidden="1"/>
    <cellStyle name="Hyperlink" xfId="162" builtinId="8" hidden="1"/>
    <cellStyle name="Hyperlink" xfId="108" builtinId="8" hidden="1"/>
    <cellStyle name="Hyperlink" xfId="1453" builtinId="8" hidden="1"/>
    <cellStyle name="Hyperlink" xfId="461" builtinId="8" hidden="1"/>
    <cellStyle name="Hyperlink" xfId="825" builtinId="8" hidden="1"/>
    <cellStyle name="Hyperlink" xfId="2725" builtinId="8" hidden="1"/>
    <cellStyle name="Hyperlink" xfId="3643" builtinId="8" hidden="1"/>
    <cellStyle name="Hyperlink" xfId="2035" builtinId="8" hidden="1"/>
    <cellStyle name="Hyperlink" xfId="1941" builtinId="8" hidden="1"/>
    <cellStyle name="Hyperlink" xfId="765" builtinId="8" hidden="1"/>
    <cellStyle name="Hyperlink" xfId="2667" builtinId="8" hidden="1"/>
    <cellStyle name="Hyperlink" xfId="2337" builtinId="8" hidden="1"/>
    <cellStyle name="Hyperlink" xfId="549" builtinId="8" hidden="1"/>
    <cellStyle name="Hyperlink" xfId="1067" builtinId="8" hidden="1"/>
    <cellStyle name="Hyperlink" xfId="1921" builtinId="8" hidden="1"/>
    <cellStyle name="Hyperlink" xfId="487" builtinId="8" hidden="1"/>
    <cellStyle name="Hyperlink" xfId="533" builtinId="8" hidden="1"/>
    <cellStyle name="Hyperlink" xfId="2043" builtinId="8" hidden="1"/>
    <cellStyle name="Hyperlink" xfId="1967" builtinId="8" hidden="1"/>
    <cellStyle name="Hyperlink" xfId="1689" builtinId="8" hidden="1"/>
    <cellStyle name="Hyperlink" xfId="3405" builtinId="8" hidden="1"/>
    <cellStyle name="Hyperlink" xfId="501" builtinId="8" hidden="1"/>
    <cellStyle name="Hyperlink" xfId="3147" builtinId="8" hidden="1"/>
    <cellStyle name="Hyperlink" xfId="3563" builtinId="8" hidden="1"/>
    <cellStyle name="Hyperlink" xfId="3009" builtinId="8" hidden="1"/>
    <cellStyle name="Hyperlink" xfId="1969" builtinId="8" hidden="1"/>
    <cellStyle name="Hyperlink" xfId="847" builtinId="8" hidden="1"/>
    <cellStyle name="Hyperlink" xfId="3163" builtinId="8" hidden="1"/>
    <cellStyle name="Hyperlink" xfId="2935" builtinId="8" hidden="1"/>
    <cellStyle name="Hyperlink" xfId="130" builtinId="8" hidden="1"/>
    <cellStyle name="Hyperlink" xfId="2839" builtinId="8" hidden="1"/>
    <cellStyle name="Hyperlink" xfId="140" builtinId="8" hidden="1"/>
    <cellStyle name="Hyperlink" xfId="2189" builtinId="8" hidden="1"/>
    <cellStyle name="Hyperlink" xfId="3227" builtinId="8" hidden="1"/>
    <cellStyle name="Hyperlink" xfId="813" builtinId="8" hidden="1"/>
    <cellStyle name="Hyperlink" xfId="2647" builtinId="8" hidden="1"/>
    <cellStyle name="Hyperlink" xfId="2687" builtinId="8" hidden="1"/>
    <cellStyle name="Hyperlink" xfId="2103" builtinId="8" hidden="1"/>
    <cellStyle name="Hyperlink" xfId="2541" builtinId="8" hidden="1"/>
    <cellStyle name="Hyperlink" xfId="1665" builtinId="8" hidden="1"/>
    <cellStyle name="Hyperlink" xfId="259" builtinId="8" hidden="1"/>
    <cellStyle name="Hyperlink" xfId="3087" builtinId="8" hidden="1"/>
    <cellStyle name="Hyperlink" xfId="1951" builtinId="8" hidden="1"/>
    <cellStyle name="Hyperlink" xfId="2947" builtinId="8" hidden="1"/>
    <cellStyle name="Hyperlink" xfId="411" builtinId="8" hidden="1"/>
    <cellStyle name="Hyperlink" xfId="3115" builtinId="8" hidden="1"/>
    <cellStyle name="Hyperlink" xfId="1329" builtinId="8" hidden="1"/>
    <cellStyle name="Hyperlink" xfId="2199" builtinId="8" hidden="1"/>
    <cellStyle name="Hyperlink" xfId="28" builtinId="8" hidden="1"/>
    <cellStyle name="Hyperlink" xfId="3355" builtinId="8" hidden="1"/>
    <cellStyle name="Hyperlink" xfId="2455" builtinId="8" hidden="1"/>
    <cellStyle name="Hyperlink" xfId="715" builtinId="8" hidden="1"/>
    <cellStyle name="Hyperlink" xfId="655" builtinId="8" hidden="1"/>
    <cellStyle name="Hyperlink" xfId="2593" builtinId="8" hidden="1"/>
    <cellStyle name="Hyperlink" xfId="3011" builtinId="8" hidden="1"/>
    <cellStyle name="Hyperlink" xfId="3675" builtinId="8" hidden="1"/>
    <cellStyle name="Hyperlink" xfId="1751" builtinId="8" hidden="1"/>
    <cellStyle name="Hyperlink" xfId="1197" builtinId="8" hidden="1"/>
    <cellStyle name="Hyperlink" xfId="1877" builtinId="8" hidden="1"/>
    <cellStyle name="Hyperlink" xfId="3465" builtinId="8" hidden="1"/>
    <cellStyle name="Hyperlink" xfId="3003" builtinId="8" hidden="1"/>
    <cellStyle name="Hyperlink" xfId="2939" builtinId="8" hidden="1"/>
    <cellStyle name="Hyperlink" xfId="453" builtinId="8" hidden="1"/>
    <cellStyle name="Hyperlink" xfId="1789" builtinId="8" hidden="1"/>
    <cellStyle name="Hyperlink" xfId="387" builtinId="8" hidden="1"/>
    <cellStyle name="Hyperlink" xfId="589" builtinId="8" hidden="1"/>
    <cellStyle name="Hyperlink" xfId="2175" builtinId="8" hidden="1"/>
    <cellStyle name="Hyperlink" xfId="3459" builtinId="8" hidden="1"/>
    <cellStyle name="Hyperlink" xfId="2245" builtinId="8" hidden="1"/>
    <cellStyle name="Hyperlink" xfId="1707" builtinId="8" hidden="1"/>
    <cellStyle name="Hyperlink" xfId="3635" builtinId="8" hidden="1"/>
    <cellStyle name="Hyperlink" xfId="3203" builtinId="8" hidden="1"/>
    <cellStyle name="Hyperlink" xfId="1639" builtinId="8" hidden="1"/>
    <cellStyle name="Hyperlink" xfId="2435" builtinId="8" hidden="1"/>
    <cellStyle name="Hyperlink" xfId="1815" builtinId="8" hidden="1"/>
    <cellStyle name="Hyperlink" xfId="1285" builtinId="8" hidden="1"/>
    <cellStyle name="Hyperlink" xfId="1443" builtinId="8" hidden="1"/>
    <cellStyle name="Hyperlink" xfId="681" builtinId="8" hidden="1"/>
    <cellStyle name="Hyperlink" xfId="583" builtinId="8" hidden="1"/>
    <cellStyle name="Hyperlink" xfId="879" builtinId="8" hidden="1"/>
    <cellStyle name="Hyperlink" xfId="3219" builtinId="8" hidden="1"/>
    <cellStyle name="Hyperlink" xfId="1061" builtinId="8" hidden="1"/>
    <cellStyle name="Hyperlink" xfId="34" builtinId="8" hidden="1"/>
    <cellStyle name="Hyperlink" xfId="815" builtinId="8" hidden="1"/>
    <cellStyle name="Hyperlink" xfId="3109" builtinId="8" hidden="1"/>
    <cellStyle name="Hyperlink" xfId="2243" builtinId="8" hidden="1"/>
    <cellStyle name="Hyperlink" xfId="3625" builtinId="8" hidden="1"/>
    <cellStyle name="Hyperlink" xfId="2265" builtinId="8" hidden="1"/>
    <cellStyle name="Hyperlink" xfId="1661" builtinId="8" hidden="1"/>
    <cellStyle name="Hyperlink" xfId="2995" builtinId="8" hidden="1"/>
    <cellStyle name="Hyperlink" xfId="154" builtinId="8" hidden="1"/>
    <cellStyle name="Hyperlink" xfId="2803" builtinId="8" hidden="1"/>
    <cellStyle name="Hyperlink" xfId="3389" builtinId="8" hidden="1"/>
    <cellStyle name="Hyperlink" xfId="1651" builtinId="8" hidden="1"/>
    <cellStyle name="Hyperlink" xfId="323" builtinId="8" hidden="1"/>
    <cellStyle name="Hyperlink" xfId="3527" builtinId="8" hidden="1"/>
    <cellStyle name="Hyperlink" xfId="371" builtinId="8" hidden="1"/>
    <cellStyle name="Hyperlink" xfId="2941" builtinId="8" hidden="1"/>
    <cellStyle name="Hyperlink" xfId="1159" builtinId="8" hidden="1"/>
    <cellStyle name="Hyperlink" xfId="3599" builtinId="8" hidden="1"/>
    <cellStyle name="Hyperlink" xfId="2545" builtinId="8" hidden="1"/>
    <cellStyle name="Hyperlink" xfId="2079" builtinId="8" hidden="1"/>
    <cellStyle name="Hyperlink" xfId="3305" builtinId="8" hidden="1"/>
    <cellStyle name="Hyperlink" xfId="2679" builtinId="8" hidden="1"/>
    <cellStyle name="Hyperlink" xfId="2789" builtinId="8" hidden="1"/>
    <cellStyle name="Hyperlink" xfId="1479" builtinId="8" hidden="1"/>
    <cellStyle name="Hyperlink" xfId="2791" builtinId="8" hidden="1"/>
    <cellStyle name="Hyperlink" xfId="797" builtinId="8" hidden="1"/>
    <cellStyle name="Hyperlink" xfId="1177" builtinId="8" hidden="1"/>
    <cellStyle name="Hyperlink" xfId="1049" builtinId="8" hidden="1"/>
    <cellStyle name="Hyperlink" xfId="307" builtinId="8" hidden="1"/>
    <cellStyle name="Hyperlink" xfId="14" builtinId="8" hidden="1"/>
    <cellStyle name="Hyperlink" xfId="1733" builtinId="8" hidden="1"/>
    <cellStyle name="Hyperlink" xfId="367" builtinId="8" hidden="1"/>
    <cellStyle name="Hyperlink" xfId="62" builtinId="8" hidden="1"/>
    <cellStyle name="Hyperlink" xfId="1291" builtinId="8" hidden="1"/>
    <cellStyle name="Hyperlink" xfId="3327" builtinId="8" hidden="1"/>
    <cellStyle name="Hyperlink" xfId="156" builtinId="8" hidden="1"/>
    <cellStyle name="Hyperlink" xfId="665" builtinId="8" hidden="1"/>
    <cellStyle name="Hyperlink" xfId="3077" builtinId="8" hidden="1"/>
    <cellStyle name="Hyperlink" xfId="1287" builtinId="8" hidden="1"/>
    <cellStyle name="Hyperlink" xfId="793" builtinId="8" hidden="1"/>
    <cellStyle name="Hyperlink" xfId="311" builtinId="8" hidden="1"/>
    <cellStyle name="Hyperlink" xfId="3311" builtinId="8" hidden="1"/>
    <cellStyle name="Hyperlink" xfId="3135" builtinId="8" hidden="1"/>
    <cellStyle name="Hyperlink" xfId="2737" builtinId="8" hidden="1"/>
    <cellStyle name="Hyperlink" xfId="3225" builtinId="8" hidden="1"/>
    <cellStyle name="Hyperlink" xfId="3651" builtinId="8" hidden="1"/>
    <cellStyle name="Hyperlink" xfId="2215" builtinId="8" hidden="1"/>
    <cellStyle name="Hyperlink" xfId="3095" builtinId="8" hidden="1"/>
    <cellStyle name="Hyperlink" xfId="2007" builtinId="8" hidden="1"/>
    <cellStyle name="Hyperlink" xfId="543" builtinId="8" hidden="1"/>
    <cellStyle name="Hyperlink" xfId="52" builtinId="8" hidden="1"/>
    <cellStyle name="Hyperlink" xfId="2591" builtinId="8" hidden="1"/>
    <cellStyle name="Hyperlink" xfId="701" builtinId="8" hidden="1"/>
    <cellStyle name="Hyperlink" xfId="2651" builtinId="8" hidden="1"/>
    <cellStyle name="Hyperlink" xfId="2795" builtinId="8" hidden="1"/>
    <cellStyle name="Hyperlink" xfId="3533" builtinId="8" hidden="1"/>
    <cellStyle name="Hyperlink" xfId="363" builtinId="8" hidden="1"/>
    <cellStyle name="Hyperlink" xfId="1391" builtinId="8" hidden="1"/>
    <cellStyle name="Hyperlink" xfId="1747" builtinId="8" hidden="1"/>
    <cellStyle name="Hyperlink" xfId="1259" builtinId="8" hidden="1"/>
    <cellStyle name="Hyperlink" xfId="2655" builtinId="8" hidden="1"/>
    <cellStyle name="Hyperlink" xfId="1303" builtinId="8" hidden="1"/>
    <cellStyle name="Hyperlink" xfId="1123" builtinId="8" hidden="1"/>
    <cellStyle name="Hyperlink" xfId="257" builtinId="8" hidden="1"/>
    <cellStyle name="Hyperlink" xfId="2547" builtinId="8" hidden="1"/>
    <cellStyle name="Hyperlink" xfId="2001" builtinId="8" hidden="1"/>
    <cellStyle name="Hyperlink" xfId="921" builtinId="8" hidden="1"/>
    <cellStyle name="Hyperlink" xfId="903" builtinId="8" hidden="1"/>
    <cellStyle name="Hyperlink" xfId="3079" builtinId="8" hidden="1"/>
    <cellStyle name="Hyperlink" xfId="2129" builtinId="8" hidden="1"/>
    <cellStyle name="Hyperlink" xfId="1525" builtinId="8" hidden="1"/>
    <cellStyle name="Hyperlink" xfId="1007" builtinId="8" hidden="1"/>
    <cellStyle name="Hyperlink" xfId="1557" builtinId="8" hidden="1"/>
    <cellStyle name="Hyperlink" xfId="1193" builtinId="8" hidden="1"/>
    <cellStyle name="Hyperlink" xfId="1615" builtinId="8" hidden="1"/>
    <cellStyle name="Hyperlink" xfId="3467" builtinId="8" hidden="1"/>
    <cellStyle name="Hyperlink" xfId="919" builtinId="8" hidden="1"/>
    <cellStyle name="Hyperlink" xfId="1163" builtinId="8" hidden="1"/>
    <cellStyle name="Hyperlink" xfId="827" builtinId="8" hidden="1"/>
    <cellStyle name="Hyperlink" xfId="2905" builtinId="8" hidden="1"/>
    <cellStyle name="Hyperlink" xfId="3699" builtinId="8" hidden="1"/>
    <cellStyle name="Hyperlink" xfId="146" builtinId="8" hidden="1"/>
    <cellStyle name="Hyperlink" xfId="983" builtinId="8" hidden="1"/>
    <cellStyle name="Hyperlink" xfId="3015" builtinId="8" hidden="1"/>
    <cellStyle name="Hyperlink" xfId="3283" builtinId="8" hidden="1"/>
    <cellStyle name="Hyperlink" xfId="1545" builtinId="8" hidden="1"/>
    <cellStyle name="Hyperlink" xfId="611" builtinId="8" hidden="1"/>
    <cellStyle name="Hyperlink" xfId="3149" builtinId="8" hidden="1"/>
    <cellStyle name="Hyperlink" xfId="1101" builtinId="8" hidden="1"/>
    <cellStyle name="Hyperlink" xfId="1915" builtinId="8" hidden="1"/>
    <cellStyle name="Hyperlink" xfId="2781" builtinId="8" hidden="1"/>
    <cellStyle name="Hyperlink" xfId="2305" builtinId="8" hidden="1"/>
    <cellStyle name="Hyperlink" xfId="1745" builtinId="8" hidden="1"/>
    <cellStyle name="Hyperlink" xfId="2255" builtinId="8" hidden="1"/>
    <cellStyle name="Hyperlink" xfId="679" builtinId="8" hidden="1"/>
    <cellStyle name="Hyperlink" xfId="2563" builtinId="8" hidden="1"/>
    <cellStyle name="Hyperlink" xfId="2089" builtinId="8" hidden="1"/>
    <cellStyle name="Hyperlink" xfId="605" builtinId="8" hidden="1"/>
    <cellStyle name="Hyperlink" xfId="809" builtinId="8" hidden="1"/>
    <cellStyle name="Hyperlink" xfId="3005" builtinId="8" hidden="1"/>
    <cellStyle name="Hyperlink" xfId="3695" builtinId="8" hidden="1"/>
    <cellStyle name="Hyperlink" xfId="3631" builtinId="8" hidden="1"/>
    <cellStyle name="Hyperlink" xfId="2985" builtinId="8" hidden="1"/>
    <cellStyle name="Hyperlink" xfId="2201" builtinId="8" hidden="1"/>
    <cellStyle name="Hyperlink" xfId="196" builtinId="8" hidden="1"/>
    <cellStyle name="Hyperlink" xfId="3595" builtinId="8" hidden="1"/>
    <cellStyle name="Hyperlink" xfId="291" builtinId="8" hidden="1"/>
    <cellStyle name="Hyperlink" xfId="2359" builtinId="8" hidden="1"/>
    <cellStyle name="Hyperlink" xfId="3657" builtinId="8" hidden="1"/>
    <cellStyle name="Hyperlink" xfId="1311" builtinId="8" hidden="1"/>
    <cellStyle name="Hyperlink" xfId="853" builtinId="8" hidden="1"/>
    <cellStyle name="Hyperlink" xfId="867" builtinId="8" hidden="1"/>
    <cellStyle name="Hyperlink" xfId="545" builtinId="8" hidden="1"/>
    <cellStyle name="Hyperlink" xfId="1673" builtinId="8" hidden="1"/>
    <cellStyle name="Hyperlink" xfId="3721" builtinId="8" hidden="1"/>
    <cellStyle name="Hyperlink" xfId="3451" builtinId="8" hidden="1"/>
    <cellStyle name="Hyperlink" xfId="1217" builtinId="8" hidden="1"/>
    <cellStyle name="Hyperlink" xfId="1395" builtinId="8" hidden="1"/>
    <cellStyle name="Hyperlink" xfId="1335" builtinId="8" hidden="1"/>
    <cellStyle name="Hyperlink" xfId="2841" builtinId="8" hidden="1"/>
    <cellStyle name="Hyperlink" xfId="2327" builtinId="8" hidden="1"/>
    <cellStyle name="Hyperlink" xfId="3581" builtinId="8" hidden="1"/>
    <cellStyle name="Hyperlink" xfId="2425" builtinId="8" hidden="1"/>
    <cellStyle name="Hyperlink" xfId="2507" builtinId="8" hidden="1"/>
    <cellStyle name="Hyperlink" xfId="431" builtinId="8" hidden="1"/>
    <cellStyle name="Hyperlink" xfId="3321" builtinId="8" hidden="1"/>
    <cellStyle name="Hyperlink" xfId="973" builtinId="8" hidden="1"/>
    <cellStyle name="Hyperlink" xfId="1991" builtinId="8" hidden="1"/>
    <cellStyle name="Hyperlink" xfId="731" builtinId="8" hidden="1"/>
    <cellStyle name="Hyperlink" xfId="643" builtinId="8" hidden="1"/>
    <cellStyle name="Hyperlink" xfId="3347" builtinId="8" hidden="1"/>
    <cellStyle name="Hyperlink" xfId="1003" builtinId="8" hidden="1"/>
    <cellStyle name="Hyperlink" xfId="3609" builtinId="8" hidden="1"/>
    <cellStyle name="Hyperlink" xfId="2869" builtinId="8" hidden="1"/>
    <cellStyle name="Hyperlink" xfId="253" builtinId="8" hidden="1"/>
    <cellStyle name="Hyperlink" xfId="463" builtinId="8" hidden="1"/>
    <cellStyle name="Hyperlink" xfId="2689" builtinId="8" hidden="1"/>
    <cellStyle name="Hyperlink" xfId="895" builtinId="8" hidden="1"/>
    <cellStyle name="Hyperlink" xfId="557" builtinId="8" hidden="1"/>
    <cellStyle name="Hyperlink" xfId="3535" builtinId="8" hidden="1"/>
    <cellStyle name="Hyperlink" xfId="1813" builtinId="8" hidden="1"/>
    <cellStyle name="Hyperlink" xfId="2277" builtinId="8" hidden="1"/>
    <cellStyle name="Hyperlink" xfId="913" builtinId="8" hidden="1"/>
    <cellStyle name="Hyperlink" xfId="3493" builtinId="8" hidden="1"/>
    <cellStyle name="Hyperlink" xfId="2969" builtinId="8" hidden="1"/>
    <cellStyle name="Hyperlink" xfId="2815" builtinId="8" hidden="1"/>
    <cellStyle name="Hyperlink" xfId="2375" builtinId="8" hidden="1"/>
    <cellStyle name="Hyperlink" xfId="106" builtinId="8" hidden="1"/>
    <cellStyle name="Hyperlink" xfId="695" builtinId="8" hidden="1"/>
    <cellStyle name="Hyperlink" xfId="393" builtinId="8" hidden="1"/>
    <cellStyle name="Hyperlink" xfId="3373" builtinId="8" hidden="1"/>
    <cellStyle name="Hyperlink" xfId="373" builtinId="8" hidden="1"/>
    <cellStyle name="Hyperlink" xfId="1963" builtinId="8" hidden="1"/>
    <cellStyle name="Hyperlink" xfId="1847" builtinId="8" hidden="1"/>
    <cellStyle name="Hyperlink" xfId="1741" builtinId="8" hidden="1"/>
    <cellStyle name="Hyperlink" xfId="2529" builtinId="8" hidden="1"/>
    <cellStyle name="Hyperlink" xfId="38" builtinId="8" hidden="1"/>
    <cellStyle name="Hyperlink" xfId="1671" builtinId="8" hidden="1"/>
    <cellStyle name="Hyperlink" xfId="2181" builtinId="8" hidden="1"/>
    <cellStyle name="Hyperlink" xfId="743" builtinId="8" hidden="1"/>
    <cellStyle name="Hyperlink" xfId="3275" builtinId="8" hidden="1"/>
    <cellStyle name="Hyperlink" xfId="365" builtinId="8" hidden="1"/>
    <cellStyle name="Hyperlink" xfId="120" builtinId="8" hidden="1"/>
    <cellStyle name="Hyperlink" xfId="2761" builtinId="8" hidden="1"/>
    <cellStyle name="Hyperlink" xfId="811" builtinId="8" hidden="1"/>
    <cellStyle name="Hyperlink" xfId="1387" builtinId="8" hidden="1"/>
    <cellStyle name="Hyperlink" xfId="927" builtinId="8" hidden="1"/>
    <cellStyle name="Hyperlink" xfId="1119" builtinId="8" hidden="1"/>
    <cellStyle name="Hyperlink" xfId="128" builtinId="8" hidden="1"/>
    <cellStyle name="Hyperlink" xfId="1825" builtinId="8" hidden="1"/>
    <cellStyle name="Hyperlink" xfId="1077" builtinId="8" hidden="1"/>
    <cellStyle name="Hyperlink" xfId="2635" builtinId="8" hidden="1"/>
    <cellStyle name="Hyperlink" xfId="2649" builtinId="8" hidden="1"/>
    <cellStyle name="Hyperlink" xfId="3243" builtinId="8" hidden="1"/>
    <cellStyle name="Hyperlink" xfId="3127" builtinId="8" hidden="1"/>
    <cellStyle name="Hyperlink" xfId="3001" builtinId="8" hidden="1"/>
    <cellStyle name="Hyperlink" xfId="3235" builtinId="8" hidden="1"/>
    <cellStyle name="Hyperlink" xfId="1675" builtinId="8" hidden="1"/>
    <cellStyle name="Hyperlink" xfId="1535" builtinId="8" hidden="1"/>
    <cellStyle name="Hyperlink" xfId="3093" builtinId="8" hidden="1"/>
    <cellStyle name="Hyperlink" xfId="1401" builtinId="8" hidden="1"/>
    <cellStyle name="Hyperlink" xfId="761" builtinId="8" hidden="1"/>
    <cellStyle name="Hyperlink" xfId="176" builtinId="8" hidden="1"/>
    <cellStyle name="Hyperlink" xfId="647" builtinId="8" hidden="1"/>
    <cellStyle name="Hyperlink" xfId="873" builtinId="8" hidden="1"/>
    <cellStyle name="Hyperlink" xfId="625" builtinId="8" hidden="1"/>
    <cellStyle name="Hyperlink" xfId="1065" builtinId="8" hidden="1"/>
    <cellStyle name="Hyperlink" xfId="1995" builtinId="8" hidden="1"/>
    <cellStyle name="Hyperlink" xfId="1871" builtinId="8" hidden="1"/>
    <cellStyle name="Hyperlink" xfId="3293" builtinId="8" hidden="1"/>
    <cellStyle name="Hyperlink" xfId="1845" builtinId="8" hidden="1"/>
    <cellStyle name="Hyperlink" xfId="3767" builtinId="8" hidden="1"/>
    <cellStyle name="Hyperlink" xfId="1699" builtinId="8" hidden="1"/>
    <cellStyle name="Hyperlink" xfId="2473" builtinId="8" hidden="1"/>
    <cellStyle name="Hyperlink" xfId="1389" builtinId="8" hidden="1"/>
    <cellStyle name="Hyperlink" xfId="1063" builtinId="8" hidden="1"/>
    <cellStyle name="Hyperlink" xfId="2315" builtinId="8" hidden="1"/>
    <cellStyle name="Hyperlink" xfId="3153" builtinId="8" hidden="1"/>
    <cellStyle name="Hyperlink" xfId="132" builtinId="8" hidden="1"/>
    <cellStyle name="Hyperlink" xfId="733" builtinId="8" hidden="1"/>
    <cellStyle name="Hyperlink" xfId="567" builtinId="8" hidden="1"/>
    <cellStyle name="Hyperlink" xfId="775" builtinId="8" hidden="1"/>
    <cellStyle name="Hyperlink" xfId="663" builtinId="8" hidden="1"/>
    <cellStyle name="Hyperlink" xfId="2157" builtinId="8" hidden="1"/>
    <cellStyle name="Hyperlink" xfId="3161" builtinId="8" hidden="1"/>
    <cellStyle name="Hyperlink" xfId="309" builtinId="8" hidden="1"/>
    <cellStyle name="Hyperlink" xfId="1529" builtinId="8" hidden="1"/>
    <cellStyle name="Hyperlink" xfId="2195" builtinId="8" hidden="1"/>
    <cellStyle name="Hyperlink" xfId="651" builtinId="8" hidden="1"/>
    <cellStyle name="Hyperlink" xfId="907" builtinId="8" hidden="1"/>
    <cellStyle name="Hyperlink" xfId="2065" builtinId="8" hidden="1"/>
    <cellStyle name="Hyperlink" xfId="2833" builtinId="8" hidden="1"/>
    <cellStyle name="Hyperlink" xfId="3481" builtinId="8" hidden="1"/>
    <cellStyle name="Hyperlink" xfId="1425" builtinId="8" hidden="1"/>
    <cellStyle name="Hyperlink" xfId="2559" builtinId="8" hidden="1"/>
    <cellStyle name="Hyperlink" xfId="3565" builtinId="8" hidden="1"/>
    <cellStyle name="Hyperlink" xfId="1203" builtinId="8" hidden="1"/>
    <cellStyle name="Hyperlink" xfId="1325" builtinId="8" hidden="1"/>
    <cellStyle name="Hyperlink" xfId="271" builtinId="8" hidden="1"/>
    <cellStyle name="Hyperlink" xfId="2017" builtinId="8" hidden="1"/>
    <cellStyle name="Hyperlink" xfId="1085" builtinId="8" hidden="1"/>
    <cellStyle name="Hyperlink" xfId="3069" builtinId="8" hidden="1"/>
    <cellStyle name="Hyperlink" xfId="401" builtinId="8" hidden="1"/>
    <cellStyle name="Hyperlink" xfId="581" builtinId="8" hidden="1"/>
    <cellStyle name="Hyperlink" xfId="164" builtinId="8" hidden="1"/>
    <cellStyle name="Hyperlink" xfId="3577" builtinId="8" hidden="1"/>
    <cellStyle name="Hyperlink" xfId="90" builtinId="8" hidden="1"/>
    <cellStyle name="Hyperlink" xfId="1265" builtinId="8" hidden="1"/>
    <cellStyle name="Hyperlink" xfId="3421" builtinId="8" hidden="1"/>
    <cellStyle name="Hyperlink" xfId="3301" builtinId="8" hidden="1"/>
    <cellStyle name="Hyperlink" xfId="2249" builtinId="8" hidden="1"/>
    <cellStyle name="Hyperlink" xfId="989" builtinId="8" hidden="1"/>
    <cellStyle name="Hyperlink" xfId="2533" builtinId="8" hidden="1"/>
    <cellStyle name="Hyperlink" xfId="941" builtinId="8" hidden="1"/>
    <cellStyle name="Hyperlink" xfId="5" builtinId="8" hidden="1"/>
    <cellStyle name="Hyperlink" xfId="2335" builtinId="8" hidden="1"/>
    <cellStyle name="Hyperlink" xfId="3121" builtinId="8" hidden="1"/>
    <cellStyle name="Hyperlink" xfId="2607" builtinId="8" hidden="1"/>
    <cellStyle name="Hyperlink" xfId="343" builtinId="8" hidden="1"/>
    <cellStyle name="Hyperlink" xfId="707" builtinId="8" hidden="1"/>
    <cellStyle name="Hyperlink" xfId="377" builtinId="8" hidden="1"/>
    <cellStyle name="Hyperlink" xfId="1103" builtinId="8" hidden="1"/>
    <cellStyle name="Hyperlink" xfId="2121" builtinId="8" hidden="1"/>
    <cellStyle name="Hyperlink" xfId="1939" builtinId="8" hidden="1"/>
    <cellStyle name="Hyperlink" xfId="2403" builtinId="8" hidden="1"/>
    <cellStyle name="Hyperlink" xfId="1341" builtinId="8" hidden="1"/>
    <cellStyle name="Hyperlink" xfId="3665" builtinId="8" hidden="1"/>
    <cellStyle name="Hyperlink" xfId="3027" builtinId="8" hidden="1"/>
    <cellStyle name="Hyperlink" xfId="713" builtinId="8" hidden="1"/>
    <cellStyle name="Hyperlink" xfId="335" builtinId="8" hidden="1"/>
    <cellStyle name="Hyperlink" xfId="1577" builtinId="8" hidden="1"/>
    <cellStyle name="Hyperlink" xfId="186" builtinId="8" hidden="1"/>
    <cellStyle name="Hyperlink" xfId="1181" builtinId="8" hidden="1"/>
    <cellStyle name="Hyperlink" xfId="1023" builtinId="8" hidden="1"/>
    <cellStyle name="Hyperlink" xfId="967" builtinId="8" hidden="1"/>
    <cellStyle name="Hyperlink" xfId="1201" builtinId="8" hidden="1"/>
    <cellStyle name="Hyperlink" xfId="3045" builtinId="8" hidden="1"/>
    <cellStyle name="Hyperlink" xfId="1767" builtinId="8" hidden="1"/>
    <cellStyle name="Hyperlink" xfId="1599" builtinId="8" hidden="1"/>
    <cellStyle name="Hyperlink" xfId="2115" builtinId="8" hidden="1"/>
    <cellStyle name="Hyperlink" xfId="2329" builtinId="8" hidden="1"/>
    <cellStyle name="Hyperlink" xfId="3349" builtinId="8" hidden="1"/>
    <cellStyle name="Hyperlink" xfId="2111" builtinId="8" hidden="1"/>
    <cellStyle name="Hyperlink" xfId="2395" builtinId="8" hidden="1"/>
    <cellStyle name="Hyperlink" xfId="3111" builtinId="8" hidden="1"/>
    <cellStyle name="Hyperlink" xfId="1809" builtinId="8" hidden="1"/>
    <cellStyle name="Hyperlink" xfId="999" builtinId="8" hidden="1"/>
    <cellStyle name="Hyperlink" xfId="1975" builtinId="8" hidden="1"/>
    <cellStyle name="Hyperlink" xfId="1537" builtinId="8" hidden="1"/>
    <cellStyle name="Hyperlink" xfId="3455" builtinId="8" hidden="1"/>
    <cellStyle name="Hyperlink" xfId="805" builtinId="8" hidden="1"/>
    <cellStyle name="Hyperlink" xfId="1827" builtinId="8" hidden="1"/>
    <cellStyle name="Hyperlink" xfId="837" builtinId="8" hidden="1"/>
    <cellStyle name="Hyperlink" xfId="3205" builtinId="8" hidden="1"/>
    <cellStyle name="Hyperlink" xfId="160" builtinId="8" hidden="1"/>
    <cellStyle name="Hyperlink" xfId="1531" builtinId="8" hidden="1"/>
    <cellStyle name="Hyperlink" xfId="2973" builtinId="8" hidden="1"/>
    <cellStyle name="Hyperlink" xfId="3659" builtinId="8" hidden="1"/>
    <cellStyle name="Hyperlink" xfId="1151" builtinId="8" hidden="1"/>
    <cellStyle name="Hyperlink" xfId="1277" builtinId="8" hidden="1"/>
    <cellStyle name="Hyperlink" xfId="3357" builtinId="8" hidden="1"/>
    <cellStyle name="Hyperlink" xfId="2891" builtinId="8" hidden="1"/>
    <cellStyle name="Hyperlink" xfId="2901" builtinId="8" hidden="1"/>
    <cellStyle name="Hyperlink" xfId="561" builtinId="8" hidden="1"/>
    <cellStyle name="Hyperlink" xfId="3" builtinId="8" hidden="1"/>
    <cellStyle name="Hyperlink" xfId="138" builtinId="8" hidden="1"/>
    <cellStyle name="Hyperlink" xfId="58" builtinId="8" hidden="1"/>
    <cellStyle name="Hyperlink" xfId="3669" builtinId="8" hidden="1"/>
    <cellStyle name="Hyperlink" xfId="1041" builtinId="8" hidden="1"/>
    <cellStyle name="Hyperlink" xfId="2169" builtinId="8" hidden="1"/>
    <cellStyle name="Hyperlink" xfId="1115" builtinId="8" hidden="1"/>
    <cellStyle name="Hyperlink" xfId="955" builtinId="8" hidden="1"/>
    <cellStyle name="Hyperlink" xfId="2225" builtinId="8" hidden="1"/>
    <cellStyle name="Hyperlink" xfId="170" builtinId="8" hidden="1"/>
    <cellStyle name="Hyperlink" xfId="3371" builtinId="8" hidden="1"/>
    <cellStyle name="Hyperlink" xfId="3269" builtinId="8" hidden="1"/>
    <cellStyle name="Hyperlink" xfId="2785" builtinId="8" hidden="1"/>
    <cellStyle name="Hyperlink" xfId="1411" builtinId="8" hidden="1"/>
    <cellStyle name="Hyperlink" xfId="2459" builtinId="8" hidden="1"/>
    <cellStyle name="Hyperlink" xfId="1681" builtinId="8" hidden="1"/>
    <cellStyle name="Hyperlink" xfId="1025" builtinId="8" hidden="1"/>
    <cellStyle name="Hyperlink" xfId="1437" builtinId="8" hidden="1"/>
    <cellStyle name="Hyperlink" xfId="2579" builtinId="8" hidden="1"/>
    <cellStyle name="Hyperlink" xfId="96" builtinId="8" hidden="1"/>
    <cellStyle name="Hyperlink" xfId="3567" builtinId="8" hidden="1"/>
    <cellStyle name="Hyperlink" xfId="2603" builtinId="8" hidden="1"/>
    <cellStyle name="Hyperlink" xfId="971" builtinId="8" hidden="1"/>
    <cellStyle name="Hyperlink" xfId="3021" builtinId="8" hidden="1"/>
    <cellStyle name="Hyperlink" xfId="279" builtinId="8" hidden="1"/>
    <cellStyle name="Hyperlink" xfId="3687" builtinId="8" hidden="1"/>
    <cellStyle name="Hyperlink" xfId="327" builtinId="8" hidden="1"/>
    <cellStyle name="Hyperlink" xfId="1333" builtinId="8" hidden="1"/>
    <cellStyle name="Hyperlink" xfId="3751" builtinId="8" hidden="1"/>
    <cellStyle name="Hyperlink" xfId="1255" builtinId="8" hidden="1"/>
    <cellStyle name="Hyperlink" xfId="44" builtinId="8" hidden="1"/>
    <cellStyle name="Hyperlink" xfId="1973" builtinId="8" hidden="1"/>
    <cellStyle name="Hyperlink" xfId="1705" builtinId="8" hidden="1"/>
    <cellStyle name="Hyperlink" xfId="333" builtinId="8" hidden="1"/>
    <cellStyle name="Hyperlink" xfId="1373" builtinId="8" hidden="1"/>
    <cellStyle name="Hyperlink" xfId="2431" builtinId="8" hidden="1"/>
    <cellStyle name="Hyperlink" xfId="2637" builtinId="8" hidden="1"/>
    <cellStyle name="Hyperlink" xfId="1191" builtinId="8" hidden="1"/>
    <cellStyle name="Hyperlink" xfId="2105" builtinId="8" hidden="1"/>
    <cellStyle name="Hyperlink" xfId="711" builtinId="8" hidden="1"/>
    <cellStyle name="Hyperlink" xfId="2465" builtinId="8" hidden="1"/>
    <cellStyle name="Hyperlink" xfId="1515" builtinId="8" hidden="1"/>
    <cellStyle name="Hyperlink" xfId="1009" builtinId="8" hidden="1"/>
    <cellStyle name="Hyperlink" xfId="1539" builtinId="8" hidden="1"/>
    <cellStyle name="Hyperlink" xfId="3437" builtinId="8" hidden="1"/>
    <cellStyle name="Hyperlink" xfId="2739" builtinId="8" hidden="1"/>
    <cellStyle name="Hyperlink" xfId="3717" builtinId="8" hidden="1"/>
    <cellStyle name="Hyperlink" xfId="20" builtinId="8" hidden="1"/>
    <cellStyle name="Hyperlink" xfId="1011" builtinId="8" hidden="1"/>
    <cellStyle name="Hyperlink" xfId="1509" builtinId="8" hidden="1"/>
    <cellStyle name="Hyperlink" xfId="1317" builtinId="8" hidden="1"/>
    <cellStyle name="Hyperlink" xfId="2087" builtinId="8" hidden="1"/>
    <cellStyle name="Hyperlink" xfId="1419" builtinId="8" hidden="1"/>
    <cellStyle name="Hyperlink" xfId="2479" builtinId="8" hidden="1"/>
    <cellStyle name="Hyperlink" xfId="819" builtinId="8" hidden="1"/>
    <cellStyle name="Hyperlink" xfId="2551" builtinId="8" hidden="1"/>
    <cellStyle name="Hyperlink" xfId="202" builtinId="8" hidden="1"/>
    <cellStyle name="Hyperlink" xfId="755" builtinId="8" hidden="1"/>
    <cellStyle name="Hyperlink" xfId="3185" builtinId="8" hidden="1"/>
    <cellStyle name="Hyperlink" xfId="3345" builtinId="8" hidden="1"/>
    <cellStyle name="Hyperlink" xfId="781" builtinId="8" hidden="1"/>
    <cellStyle name="Hyperlink" xfId="3573" builtinId="8" hidden="1"/>
    <cellStyle name="Hyperlink" xfId="1071" builtinId="8" hidden="1"/>
    <cellStyle name="Hyperlink" xfId="3359" builtinId="8" hidden="1"/>
    <cellStyle name="Hyperlink" xfId="1093" builtinId="8" hidden="1"/>
    <cellStyle name="Hyperlink" xfId="3569" builtinId="8" hidden="1"/>
    <cellStyle name="Hyperlink" xfId="3113" builtinId="8" hidden="1"/>
    <cellStyle name="Hyperlink" xfId="379" builtinId="8" hidden="1"/>
    <cellStyle name="Hyperlink" xfId="1381" builtinId="8" hidden="1"/>
    <cellStyle name="Hyperlink" xfId="206" builtinId="8" hidden="1"/>
    <cellStyle name="Hyperlink" xfId="3059" builtinId="8" hidden="1"/>
    <cellStyle name="Hyperlink" xfId="1865" builtinId="8" hidden="1"/>
    <cellStyle name="Hyperlink" xfId="1685" builtinId="8" hidden="1"/>
    <cellStyle name="Hyperlink" xfId="1843" builtinId="8" hidden="1"/>
    <cellStyle name="Hyperlink" xfId="2083" builtinId="8" hidden="1"/>
    <cellStyle name="Hyperlink" xfId="2585" builtinId="8" hidden="1"/>
    <cellStyle name="Hyperlink" xfId="1169" builtinId="8" hidden="1"/>
    <cellStyle name="Hyperlink" xfId="1709" builtinId="8" hidden="1"/>
    <cellStyle name="Hyperlink" xfId="214" builtinId="8" hidden="1"/>
    <cellStyle name="Hyperlink" xfId="2437" builtinId="8" hidden="1"/>
    <cellStyle name="Hyperlink" xfId="3677" builtinId="8" hidden="1"/>
    <cellStyle name="Hyperlink" xfId="3255" builtinId="8" hidden="1"/>
    <cellStyle name="Hyperlink" xfId="1215" builtinId="8" hidden="1"/>
    <cellStyle name="Hyperlink" xfId="2855" builtinId="8" hidden="1"/>
    <cellStyle name="Hyperlink" xfId="1891" builtinId="8" hidden="1"/>
    <cellStyle name="Hyperlink" xfId="2331" builtinId="8" hidden="1"/>
    <cellStyle name="Hyperlink" xfId="18" builtinId="8" hidden="1"/>
    <cellStyle name="Hyperlink" xfId="1471" builtinId="8" hidden="1"/>
    <cellStyle name="Hyperlink" xfId="455" builtinId="8" hidden="1"/>
    <cellStyle name="Hyperlink" xfId="3711" builtinId="8" hidden="1"/>
    <cellStyle name="Hyperlink" xfId="443" builtinId="8" hidden="1"/>
    <cellStyle name="Hyperlink" xfId="1393" builtinId="8" hidden="1"/>
    <cellStyle name="Hyperlink" xfId="3273" builtinId="8" hidden="1"/>
    <cellStyle name="Hyperlink" xfId="1989" builtinId="8" hidden="1"/>
    <cellStyle name="Hyperlink" xfId="3649" builtinId="8" hidden="1"/>
    <cellStyle name="Hyperlink" xfId="2893" builtinId="8" hidden="1"/>
    <cellStyle name="Hyperlink" xfId="1399" builtinId="8" hidden="1"/>
    <cellStyle name="Hyperlink" xfId="2155" builtinId="8" hidden="1"/>
    <cellStyle name="Hyperlink" xfId="3557" builtinId="8" hidden="1"/>
    <cellStyle name="Hyperlink" xfId="1205" builtinId="8" hidden="1"/>
    <cellStyle name="Hyperlink" xfId="3575" builtinId="8" hidden="1"/>
    <cellStyle name="Hyperlink" xfId="2959" builtinId="8" hidden="1"/>
    <cellStyle name="Hyperlink" xfId="1849" builtinId="8" hidden="1"/>
    <cellStyle name="Hyperlink" xfId="1207" builtinId="8" hidden="1"/>
    <cellStyle name="Hyperlink" xfId="3745" builtinId="8" hidden="1"/>
    <cellStyle name="Hyperlink" xfId="759" builtinId="8" hidden="1"/>
    <cellStyle name="Hyperlink" xfId="3683" builtinId="8" hidden="1"/>
    <cellStyle name="Hyperlink" xfId="671" builtinId="8" hidden="1"/>
    <cellStyle name="Hyperlink" xfId="1731" builtinId="8" hidden="1"/>
    <cellStyle name="Hyperlink" xfId="1039" builtinId="8" hidden="1"/>
    <cellStyle name="Hyperlink" xfId="2423" builtinId="8" hidden="1"/>
    <cellStyle name="Hyperlink" xfId="1055" builtinId="8" hidden="1"/>
    <cellStyle name="Hyperlink" xfId="331" builtinId="8" hidden="1"/>
    <cellStyle name="Hyperlink" xfId="1245" builtinId="8" hidden="1"/>
    <cellStyle name="Hyperlink" xfId="1081" builtinId="8" hidden="1"/>
    <cellStyle name="Hyperlink" xfId="2353" builtinId="8" hidden="1"/>
    <cellStyle name="Hyperlink" xfId="1881" builtinId="8" hidden="1"/>
    <cellStyle name="Hyperlink" xfId="1179" builtinId="8" hidden="1"/>
    <cellStyle name="Hyperlink" xfId="3179" builtinId="8" hidden="1"/>
    <cellStyle name="Hyperlink" xfId="3067" builtinId="8" hidden="1"/>
    <cellStyle name="Hyperlink" xfId="1701" builtinId="8" hidden="1"/>
    <cellStyle name="Hyperlink" xfId="1417" builtinId="8" hidden="1"/>
    <cellStyle name="Hyperlink" xfId="3601" builtinId="8" hidden="1"/>
    <cellStyle name="Hyperlink" xfId="2553" builtinId="8" hidden="1"/>
    <cellStyle name="Hyperlink" xfId="1867" builtinId="8" hidden="1"/>
    <cellStyle name="Hyperlink" xfId="1465" builtinId="8" hidden="1"/>
    <cellStyle name="Hyperlink" xfId="2517" builtinId="8" hidden="1"/>
    <cellStyle name="Hyperlink" xfId="979" builtinId="8" hidden="1"/>
    <cellStyle name="Hyperlink" xfId="1241" builtinId="8" hidden="1"/>
    <cellStyle name="Hyperlink" xfId="863" builtinId="8" hidden="1"/>
    <cellStyle name="Hyperlink" xfId="2075" builtinId="8" hidden="1"/>
    <cellStyle name="Hyperlink" xfId="3299" builtinId="8" hidden="1"/>
    <cellStyle name="Hyperlink" xfId="703" builtinId="8" hidden="1"/>
    <cellStyle name="Hyperlink" xfId="911" builtinId="8" hidden="1"/>
    <cellStyle name="Hyperlink" xfId="2753" builtinId="8" hidden="1"/>
    <cellStyle name="Hyperlink" xfId="413" builtinId="8" hidden="1"/>
    <cellStyle name="Hyperlink" xfId="1933" builtinId="8" hidden="1"/>
    <cellStyle name="Hyperlink" xfId="2987" builtinId="8" hidden="1"/>
    <cellStyle name="Hyperlink" xfId="2019" builtinId="8" hidden="1"/>
    <cellStyle name="Hyperlink" xfId="2209" builtinId="8" hidden="1"/>
    <cellStyle name="Hyperlink" xfId="3303" builtinId="8" hidden="1"/>
    <cellStyle name="Hyperlink" xfId="1879" builtinId="8" hidden="1"/>
    <cellStyle name="Hyperlink" xfId="559" builtinId="8" hidden="1"/>
    <cellStyle name="Hyperlink" xfId="1315" builtinId="8" hidden="1"/>
    <cellStyle name="Hyperlink" xfId="3171" builtinId="8" hidden="1"/>
    <cellStyle name="Hyperlink" xfId="227" builtinId="8" hidden="1"/>
    <cellStyle name="Hyperlink" xfId="3701" builtinId="8" hidden="1"/>
    <cellStyle name="Hyperlink" xfId="3199" builtinId="8" hidden="1"/>
    <cellStyle name="Hyperlink" xfId="1047" builtinId="8" hidden="1"/>
    <cellStyle name="Hyperlink" xfId="2365" builtinId="8" hidden="1"/>
    <cellStyle name="Hyperlink" xfId="2703" builtinId="8" hidden="1"/>
    <cellStyle name="Hyperlink" xfId="2123" builtinId="8" hidden="1"/>
    <cellStyle name="Hyperlink" xfId="2239" builtinId="8" hidden="1"/>
    <cellStyle name="Hyperlink" xfId="435" builtinId="8" hidden="1"/>
    <cellStyle name="Hyperlink" xfId="110" builtinId="8" hidden="1"/>
    <cellStyle name="Hyperlink" xfId="3731" builtinId="8" hidden="1"/>
    <cellStyle name="Hyperlink" xfId="1633" builtinId="8" hidden="1"/>
    <cellStyle name="Hyperlink" xfId="1913" builtinId="8" hidden="1"/>
    <cellStyle name="Hyperlink" xfId="1485" builtinId="8" hidden="1"/>
    <cellStyle name="Hyperlink" xfId="2967" builtinId="8" hidden="1"/>
    <cellStyle name="Hyperlink" xfId="243" builtinId="8" hidden="1"/>
    <cellStyle name="Hyperlink" xfId="747" builtinId="8" hidden="1"/>
    <cellStyle name="Hyperlink" xfId="265" builtinId="8" hidden="1"/>
    <cellStyle name="Hyperlink" xfId="2743" builtinId="8" hidden="1"/>
    <cellStyle name="Hyperlink" xfId="241" builtinId="8" hidden="1"/>
    <cellStyle name="Hyperlink" xfId="2131" builtinId="8" hidden="1"/>
    <cellStyle name="Hyperlink" xfId="3143" builtinId="8" hidden="1"/>
    <cellStyle name="Hyperlink" xfId="2345" builtinId="8" hidden="1"/>
    <cellStyle name="Hyperlink" xfId="1051" builtinId="8" hidden="1"/>
    <cellStyle name="Hyperlink" xfId="2633" builtinId="8" hidden="1"/>
    <cellStyle name="Hyperlink" xfId="1367" builtinId="8" hidden="1"/>
    <cellStyle name="Hyperlink" xfId="1165" builtinId="8" hidden="1"/>
    <cellStyle name="Hyperlink" xfId="2235" builtinId="8" hidden="1"/>
    <cellStyle name="Hyperlink" xfId="855" builtinId="8" hidden="1"/>
    <cellStyle name="Hyperlink" xfId="2325" builtinId="8" hidden="1"/>
    <cellStyle name="Hyperlink" xfId="841" builtinId="8" hidden="1"/>
    <cellStyle name="Hyperlink" xfId="3411" builtinId="8" hidden="1"/>
    <cellStyle name="Hyperlink" xfId="497" builtinId="8" hidden="1"/>
    <cellStyle name="Hyperlink" xfId="1237" builtinId="8" hidden="1"/>
    <cellStyle name="Hyperlink" xfId="3723" builtinId="8" hidden="1"/>
    <cellStyle name="Hyperlink" xfId="3313" builtinId="8" hidden="1"/>
    <cellStyle name="Hyperlink" xfId="833" builtinId="8" hidden="1"/>
    <cellStyle name="Hyperlink" xfId="3647" builtinId="8" hidden="1"/>
    <cellStyle name="Hyperlink" xfId="1451" builtinId="8" hidden="1"/>
    <cellStyle name="Hyperlink" xfId="2659" builtinId="8" hidden="1"/>
    <cellStyle name="Hyperlink" xfId="2847" builtinId="8" hidden="1"/>
    <cellStyle name="Hyperlink" xfId="3435" builtinId="8" hidden="1"/>
    <cellStyle name="Hyperlink" xfId="1121" builtinId="8" hidden="1"/>
    <cellStyle name="Hyperlink" xfId="3725" builtinId="8" hidden="1"/>
    <cellStyle name="Hyperlink" xfId="481" builtinId="8" hidden="1"/>
    <cellStyle name="Hyperlink" xfId="2601" builtinId="8" hidden="1"/>
    <cellStyle name="Hyperlink" xfId="2991" builtinId="8" hidden="1"/>
    <cellStyle name="Hyperlink" xfId="2259" builtinId="8" hidden="1"/>
    <cellStyle name="Hyperlink" xfId="3747" builtinId="8" hidden="1"/>
    <cellStyle name="Hyperlink" xfId="2535" builtinId="8" hidden="1"/>
    <cellStyle name="Hyperlink" xfId="2515" builtinId="8" hidden="1"/>
    <cellStyle name="Hyperlink" xfId="341" builtinId="8" hidden="1"/>
    <cellStyle name="Hyperlink" xfId="3231" builtinId="8" hidden="1"/>
    <cellStyle name="Hyperlink" xfId="1587" builtinId="8" hidden="1"/>
    <cellStyle name="Hyperlink" xfId="1907" builtinId="8" hidden="1"/>
    <cellStyle name="Hyperlink" xfId="353" builtinId="8" hidden="1"/>
    <cellStyle name="Hyperlink" xfId="3499" builtinId="8" hidden="1"/>
    <cellStyle name="Hyperlink" xfId="699" builtinId="8" hidden="1"/>
    <cellStyle name="Hyperlink" xfId="3449" builtinId="8" hidden="1"/>
    <cellStyle name="Hyperlink" xfId="383" builtinId="8" hidden="1"/>
    <cellStyle name="Hyperlink" xfId="577" builtinId="8" hidden="1"/>
    <cellStyle name="Hyperlink" xfId="1811" builtinId="8" hidden="1"/>
    <cellStyle name="Hyperlink" xfId="3513" builtinId="8" hidden="1"/>
    <cellStyle name="Hyperlink" xfId="1959" builtinId="8" hidden="1"/>
    <cellStyle name="Hyperlink" xfId="2951" builtinId="8" hidden="1"/>
    <cellStyle name="Hyperlink" xfId="2367" builtinId="8" hidden="1"/>
    <cellStyle name="Hyperlink" xfId="2497" builtinId="8" hidden="1"/>
    <cellStyle name="Hyperlink" xfId="1045" builtinId="8" hidden="1"/>
    <cellStyle name="Hyperlink" xfId="2913" builtinId="8" hidden="1"/>
    <cellStyle name="Hyperlink" xfId="2695" builtinId="8" hidden="1"/>
    <cellStyle name="Hyperlink" xfId="3425" builtinId="8" hidden="1"/>
    <cellStyle name="Hyperlink" xfId="1953" builtinId="8" hidden="1"/>
    <cellStyle name="Hyperlink" xfId="1649" builtinId="8" hidden="1"/>
    <cellStyle name="Hyperlink" xfId="2231" builtinId="8" hidden="1"/>
    <cellStyle name="Hyperlink" xfId="3261" builtinId="8" hidden="1"/>
    <cellStyle name="Hyperlink" xfId="237" builtinId="8" hidden="1"/>
    <cellStyle name="Hyperlink" xfId="88" builtinId="8" hidden="1"/>
    <cellStyle name="Hyperlink" xfId="325" builtinId="8" hidden="1"/>
    <cellStyle name="Hyperlink" xfId="7" builtinId="8" hidden="1"/>
    <cellStyle name="Hyperlink" xfId="1099" builtinId="8" hidden="1"/>
    <cellStyle name="Hyperlink" xfId="2457" builtinId="8" hidden="1"/>
    <cellStyle name="Hyperlink" xfId="1679" builtinId="8" hidden="1"/>
    <cellStyle name="Hyperlink" xfId="1687" builtinId="8" hidden="1"/>
    <cellStyle name="Hyperlink" xfId="2599" builtinId="8" hidden="1"/>
    <cellStyle name="Hyperlink" xfId="2445" builtinId="8" hidden="1"/>
    <cellStyle name="Hyperlink" xfId="653" builtinId="8" hidden="1"/>
    <cellStyle name="Hyperlink" xfId="645" builtinId="8" hidden="1"/>
    <cellStyle name="Hyperlink" xfId="757" builtinId="8" hidden="1"/>
    <cellStyle name="Hyperlink" xfId="3245" builtinId="8" hidden="1"/>
    <cellStyle name="Hyperlink" xfId="1773" builtinId="8" hidden="1"/>
    <cellStyle name="Hyperlink" xfId="2301" builtinId="8" hidden="1"/>
    <cellStyle name="Hyperlink" xfId="3097" builtinId="8" hidden="1"/>
    <cellStyle name="Hyperlink" xfId="70" builtinId="8" hidden="1"/>
    <cellStyle name="Hyperlink" xfId="3753" builtinId="8" hidden="1"/>
    <cellStyle name="Hyperlink" xfId="1855" builtinId="8" hidden="1"/>
    <cellStyle name="Hyperlink" xfId="2421" builtinId="8" hidden="1"/>
    <cellStyle name="Hyperlink" xfId="689" builtinId="8" hidden="1"/>
    <cellStyle name="Hyperlink" xfId="2167" builtinId="8" hidden="1"/>
    <cellStyle name="Hyperlink" xfId="2863" builtinId="8" hidden="1"/>
    <cellStyle name="Hyperlink" xfId="12" builtinId="8" hidden="1"/>
    <cellStyle name="Hyperlink" xfId="823" builtinId="8" hidden="1"/>
    <cellStyle name="Hyperlink" xfId="2049" builtinId="8" hidden="1"/>
    <cellStyle name="Hyperlink" xfId="3395" builtinId="8" hidden="1"/>
    <cellStyle name="Hyperlink" xfId="3091" builtinId="8" hidden="1"/>
    <cellStyle name="Hyperlink" xfId="1961" builtinId="8" hidden="1"/>
    <cellStyle name="Hyperlink" xfId="3333" builtinId="8" hidden="1"/>
    <cellStyle name="Hyperlink" xfId="1563" builtinId="8" hidden="1"/>
    <cellStyle name="Hyperlink" xfId="597" builtinId="8" hidden="1"/>
    <cellStyle name="Hyperlink" xfId="1659" builtinId="8" hidden="1"/>
    <cellStyle name="Hyperlink" xfId="1549" builtinId="8" hidden="1"/>
    <cellStyle name="Hyperlink" xfId="1683" builtinId="8" hidden="1"/>
    <cellStyle name="Hyperlink" xfId="857" builtinId="8" hidden="1"/>
    <cellStyle name="Hyperlink" xfId="471" builtinId="8" hidden="1"/>
    <cellStyle name="Hyperlink" xfId="555" builtinId="8" hidden="1"/>
    <cellStyle name="Hyperlink" xfId="1079" builtinId="8" hidden="1"/>
    <cellStyle name="Hyperlink" xfId="2639" builtinId="8" hidden="1"/>
    <cellStyle name="Hyperlink" xfId="513" builtinId="8" hidden="1"/>
    <cellStyle name="Hyperlink" xfId="3503" builtinId="8" hidden="1"/>
    <cellStyle name="Hyperlink" xfId="1607" builtinId="8" hidden="1"/>
    <cellStyle name="Hyperlink" xfId="2521" builtinId="8" hidden="1"/>
    <cellStyle name="Hyperlink" xfId="467" builtinId="8" hidden="1"/>
    <cellStyle name="Hyperlink" xfId="2557" builtinId="8" hidden="1"/>
    <cellStyle name="Hyperlink" xfId="2371" builtinId="8" hidden="1"/>
    <cellStyle name="Hyperlink" xfId="963" builtinId="8" hidden="1"/>
    <cellStyle name="Hyperlink" xfId="599" builtinId="8" hidden="1"/>
    <cellStyle name="Hyperlink" xfId="1209" builtinId="8" hidden="1"/>
    <cellStyle name="Hyperlink" xfId="16" builtinId="8" hidden="1"/>
    <cellStyle name="Hyperlink" xfId="2307" builtinId="8" hidden="1"/>
    <cellStyle name="Hyperlink" xfId="2279" builtinId="8" hidden="1"/>
    <cellStyle name="Hyperlink" xfId="3619" builtinId="8" hidden="1"/>
    <cellStyle name="Hyperlink" xfId="3365" builtinId="8" hidden="1"/>
    <cellStyle name="Hyperlink" xfId="865" builtinId="8" hidden="1"/>
    <cellStyle name="Hyperlink" xfId="2953" builtinId="8" hidden="1"/>
    <cellStyle name="Hyperlink" xfId="1223" builtinId="8" hidden="1"/>
    <cellStyle name="Hyperlink" xfId="2539" builtinId="8" hidden="1"/>
    <cellStyle name="Hyperlink" xfId="3119" builtinId="8" hidden="1"/>
    <cellStyle name="Hyperlink" xfId="2237" builtinId="8" hidden="1"/>
    <cellStyle name="Hyperlink" xfId="1027" builtinId="8" hidden="1"/>
    <cellStyle name="Hyperlink" xfId="3377" builtinId="8" hidden="1"/>
    <cellStyle name="Hyperlink" xfId="529" builtinId="8" hidden="1"/>
    <cellStyle name="Hyperlink" xfId="3483" builtinId="8" hidden="1"/>
    <cellStyle name="Hyperlink" xfId="1957" builtinId="8" hidden="1"/>
    <cellStyle name="Hyperlink" xfId="3247" builtinId="8" hidden="1"/>
    <cellStyle name="Hyperlink" xfId="3639" builtinId="8" hidden="1"/>
    <cellStyle name="Hyperlink" xfId="521" builtinId="8" hidden="1"/>
    <cellStyle name="Hyperlink" xfId="3253" builtinId="8" hidden="1"/>
    <cellStyle name="Hyperlink" xfId="2685" builtinId="8" hidden="1"/>
    <cellStyle name="Hyperlink" xfId="2523" builtinId="8" hidden="1"/>
    <cellStyle name="Hyperlink" xfId="3075" builtinId="8" hidden="1"/>
    <cellStyle name="Hyperlink" xfId="1347" builtinId="8" hidden="1"/>
    <cellStyle name="Hyperlink" xfId="3627" builtinId="8" hidden="1"/>
    <cellStyle name="Hyperlink" xfId="1467" builtinId="8" hidden="1"/>
    <cellStyle name="Hyperlink" xfId="3537" builtinId="8" hidden="1"/>
    <cellStyle name="Hyperlink" xfId="355" builtinId="8" hidden="1"/>
    <cellStyle name="Hyperlink" xfId="433" builtinId="8" hidden="1"/>
    <cellStyle name="Hyperlink" xfId="3105" builtinId="8" hidden="1"/>
    <cellStyle name="Hyperlink" xfId="2117" builtinId="8" hidden="1"/>
    <cellStyle name="Hyperlink" xfId="3207" builtinId="8" hidden="1"/>
    <cellStyle name="Hyperlink" xfId="2119" builtinId="8" hidden="1"/>
    <cellStyle name="Hyperlink" xfId="122" builtinId="8" hidden="1"/>
    <cellStyle name="Hyperlink" xfId="649" builtinId="8" hidden="1"/>
    <cellStyle name="Hyperlink" xfId="249" builtinId="8" hidden="1"/>
    <cellStyle name="Hyperlink" xfId="3495" builtinId="8" hidden="1"/>
    <cellStyle name="Hyperlink" xfId="2451" builtinId="8" hidden="1"/>
    <cellStyle name="Hyperlink" xfId="2861" builtinId="8" hidden="1"/>
    <cellStyle name="Hyperlink" xfId="1511" builtinId="8" hidden="1"/>
    <cellStyle name="Hyperlink" xfId="3081" builtinId="8" hidden="1"/>
    <cellStyle name="Hyperlink" xfId="166" builtinId="8" hidden="1"/>
    <cellStyle name="Hyperlink" xfId="2471" builtinId="8" hidden="1"/>
    <cellStyle name="Hyperlink" xfId="1591" builtinId="8" hidden="1"/>
    <cellStyle name="Hyperlink" xfId="579" builtinId="8" hidden="1"/>
    <cellStyle name="Hyperlink" xfId="899" builtinId="8" hidden="1"/>
    <cellStyle name="Hyperlink" xfId="1803" builtinId="8" hidden="1"/>
    <cellStyle name="Hyperlink" xfId="1171" builtinId="8" hidden="1"/>
    <cellStyle name="Hyperlink" xfId="1583" builtinId="8" hidden="1"/>
    <cellStyle name="Hyperlink" xfId="3037" builtinId="8" hidden="1"/>
    <cellStyle name="Hyperlink" xfId="54" builtinId="8" hidden="1"/>
    <cellStyle name="Hyperlink" xfId="2971" builtinId="8" hidden="1"/>
    <cellStyle name="Hyperlink" xfId="2879" builtinId="8" hidden="1"/>
    <cellStyle name="Hyperlink" xfId="2999" builtinId="8" hidden="1"/>
    <cellStyle name="Hyperlink" xfId="210" builtinId="8" hidden="1"/>
    <cellStyle name="Hyperlink" xfId="1385" builtinId="8" hidden="1"/>
    <cellStyle name="Hyperlink" xfId="1001" builtinId="8" hidden="1"/>
    <cellStyle name="Hyperlink" xfId="3469" builtinId="8" hidden="1"/>
    <cellStyle name="Hyperlink" xfId="1875" builtinId="8" hidden="1"/>
    <cellStyle name="Hyperlink" xfId="3685" builtinId="8" hidden="1"/>
    <cellStyle name="Hyperlink" xfId="1595" builtinId="8" hidden="1"/>
    <cellStyle name="Hyperlink" xfId="2765" builtinId="8" hidden="1"/>
    <cellStyle name="Hyperlink" xfId="233" builtinId="8" hidden="1"/>
    <cellStyle name="Hyperlink" xfId="3501" builtinId="8" hidden="1"/>
    <cellStyle name="Hyperlink" xfId="3543" builtinId="8" hidden="1"/>
    <cellStyle name="Hyperlink" xfId="1647" builtinId="8" hidden="1"/>
    <cellStyle name="Hyperlink" xfId="1339" builtinId="8" hidden="1"/>
    <cellStyle name="Hyperlink" xfId="975" builtinId="8" hidden="1"/>
    <cellStyle name="Hyperlink" xfId="2299" builtinId="8" hidden="1"/>
    <cellStyle name="Hyperlink" xfId="3423" builtinId="8" hidden="1"/>
    <cellStyle name="Hyperlink" xfId="84" builtinId="8" hidden="1"/>
    <cellStyle name="Hyperlink" xfId="1569" builtinId="8" hidden="1"/>
    <cellStyle name="Hyperlink" xfId="1187" builtinId="8" hidden="1"/>
    <cellStyle name="Hyperlink" xfId="1501" builtinId="8" hidden="1"/>
    <cellStyle name="Hyperlink" xfId="1429" builtinId="8" hidden="1"/>
    <cellStyle name="Hyperlink" xfId="3339" builtinId="8" hidden="1"/>
    <cellStyle name="Hyperlink" xfId="3213" builtinId="8" hidden="1"/>
    <cellStyle name="Hyperlink" xfId="1897" builtinId="8" hidden="1"/>
    <cellStyle name="Hyperlink" xfId="2377" builtinId="8" hidden="1"/>
    <cellStyle name="Hyperlink" xfId="1487" builtinId="8" hidden="1"/>
    <cellStyle name="Hyperlink" xfId="829" builtinId="8" hidden="1"/>
    <cellStyle name="Hyperlink" xfId="192" builtinId="8" hidden="1"/>
    <cellStyle name="Hyperlink" xfId="3103" builtinId="8" hidden="1"/>
    <cellStyle name="Hyperlink" xfId="1581" builtinId="8" hidden="1"/>
    <cellStyle name="Hyperlink" xfId="3479" builtinId="8" hidden="1"/>
    <cellStyle name="Hyperlink" xfId="2297" builtinId="8" hidden="1"/>
    <cellStyle name="Hyperlink" xfId="763" builtinId="8" hidden="1"/>
    <cellStyle name="Hyperlink" xfId="2777" builtinId="8" hidden="1"/>
    <cellStyle name="Hyperlink" xfId="1895" builtinId="8" hidden="1"/>
    <cellStyle name="Hyperlink" xfId="2013" builtinId="8" hidden="1"/>
    <cellStyle name="Hyperlink" xfId="2699" builtinId="8" hidden="1"/>
    <cellStyle name="Hyperlink" xfId="1617" builtinId="8" hidden="1"/>
    <cellStyle name="Hyperlink" xfId="3559" builtinId="8" hidden="1"/>
    <cellStyle name="Hyperlink" xfId="1931" builtinId="8" hidden="1"/>
    <cellStyle name="Hyperlink" xfId="1993" builtinId="8" hidden="1"/>
    <cellStyle name="Hyperlink" xfId="1435" builtinId="8" hidden="1"/>
    <cellStyle name="Hyperlink" xfId="3071" builtinId="8" hidden="1"/>
    <cellStyle name="Hyperlink" xfId="3375" builtinId="8" hidden="1"/>
    <cellStyle name="Hyperlink" xfId="3529" builtinId="8" hidden="1"/>
    <cellStyle name="Hyperlink" xfId="2731" builtinId="8" hidden="1"/>
    <cellStyle name="Hyperlink" xfId="459" builtinId="8" hidden="1"/>
    <cellStyle name="Hyperlink" xfId="1949" builtinId="8" hidden="1"/>
    <cellStyle name="Hyperlink" xfId="1143" builtinId="8" hidden="1"/>
    <cellStyle name="Hyperlink" xfId="2809" builtinId="8" hidden="1"/>
    <cellStyle name="Hyperlink" xfId="178" builtinId="8" hidden="1"/>
    <cellStyle name="Hyperlink" xfId="1153" builtinId="8" hidden="1"/>
    <cellStyle name="Hyperlink" xfId="3367" builtinId="8" hidden="1"/>
    <cellStyle name="Hyperlink" xfId="1823" builtinId="8" hidden="1"/>
    <cellStyle name="Hyperlink" xfId="2405" builtinId="8" hidden="1"/>
    <cellStyle name="Hyperlink" xfId="1015" builtinId="8" hidden="1"/>
    <cellStyle name="Hyperlink" xfId="1069" builtinId="8" hidden="1"/>
    <cellStyle name="Hyperlink" xfId="2903" builtinId="8" hidden="1"/>
    <cellStyle name="Hyperlink" xfId="1459" builtinId="8" hidden="1"/>
    <cellStyle name="Hyperlink" xfId="959" builtinId="8" hidden="1"/>
    <cellStyle name="Hyperlink" xfId="1473" builtinId="8" hidden="1"/>
    <cellStyle name="Hyperlink" xfId="2143" builtinId="8" hidden="1"/>
    <cellStyle name="Hyperlink" xfId="2487" builtinId="8" hidden="1"/>
    <cellStyle name="Hyperlink" xfId="269" builtinId="8" hidden="1"/>
    <cellStyle name="Hyperlink" xfId="2361" builtinId="8" hidden="1"/>
    <cellStyle name="Hyperlink" xfId="1013" builtinId="8" hidden="1"/>
    <cellStyle name="Hyperlink" xfId="739" builtinId="8" hidden="1"/>
    <cellStyle name="Hyperlink" xfId="785" builtinId="8" hidden="1"/>
    <cellStyle name="Hyperlink" xfId="2831" builtinId="8" hidden="1"/>
    <cellStyle name="Hyperlink" xfId="2133" builtinId="8" hidden="1"/>
    <cellStyle name="Hyperlink" xfId="617" builtinId="8" hidden="1"/>
    <cellStyle name="Hyperlink" xfId="3497" builtinId="8" hidden="1"/>
    <cellStyle name="Hyperlink" xfId="1627" builtinId="8" hidden="1"/>
    <cellStyle name="Hyperlink" xfId="2503" builtinId="8" hidden="1"/>
    <cellStyle name="Hyperlink" xfId="1243" builtinId="8" hidden="1"/>
    <cellStyle name="Hyperlink" xfId="3439" builtinId="8" hidden="1"/>
    <cellStyle name="Hyperlink" xfId="1083" builtinId="8" hidden="1"/>
    <cellStyle name="Hyperlink" xfId="1703" builtinId="8" hidden="1"/>
    <cellStyle name="Hyperlink" xfId="1829" builtinId="8" hidden="1"/>
    <cellStyle name="Hyperlink" xfId="1275" builtinId="8" hidden="1"/>
    <cellStyle name="Hyperlink" xfId="3049" builtinId="8" hidden="1"/>
    <cellStyle name="Hyperlink" xfId="2351" builtinId="8" hidden="1"/>
    <cellStyle name="Hyperlink" xfId="2447" builtinId="8" hidden="1"/>
    <cellStyle name="Hyperlink" xfId="1323" builtinId="8" hidden="1"/>
    <cellStyle name="Hyperlink" xfId="405" builtinId="8" hidden="1"/>
    <cellStyle name="Hyperlink" xfId="223" builtinId="8" hidden="1"/>
    <cellStyle name="Hyperlink" xfId="1423" builtinId="8" hidden="1"/>
    <cellStyle name="Hyperlink" xfId="2233" builtinId="8" hidden="1"/>
    <cellStyle name="Hyperlink" xfId="2153" builtinId="8" hidden="1"/>
    <cellStyle name="Hyperlink" xfId="3151" builtinId="8" hidden="1"/>
    <cellStyle name="Hyperlink" xfId="675" builtinId="8" hidden="1"/>
    <cellStyle name="Hyperlink" xfId="1155" builtinId="8" hidden="1"/>
    <cellStyle name="Hyperlink" xfId="92" builtinId="8" hidden="1"/>
    <cellStyle name="Hyperlink" xfId="2819" builtinId="8" hidden="1"/>
    <cellStyle name="Hyperlink" xfId="3611" builtinId="8" hidden="1"/>
    <cellStyle name="Hyperlink" xfId="2873" builtinId="8" hidden="1"/>
    <cellStyle name="Hyperlink" xfId="3735" builtinId="8" hidden="1"/>
    <cellStyle name="Hyperlink" xfId="2467" builtinId="8" hidden="1"/>
    <cellStyle name="Hyperlink" xfId="523" builtinId="8" hidden="1"/>
    <cellStyle name="Hyperlink" xfId="1147" builtinId="8" hidden="1"/>
    <cellStyle name="Hyperlink" xfId="1073" builtinId="8" hidden="1"/>
    <cellStyle name="Hyperlink" xfId="200" builtinId="8" hidden="1"/>
    <cellStyle name="Hyperlink" xfId="1885" builtinId="8" hidden="1"/>
    <cellStyle name="Hyperlink" xfId="3661" builtinId="8" hidden="1"/>
    <cellStyle name="Hyperlink" xfId="1797" builtinId="8" hidden="1"/>
    <cellStyle name="Hyperlink" xfId="851" builtinId="8" hidden="1"/>
    <cellStyle name="Hyperlink" xfId="2067" builtinId="8" hidden="1"/>
    <cellStyle name="Hyperlink" xfId="2543" builtinId="8" hidden="1"/>
    <cellStyle name="Hyperlink" xfId="517" builtinId="8" hidden="1"/>
    <cellStyle name="Hyperlink" xfId="2453" builtinId="8" hidden="1"/>
    <cellStyle name="Hyperlink" xfId="2263" builtinId="8" hidden="1"/>
    <cellStyle name="Hyperlink" xfId="3553" builtinId="8" hidden="1"/>
    <cellStyle name="Hyperlink" xfId="255" builtinId="8" hidden="1"/>
    <cellStyle name="Hyperlink" xfId="2779" builtinId="8" hidden="1"/>
    <cellStyle name="Hyperlink" xfId="693" builtinId="8" hidden="1"/>
    <cellStyle name="Hyperlink" xfId="3461" builtinId="8" hidden="1"/>
    <cellStyle name="Hyperlink" xfId="1503" builtinId="8" hidden="1"/>
    <cellStyle name="Hyperlink" xfId="2871" builtinId="8" hidden="1"/>
    <cellStyle name="Hyperlink" xfId="3697" builtinId="8" hidden="1"/>
    <cellStyle name="Hyperlink" xfId="2989" builtinId="8" hidden="1"/>
    <cellStyle name="Hyperlink" xfId="3201" builtinId="8" hidden="1"/>
    <cellStyle name="Hyperlink" xfId="385" builtinId="8" hidden="1"/>
    <cellStyle name="Hyperlink" xfId="2187" builtinId="8" hidden="1"/>
    <cellStyle name="Hyperlink" xfId="2059" builtinId="8" hidden="1"/>
    <cellStyle name="Hyperlink" xfId="2449" builtinId="8" hidden="1"/>
    <cellStyle name="Hyperlink" xfId="499" builtinId="8" hidden="1"/>
    <cellStyle name="Hyperlink" xfId="563" builtinId="8" hidden="1"/>
    <cellStyle name="Hyperlink" xfId="2691" builtinId="8" hidden="1"/>
    <cellStyle name="Hyperlink" xfId="1331" builtinId="8" hidden="1"/>
    <cellStyle name="Hyperlink" xfId="1721" builtinId="8" hidden="1"/>
    <cellStyle name="Hyperlink" xfId="2363" builtinId="8" hidden="1"/>
    <cellStyle name="Hyperlink" xfId="1267" builtinId="8" hidden="1"/>
    <cellStyle name="Hyperlink" xfId="2271" builtinId="8" hidden="1"/>
    <cellStyle name="Hyperlink" xfId="2825" builtinId="8" hidden="1"/>
    <cellStyle name="Hyperlink" xfId="245" builtinId="8" hidden="1"/>
    <cellStyle name="Hyperlink" xfId="2183" builtinId="8" hidden="1"/>
    <cellStyle name="Hyperlink" xfId="3491" builtinId="8" hidden="1"/>
    <cellStyle name="Hyperlink" xfId="669" builtinId="8" hidden="1"/>
    <cellStyle name="Hyperlink" xfId="1137" builtinId="8" hidden="1"/>
    <cellStyle name="Hyperlink" xfId="1491" builtinId="8" hidden="1"/>
    <cellStyle name="Hyperlink" xfId="917" builtinId="8" hidden="1"/>
    <cellStyle name="Hyperlink" xfId="2681" builtinId="8" hidden="1"/>
    <cellStyle name="Hyperlink" xfId="441" builtinId="8" hidden="1"/>
    <cellStyle name="Hyperlink" xfId="3477" builtinId="8" hidden="1"/>
    <cellStyle name="Hyperlink" xfId="1713" builtinId="8" hidden="1"/>
    <cellStyle name="Hyperlink" xfId="3251" builtinId="8" hidden="1"/>
    <cellStyle name="Hyperlink" xfId="142" builtinId="8" hidden="1"/>
    <cellStyle name="Hyperlink" xfId="1777" builtinId="8" hidden="1"/>
    <cellStyle name="Hyperlink" xfId="1075" builtinId="8" hidden="1"/>
    <cellStyle name="Hyperlink" xfId="1441" builtinId="8" hidden="1"/>
    <cellStyle name="Hyperlink" xfId="2821" builtinId="8" hidden="1"/>
    <cellStyle name="Hyperlink" xfId="216" builtinId="8" hidden="1"/>
    <cellStyle name="Hyperlink" xfId="621" builtinId="8" hidden="1"/>
    <cellStyle name="Hyperlink" xfId="2657" builtinId="8" hidden="1"/>
    <cellStyle name="Hyperlink" xfId="2927" builtinId="8" hidden="1"/>
    <cellStyle name="Hyperlink" xfId="351" builtinId="8" hidden="1"/>
    <cellStyle name="Hyperlink" xfId="777" builtinId="8" hidden="1"/>
    <cellStyle name="Hyperlink" xfId="2807" builtinId="8" hidden="1"/>
    <cellStyle name="Hyperlink" xfId="901" builtinId="8" hidden="1"/>
    <cellStyle name="Hyperlink" xfId="3249" builtinId="8" hidden="1"/>
    <cellStyle name="Hyperlink" xfId="905" builtinId="8" hidden="1"/>
    <cellStyle name="Hyperlink" xfId="1727" builtinId="8" hidden="1"/>
    <cellStyle name="Hyperlink" xfId="2339" builtinId="8" hidden="1"/>
    <cellStyle name="Hyperlink" xfId="2845" builtinId="8" hidden="1"/>
    <cellStyle name="Hyperlink" xfId="2675" builtinId="8" hidden="1"/>
    <cellStyle name="Hyperlink" xfId="945" builtinId="8" hidden="1"/>
    <cellStyle name="Hyperlink" xfId="1691" builtinId="8" hidden="1"/>
    <cellStyle name="Hyperlink" xfId="1305" builtinId="8" hidden="1"/>
    <cellStyle name="Hyperlink" xfId="3587" builtinId="8" hidden="1"/>
    <cellStyle name="Hyperlink" xfId="569" builtinId="8" hidden="1"/>
    <cellStyle name="Hyperlink" xfId="1771" builtinId="8" hidden="1"/>
    <cellStyle name="Hyperlink" xfId="1369" builtinId="8" hidden="1"/>
    <cellStyle name="Hyperlink" xfId="2997" builtinId="8" hidden="1"/>
    <cellStyle name="Hyperlink" xfId="1657" builtinId="8" hidden="1"/>
    <cellStyle name="Hyperlink" xfId="375" builtinId="8" hidden="1"/>
    <cellStyle name="Hyperlink" xfId="1493" builtinId="8" hidden="1"/>
    <cellStyle name="Hyperlink" xfId="2165" builtinId="8" hidden="1"/>
    <cellStyle name="Hyperlink" xfId="1981" builtinId="8" hidden="1"/>
    <cellStyle name="Hyperlink" xfId="1231" builtinId="8" hidden="1"/>
    <cellStyle name="Hyperlink" xfId="2993" builtinId="8" hidden="1"/>
    <cellStyle name="Hyperlink" xfId="2333" builtinId="8" hidden="1"/>
    <cellStyle name="Hyperlink" xfId="485" builtinId="8" hidden="1"/>
    <cellStyle name="Hyperlink" xfId="1697" builtinId="8" hidden="1"/>
    <cellStyle name="Hyperlink" xfId="359" builtinId="8" hidden="1"/>
    <cellStyle name="Hyperlink" xfId="1239" builtinId="8" hidden="1"/>
    <cellStyle name="Hyperlink" xfId="991" builtinId="8" hidden="1"/>
    <cellStyle name="Hyperlink" xfId="843" builtinId="8" hidden="1"/>
    <cellStyle name="Hyperlink" xfId="267" builtinId="8" hidden="1"/>
    <cellStyle name="Hyperlink" xfId="68" builtinId="8" hidden="1"/>
    <cellStyle name="Hyperlink" xfId="2045" builtinId="8" hidden="1"/>
    <cellStyle name="Hyperlink" xfId="2383" builtinId="8" hidden="1"/>
    <cellStyle name="Hyperlink" xfId="1251" builtinId="8" hidden="1"/>
    <cellStyle name="Hyperlink" xfId="3215" builtinId="8" hidden="1"/>
    <cellStyle name="Hyperlink" xfId="403" builtinId="8" hidden="1"/>
    <cellStyle name="Hyperlink" xfId="2005" builtinId="8" hidden="1"/>
    <cellStyle name="Hyperlink" xfId="1355" builtinId="8" hidden="1"/>
    <cellStyle name="Hyperlink" xfId="673" builtinId="8" hidden="1"/>
    <cellStyle name="Hyperlink" xfId="705" builtinId="8" hidden="1"/>
    <cellStyle name="Hyperlink" xfId="2213" builtinId="8" hidden="1"/>
    <cellStyle name="Hyperlink" xfId="745" builtinId="8" hidden="1"/>
    <cellStyle name="Hyperlink" xfId="909" builtinId="8" hidden="1"/>
    <cellStyle name="Hyperlink" xfId="357" builtinId="8" hidden="1"/>
    <cellStyle name="Hyperlink" xfId="148" builtinId="8" hidden="1"/>
    <cellStyle name="Hyperlink" xfId="1765" builtinId="8" hidden="1"/>
    <cellStyle name="Hyperlink" xfId="3131" builtinId="8" hidden="1"/>
    <cellStyle name="Hyperlink" xfId="1183" builtinId="8" hidden="1"/>
    <cellStyle name="Hyperlink" xfId="3605" builtinId="8" hidden="1"/>
    <cellStyle name="Hyperlink" xfId="2955" builtinId="8" hidden="1"/>
    <cellStyle name="Hyperlink" xfId="749" builtinId="8" hidden="1"/>
    <cellStyle name="Hyperlink" xfId="831" builtinId="8" hidden="1"/>
    <cellStyle name="Hyperlink" xfId="3013" builtinId="8" hidden="1"/>
    <cellStyle name="Hyperlink" xfId="2773" builtinId="8" hidden="1"/>
    <cellStyle name="Hyperlink" xfId="1625" builtinId="8" hidden="1"/>
    <cellStyle name="Hyperlink" xfId="2921" builtinId="8" hidden="1"/>
    <cellStyle name="Hyperlink" xfId="623" builtinId="8" hidden="1"/>
    <cellStyle name="Hyperlink" xfId="3239" builtinId="8" hidden="1"/>
    <cellStyle name="Hyperlink" xfId="2505" builtinId="8" hidden="1"/>
    <cellStyle name="Hyperlink" xfId="1319" builtinId="8" hidden="1"/>
    <cellStyle name="Hyperlink" xfId="2481" builtinId="8" hidden="1"/>
    <cellStyle name="Hyperlink" xfId="1233" builtinId="8" hidden="1"/>
    <cellStyle name="Hyperlink" xfId="2727" builtinId="8" hidden="1"/>
    <cellStyle name="Hyperlink" xfId="3035" builtinId="8" hidden="1"/>
    <cellStyle name="Hyperlink" xfId="3309" builtinId="8" hidden="1"/>
    <cellStyle name="Hyperlink" xfId="2619" builtinId="8" hidden="1"/>
    <cellStyle name="Hyperlink" xfId="3353" builtinId="8" hidden="1"/>
    <cellStyle name="Hyperlink" xfId="573" builtinId="8" hidden="1"/>
    <cellStyle name="Hyperlink" xfId="2867" builtinId="8" hidden="1"/>
    <cellStyle name="Hyperlink" xfId="3429" builtinId="8" hidden="1"/>
    <cellStyle name="Hyperlink" xfId="525" builtinId="8" hidden="1"/>
    <cellStyle name="Hyperlink" xfId="281" builtinId="8" hidden="1"/>
    <cellStyle name="Hyperlink" xfId="2501" builtinId="8" hidden="1"/>
    <cellStyle name="Hyperlink" xfId="2827" builtinId="8" hidden="1"/>
    <cellStyle name="Hyperlink" xfId="2379" builtinId="8" hidden="1"/>
    <cellStyle name="Hyperlink" xfId="2109" builtinId="8" hidden="1"/>
    <cellStyle name="Hyperlink" xfId="1035" builtinId="8" hidden="1"/>
    <cellStyle name="Hyperlink" xfId="116" builtinId="8" hidden="1"/>
    <cellStyle name="Hyperlink" xfId="1481" builtinId="8" hidden="1"/>
    <cellStyle name="Hyperlink" xfId="1053" builtinId="8" hidden="1"/>
    <cellStyle name="Hyperlink" xfId="2587" builtinId="8" hidden="1"/>
    <cellStyle name="Hyperlink" xfId="1161" builtinId="8" hidden="1"/>
    <cellStyle name="Hyperlink" xfId="329" builtinId="8" hidden="1"/>
    <cellStyle name="Hyperlink" xfId="3443" builtinId="8" hidden="1"/>
    <cellStyle name="Hyperlink" xfId="3337" builtinId="8" hidden="1"/>
    <cellStyle name="Hyperlink" xfId="2093" builtinId="8" hidden="1"/>
    <cellStyle name="Hyperlink" xfId="1127" builtinId="8" hidden="1"/>
    <cellStyle name="Hyperlink" xfId="883" builtinId="8" hidden="1"/>
    <cellStyle name="Hyperlink" xfId="2745" builtinId="8" hidden="1"/>
    <cellStyle name="Hyperlink" xfId="3583" builtinId="8" hidden="1"/>
    <cellStyle name="Hyperlink" xfId="893" builtinId="8" hidden="1"/>
    <cellStyle name="Hyperlink" xfId="1157" builtinId="8" hidden="1"/>
    <cellStyle name="Hyperlink" xfId="2023" builtinId="8" hidden="1"/>
    <cellStyle name="Hyperlink" xfId="3603" builtinId="8" hidden="1"/>
    <cellStyle name="Hyperlink" xfId="2223" builtinId="8" hidden="1"/>
    <cellStyle name="Hyperlink" xfId="2385" builtinId="8" hidden="1"/>
    <cellStyle name="Hyperlink" xfId="2185" builtinId="8" hidden="1"/>
    <cellStyle name="Hyperlink" xfId="641" builtinId="8" hidden="1"/>
    <cellStyle name="Hyperlink" xfId="2887" builtinId="8" hidden="1"/>
    <cellStyle name="Hyperlink" xfId="2275" builtinId="8" hidden="1"/>
    <cellStyle name="Hyperlink" xfId="2085" builtinId="8" hidden="1"/>
    <cellStyle name="Hyperlink" xfId="2355" builtinId="8" hidden="1"/>
    <cellStyle name="Hyperlink" xfId="1149" builtinId="8" hidden="1"/>
    <cellStyle name="Hyperlink" xfId="1091" builtinId="8" hidden="1"/>
    <cellStyle name="Hyperlink" xfId="112" builtinId="8" hidden="1"/>
    <cellStyle name="Hyperlink" xfId="251" builtinId="8" hidden="1"/>
    <cellStyle name="Hyperlink" xfId="1125" builtinId="8" hidden="1"/>
    <cellStyle name="Hyperlink" xfId="225" builtinId="8" hidden="1"/>
    <cellStyle name="Hyperlink" xfId="2439" builtinId="8" hidden="1"/>
    <cellStyle name="Hyperlink" xfId="1547" builtinId="8" hidden="1"/>
    <cellStyle name="Hyperlink" xfId="212" builtinId="8" hidden="1"/>
    <cellStyle name="Hyperlink" xfId="2853" builtinId="8" hidden="1"/>
    <cellStyle name="Hyperlink" xfId="1669" builtinId="8" hidden="1"/>
    <cellStyle name="Hyperlink" xfId="1807" builtinId="8" hidden="1"/>
    <cellStyle name="Hyperlink" xfId="74" builtinId="8" hidden="1"/>
    <cellStyle name="Hyperlink" xfId="1271" builtinId="8" hidden="1"/>
    <cellStyle name="Hyperlink" xfId="3025" builtinId="8" hidden="1"/>
    <cellStyle name="Hyperlink" xfId="2413" builtinId="8" hidden="1"/>
    <cellStyle name="Hyperlink" xfId="2433" builtinId="8" hidden="1"/>
    <cellStyle name="Hyperlink" xfId="3629" builtinId="8" hidden="1"/>
    <cellStyle name="Hyperlink" xfId="2009" builtinId="8" hidden="1"/>
    <cellStyle name="Hyperlink" xfId="3507" builtinId="8" hidden="1"/>
    <cellStyle name="Hyperlink" xfId="46" builtinId="8" hidden="1"/>
    <cellStyle name="Hyperlink" xfId="1483" builtinId="8" hidden="1"/>
    <cellStyle name="Hyperlink" xfId="507" builtinId="8" hidden="1"/>
    <cellStyle name="Hyperlink" xfId="2899" builtinId="8" hidden="1"/>
    <cellStyle name="Hyperlink" xfId="3137" builtinId="8" hidden="1"/>
    <cellStyle name="Hyperlink" xfId="1757" builtinId="8" hidden="1"/>
    <cellStyle name="Hyperlink" xfId="3057" builtinId="8" hidden="1"/>
    <cellStyle name="Hyperlink" xfId="961" builtinId="8" hidden="1"/>
    <cellStyle name="Hyperlink" xfId="1935" builtinId="8" hidden="1"/>
    <cellStyle name="Hyperlink" xfId="2489" builtinId="8" hidden="1"/>
    <cellStyle name="Hyperlink" xfId="198" builtinId="8" hidden="1"/>
    <cellStyle name="Hyperlink" xfId="1543" builtinId="8" hidden="1"/>
    <cellStyle name="Hyperlink" xfId="575" builtinId="8" hidden="1"/>
    <cellStyle name="Hyperlink" xfId="2269" builtinId="8" hidden="1"/>
    <cellStyle name="Hyperlink" xfId="1857" builtinId="8" hidden="1"/>
    <cellStyle name="Hyperlink" xfId="369" builtinId="8" hidden="1"/>
    <cellStyle name="Hyperlink" xfId="2573" builtinId="8" hidden="1"/>
    <cellStyle name="Hyperlink" xfId="2391" builtinId="8" hidden="1"/>
    <cellStyle name="Hyperlink" xfId="3279" builtinId="8" hidden="1"/>
    <cellStyle name="Hyperlink" xfId="2253" builtinId="8" hidden="1"/>
    <cellStyle name="Hyperlink" xfId="2137" builtinId="8" hidden="1"/>
    <cellStyle name="Hyperlink" xfId="2219" builtinId="8" hidden="1"/>
    <cellStyle name="Hyperlink" xfId="397" builtinId="8" hidden="1"/>
    <cellStyle name="Hyperlink" xfId="2613" builtinId="8" hidden="1"/>
    <cellStyle name="Hyperlink" xfId="229" builtinId="8" hidden="1"/>
    <cellStyle name="Hyperlink" xfId="2177" builtinId="8" hidden="1"/>
    <cellStyle name="Hyperlink" xfId="993" builtinId="8" hidden="1"/>
    <cellStyle name="Hyperlink" xfId="1619" builtinId="8" hidden="1"/>
    <cellStyle name="Hyperlink" xfId="1899" builtinId="8" hidden="1"/>
    <cellStyle name="Hyperlink" xfId="3083" builtinId="8" hidden="1"/>
    <cellStyle name="Hyperlink" xfId="787" builtinId="8" hidden="1"/>
    <cellStyle name="Hyperlink" xfId="2469" builtinId="8" hidden="1"/>
    <cellStyle name="Hyperlink" xfId="2025" builtinId="8" hidden="1"/>
    <cellStyle name="Hyperlink" xfId="3223" builtinId="8" hidden="1"/>
    <cellStyle name="Hyperlink" xfId="150" builtinId="8" hidden="1"/>
    <cellStyle name="Hyperlink" xfId="3693" builtinId="8" hidden="1"/>
    <cellStyle name="Hyperlink" xfId="2135" builtinId="8" hidden="1"/>
    <cellStyle name="Hyperlink" xfId="1819" builtinId="8" hidden="1"/>
    <cellStyle name="Hyperlink" xfId="2493" builtinId="8" hidden="1"/>
    <cellStyle name="Hyperlink" xfId="553" builtinId="8" hidden="1"/>
    <cellStyle name="Hyperlink" xfId="1107" builtinId="8" hidden="1"/>
    <cellStyle name="Hyperlink" xfId="595" builtinId="8" hidden="1"/>
    <cellStyle name="Hyperlink" xfId="931" builtinId="8" hidden="1"/>
    <cellStyle name="Hyperlink" xfId="1743" builtinId="8" hidden="1"/>
    <cellStyle name="Hyperlink" xfId="1427" builtinId="8" hidden="1"/>
    <cellStyle name="Hyperlink" xfId="2945" builtinId="8" hidden="1"/>
    <cellStyle name="Hyperlink" xfId="2205" builtinId="8" hidden="1"/>
    <cellStyle name="Hyperlink" xfId="1805" builtinId="8" hidden="1"/>
    <cellStyle name="Hyperlink" xfId="425" builtinId="8" hidden="1"/>
    <cellStyle name="Hyperlink" xfId="1711" builtinId="8" hidden="1"/>
    <cellStyle name="Hyperlink" xfId="1779" builtinId="8" hidden="1"/>
    <cellStyle name="Hyperlink" xfId="3391" builtinId="8" hidden="1"/>
    <cellStyle name="Hyperlink" xfId="3739" builtinId="8" hidden="1"/>
    <cellStyle name="Hyperlink" xfId="3063" builtinId="8" hidden="1"/>
    <cellStyle name="Hyperlink" xfId="3597" builtinId="8" hidden="1"/>
    <cellStyle name="Hyperlink" xfId="601" builtinId="8" hidden="1"/>
    <cellStyle name="Hyperlink" xfId="1337" builtinId="8" hidden="1"/>
    <cellStyle name="Hyperlink" xfId="1377" builtinId="8" hidden="1"/>
    <cellStyle name="Hyperlink" xfId="3505" builtinId="8" hidden="1"/>
    <cellStyle name="Hyperlink" xfId="2519" builtinId="8" hidden="1"/>
    <cellStyle name="Hyperlink" xfId="2267" builtinId="8" hidden="1"/>
    <cellStyle name="Hyperlink" xfId="1637" builtinId="8" hidden="1"/>
    <cellStyle name="Hyperlink" xfId="319" builtinId="8" hidden="1"/>
    <cellStyle name="Hyperlink" xfId="1769" builtinId="8" hidden="1"/>
    <cellStyle name="Hyperlink" xfId="1445" builtinId="8" hidden="1"/>
    <cellStyle name="Hyperlink" xfId="2401" builtinId="8" hidden="1"/>
    <cellStyle name="Hyperlink" xfId="869" builtinId="8" hidden="1"/>
    <cellStyle name="Hyperlink" xfId="2357" builtinId="8" hidden="1"/>
    <cellStyle name="Hyperlink" xfId="3125" builtinId="8" hidden="1"/>
    <cellStyle name="Hyperlink" xfId="2597" builtinId="8" hidden="1"/>
    <cellStyle name="Hyperlink" xfId="2513" builtinId="8" hidden="1"/>
    <cellStyle name="Hyperlink" xfId="2769" builtinId="8" hidden="1"/>
    <cellStyle name="Hyperlink" xfId="1457" builtinId="8" hidden="1"/>
    <cellStyle name="Hyperlink" xfId="2929" builtinId="8" hidden="1"/>
    <cellStyle name="Hyperlink" xfId="3709" builtinId="8" hidden="1"/>
    <cellStyle name="Hyperlink" xfId="2713" builtinId="8" hidden="1"/>
    <cellStyle name="Hyperlink" xfId="723" builtinId="8" hidden="1"/>
    <cellStyle name="Hyperlink" xfId="1761" builtinId="8" hidden="1"/>
    <cellStyle name="Hyperlink" xfId="741" builtinId="8" hidden="1"/>
    <cellStyle name="Hyperlink" xfId="285" builtinId="8" hidden="1"/>
    <cellStyle name="Hyperlink" xfId="1289" builtinId="8" hidden="1"/>
    <cellStyle name="Hyperlink" xfId="3539" builtinId="8" hidden="1"/>
    <cellStyle name="Hyperlink" xfId="1145" builtinId="8" hidden="1"/>
    <cellStyle name="Hyperlink" xfId="277" builtinId="8" hidden="1"/>
    <cellStyle name="Hyperlink" xfId="3509" builtinId="8" hidden="1"/>
    <cellStyle name="Hyperlink" xfId="1929" builtinId="8" hidden="1"/>
    <cellStyle name="Hyperlink" xfId="3323" builtinId="8" hidden="1"/>
    <cellStyle name="Hyperlink" xfId="1249" builtinId="8" hidden="1"/>
    <cellStyle name="Hyperlink" xfId="3145" builtinId="8" hidden="1"/>
    <cellStyle name="Hyperlink" xfId="1911" builtinId="8" hidden="1"/>
    <cellStyle name="Hyperlink" xfId="2291" builtinId="8" hidden="1"/>
    <cellStyle name="Hyperlink" xfId="1521" builtinId="8" hidden="1"/>
    <cellStyle name="Hyperlink" xfId="2141" builtinId="8" hidden="1"/>
    <cellStyle name="Hyperlink" xfId="1135" builtinId="8" hidden="1"/>
    <cellStyle name="Hyperlink" xfId="2441" builtinId="8" hidden="1"/>
    <cellStyle name="Hyperlink" xfId="2113" builtinId="8" hidden="1"/>
    <cellStyle name="Hyperlink" xfId="2697" builtinId="8" hidden="1"/>
    <cellStyle name="Hyperlink" xfId="2917" builtinId="8" hidden="1"/>
    <cellStyle name="Hyperlink" xfId="3263" builtinId="8" hidden="1"/>
    <cellStyle name="Hyperlink" xfId="3759" builtinId="8" hidden="1"/>
    <cellStyle name="Hyperlink" xfId="339" builtinId="8" hidden="1"/>
    <cellStyle name="Hyperlink" xfId="3319" builtinId="8" hidden="1"/>
    <cellStyle name="Hyperlink" xfId="3737" builtinId="8" hidden="1"/>
    <cellStyle name="Hyperlink" xfId="1" builtinId="8" hidden="1"/>
    <cellStyle name="Hyperlink" xfId="3541" builtinId="8" hidden="1"/>
    <cellStyle name="Hyperlink" xfId="2583" builtinId="8" hidden="1"/>
    <cellStyle name="Hyperlink" xfId="1351" builtinId="8" hidden="1"/>
    <cellStyle name="Hyperlink" xfId="3129" builtinId="8" hidden="1"/>
    <cellStyle name="Hyperlink" xfId="2693" builtinId="8" hidden="1"/>
    <cellStyle name="Hyperlink" xfId="3267" builtinId="8" hidden="1"/>
    <cellStyle name="Hyperlink" xfId="1983" builtinId="8" hidden="1"/>
    <cellStyle name="Hyperlink" xfId="1095" builtinId="8" hidden="1"/>
    <cellStyle name="Hyperlink" xfId="1461" builtinId="8" hidden="1"/>
    <cellStyle name="Hyperlink" xfId="1781" builtinId="8" hidden="1"/>
    <cellStyle name="Hyperlink" xfId="2257" builtinId="8" hidden="1"/>
    <cellStyle name="Hyperlink" xfId="2037" builtinId="8" hidden="1"/>
    <cellStyle name="Hyperlink" xfId="2309" builtinId="8" hidden="1"/>
    <cellStyle name="Hyperlink" xfId="3485" builtinId="8" hidden="1"/>
    <cellStyle name="Hyperlink" xfId="2163" builtinId="8" hidden="1"/>
    <cellStyle name="Hyperlink" xfId="2615" builtinId="8" hidden="1"/>
    <cellStyle name="Hyperlink" xfId="1031" builtinId="8" hidden="1"/>
    <cellStyle name="Hyperlink" xfId="1139" builtinId="8" hidden="1"/>
    <cellStyle name="Hyperlink" xfId="1693" builtinId="8" hidden="1"/>
    <cellStyle name="Hyperlink" xfId="3315" builtinId="8" hidden="1"/>
    <cellStyle name="Hyperlink" xfId="2463" builtinId="8" hidden="1"/>
    <cellStyle name="Hyperlink" xfId="3101" builtinId="8" hidden="1"/>
    <cellStyle name="Hyperlink" xfId="2147" builtinId="8" hidden="1"/>
    <cellStyle name="Hyperlink" xfId="2485" builtinId="8" hidden="1"/>
    <cellStyle name="Hyperlink" xfId="2983" builtinId="8" hidden="1"/>
    <cellStyle name="Hyperlink" xfId="3637" builtinId="8" hidden="1"/>
    <cellStyle name="Hyperlink" xfId="953" builtinId="8" hidden="1"/>
    <cellStyle name="Hyperlink" xfId="539" builtinId="8" hidden="1"/>
    <cellStyle name="Hyperlink" xfId="3177" builtinId="8" hidden="1"/>
    <cellStyle name="Hyperlink" xfId="2041" builtinId="8" hidden="1"/>
    <cellStyle name="Hyperlink" xfId="637" builtinId="8" hidden="1"/>
    <cellStyle name="Hyperlink" xfId="180" builtinId="8" hidden="1"/>
    <cellStyle name="Hyperlink" xfId="2881" builtinId="8" hidden="1"/>
    <cellStyle name="Hyperlink" xfId="204" builtinId="8" hidden="1"/>
    <cellStyle name="Hyperlink" xfId="3043" builtinId="8" hidden="1"/>
    <cellStyle name="Hyperlink" xfId="1643" builtinId="8" hidden="1"/>
    <cellStyle name="Hyperlink" xfId="3175" builtinId="8" hidden="1"/>
    <cellStyle name="Hyperlink" xfId="3017" builtinId="8" hidden="1"/>
    <cellStyle name="Hyperlink" xfId="2723" builtinId="8" hidden="1"/>
    <cellStyle name="Hyperlink" xfId="1221" builtinId="8" hidden="1"/>
    <cellStyle name="Hyperlink" xfId="1817" builtinId="8" hidden="1"/>
    <cellStyle name="Hyperlink" xfId="3531" builtinId="8" hidden="1"/>
    <cellStyle name="Hyperlink" xfId="2057" builtinId="8" hidden="1"/>
    <cellStyle name="Hyperlink" xfId="1505" builtinId="8" hidden="1"/>
    <cellStyle name="Hyperlink" xfId="194" builtinId="8" hidden="1"/>
    <cellStyle name="Hyperlink" xfId="2537" builtinId="8" hidden="1"/>
    <cellStyle name="Hyperlink" xfId="1405" builtinId="8" hidden="1"/>
    <cellStyle name="Hyperlink" xfId="2963" builtinId="8" hidden="1"/>
    <cellStyle name="Hyperlink" xfId="475" builtinId="8" hidden="1"/>
    <cellStyle name="Hyperlink" xfId="771" builtinId="8" hidden="1"/>
    <cellStyle name="Hyperlink" xfId="347" builtinId="8" hidden="1"/>
    <cellStyle name="Hyperlink" xfId="2247" builtinId="8" hidden="1"/>
    <cellStyle name="Hyperlink" xfId="2595" builtinId="8" hidden="1"/>
    <cellStyle name="Hyperlink" xfId="965" builtinId="8" hidden="1"/>
    <cellStyle name="Hyperlink" xfId="607" builtinId="8" hidden="1"/>
    <cellStyle name="Hyperlink" xfId="2531" builtinId="8" hidden="1"/>
    <cellStyle name="Hyperlink" xfId="1297" builtinId="8" hidden="1"/>
    <cellStyle name="Hyperlink" xfId="1887" builtinId="8" hidden="1"/>
    <cellStyle name="Hyperlink" xfId="1903" builtinId="8" hidden="1"/>
    <cellStyle name="Hyperlink" xfId="1281" builtinId="8" hidden="1"/>
    <cellStyle name="Hyperlink" xfId="691" builtinId="8" hidden="1"/>
    <cellStyle name="Hyperlink" xfId="3579" builtinId="8" hidden="1"/>
    <cellStyle name="Hyperlink" xfId="1739" builtinId="8" hidden="1"/>
    <cellStyle name="Hyperlink" xfId="2221" builtinId="8" hidden="1"/>
    <cellStyle name="Hyperlink" xfId="1785" builtinId="8" hidden="1"/>
    <cellStyle name="Hyperlink" xfId="2483" builtinId="8" hidden="1"/>
    <cellStyle name="Hyperlink" xfId="2747" builtinId="8" hidden="1"/>
    <cellStyle name="Hyperlink" xfId="2759" builtinId="8" hidden="1"/>
    <cellStyle name="Hyperlink" xfId="3487" builtinId="8" hidden="1"/>
    <cellStyle name="Hyperlink" xfId="293" builtinId="8" hidden="1"/>
    <cellStyle name="Hyperlink" xfId="1631" builtinId="8" hidden="1"/>
    <cellStyle name="Hyperlink" xfId="3065" builtinId="8" hidden="1"/>
    <cellStyle name="Hyperlink" xfId="82" builtinId="8" hidden="1"/>
    <cellStyle name="Hyperlink" xfId="2477" builtinId="8" hidden="1"/>
    <cellStyle name="Hyperlink" xfId="1173" builtinId="8" hidden="1"/>
    <cellStyle name="Hyperlink" xfId="2229" builtinId="8" hidden="1"/>
    <cellStyle name="Hyperlink" xfId="1729" builtinId="8" hidden="1"/>
    <cellStyle name="Hyperlink" xfId="923" builtinId="8" hidden="1"/>
    <cellStyle name="Hyperlink" xfId="3379" builtinId="8" hidden="1"/>
    <cellStyle name="Hyperlink" xfId="1533" builtinId="8" hidden="1"/>
    <cellStyle name="Hyperlink" xfId="2851" builtinId="8" hidden="1"/>
    <cellStyle name="Hyperlink" xfId="2313" builtinId="8" hidden="1"/>
    <cellStyle name="Hyperlink" xfId="2641" builtinId="8" hidden="1"/>
    <cellStyle name="Hyperlink" xfId="2565" builtinId="8" hidden="1"/>
    <cellStyle name="Hyperlink" xfId="2877" builtinId="8" hidden="1"/>
    <cellStyle name="Hyperlink" xfId="1749" builtinId="8" hidden="1"/>
    <cellStyle name="Hyperlink" xfId="1195" builtinId="8" hidden="1"/>
    <cellStyle name="Hyperlink" xfId="3633" builtinId="8" hidden="1"/>
    <cellStyle name="Hyperlink" xfId="3409" builtinId="8" hidden="1"/>
    <cellStyle name="Hyperlink" xfId="1059" builtinId="8" hidden="1"/>
    <cellStyle name="Hyperlink" xfId="2783" builtinId="8" hidden="1"/>
    <cellStyle name="Hyperlink" xfId="1927" builtinId="8" hidden="1"/>
    <cellStyle name="Hyperlink" xfId="399" builtinId="8" hidden="1"/>
    <cellStyle name="Hyperlink" xfId="751" builtinId="8" hidden="1"/>
    <cellStyle name="Hyperlink" xfId="2799" builtinId="8" hidden="1"/>
    <cellStyle name="Hyperlink" xfId="1663" builtinId="8" hidden="1"/>
    <cellStyle name="Hyperlink" xfId="1269" builtinId="8" hidden="1"/>
    <cellStyle name="Hyperlink" xfId="2107" builtinId="8" hidden="1"/>
    <cellStyle name="Hyperlink" xfId="3689" builtinId="8" hidden="1"/>
    <cellStyle name="Hyperlink" xfId="2609" builtinId="8" hidden="1"/>
    <cellStyle name="Hyperlink" xfId="3343" builtinId="8" hidden="1"/>
    <cellStyle name="Hyperlink" xfId="1573" builtinId="8" hidden="1"/>
    <cellStyle name="Hyperlink" xfId="3325" builtinId="8" hidden="1"/>
    <cellStyle name="Hyperlink" xfId="511" builtinId="8" hidden="1"/>
    <cellStyle name="Hyperlink" xfId="2349" builtinId="8" hidden="1"/>
    <cellStyle name="Hyperlink" xfId="939" builtinId="8" hidden="1"/>
    <cellStyle name="Hyperlink" xfId="3713" builtinId="8" hidden="1"/>
    <cellStyle name="Hyperlink" xfId="2393" builtinId="8" hidden="1"/>
    <cellStyle name="Hyperlink" xfId="677" builtinId="8" hidden="1"/>
    <cellStyle name="Hyperlink" xfId="3197" builtinId="8" hidden="1"/>
    <cellStyle name="Hyperlink" xfId="1499" builtinId="8" hidden="1"/>
    <cellStyle name="Hyperlink" xfId="3317" builtinId="8" hidden="1"/>
    <cellStyle name="Hyperlink" xfId="1113" builtinId="8" hidden="1"/>
    <cellStyle name="Hyperlink" xfId="2709" builtinId="8" hidden="1"/>
    <cellStyle name="Hyperlink" xfId="76" builtinId="8" hidden="1"/>
    <cellStyle name="Hyperlink" xfId="2811" builtinId="8" hidden="1"/>
    <cellStyle name="Hyperlink" xfId="2979" builtinId="8" hidden="1"/>
    <cellStyle name="Hyperlink" xfId="3645" builtinId="8" hidden="1"/>
    <cellStyle name="Hyperlink" xfId="407" builtinId="8" hidden="1"/>
    <cellStyle name="Hyperlink" xfId="1019" builtinId="8" hidden="1"/>
    <cellStyle name="Hyperlink" xfId="1029" builtinId="8" hidden="1"/>
    <cellStyle name="Hyperlink" xfId="1475" builtinId="8" hidden="1"/>
    <cellStyle name="Hyperlink" xfId="2029" builtinId="8" hidden="1"/>
    <cellStyle name="Hyperlink" xfId="1293" builtinId="8" hidden="1"/>
    <cellStyle name="Hyperlink" xfId="1469" builtinId="8" hidden="1"/>
    <cellStyle name="Hyperlink" xfId="295" builtinId="8" hidden="1"/>
    <cellStyle name="Hyperlink" xfId="1363" builtinId="8" hidden="1"/>
    <cellStyle name="Hyperlink" xfId="86" builtinId="8" hidden="1"/>
    <cellStyle name="Hyperlink" xfId="2665" builtinId="8" hidden="1"/>
    <cellStyle name="Hyperlink" xfId="3561" builtinId="8" hidden="1"/>
    <cellStyle name="Hyperlink" xfId="2567" builtinId="8" hidden="1"/>
    <cellStyle name="Hyperlink" xfId="2763" builtinId="8" hidden="1"/>
    <cellStyle name="Hyperlink" xfId="2549" builtinId="8" hidden="1"/>
    <cellStyle name="Hyperlink" xfId="535" builtinId="8" hidden="1"/>
    <cellStyle name="Hyperlink" xfId="2343" builtinId="8" hidden="1"/>
    <cellStyle name="Hyperlink" xfId="1513" builtinId="8" hidden="1"/>
    <cellStyle name="Hyperlink" xfId="423" builtinId="8" hidden="1"/>
    <cellStyle name="Hyperlink" xfId="1869" builtinId="8" hidden="1"/>
    <cellStyle name="Hyperlink" xfId="313" builtinId="8" hidden="1"/>
    <cellStyle name="Hyperlink" xfId="897" builtinId="8" hidden="1"/>
    <cellStyle name="Hyperlink" xfId="3157" builtinId="8" hidden="1"/>
    <cellStyle name="Hyperlink" xfId="779" builtinId="8" hidden="1"/>
    <cellStyle name="Hyperlink" xfId="1407" builtinId="8" hidden="1"/>
    <cellStyle name="Hyperlink" xfId="3517" builtinId="8" hidden="1"/>
    <cellStyle name="Hyperlink" xfId="2643" builtinId="8" hidden="1"/>
    <cellStyle name="Hyperlink" xfId="2499" builtinId="8" hidden="1"/>
    <cellStyle name="Hyperlink" xfId="3193" builtinId="8" hidden="1"/>
    <cellStyle name="Hyperlink" xfId="659" builtinId="8" hidden="1"/>
    <cellStyle name="Hyperlink" xfId="1413" builtinId="8" hidden="1"/>
    <cellStyle name="Hyperlink" xfId="3265" builtinId="8" hidden="1"/>
    <cellStyle name="Hyperlink" xfId="182" builtinId="8" hidden="1"/>
    <cellStyle name="Hyperlink" xfId="687" builtinId="8" hidden="1"/>
    <cellStyle name="Hyperlink" xfId="2571" builtinId="8" hidden="1"/>
    <cellStyle name="Hyperlink" xfId="2793" builtinId="8" hidden="1"/>
    <cellStyle name="Hyperlink" xfId="1167" builtinId="8" hidden="1"/>
    <cellStyle name="Hyperlink" xfId="1653" builtinId="8" hidden="1"/>
    <cellStyle name="Hyperlink" xfId="104" builtinId="8" hidden="1"/>
    <cellStyle name="Hyperlink" xfId="2171" builtinId="8" hidden="1"/>
    <cellStyle name="Hyperlink" xfId="1717" builtinId="8" hidden="1"/>
    <cellStyle name="Hyperlink" xfId="3053" builtinId="8" hidden="1"/>
    <cellStyle name="Hyperlink" xfId="30" builtinId="8" hidden="1"/>
    <cellStyle name="Hyperlink" xfId="551" builtinId="8" hidden="1"/>
    <cellStyle name="Hyperlink" xfId="2949" builtinId="8" hidden="1"/>
    <cellStyle name="Hyperlink" xfId="1345" builtinId="8" hidden="1"/>
    <cellStyle name="Hyperlink" xfId="3351" builtinId="8" hidden="1"/>
    <cellStyle name="Hyperlink" xfId="2511" builtinId="8" hidden="1"/>
    <cellStyle name="Hyperlink" xfId="3549" builtinId="8" hidden="1"/>
    <cellStyle name="Hyperlink" xfId="1725" builtinId="8" hidden="1"/>
    <cellStyle name="Hyperlink" xfId="3107" builtinId="8" hidden="1"/>
    <cellStyle name="Hyperlink" xfId="1609" builtinId="8" hidden="1"/>
    <cellStyle name="Hyperlink" xfId="1519" builtinId="8" hidden="1"/>
    <cellStyle name="Hyperlink" xfId="727" builtinId="8" hidden="1"/>
    <cellStyle name="Hyperlink" xfId="2865" builtinId="8" hidden="1"/>
    <cellStyle name="Hyperlink" xfId="943" builtinId="8" hidden="1"/>
    <cellStyle name="Hyperlink" xfId="2823" builtinId="8" hidden="1"/>
    <cellStyle name="Hyperlink" xfId="2227" builtinId="8" hidden="1"/>
    <cellStyle name="Hyperlink" xfId="1383" builtinId="8" hidden="1"/>
    <cellStyle name="Hyperlink" xfId="2159" builtinId="8" hidden="1"/>
    <cellStyle name="Hyperlink" xfId="3297" builtinId="8" hidden="1"/>
    <cellStyle name="Hyperlink" xfId="2621" builtinId="8" hidden="1"/>
    <cellStyle name="Hyperlink" xfId="3329" builtinId="8" hidden="1"/>
    <cellStyle name="Hyperlink" xfId="2965" builtinId="8" hidden="1"/>
    <cellStyle name="Hyperlink" xfId="493" builtinId="8" hidden="1"/>
    <cellStyle name="Hyperlink" xfId="845" builtinId="8" hidden="1"/>
    <cellStyle name="Hyperlink" xfId="42" builtinId="8" hidden="1"/>
    <cellStyle name="Hyperlink" xfId="1791" builtinId="8" hidden="1"/>
    <cellStyle name="Hyperlink" xfId="1313" builtinId="8" hidden="1"/>
    <cellStyle name="Hyperlink" xfId="2625" builtinId="8" hidden="1"/>
    <cellStyle name="Hyperlink" xfId="3289" builtinId="8" hidden="1"/>
    <cellStyle name="Hyperlink" xfId="3571" builtinId="8" hidden="1"/>
    <cellStyle name="Hyperlink" xfId="3033" builtinId="8" hidden="1"/>
    <cellStyle name="Hyperlink" xfId="2895" builtinId="8" hidden="1"/>
    <cellStyle name="Hyperlink" xfId="3169" builtinId="8" hidden="1"/>
    <cellStyle name="Hyperlink" xfId="3051" builtinId="8" hidden="1"/>
    <cellStyle name="Hyperlink" xfId="1327" builtinId="8" hidden="1"/>
    <cellStyle name="Hyperlink" xfId="2369" builtinId="8" hidden="1"/>
    <cellStyle name="Hyperlink" xfId="627" builtinId="8" hidden="1"/>
    <cellStyle name="Hyperlink" xfId="789" builtinId="8" hidden="1"/>
    <cellStyle name="Hyperlink" xfId="1555" builtinId="8" hidden="1"/>
    <cellStyle name="Hyperlink" xfId="2283" builtinId="8" hidden="1"/>
    <cellStyle name="Hyperlink" xfId="839" builtinId="8" hidden="1"/>
    <cellStyle name="Hyperlink" xfId="2033" builtinId="8" hidden="1"/>
    <cellStyle name="Hyperlink" xfId="395" builtinId="8" hidden="1"/>
    <cellStyle name="Hyperlink" xfId="2317" builtinId="8" hidden="1"/>
    <cellStyle name="Hyperlink" xfId="188" builtinId="8" hidden="1"/>
    <cellStyle name="Hyperlink" xfId="1947" builtinId="8" hidden="1"/>
    <cellStyle name="Hyperlink" xfId="2705" builtinId="8" hidden="1"/>
    <cellStyle name="Hyperlink" xfId="409" builtinId="8" hidden="1"/>
    <cellStyle name="Hyperlink" xfId="2733" builtinId="8" hidden="1"/>
    <cellStyle name="Hyperlink" xfId="1447" builtinId="8" hidden="1"/>
    <cellStyle name="Hyperlink" xfId="184" builtinId="8" hidden="1"/>
    <cellStyle name="Hyperlink" xfId="1273" builtinId="8" hidden="1"/>
    <cellStyle name="Hyperlink" xfId="1787" builtinId="8" hidden="1"/>
    <cellStyle name="Hyperlink" xfId="3007" builtinId="8" hidden="1"/>
    <cellStyle name="Hyperlink" xfId="3117" builtinId="8" hidden="1"/>
    <cellStyle name="Hyperlink" xfId="1561" builtinId="8" hidden="1"/>
    <cellStyle name="Hyperlink" xfId="1211" builtinId="8" hidden="1"/>
    <cellStyle name="Hyperlink" xfId="2495" builtinId="8" hidden="1"/>
    <cellStyle name="Hyperlink" xfId="3763" builtinId="8" hidden="1"/>
    <cellStyle name="Hyperlink" xfId="3523" builtinId="8" hidden="1"/>
    <cellStyle name="Hyperlink" xfId="3733" builtinId="8" hidden="1"/>
    <cellStyle name="Hyperlink" xfId="1795" builtinId="8" hidden="1"/>
    <cellStyle name="Hyperlink" xfId="2911" builtinId="8" hidden="1"/>
    <cellStyle name="Hyperlink" xfId="667" builtinId="8" hidden="1"/>
    <cellStyle name="Hyperlink" xfId="2835" builtinId="8" hidden="1"/>
    <cellStyle name="Hyperlink" xfId="709" builtinId="8" hidden="1"/>
    <cellStyle name="Hyperlink" xfId="3555" builtinId="8" hidden="1"/>
    <cellStyle name="Hyperlink" xfId="1571" builtinId="8" hidden="1"/>
    <cellStyle name="Hyperlink" xfId="1495" builtinId="8" hidden="1"/>
    <cellStyle name="Hyperlink" xfId="1131" builtinId="8" hidden="1"/>
    <cellStyle name="Hyperlink" xfId="94" builtinId="8" hidden="1"/>
    <cellStyle name="Hyperlink" xfId="299" builtinId="8" hidden="1"/>
    <cellStyle name="Hyperlink" xfId="2897" builtinId="8" hidden="1"/>
    <cellStyle name="Hyperlink" xfId="114" builtinId="8" hidden="1"/>
    <cellStyle name="Hyperlink" xfId="977" builtinId="8" hidden="1"/>
    <cellStyle name="Hyperlink" xfId="3679" builtinId="8" hidden="1"/>
    <cellStyle name="Hyperlink" xfId="1919" builtinId="8" hidden="1"/>
    <cellStyle name="Hyperlink" xfId="995" builtinId="8" hidden="1"/>
    <cellStyle name="Hyperlink" xfId="1309" builtinId="8" hidden="1"/>
    <cellStyle name="Hyperlink" xfId="3237" builtinId="8" hidden="1"/>
    <cellStyle name="Hyperlink" xfId="1889" builtinId="8" hidden="1"/>
    <cellStyle name="Hyperlink" xfId="3281" builtinId="8" hidden="1"/>
    <cellStyle name="Hyperlink" xfId="36" builtinId="8" hidden="1"/>
    <cellStyle name="Hyperlink" xfId="1873" builtinId="8" hidden="1"/>
    <cellStyle name="Hyperlink" xfId="3133" builtinId="8" hidden="1"/>
    <cellStyle name="Hyperlink" xfId="519" builtinId="8" hidden="1"/>
    <cellStyle name="Hyperlink" xfId="317" builtinId="8" hidden="1"/>
    <cellStyle name="Hyperlink" xfId="3287" builtinId="8" hidden="1"/>
    <cellStyle name="Hyperlink" xfId="66" builtinId="8" hidden="1"/>
    <cellStyle name="Hyperlink" xfId="2203" builtinId="8" hidden="1"/>
    <cellStyle name="Hyperlink" xfId="1021" builtinId="8" hidden="1"/>
    <cellStyle name="Hyperlink" xfId="3141" builtinId="8" hidden="1"/>
    <cellStyle name="Hyperlink" xfId="2623" builtinId="8" hidden="1"/>
    <cellStyle name="Hyperlink" xfId="891" builtinId="8" hidden="1"/>
    <cellStyle name="Hyperlink" xfId="172" builtinId="8" hidden="1"/>
    <cellStyle name="Hyperlink" xfId="2883" builtinId="8" hidden="1"/>
    <cellStyle name="Hyperlink" xfId="190" builtinId="8" hidden="1"/>
    <cellStyle name="Hyperlink" xfId="1621" builtinId="8" hidden="1"/>
    <cellStyle name="Hyperlink" xfId="1097" builtinId="8" hidden="1"/>
    <cellStyle name="Hyperlink" xfId="3741" builtinId="8" hidden="1"/>
    <cellStyle name="Hyperlink" xfId="2885" builtinId="8" hidden="1"/>
    <cellStyle name="Hyperlink" xfId="168" builtinId="8" hidden="1"/>
    <cellStyle name="Hyperlink" xfId="24" builtinId="8" hidden="1"/>
    <cellStyle name="Hyperlink" xfId="2289" builtinId="8" hidden="1"/>
    <cellStyle name="Hyperlink" xfId="100" builtinId="8" hidden="1"/>
    <cellStyle name="Hyperlink" xfId="2191" builtinId="8" hidden="1"/>
    <cellStyle name="Hyperlink" xfId="2173" builtinId="8" hidden="1"/>
    <cellStyle name="Hyperlink" xfId="3585" builtinId="8" hidden="1"/>
    <cellStyle name="Hyperlink" xfId="2661" builtinId="8" hidden="1"/>
    <cellStyle name="Hyperlink" xfId="1431" builtinId="8" hidden="1"/>
    <cellStyle name="Hyperlink" xfId="1551" builtinId="8" hidden="1"/>
    <cellStyle name="Hyperlink" xfId="2683" builtinId="8" hidden="1"/>
    <cellStyle name="Hyperlink" xfId="1723" builtinId="8" hidden="1"/>
    <cellStyle name="Hyperlink" xfId="1971" builtinId="8" hidden="1"/>
    <cellStyle name="Hyperlink" xfId="2937" builtinId="8" hidden="1"/>
    <cellStyle name="Hyperlink" xfId="2717" builtinId="8" hidden="1"/>
    <cellStyle name="Hyperlink" xfId="1831" builtinId="8" hidden="1"/>
    <cellStyle name="Hyperlink" xfId="619" builtinId="8" hidden="1"/>
    <cellStyle name="Hyperlink" xfId="3719" builtinId="8" hidden="1"/>
    <cellStyle name="Hyperlink" xfId="2849" builtinId="8" hidden="1"/>
    <cellStyle name="Hyperlink" xfId="887" builtinId="8" hidden="1"/>
    <cellStyle name="Hyperlink" xfId="2975" builtinId="8" hidden="1"/>
    <cellStyle name="Hyperlink" xfId="1219" builtinId="8" hidden="1"/>
    <cellStyle name="Hyperlink" xfId="3545" builtinId="8" hidden="1"/>
    <cellStyle name="Hyperlink" xfId="3165" builtinId="8" hidden="1"/>
    <cellStyle name="Hyperlink" xfId="2411" builtinId="8" hidden="1"/>
    <cellStyle name="Hyperlink" xfId="218" builtinId="8" hidden="1"/>
    <cellStyle name="Hyperlink" xfId="631" builtinId="8" hidden="1"/>
    <cellStyle name="Hyperlink" xfId="3765" builtinId="8" hidden="1"/>
    <cellStyle name="Hyperlink" xfId="3673" builtinId="8" hidden="1"/>
    <cellStyle name="Hyperlink" xfId="3229" builtinId="8" hidden="1"/>
    <cellStyle name="Hyperlink" xfId="587" builtinId="8" hidden="1"/>
    <cellStyle name="Hyperlink" xfId="2581" builtinId="8" hidden="1"/>
    <cellStyle name="Hyperlink" xfId="78" builtinId="8" hidden="1"/>
    <cellStyle name="Hyperlink" xfId="2931" builtinId="8" hidden="1"/>
    <cellStyle name="Hyperlink" xfId="2427" builtinId="8" hidden="1"/>
    <cellStyle name="Hyperlink" xfId="2943" builtinId="8" hidden="1"/>
    <cellStyle name="Hyperlink" xfId="3703" builtinId="8" hidden="1"/>
    <cellStyle name="Hyperlink" xfId="345" builtinId="8" hidden="1"/>
    <cellStyle name="Hyperlink" xfId="2217" builtinId="8" hidden="1"/>
    <cellStyle name="Hyperlink" xfId="2491" builtinId="8" hidden="1"/>
    <cellStyle name="Hyperlink" xfId="1553" builtinId="8" hidden="1"/>
    <cellStyle name="Hyperlink" xfId="861" builtinId="8" hidden="1"/>
    <cellStyle name="Hyperlink" xfId="1833" builtinId="8" hidden="1"/>
    <cellStyle name="Hyperlink" xfId="3511" builtinId="8" hidden="1"/>
    <cellStyle name="Hyperlink" xfId="2707" builtinId="8" hidden="1"/>
    <cellStyle name="Hyperlink" xfId="1129" builtinId="8" hidden="1"/>
    <cellStyle name="Hyperlink" xfId="3167" builtinId="8" hidden="1"/>
    <cellStyle name="Hyperlink" xfId="2407" builtinId="8" hidden="1"/>
    <cellStyle name="Hyperlink" xfId="2805" builtinId="8" hidden="1"/>
    <cellStyle name="Hyperlink" xfId="349" builtinId="8" hidden="1"/>
    <cellStyle name="Hyperlink" xfId="3727" builtinId="8" hidden="1"/>
    <cellStyle name="Hyperlink" xfId="2027" builtinId="8" hidden="1"/>
    <cellStyle name="Hyperlink" xfId="1979" builtinId="8" hidden="1"/>
    <cellStyle name="Hyperlink" xfId="3029" builtinId="8" hidden="1"/>
    <cellStyle name="Hyperlink" xfId="951" builtinId="8" hidden="1"/>
    <cellStyle name="Hyperlink" xfId="1585" builtinId="8" hidden="1"/>
    <cellStyle name="Hyperlink" xfId="1375" builtinId="8" hidden="1"/>
    <cellStyle name="Hyperlink" xfId="118" builtinId="8" hidden="1"/>
    <cellStyle name="Hyperlink" xfId="725" builtinId="8" hidden="1"/>
    <cellStyle name="Hyperlink" xfId="2673" builtinId="8" hidden="1"/>
    <cellStyle name="Hyperlink" xfId="60" builtinId="8" hidden="1"/>
    <cellStyle name="Hyperlink" xfId="1783" builtinId="8" hidden="1"/>
    <cellStyle name="Hyperlink" xfId="803" builtinId="8" hidden="1"/>
    <cellStyle name="Hyperlink" xfId="2751" builtinId="8" hidden="1"/>
    <cellStyle name="Hyperlink" xfId="997" builtinId="8" hidden="1"/>
    <cellStyle name="Hyperlink" xfId="2287" builtinId="8" hidden="1"/>
    <cellStyle name="Hyperlink" xfId="1861" builtinId="8" hidden="1"/>
    <cellStyle name="Hyperlink" xfId="1433" builtinId="8" hidden="1"/>
    <cellStyle name="Hyperlink" xfId="231" builtinId="8" hidden="1"/>
    <cellStyle name="Hyperlink" xfId="56" builtinId="8" hidden="1"/>
    <cellStyle name="Hyperlink" xfId="3453" builtinId="8" hidden="1"/>
    <cellStyle name="Hyperlink" xfId="3591" builtinId="8" hidden="1"/>
    <cellStyle name="Hyperlink" xfId="937" builtinId="8" hidden="1"/>
    <cellStyle name="Hyperlink" xfId="3257" builtinId="8" hidden="1"/>
    <cellStyle name="Hyperlink" xfId="1105" builtinId="8" hidden="1"/>
    <cellStyle name="Hyperlink" xfId="1605" builtinId="8" hidden="1"/>
    <cellStyle name="Hyperlink" xfId="1409" builtinId="8" hidden="1"/>
    <cellStyle name="Hyperlink" xfId="2273" builtinId="8" hidden="1"/>
    <cellStyle name="Hyperlink" xfId="1635" builtinId="8" hidden="1"/>
    <cellStyle name="Hyperlink" xfId="849" builtinId="8" hidden="1"/>
    <cellStyle name="Hyperlink" xfId="2817" builtinId="8" hidden="1"/>
    <cellStyle name="Hyperlink" xfId="1603" builtinId="8" hidden="1"/>
    <cellStyle name="Hyperlink" xfId="2719" builtinId="8" hidden="1"/>
    <cellStyle name="Hyperlink" xfId="1175" builtinId="8" hidden="1"/>
    <cellStyle name="Hyperlink" xfId="2179" builtinId="8" hidden="1"/>
    <cellStyle name="Hyperlink" xfId="1863" builtinId="8" hidden="1"/>
    <cellStyle name="Hyperlink" xfId="2677" builtinId="8" hidden="1"/>
    <cellStyle name="Hyperlink" xfId="721" builtinId="8" hidden="1"/>
    <cellStyle name="Hyperlink" xfId="1111" builtinId="8" hidden="1"/>
    <cellStyle name="Hyperlink" xfId="3099" builtinId="8" hidden="1"/>
    <cellStyle name="Hyperlink" xfId="2829" builtinId="8" hidden="1"/>
    <cellStyle name="Hyperlink" xfId="2303" builtinId="8" hidden="1"/>
    <cellStyle name="Hyperlink" xfId="2631" builtinId="8" hidden="1"/>
    <cellStyle name="Hyperlink" xfId="2417" builtinId="8" hidden="1"/>
    <cellStyle name="Hyperlink" xfId="1943" builtinId="8" hidden="1"/>
    <cellStyle name="Hyperlink" xfId="2397" builtinId="8" hidden="1"/>
    <cellStyle name="Hyperlink" xfId="2311" builtinId="8" hidden="1"/>
    <cellStyle name="Hyperlink" xfId="465" builtinId="8" hidden="1"/>
    <cellStyle name="Hyperlink" xfId="1945" builtinId="8" hidden="1"/>
    <cellStyle name="Hyperlink" xfId="2925" builtinId="8" hidden="1"/>
    <cellStyle name="Hyperlink" xfId="3173" builtinId="8" hidden="1"/>
    <cellStyle name="Hyperlink" xfId="48" builtinId="8" hidden="1"/>
    <cellStyle name="Hyperlink" xfId="361" builtinId="8" hidden="1"/>
    <cellStyle name="Hyperlink" xfId="2387" builtinId="8" hidden="1"/>
    <cellStyle name="Hyperlink" xfId="1579" builtinId="8" hidden="1"/>
    <cellStyle name="Hyperlink" xfId="64" builtinId="8" hidden="1"/>
    <cellStyle name="Hyperlink" xfId="3211" builtinId="8" hidden="1"/>
    <cellStyle name="Hyperlink" xfId="753" builtinId="8" hidden="1"/>
    <cellStyle name="Hyperlink" xfId="1821" builtinId="8" hidden="1"/>
    <cellStyle name="Hyperlink" xfId="969" builtinId="8" hidden="1"/>
    <cellStyle name="Hyperlink" xfId="491" builtinId="8" hidden="1"/>
    <cellStyle name="Hyperlink" xfId="2771" builtinId="8" hidden="1"/>
    <cellStyle name="Hyperlink" xfId="3041" builtinId="8" hidden="1"/>
    <cellStyle name="Hyperlink" xfId="50" builtinId="8" hidden="1"/>
    <cellStyle name="Hyperlink" xfId="1923" builtinId="8" hidden="1"/>
    <cellStyle name="Hyperlink" xfId="685" builtinId="8" hidden="1"/>
    <cellStyle name="Hyperlink" xfId="1455" builtinId="8" hidden="1"/>
    <cellStyle name="Hyperlink" xfId="1133" builtinId="8" hidden="1"/>
    <cellStyle name="Hyperlink" xfId="2207" builtinId="8" hidden="1"/>
    <cellStyle name="Hyperlink" xfId="26" builtinId="8" hidden="1"/>
    <cellStyle name="Hyperlink" xfId="1839" builtinId="8" hidden="1"/>
    <cellStyle name="Hyperlink" xfId="609" builtinId="8" hidden="1"/>
    <cellStyle name="Hyperlink" xfId="585" builtinId="8" hidden="1"/>
    <cellStyle name="Hyperlink" xfId="1737" builtinId="8" hidden="1"/>
    <cellStyle name="Hyperlink" xfId="1199" builtinId="8" hidden="1"/>
    <cellStyle name="Hyperlink" xfId="273" builtinId="8" hidden="1"/>
    <cellStyle name="Hyperlink" xfId="3393" builtinId="8" hidden="1"/>
    <cellStyle name="Hyperlink" xfId="3615" builtinId="8" hidden="1"/>
    <cellStyle name="Hyperlink" xfId="2977" builtinId="8" hidden="1"/>
    <cellStyle name="Hyperlink" xfId="1753" builtinId="8" hidden="1"/>
    <cellStyle name="Hyperlink" xfId="483" builtinId="8" hidden="1"/>
    <cellStyle name="Hyperlink" xfId="2211" builtinId="8" hidden="1"/>
    <cellStyle name="Hyperlink" xfId="3715" builtinId="8" hidden="1"/>
    <cellStyle name="Hyperlink" xfId="505" builtinId="8" hidden="1"/>
    <cellStyle name="Hyperlink" xfId="1793" builtinId="8" hidden="1"/>
    <cellStyle name="Hyperlink" xfId="2051" builtinId="8" hidden="1"/>
    <cellStyle name="Hyperlink" xfId="3547" builtinId="8" hidden="1"/>
    <cellStyle name="Hyperlink" xfId="3691" builtinId="8" hidden="1"/>
    <cellStyle name="Hyperlink" xfId="126" builtinId="8" hidden="1"/>
    <cellStyle name="Hyperlink" xfId="3407" builtinId="8" hidden="1"/>
    <cellStyle name="Hyperlink" xfId="2721" builtinId="8" hidden="1"/>
    <cellStyle name="Hyperlink" xfId="1087" builtinId="8" hidden="1"/>
    <cellStyle name="Hyperlink" xfId="1775" builtinId="8" hidden="1"/>
    <cellStyle name="Hyperlink" xfId="565" builtinId="8" hidden="1"/>
    <cellStyle name="Hyperlink" xfId="495" builtinId="8" hidden="1"/>
    <cellStyle name="Hyperlink" xfId="2669" builtinId="8" hidden="1"/>
    <cellStyle name="Hyperlink" xfId="1043" builtinId="8" hidden="1"/>
    <cellStyle name="Hyperlink" xfId="795" builtinId="8" hidden="1"/>
    <cellStyle name="Hyperlink" xfId="2933" builtinId="8" hidden="1"/>
    <cellStyle name="Hyperlink" xfId="479" builtinId="8" hidden="1"/>
    <cellStyle name="Hyperlink" xfId="3431" builtinId="8" hidden="1"/>
    <cellStyle name="Hyperlink" xfId="3475" builtinId="8" hidden="1"/>
    <cellStyle name="Hyperlink" xfId="571" builtinId="8" hidden="1"/>
    <cellStyle name="Hyperlink" xfId="2319" builtinId="8" hidden="1"/>
    <cellStyle name="Hyperlink" xfId="305" builtinId="8" hidden="1"/>
    <cellStyle name="Hyperlink" xfId="1597" builtinId="8" hidden="1"/>
    <cellStyle name="Hyperlink" xfId="3445" builtinId="8" hidden="1"/>
    <cellStyle name="Hyperlink" xfId="1403" builtinId="8" hidden="1"/>
    <cellStyle name="Hyperlink" xfId="1715" builtinId="8" hidden="1"/>
    <cellStyle name="Hyperlink" xfId="1299" builtinId="8" hidden="1"/>
    <cellStyle name="Hyperlink" xfId="515" builtinId="8" hidden="1"/>
    <cellStyle name="Hyperlink" xfId="2741" builtinId="8" hidden="1"/>
    <cellStyle name="Hyperlink" xfId="1415" builtinId="8" hidden="1"/>
    <cellStyle name="Hyperlink" xfId="3515" builtinId="8" hidden="1"/>
    <cellStyle name="Hyperlink" xfId="2101" builtinId="8" hidden="1"/>
    <cellStyle name="Hyperlink" xfId="3525" builtinId="8" hidden="1"/>
    <cellStyle name="Hyperlink" xfId="683" builtinId="8" hidden="1"/>
    <cellStyle name="Hyperlink" xfId="1463" builtinId="8" hidden="1"/>
    <cellStyle name="Hyperlink" xfId="2711" builtinId="8" hidden="1"/>
    <cellStyle name="Hyperlink" xfId="2149" builtinId="8" hidden="1"/>
    <cellStyle name="Hyperlink" xfId="2139" builtinId="8" hidden="1"/>
    <cellStyle name="Hyperlink" xfId="2285" builtinId="8" hidden="1"/>
    <cellStyle name="Hyperlink" xfId="949" builtinId="8" hidden="1"/>
    <cellStyle name="Hyperlink" xfId="287" builtinId="8" hidden="1"/>
    <cellStyle name="Hyperlink" xfId="3641" builtinId="8" hidden="1"/>
    <cellStyle name="Hyperlink" xfId="2039" builtinId="8" hidden="1"/>
    <cellStyle name="Hyperlink" xfId="2323" builtinId="8" hidden="1"/>
    <cellStyle name="Hyperlink" xfId="1253" builtinId="8" hidden="1"/>
    <cellStyle name="Hyperlink" xfId="1379" builtinId="8" hidden="1"/>
    <cellStyle name="Hyperlink" xfId="32" builtinId="8" hidden="1"/>
    <cellStyle name="Hyperlink" xfId="2261" builtinId="8" hidden="1"/>
    <cellStyle name="Hyperlink" xfId="3749" builtinId="8" hidden="1"/>
    <cellStyle name="Hyperlink" xfId="1559" builtinId="8" hidden="1"/>
    <cellStyle name="Hyperlink" xfId="2197" builtinId="8" hidden="1"/>
    <cellStyle name="Hyperlink" xfId="2627" builtinId="8" hidden="1"/>
    <cellStyle name="Hyperlink" xfId="2575" builtinId="8" hidden="1"/>
    <cellStyle name="Hyperlink" xfId="987" builtinId="8" hidden="1"/>
    <cellStyle name="Hyperlink" xfId="1301" builtinId="8" hidden="1"/>
    <cellStyle name="Hyperlink" xfId="1799" builtinId="8" hidden="1"/>
    <cellStyle name="Hyperlink" xfId="2373" builtinId="8" hidden="1"/>
    <cellStyle name="Hyperlink" xfId="3047" builtinId="8" hidden="1"/>
    <cellStyle name="Hyperlink" xfId="447" builtinId="8" hidden="1"/>
    <cellStyle name="Hyperlink" xfId="1641" builtinId="8" hidden="1"/>
    <cellStyle name="Hyperlink" xfId="1247" builtinId="8" hidden="1"/>
    <cellStyle name="Hyperlink" xfId="3399" builtinId="8" hidden="1"/>
    <cellStyle name="Hyperlink" xfId="381" builtinId="8" hidden="1"/>
    <cellStyle name="Hyperlink" xfId="1295" builtinId="8" hidden="1"/>
    <cellStyle name="Hyperlink" xfId="3361" builtinId="8" hidden="1"/>
    <cellStyle name="Hyperlink" xfId="2077" builtinId="8" hidden="1"/>
    <cellStyle name="Hyperlink" xfId="3489" builtinId="8" hidden="1"/>
    <cellStyle name="Hyperlink" xfId="2671" builtinId="8" hidden="1"/>
    <cellStyle name="Hyperlink" xfId="3341" builtinId="8" hidden="1"/>
    <cellStyle name="Hyperlink" xfId="3521" builtinId="8" hidden="1"/>
    <cellStyle name="Hyperlink" xfId="2419" builtinId="8" hidden="1"/>
    <cellStyle name="Hyperlink" xfId="3241" builtinId="8" hidden="1"/>
    <cellStyle name="Hyperlink" xfId="1909" builtinId="8" hidden="1"/>
    <cellStyle name="Hyperlink" xfId="2021" builtinId="8" hidden="1"/>
    <cellStyle name="Hyperlink" xfId="2715" builtinId="8" hidden="1"/>
    <cellStyle name="Hyperlink" xfId="2555" builtinId="8" hidden="1"/>
    <cellStyle name="Hyperlink" xfId="729" builtinId="8" hidden="1"/>
    <cellStyle name="Hyperlink" xfId="1965" builtinId="8" hidden="1"/>
    <cellStyle name="Hyperlink" xfId="419" builtinId="8" hidden="1"/>
    <cellStyle name="Hyperlink" xfId="3221" builtinId="8" hidden="1"/>
    <cellStyle name="Hyperlink" xfId="3419" builtinId="8" hidden="1"/>
    <cellStyle name="Hyperlink" xfId="591" builtinId="8" hidden="1"/>
    <cellStyle name="Hyperlink" xfId="1905" builtinId="8" hidden="1"/>
    <cellStyle name="Hyperlink" xfId="1033" builtinId="8" hidden="1"/>
    <cellStyle name="Hyperlink" xfId="635" builtinId="8" hidden="1"/>
    <cellStyle name="Hyperlink" xfId="1759" builtinId="8" hidden="1"/>
    <cellStyle name="Hyperlink" xfId="2561" builtinId="8" hidden="1"/>
    <cellStyle name="Hyperlink" xfId="2701" builtinId="8" hidden="1"/>
    <cellStyle name="Hyperlink" xfId="2081" builtinId="8" hidden="1"/>
    <cellStyle name="Hyperlink" xfId="2889" builtinId="8" hidden="1"/>
    <cellStyle name="Hyperlink" xfId="1307" builtinId="8" hidden="1"/>
    <cellStyle name="Hyperlink" xfId="2629" builtinId="8" hidden="1"/>
    <cellStyle name="Hyperlink" xfId="2015" builtinId="8" hidden="1"/>
    <cellStyle name="Hyperlink" xfId="2127" builtinId="8" hidden="1"/>
    <cellStyle name="Hyperlink" xfId="239" builtinId="8" hidden="1"/>
    <cellStyle name="Hyperlink" xfId="1623" builtinId="8" hidden="1"/>
    <cellStyle name="Hyperlink" xfId="415" builtinId="8" hidden="1"/>
    <cellStyle name="Hyperlink" xfId="2429" builtinId="8" hidden="1"/>
    <cellStyle name="Hyperlink" xfId="1089" builtinId="8" hidden="1"/>
    <cellStyle name="Hyperlink" xfId="3707" builtinId="8" hidden="1"/>
    <cellStyle name="Hyperlink" xfId="2907" builtinId="8" hidden="1"/>
    <cellStyle name="Hyperlink" xfId="615" builtinId="8" hidden="1"/>
    <cellStyle name="Hyperlink" xfId="1279" builtinId="8" hidden="1"/>
    <cellStyle name="Hyperlink" xfId="417" builtinId="8" hidden="1"/>
    <cellStyle name="Hyperlink" xfId="2295" builtinId="8" hidden="1"/>
    <cellStyle name="Hyperlink" xfId="2645" builtinId="8" hidden="1"/>
    <cellStyle name="Hyperlink" xfId="429" builtinId="8" hidden="1"/>
    <cellStyle name="Hyperlink" xfId="2813" builtinId="8" hidden="1"/>
    <cellStyle name="Hyperlink" xfId="1987" builtinId="8" hidden="1"/>
    <cellStyle name="Hyperlink" xfId="541" builtinId="8" hidden="1"/>
    <cellStyle name="Hyperlink" xfId="3415" builtinId="8" hidden="1"/>
    <cellStyle name="Hyperlink" xfId="1523" builtinId="8" hidden="1"/>
    <cellStyle name="Hyperlink" xfId="289" builtinId="8" hidden="1"/>
    <cellStyle name="Hyperlink" xfId="261" builtinId="8" hidden="1"/>
    <cellStyle name="Hyperlink" xfId="1977" builtinId="8" hidden="1"/>
    <cellStyle name="Hyperlink" xfId="925" builtinId="8" hidden="1"/>
    <cellStyle name="Hyperlink" xfId="297" builtinId="8" hidden="1"/>
    <cellStyle name="Hyperlink" xfId="783" builtinId="8" hidden="1"/>
    <cellStyle name="Hyperlink" xfId="593" builtinId="8" hidden="1"/>
    <cellStyle name="Hyperlink" xfId="2801" builtinId="8" hidden="1"/>
    <cellStyle name="Hyperlink" xfId="1229" builtinId="8" hidden="1"/>
    <cellStyle name="Hyperlink" xfId="3073" builtinId="8" hidden="1"/>
    <cellStyle name="Hyperlink" xfId="247" builtinId="8" hidden="1"/>
    <cellStyle name="Hyperlink" xfId="3447" builtinId="8" hidden="1"/>
    <cellStyle name="Hyperlink" xfId="3233" builtinId="8" hidden="1"/>
    <cellStyle name="Hyperlink" xfId="152" builtinId="8" hidden="1"/>
    <cellStyle name="Hyperlink" xfId="1755" builtinId="8" hidden="1"/>
    <cellStyle name="Hyperlink" xfId="1893" builtinId="8" hidden="1"/>
    <cellStyle name="Hyperlink" xfId="1859" builtinId="8" hidden="1"/>
    <cellStyle name="Hyperlink" xfId="1263" builtinId="8" hidden="1"/>
    <cellStyle name="Hyperlink" xfId="2775" builtinId="8" hidden="1"/>
    <cellStyle name="Hyperlink" xfId="835" builtinId="8" hidden="1"/>
    <cellStyle name="Hyperlink" xfId="661" builtinId="8" hidden="1"/>
    <cellStyle name="Hyperlink" xfId="2767" builtinId="8" hidden="1"/>
    <cellStyle name="Hyperlink" xfId="1449" builtinId="8" hidden="1"/>
    <cellStyle name="Hyperlink" xfId="144" builtinId="8" hidden="1"/>
    <cellStyle name="Hyperlink" xfId="2145" builtinId="8" hidden="1"/>
    <cellStyle name="Hyperlink" xfId="1613" builtinId="8" hidden="1"/>
    <cellStyle name="Hyperlink" xfId="547" builtinId="8" hidden="1"/>
    <cellStyle name="Hyperlink" xfId="427" builtinId="8" hidden="1"/>
    <cellStyle name="Hyperlink" xfId="1439" builtinId="8" hidden="1"/>
    <cellStyle name="Hyperlink" xfId="985" builtinId="8" hidden="1"/>
    <cellStyle name="Hyperlink" xfId="3291" builtinId="8" hidden="1"/>
    <cellStyle name="Hyperlink" xfId="1225" builtinId="8" hidden="1"/>
    <cellStyle name="Hyperlink" xfId="1235" builtinId="8" hidden="1"/>
    <cellStyle name="Hyperlink" xfId="1507" builtinId="8" hidden="1"/>
    <cellStyle name="Hyperlink" xfId="1359" builtinId="8" hidden="1"/>
    <cellStyle name="Hyperlink" xfId="3189" builtinId="8" hidden="1"/>
    <cellStyle name="Hyperlink" xfId="3397" builtinId="8" hidden="1"/>
    <cellStyle name="Hyperlink" xfId="2053" builtinId="8" hidden="1"/>
    <cellStyle name="Hyperlink" xfId="2475" builtinId="8" hidden="1"/>
    <cellStyle name="Hyperlink" xfId="3271" builtinId="8" hidden="1"/>
    <cellStyle name="Hyperlink" xfId="3681" builtinId="8" hidden="1"/>
    <cellStyle name="Hyperlink" xfId="2837" builtinId="8" hidden="1"/>
    <cellStyle name="Hyperlink" xfId="3387" builtinId="8" hidden="1"/>
    <cellStyle name="Hyperlink" xfId="3519" builtinId="8" hidden="1"/>
    <cellStyle name="Hyperlink" xfId="1185" builtinId="8" hidden="1"/>
    <cellStyle name="Hyperlink" xfId="1357" builtinId="8" hidden="1"/>
    <cellStyle name="Hyperlink" xfId="1109" builtinId="8" hidden="1"/>
    <cellStyle name="Hyperlink" xfId="174" builtinId="8" hidden="1"/>
    <cellStyle name="Hyperlink" xfId="1005" builtinId="8" hidden="1"/>
    <cellStyle name="Hyperlink" xfId="1141" builtinId="8" hidden="1"/>
    <cellStyle name="Hyperlink" xfId="1565" builtinId="8" hidden="1"/>
    <cellStyle name="Hyperlink" xfId="3433" builtinId="8" hidden="1"/>
    <cellStyle name="Hyperlink" xfId="3123" builtinId="8" hidden="1"/>
    <cellStyle name="Hyperlink" xfId="2611" builtinId="8" hidden="1"/>
    <cellStyle name="Hyperlink" xfId="527" builtinId="8" hidden="1"/>
    <cellStyle name="Hyperlink" xfId="799" builtinId="8" hidden="1"/>
    <cellStyle name="Hyperlink" xfId="3743" builtinId="8" hidden="1"/>
    <cellStyle name="Hyperlink" xfId="102" builtinId="8" hidden="1"/>
    <cellStyle name="Hyperlink" xfId="3403" builtinId="8" hidden="1"/>
    <cellStyle name="Hyperlink" xfId="3191" builtinId="8" hidden="1"/>
    <cellStyle name="Hyperlink" xfId="875" builtinId="8" hidden="1"/>
    <cellStyle name="Hyperlink" xfId="1593" builtinId="8" hidden="1"/>
    <cellStyle name="Hyperlink" xfId="451" builtinId="8" hidden="1"/>
    <cellStyle name="Hyperlink" xfId="3663" builtinId="8" hidden="1"/>
    <cellStyle name="Hyperlink" xfId="158" builtinId="8" hidden="1"/>
    <cellStyle name="Hyperlink" xfId="3473" builtinId="8" hidden="1"/>
    <cellStyle name="Hyperlink" xfId="3061" builtinId="8" hidden="1"/>
    <cellStyle name="Hyperlink" xfId="889" builtinId="8" hidden="1"/>
    <cellStyle name="Hyperlink" xfId="2577" builtinId="8" hidden="1"/>
    <cellStyle name="Hyperlink" xfId="2047" builtinId="8" hidden="1"/>
    <cellStyle name="Hyperlink" xfId="477" builtinId="8" hidden="1"/>
    <cellStyle name="Hyperlink" xfId="2293" builtinId="8" hidden="1"/>
    <cellStyle name="Hyperlink" xfId="1397" builtinId="8" hidden="1"/>
    <cellStyle name="Hyperlink" xfId="3369" builtinId="8" hidden="1"/>
    <cellStyle name="Hyperlink" xfId="2859" builtinId="8" hidden="1"/>
    <cellStyle name="Hyperlink" xfId="2055" builtinId="8" hidden="1"/>
    <cellStyle name="Hyperlink" xfId="3277" builtinId="8" hidden="1"/>
    <cellStyle name="Hyperlink" xfId="3181" builtinId="8" hidden="1"/>
    <cellStyle name="Hyperlink" xfId="389" builtinId="8" hidden="1"/>
    <cellStyle name="Hyperlink" xfId="537" builtinId="8" hidden="1"/>
    <cellStyle name="Hyperlink" xfId="613" builtinId="8" hidden="1"/>
    <cellStyle name="Hyperlink" xfId="3655" builtinId="8" hidden="1"/>
    <cellStyle name="Hyperlink" xfId="1735" builtinId="8" hidden="1"/>
    <cellStyle name="Hyperlink" xfId="3385" builtinId="8" hidden="1"/>
    <cellStyle name="Hyperlink" xfId="3259" builtinId="8" hidden="1"/>
    <cellStyle name="Hyperlink" xfId="2381" builtinId="8" hidden="1"/>
    <cellStyle name="Hyperlink" xfId="1541" builtinId="8" hidden="1"/>
    <cellStyle name="Hyperlink" xfId="1261" builtinId="8" hidden="1"/>
    <cellStyle name="Hyperlink" xfId="3775" builtinId="8"/>
    <cellStyle name="Normal" xfId="0" builtinId="0"/>
    <cellStyle name="Normal 2" xfId="603" xr:uid="{00000000-0005-0000-0000-0000B40E0000}"/>
    <cellStyle name="Normal 3" xfId="737" xr:uid="{00000000-0005-0000-0000-0000B50E0000}"/>
    <cellStyle name="Normal 4" xfId="3770" xr:uid="{5044CF72-F5D6-1C41-8610-37850425A91F}"/>
    <cellStyle name="Normal 5" xfId="3773" xr:uid="{7F370E5D-3C4B-CF41-AC0A-BCE219161C91}"/>
    <cellStyle name="Percent" xfId="3769" builtinId="5"/>
    <cellStyle name="Percent 2" xfId="3772" xr:uid="{900D3152-8440-3146-BA0E-64A90B43BA56}"/>
    <cellStyle name="Percent 3" xfId="3774" xr:uid="{99E63A3D-159F-FA44-B9C8-6669DA0F004A}"/>
    <cellStyle name="Style 1" xfId="221" xr:uid="{00000000-0005-0000-0000-0000B60E0000}"/>
    <cellStyle name="Style 2" xfId="220" xr:uid="{00000000-0005-0000-0000-0000B70E0000}"/>
    <cellStyle name="Style 3" xfId="222" xr:uid="{00000000-0005-0000-0000-0000B80E0000}"/>
  </cellStyles>
  <dxfs count="9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ajor"/>
      </font>
      <fill>
        <patternFill patternType="solid">
          <fgColor indexed="64"/>
          <bgColor rgb="FF000090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alignment horizontal="center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7" tint="0.79998168889431442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8" formatCode="_(* #,##0_);_(* \(#,##0\);_(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theme="8" tint="0.5999938962981048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rgb="FFCC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rgb="FFCCFFCC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_(&quot;$&quot;* #,##0_);_(&quot;$&quot;* \(#,##0\);_(&quot;$&quot;* &quot;-&quot;??_);_(@_)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/>
      </fill>
      <alignment horizontal="general" textRotation="0" wrapText="0" justifyLastLine="0" shrinkToFit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scheme val="minor"/>
      </font>
      <fill>
        <patternFill patternType="none"/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ajor"/>
      </font>
      <fill>
        <patternFill patternType="solid">
          <fgColor indexed="64"/>
          <bgColor rgb="FF000090"/>
        </patternFill>
      </fill>
      <alignment horizontal="center" vertical="bottom" textRotation="0" wrapText="0" indent="0" justifyLastLine="0" shrinkToFit="0" readingOrder="0"/>
    </dxf>
  </dxfs>
  <tableStyles count="0" defaultTableStyle="TableStyleMedium9" defaultPivotStyle="PivotStyleMedium4"/>
  <colors>
    <mruColors>
      <color rgb="FF0043E5"/>
      <color rgb="FF2649E4"/>
      <color rgb="FF005CE5"/>
      <color rgb="FF007CD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1143668</xdr:colOff>
      <xdr:row>3</xdr:row>
      <xdr:rowOff>52754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FA8439-BCF7-BF4D-989B-5394B61CF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143000" cy="6623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tiffanyfoster1/Dropbox%20(GENERALPUBLIC)/The%20Factory/Costs/Photography%20SKU%20Master%20V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ERIALS"/>
    </sheetNames>
    <sheetDataSet>
      <sheetData sheetId="0" refreshError="1"/>
    </sheetDataSet>
  </externalBook>
</externalLink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CB2" id="{9D224372-FE86-9548-AF6E-B5A57742A329}">
    <nsvFilter filterId="{00000000-000C-0000-FFFF-FFFF00000000}" ref="A1:AU2592" tableId="1">
      <columnFilter colId="0" id="{00000000-0010-0000-0000-000001000000}">
        <filter colId="0">
          <x:filters>
            <x:filter val="CB2"/>
          </x:filters>
        </filter>
      </columnFilter>
      <sortRules>
        <sortRule colId="4" id="{00000000-0010-0000-0000-000005000000}">
          <sortCondition ref="E1:E2592"/>
        </sortRule>
      </sortRules>
    </nsvFilter>
  </namedSheetView>
  <namedSheetView name="RH" id="{A695FB5C-B3C8-5542-94DC-B7E9A47AFE0F}">
    <nsvFilter filterId="{00000000-000C-0000-FFFF-FFFF00000000}" ref="A1:AU2592" tableId="1">
      <columnFilter colId="0" id="{00000000-0010-0000-0000-000001000000}">
        <filter colId="0">
          <x:filters>
            <x:filter val="RH"/>
          </x:filters>
        </filter>
      </columnFilter>
      <columnFilter colId="4" id="{00000000-0010-0000-0000-000005000000}">
        <filter colId="4">
          <x:filters>
            <x:filter val="NAPKIN SKETCHES I 36X48"/>
            <x:filter val="NAPKIN SKETCHES I 56X74"/>
            <x:filter val="NAPKIN SKETCHES II 48X48"/>
            <x:filter val="NAPKIN SKETCHES III 60X48"/>
            <x:filter val="NAPKIN SKETCHES V 60X48"/>
          </x:filters>
        </filter>
      </columnFilter>
      <sortRules>
        <sortRule colId="4" id="{00000000-0010-0000-0000-000005000000}">
          <sortCondition ref="E1:E2592"/>
        </sortRule>
      </sortRules>
    </nsvFilter>
  </namedSheetView>
</namedSheetViews>
</file>

<file path=xl/persons/person.xml><?xml version="1.0" encoding="utf-8"?>
<personList xmlns="http://schemas.microsoft.com/office/spreadsheetml/2018/threadedcomments" xmlns:x="http://schemas.openxmlformats.org/spreadsheetml/2006/main">
  <person displayName="Michael Cooke" id="{67EAC0EE-137C-6544-9B37-B97CF5FD8B96}" userId="S::MichaelCooke@generalpublic.art::bed7dcb7-626f-4fd6-aff3-164421bf947f" providerId="AD"/>
  <person displayName="Michael Cooke" id="{FE8C69F7-84F5-1046-8F83-9B09D29F64C9}" userId="S::michaelcooke@generalpublic.art::bed7dcb7-626f-4fd6-aff3-164421bf947f" providerId="AD"/>
  <person displayName="Tiffany Foster" id="{D6E70C1C-7BA2-E147-805D-ECD562C1D0B5}" userId="S::tiffanyfoster@generalpublic.art::cc41391c-acf0-4cb9-80d6-57a2b075976a" providerId="AD"/>
  <person displayName="Guest User" id="{EF3294F0-BB3D-4001-BCB0-28238AEA2825}" userId="S::urn:spo:anon#4c5db4bfaab6cbb46a78591802397a115ea58f5f7d5a96b4c5ea87cc7c8b5c9b::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AU2592" totalsRowShown="0" headerRowDxfId="93" dataDxfId="92">
  <autoFilter ref="A1:AU2592" xr:uid="{00000000-000C-0000-FFFF-FFFF00000000}">
    <filterColumn colId="0">
      <filters>
        <filter val="RH"/>
        <filter val="RHC"/>
      </filters>
    </filterColumn>
  </autoFilter>
  <sortState xmlns:xlrd2="http://schemas.microsoft.com/office/spreadsheetml/2017/richdata2" ref="A2:AU2592">
    <sortCondition ref="E1:E2592"/>
  </sortState>
  <tableColumns count="47">
    <tableColumn id="1" xr3:uid="{00000000-0010-0000-0000-000001000000}" name="Customer" dataDxfId="91" totalsRowDxfId="90"/>
    <tableColumn id="2" xr3:uid="{00000000-0010-0000-0000-000002000000}" name="Collection" dataDxfId="89" totalsRowDxfId="88"/>
    <tableColumn id="3" xr3:uid="{00000000-0010-0000-0000-000003000000}" name="INVENTORY ID" dataDxfId="87" totalsRowDxfId="86"/>
    <tableColumn id="4" xr3:uid="{00000000-0010-0000-0000-000004000000}" name="ALTERNATE ID" dataDxfId="85" totalsRowDxfId="84"/>
    <tableColumn id="5" xr3:uid="{00000000-0010-0000-0000-000005000000}" name="Description" dataDxfId="83" totalsRowDxfId="82"/>
    <tableColumn id="6" xr3:uid="{00000000-0010-0000-0000-000006000000}" name="Artist" dataDxfId="81" totalsRowDxfId="80"/>
    <tableColumn id="7" xr3:uid="{00000000-0010-0000-0000-000007000000}" name="VO" dataDxfId="79" totalsRowDxfId="78"/>
    <tableColumn id="8" xr3:uid="{00000000-0010-0000-0000-000008000000}" name="OD" dataDxfId="77" totalsRowDxfId="76"/>
    <tableColumn id="9" xr3:uid="{00000000-0010-0000-0000-000009000000}" name="Print Type" dataDxfId="75" totalsRowDxfId="74"/>
    <tableColumn id="10" xr3:uid="{00000000-0010-0000-0000-00000A000000}" name="Substrate" dataDxfId="73" totalsRowDxfId="72"/>
    <tableColumn id="11" xr3:uid="{00000000-0010-0000-0000-00000B000000}" name="Frame" dataDxfId="71" totalsRowDxfId="70"/>
    <tableColumn id="12" xr3:uid="{00000000-0010-0000-0000-00000C000000}" name="Color" dataDxfId="69" totalsRowDxfId="68"/>
    <tableColumn id="13" xr3:uid="{00000000-0010-0000-0000-00000D000000}" name="WSP/Dealer" dataDxfId="67" totalsRowDxfId="66" dataCellStyle="Currency" totalsRowCellStyle="Currency"/>
    <tableColumn id="15" xr3:uid="{F042BBC8-C40A-4641-B0BA-822AD1F4FE40}" name="WSP 4/22" dataDxfId="65" dataCellStyle="Currency" totalsRowCellStyle="Currency"/>
    <tableColumn id="14" xr3:uid="{00000000-0010-0000-0000-00000E000000}" name="Work Center" dataDxfId="64" totalsRowDxfId="63"/>
    <tableColumn id="17" xr3:uid="{00000000-0010-0000-0000-000011000000}" name="VO Wdth" dataDxfId="62" totalsRowDxfId="61"/>
    <tableColumn id="18" xr3:uid="{00000000-0010-0000-0000-000012000000}" name="VO Hgt" dataDxfId="60" totalsRowDxfId="59"/>
    <tableColumn id="19" xr3:uid="{00000000-0010-0000-0000-000013000000}" name="Min VO" dataDxfId="58" totalsRowDxfId="57"/>
    <tableColumn id="20" xr3:uid="{00000000-0010-0000-0000-000014000000}" name="Max VO" dataDxfId="56" totalsRowDxfId="55"/>
    <tableColumn id="21" xr3:uid="{00000000-0010-0000-0000-000015000000}" name="OD Wdth" dataDxfId="54" totalsRowDxfId="53"/>
    <tableColumn id="22" xr3:uid="{00000000-0010-0000-0000-000016000000}" name="OD Hgt" dataDxfId="52" totalsRowDxfId="51"/>
    <tableColumn id="23" xr3:uid="{00000000-0010-0000-0000-000017000000}" name="Print Wth" dataDxfId="50" totalsRowDxfId="49"/>
    <tableColumn id="24" xr3:uid="{00000000-0010-0000-0000-000018000000}" name="Print Ht" dataDxfId="48" totalsRowDxfId="47"/>
    <tableColumn id="25" xr3:uid="{00000000-0010-0000-0000-000019000000}" name="Canvas Roll" dataDxfId="46" totalsRowDxfId="45"/>
    <tableColumn id="45" xr3:uid="{00000000-0010-0000-0000-00002D000000}" name="Cut Width" dataDxfId="44" totalsRowDxfId="43"/>
    <tableColumn id="28" xr3:uid="{00000000-0010-0000-0000-00001C000000}" name="Cut Height" dataDxfId="42" totalsRowDxfId="41"/>
    <tableColumn id="26" xr3:uid="{00000000-0010-0000-0000-00001A000000}" name="Substrate SF" dataDxfId="40" totalsRowDxfId="39" dataCellStyle="Comma" totalsRowCellStyle="Comma"/>
    <tableColumn id="27" xr3:uid="{00000000-0010-0000-0000-00001B000000}" name="Ink g/mL" dataDxfId="38" totalsRowDxfId="37" totalsRowCellStyle="Comma"/>
    <tableColumn id="29" xr3:uid="{00000000-0010-0000-0000-00001D000000}" name="Substrate $" dataDxfId="36" totalsRowDxfId="35"/>
    <tableColumn id="30" xr3:uid="{00000000-0010-0000-0000-00001E000000}" name="Ink $" dataDxfId="34" totalsRowDxfId="33"/>
    <tableColumn id="33" xr3:uid="{00000000-0010-0000-0000-000021000000}" name="GP Labor/unit" dataDxfId="32" totalsRowDxfId="31"/>
    <tableColumn id="34" xr3:uid="{00000000-0010-0000-0000-000022000000}" name="CALI FINISH" dataDxfId="30" totalsRowDxfId="29" dataCellStyle="Currency" totalsRowCellStyle="Currency"/>
    <tableColumn id="35" xr3:uid="{00000000-0010-0000-0000-000023000000}" name="GP FINISH" dataDxfId="28" totalsRowDxfId="27"/>
    <tableColumn id="36" xr3:uid="{00000000-0010-0000-0000-000024000000}" name="Royalty" dataDxfId="26" totalsRowDxfId="25"/>
    <tableColumn id="40" xr3:uid="{CEFAAB41-0576-9A47-9D7F-9F58A087EB45}" name="Rep Comm" dataDxfId="24"/>
    <tableColumn id="37" xr3:uid="{00000000-0010-0000-0000-000025000000}" name="Total Cost" dataDxfId="23" totalsRowDxfId="22"/>
    <tableColumn id="38" xr3:uid="{00000000-0010-0000-0000-000026000000}" name="Margin" dataDxfId="21" totalsRowDxfId="20"/>
    <tableColumn id="44" xr3:uid="{00000000-0010-0000-0000-00002C000000}" name="Price/Sinch" dataDxfId="19" totalsRowDxfId="18"/>
    <tableColumn id="39" xr3:uid="{00000000-0010-0000-0000-000027000000}" name="OD Sq Inch" dataDxfId="17" totalsRowDxfId="16"/>
    <tableColumn id="41" xr3:uid="{00000000-0010-0000-0000-000029000000}" name="Frame2" dataDxfId="15" totalsRowDxfId="14"/>
    <tableColumn id="42" xr3:uid="{00000000-0010-0000-0000-00002A000000}" name="Print" dataDxfId="13" totalsRowDxfId="12"/>
    <tableColumn id="43" xr3:uid="{00000000-0010-0000-0000-00002B000000}" name="Desgnr/Retail P" dataDxfId="11" totalsRowDxfId="10" totalsRowCellStyle="Currency"/>
    <tableColumn id="46" xr3:uid="{638E420C-6932-394C-B43A-733F098BBFC0}" name="Retail Royalty" dataDxfId="9" totalsRowDxfId="8" totalsRowCellStyle="Currency">
      <calculatedColumnFormula>(Table1[[#This Row],[Desgnr/Retail P]]*0.05)</calculatedColumnFormula>
    </tableColumn>
    <tableColumn id="31" xr3:uid="{810E8B85-1868-4945-921E-EB7E79A41805}" name="Retail$Comm" dataDxfId="7" totalsRowDxfId="6" totalsRowCellStyle="Currency">
      <calculatedColumnFormula>IF(A2="Codarus",(AP2*0.13))</calculatedColumnFormula>
    </tableColumn>
    <tableColumn id="32" xr3:uid="{9FE65200-0A0A-A945-8B6F-7C8CFFBFE1C3}" name="Ttl Cost Retail" dataDxfId="5" totalsRowCellStyle="Currency">
      <calculatedColumnFormula array="1">SUM(AC2:AG2+AQ+AR)</calculatedColumnFormula>
    </tableColumn>
    <tableColumn id="16" xr3:uid="{29FE275D-7C83-8D4E-9D04-38934F13A4CD}" name="Retail Margin" dataDxfId="4" totalsRowDxfId="3" totalsRowCellStyle="Currency">
      <calculatedColumnFormula>(AP2-AS2)/AP2</calculatedColumnFormula>
    </tableColumn>
    <tableColumn id="49" xr3:uid="{00000000-0010-0000-0000-000031000000}" name="Column9" dataDxfId="2">
      <calculatedColumnFormula>IF(AQ2=0,"-",(AQ2-AT2)/AQ2)</calculatedColumnFormula>
    </tableColumn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8E7A7F5-4DEE-2C43-9FF5-0D8D6FD34CB0}" name="Table4" displayName="Table4" ref="A1:AO19" totalsRowShown="0" headerRowDxfId="1" headerRowCellStyle="Currency">
  <autoFilter ref="A1:AO19" xr:uid="{18E7A7F5-4DEE-2C43-9FF5-0D8D6FD34CB0}"/>
  <tableColumns count="41">
    <tableColumn id="1" xr3:uid="{C06FB800-694E-F64F-8B14-85893124BAD7}" name="Customer" dataDxfId="0"/>
    <tableColumn id="2" xr3:uid="{52797045-C24D-B34F-B0F2-5B92FC70D572}" name="Collection"/>
    <tableColumn id="3" xr3:uid="{ECC96A25-15AD-1547-B3F9-2C420732F4A8}" name="INVENTORY ID"/>
    <tableColumn id="4" xr3:uid="{64D71DA5-94E4-A140-A764-11E4662C70F8}" name="ALTERNATE ID"/>
    <tableColumn id="5" xr3:uid="{1CC2BB23-1A59-D24C-8892-D6F188C917C9}" name="Description"/>
    <tableColumn id="6" xr3:uid="{CEC573BE-0A89-5440-B875-76E16A327DB8}" name="Artist"/>
    <tableColumn id="7" xr3:uid="{68BBD485-8E84-1C44-BFB0-883AD265C318}" name="VO"/>
    <tableColumn id="8" xr3:uid="{8A3A7928-20B0-4444-A78A-690C9C0C0C20}" name="OD"/>
    <tableColumn id="9" xr3:uid="{B972036E-22A4-BA4F-8401-6A27EB54A0F8}" name="Print Type"/>
    <tableColumn id="10" xr3:uid="{B0BC006D-6CD8-DA4C-884A-9AA06273D7A2}" name="Substrate"/>
    <tableColumn id="11" xr3:uid="{E89A5E29-1F8F-FD44-9529-F02B6A063573}" name="Frame"/>
    <tableColumn id="12" xr3:uid="{8BB8911E-9EC3-B64D-B149-71F716DF1154}" name="Color"/>
    <tableColumn id="13" xr3:uid="{965344D0-B293-A54D-BC94-C6A8909663CB}" name="WSP"/>
    <tableColumn id="14" xr3:uid="{A633F0CD-9BF8-0D48-B9E1-49EE605CC05B}" name="Work Center"/>
    <tableColumn id="15" xr3:uid="{6D0327BB-D037-2E4A-B1C1-9C1CBC908B2B}" name="VO Wdth"/>
    <tableColumn id="16" xr3:uid="{3A2A5EEA-AD98-8244-B095-E1A51F9579A4}" name="VO Hgt"/>
    <tableColumn id="17" xr3:uid="{59716B5E-AD21-BE40-AB6B-5FCD22277A22}" name="Min VO"/>
    <tableColumn id="18" xr3:uid="{C41BE563-B320-574A-8D64-C3C4E763689B}" name="Max VO"/>
    <tableColumn id="19" xr3:uid="{C5AA065C-C888-764C-B4DF-0CD3C5B5FD84}" name="OD Wdth"/>
    <tableColumn id="20" xr3:uid="{FAE83EF9-ED49-3F44-995C-D8460A92EA6A}" name="OD Hgt"/>
    <tableColumn id="21" xr3:uid="{B427A53C-8EAD-F747-A082-3FC4880BB843}" name="Print Wth"/>
    <tableColumn id="22" xr3:uid="{446F4E97-C2A1-E44C-9CDE-22C75E11BA65}" name="Print Ht"/>
    <tableColumn id="23" xr3:uid="{A3D05EA1-E750-E54B-A786-E377CA5BDD05}" name="Canvas Roll"/>
    <tableColumn id="24" xr3:uid="{F2AEB2D4-F2B1-E94C-83C0-C62516B12486}" name="Cut Width"/>
    <tableColumn id="25" xr3:uid="{C9959D18-A634-234E-A812-9020BE932D46}" name="Cut Height"/>
    <tableColumn id="26" xr3:uid="{B6AF08F8-6940-C949-8B51-EAE437E93810}" name="Substrate SF"/>
    <tableColumn id="27" xr3:uid="{3DFE6256-0988-3F4B-9516-F84C138B3944}" name="Ink g/mL"/>
    <tableColumn id="28" xr3:uid="{797D1628-FAAB-104F-BBA5-E8D3EFE0B09B}" name="Substrate $"/>
    <tableColumn id="29" xr3:uid="{E04D855C-73EF-C046-A42F-AA77112D11E1}" name="Ink $"/>
    <tableColumn id="30" xr3:uid="{9CDA3667-080D-C74D-BD43-3D17A4E15C3C}" name="GP Labor/unit"/>
    <tableColumn id="31" xr3:uid="{A8AEADC0-1CD3-F845-A74E-621222FD0D1B}" name="CALI FINISH"/>
    <tableColumn id="32" xr3:uid="{AE9E4EA6-49AC-3844-AE2D-7244A569F661}" name="GP FINISH"/>
    <tableColumn id="33" xr3:uid="{23014898-09C7-8B43-8DC4-172235557E2E}" name="Royalty"/>
    <tableColumn id="34" xr3:uid="{72030376-A5EF-FF43-9992-5492CAB949FC}" name="Total Cost"/>
    <tableColumn id="35" xr3:uid="{4BBC47A6-ACBD-AE48-87BC-FF5C043BBFF4}" name="Margin"/>
    <tableColumn id="36" xr3:uid="{5CAF9049-13E4-F840-8C33-C73A772DDBD9}" name="Price/Sinch"/>
    <tableColumn id="37" xr3:uid="{52AA1C71-84F4-814B-8894-FFA367EFCBD1}" name="OD Sq Inch"/>
    <tableColumn id="38" xr3:uid="{9DCA4F78-9785-4C40-A8D8-F8BA0F7B31A9}" name="Frame2"/>
    <tableColumn id="39" xr3:uid="{17693CAA-EC83-B949-B51B-FF18B07737A4}" name="Print"/>
    <tableColumn id="40" xr3:uid="{1CD183AB-27BE-7F42-A66E-AFEB1E842C8F}" name="CB2 RSP"/>
    <tableColumn id="41" xr3:uid="{BAE7D457-823B-6142-B9A8-728B0E88B5DC}" name="Column9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78" dT="2023-03-15T19:31:49.76" personId="{FE8C69F7-84F5-1046-8F83-9B09D29F64C9}" id="{7BAAB25E-E7A5-AD42-AA46-FD23F225AE8B}">
    <text>RH Dropped from FEB23</text>
  </threadedComment>
  <threadedComment ref="O92" dT="2023-04-04T22:40:36.00" personId="{FE8C69F7-84F5-1046-8F83-9B09D29F64C9}" id="{81C78D11-678A-2D46-BAA3-13C1DF4ABB0A}">
    <text>Chg to Swiss from Inca 4.4.23 per NC</text>
  </threadedComment>
  <threadedComment ref="O93" dT="2023-04-04T22:40:36.00" personId="{FE8C69F7-84F5-1046-8F83-9B09D29F64C9}" id="{C34469AF-1A76-244A-9074-DDC213323785}">
    <text>Chg to Swiss from Inca 4.4.23 per NC</text>
  </threadedComment>
  <threadedComment ref="O94" dT="2023-04-04T22:40:36.00" personId="{FE8C69F7-84F5-1046-8F83-9B09D29F64C9}" id="{9DB813D7-04FA-C741-8589-D454C0B71ACF}">
    <text>Chg to Swiss from Inca 4.4.23 per NC</text>
  </threadedComment>
  <threadedComment ref="C123" dT="2022-05-04T16:59:26.02" personId="{FE8C69F7-84F5-1046-8F83-9B09D29F64C9}" id="{5C50053C-1DCC-0342-8418-4BBC70BADF9E}">
    <text>Dropped from line</text>
  </threadedComment>
  <threadedComment ref="O124" dT="2021-11-11T19:49:14.87" personId="{FE8C69F7-84F5-1046-8F83-9B09D29F64C9}" id="{D020CEEF-9947-1945-8AE8-EE307900A0E1}">
    <text>change to swiss from inca 11/11/21</text>
  </threadedComment>
  <threadedComment ref="C149" dT="2023-04-20T18:45:23.63" personId="{FE8C69F7-84F5-1046-8F83-9B09D29F64C9}" id="{84971804-4F77-524D-823A-0BB73BAEEA53}">
    <text xml:space="preserve">WALNUT CAP ACRYLIC NO MAT </text>
  </threadedComment>
  <threadedComment ref="C150" dT="2023-03-16T22:19:25.44" personId="{FE8C69F7-84F5-1046-8F83-9B09D29F64C9}" id="{8DA56558-6441-D840-ACF5-6399F9F25AF0}">
    <text xml:space="preserve">WHITE ACYRLIC no mat
</text>
  </threadedComment>
  <threadedComment ref="C154" dT="2023-03-16T22:19:25.44" personId="{FE8C69F7-84F5-1046-8F83-9B09D29F64C9}" id="{7FC3F7C1-D7E5-234D-8845-18D12C0DDC3E}">
    <text xml:space="preserve">WHITE ACYRLIC no mat
</text>
  </threadedComment>
  <threadedComment ref="A162" dT="2023-04-19T19:57:07.59" personId="{FE8C69F7-84F5-1046-8F83-9B09D29F64C9}" id="{2918270B-60F8-454B-B6C0-556FB59D52B8}">
    <text>chg to Codarus from RH 4.19.23</text>
  </threadedComment>
  <threadedComment ref="A198" dT="2023-08-21T17:12:57.03" personId="{FE8C69F7-84F5-1046-8F83-9B09D29F64C9}" id="{97DC726F-0B50-474A-8B40-627AE49E8B8B}">
    <text>HOME SENSE TO CODARUS 8.21.23</text>
  </threadedComment>
  <threadedComment ref="L213" dT="2022-04-21T18:03:54.78" personId="{FE8C69F7-84F5-1046-8F83-9B09D29F64C9}" id="{081D8958-BA4B-A94E-8193-32956B6D5539}">
    <text>CHG FROM BLK TO NAT 4.20.22</text>
  </threadedComment>
  <threadedComment ref="A281" dT="2023-04-19T20:01:10.01" personId="{FE8C69F7-84F5-1046-8F83-9B09D29F64C9}" id="{28207CDF-D292-6E4A-8320-940E997F14AF}">
    <text>chg to Codarus from RH 4.19.23</text>
  </threadedComment>
  <threadedComment ref="O285" dT="2023-05-16T21:33:36.18" personId="{FE8C69F7-84F5-1046-8F83-9B09D29F64C9}" id="{7526BA3F-977F-204E-8172-834082444193}">
    <text>chg to Swiss from Inca for production 5/23</text>
  </threadedComment>
  <threadedComment ref="A362" dT="2023-06-26T23:03:35.87" personId="{FE8C69F7-84F5-1046-8F83-9B09D29F64C9}" id="{42BE5D86-8A96-5D48-BE4C-58173735D809}">
    <text>HP SKU SEPT22</text>
  </threadedComment>
  <threadedComment ref="G368" dT="2022-07-18T18:08:52.71" personId="{FE8C69F7-84F5-1046-8F83-9B09D29F64C9}" id="{54D9DF0D-C4D9-2843-9392-8CB09981F850}">
    <text>size updated 7.14.22</text>
  </threadedComment>
  <threadedComment ref="B378" dT="2023-03-15T19:57:28.85" personId="{FE8C69F7-84F5-1046-8F83-9B09D29F64C9}" id="{185A6A99-C1C2-7E4B-89B5-026CEBB9B7AC}">
    <text>DONE FOR HP SEP22</text>
  </threadedComment>
  <threadedComment ref="C410" dT="2022-05-18T19:18:27.43" personId="{FE8C69F7-84F5-1046-8F83-9B09D29F64C9}" id="{B7E4F914-24AB-D64D-BF3C-CC9625B06E1E}">
    <text>DUPLICATE OF COCO SKU</text>
  </threadedComment>
  <threadedComment ref="L411" dT="2022-04-21T18:05:25.53" personId="{FE8C69F7-84F5-1046-8F83-9B09D29F64C9}" id="{595974EC-09A8-ED45-919F-19289AA4183D}">
    <text>CHG FROM WF TO BF 4.20.22</text>
  </threadedComment>
  <threadedComment ref="C413" dT="2022-05-18T19:18:08.97" personId="{FE8C69F7-84F5-1046-8F83-9B09D29F64C9}" id="{36655647-4C0B-FE48-A598-1BFD9BCB1EE8}">
    <text>DUPLICATE OF COCO SKU</text>
  </threadedComment>
  <threadedComment ref="L414" dT="2022-04-21T18:05:43.17" personId="{FE8C69F7-84F5-1046-8F83-9B09D29F64C9}" id="{6DAE2261-5133-B44C-820F-73BC9E96BF03}">
    <text>CHG FROM WF TO BF 4.20.22</text>
  </threadedComment>
  <threadedComment ref="A445" dT="2023-07-10T23:01:38.04" personId="{FE8C69F7-84F5-1046-8F83-9B09D29F64C9}" id="{0F7A4C99-C0E3-604D-BF07-24EFFE675CD2}">
    <text>CHG FROM CODARUS TO REJ 7.10.23</text>
  </threadedComment>
  <threadedComment ref="O445" dT="2023-06-27T23:58:29.43" personId="{FE8C69F7-84F5-1046-8F83-9B09D29F64C9}" id="{36FA0D3C-1283-DE4B-BDFB-E9503FF760F9}">
    <text>NICK CHG FROM INCA TO SWISS 6.27.23</text>
  </threadedComment>
  <threadedComment ref="O445" dT="2023-07-10T23:00:37.77" personId="{FE8C69F7-84F5-1046-8F83-9B09D29F64C9}" id="{A1F2A308-199A-7D4B-936E-1370D9B1D4B2}" parentId="{36FA0D3C-1283-DE4B-BDFB-E9503FF760F9}">
    <text>NICK CHG TO EPSON 7.10.23</text>
  </threadedComment>
  <threadedComment ref="L496" dT="2022-04-01T18:02:23.11" personId="{FE8C69F7-84F5-1046-8F83-9B09D29F64C9}" id="{483A392B-EDF7-474B-90DF-A366F9D437FD}">
    <text>CHAMPAGNE FLOAT</text>
  </threadedComment>
  <threadedComment ref="C574" dT="2021-05-05T22:47:21.07" personId="{FE8C69F7-84F5-1046-8F83-9B09D29F64C9}" id="{5CB82A7A-475B-BF4A-BE66-1F012758E955}">
    <text>PDR 5.5.21 leave Sonder on Inca.  RH on SwissQ</text>
  </threadedComment>
  <threadedComment ref="L644" dT="2022-04-21T18:07:27.21" personId="{FE8C69F7-84F5-1046-8F83-9B09D29F64C9}" id="{88D635F1-B7A3-4840-879F-4E7B0D3C42E1}">
    <text>CHG FROM WF TO NF 4.20.22</text>
  </threadedComment>
  <threadedComment ref="B699" dT="2023-03-15T20:51:44.41" personId="{FE8C69F7-84F5-1046-8F83-9B09D29F64C9}" id="{297B36A1-113E-054C-93C9-93B0B91E9E4F}">
    <text>MOVED FROM RH FL19</text>
  </threadedComment>
  <threadedComment ref="D699" dT="2023-03-20T19:37:56.06" personId="{FE8C69F7-84F5-1046-8F83-9B09D29F64C9}" id="{9A13EE67-5FA8-A348-8532-65D1A9B2E150}">
    <text>RH 10029362GMNT</text>
  </threadedComment>
  <threadedComment ref="B703" dT="2023-03-13T22:03:49.69" personId="{FE8C69F7-84F5-1046-8F83-9B09D29F64C9}" id="{4349092C-6494-8641-87DC-3254D0E360D1}">
    <text>RH DISCONTINUED</text>
  </threadedComment>
  <threadedComment ref="L709" dT="2022-04-21T18:11:37.01" personId="{FE8C69F7-84F5-1046-8F83-9B09D29F64C9}" id="{81CBFB58-9415-334B-9817-37999CB6C8AE}">
    <text>CHG FROM GW TO NF 4.20.22</text>
  </threadedComment>
  <threadedComment ref="E739" dT="2023-09-21T22:14:11.01" personId="{FE8C69F7-84F5-1046-8F83-9B09D29F64C9}" id="{24421711-78A7-4245-8EF2-659D60C35638}">
    <text>CHG TO 12X24 FROM 12X6 9.21.23 PER SL</text>
  </threadedComment>
  <threadedComment ref="O747" dT="2023-04-04T22:35:49.99" personId="{FE8C69F7-84F5-1046-8F83-9B09D29F64C9}" id="{C7B0B5B4-07DA-E042-9900-BA1F4E2B00F1}">
    <text>Chg to Swiss 4.4.23 per NC</text>
  </threadedComment>
  <threadedComment ref="O748" dT="2023-04-04T22:35:49.99" personId="{FE8C69F7-84F5-1046-8F83-9B09D29F64C9}" id="{AB3D6428-D3CA-7441-A858-1E86A0B44FCB}">
    <text>Chg to Swiss 4.4.23 per NC</text>
  </threadedComment>
  <threadedComment ref="O749" dT="2023-04-04T22:35:49.99" personId="{FE8C69F7-84F5-1046-8F83-9B09D29F64C9}" id="{2C6A25EE-4D09-2D40-9C86-F9F58DB383FC}">
    <text>Chg to Swiss 4.4.23 per NC</text>
  </threadedComment>
  <threadedComment ref="O751" dT="2023-04-04T22:35:49.99" personId="{FE8C69F7-84F5-1046-8F83-9B09D29F64C9}" id="{03B8357D-8E89-3A4B-AE9C-7337E16741BD}">
    <text>Chg to Swiss 4.4.23 per NC</text>
  </threadedComment>
  <threadedComment ref="O752" dT="2023-04-04T22:35:49.99" personId="{FE8C69F7-84F5-1046-8F83-9B09D29F64C9}" id="{4A126C6C-CE67-3E43-9336-46BB81F0A843}">
    <text>Chg to Swiss 4.4.23 per NC</text>
  </threadedComment>
  <threadedComment ref="O753" dT="2023-04-04T22:35:49.99" personId="{FE8C69F7-84F5-1046-8F83-9B09D29F64C9}" id="{5E336471-CB0B-E846-99DD-FD5365EED98E}">
    <text>Chg to Swiss 4.4.23 per NC</text>
  </threadedComment>
  <threadedComment ref="K845" dT="2022-05-16T21:50:35.63" personId="{FE8C69F7-84F5-1046-8F83-9B09D29F64C9}" id="{CB829F40-93E6-F545-817D-448EDF0D1E35}">
    <text xml:space="preserve">CHG FROM BA TO SHADOW BOX PER RH Deckle Edge
</text>
  </threadedComment>
  <threadedComment ref="K846" dT="2022-05-16T21:50:35.63" personId="{FE8C69F7-84F5-1046-8F83-9B09D29F64C9}" id="{3CE1AC3E-52AA-8C4D-ABEF-890C6B3E2910}">
    <text xml:space="preserve">CHG FROM BA TO SHADOW BOX PER RH Deckle Edge
</text>
  </threadedComment>
  <threadedComment ref="M855" dT="2022-02-02T22:38:47.97" personId="{FE8C69F7-84F5-1046-8F83-9B09D29F64C9}" id="{E3F93393-5F9E-CA4C-A56D-75A40E2D85C7}">
    <text>ACU HAS $900 Default 2.2.22</text>
  </threadedComment>
  <threadedComment ref="O855" dT="2022-02-02T23:00:40.36" personId="{FE8C69F7-84F5-1046-8F83-9B09D29F64C9}" id="{71BDDAAA-A366-AC46-BD8E-D95A4CF4B18E}">
    <text>60x48 print on Swiss</text>
  </threadedComment>
  <threadedComment ref="AF867" dT="2022-02-11T19:00:08.88" personId="{FE8C69F7-84F5-1046-8F83-9B09D29F64C9}" id="{1BEF73A0-63BD-524D-AB25-232D7DE0D124}">
    <text>$75 EST 2.11.22 MC</text>
  </threadedComment>
  <threadedComment ref="AF868" dT="2022-02-11T19:00:08.88" personId="{FE8C69F7-84F5-1046-8F83-9B09D29F64C9}" id="{966D0E13-D5C1-D448-ABE2-CFECFB127937}">
    <text>$75 EST 2.11.22 MC</text>
  </threadedComment>
  <threadedComment ref="X912" dT="2023-04-05T23:40:27.49" personId="{FE8C69F7-84F5-1046-8F83-9B09D29F64C9}" id="{B6D1E326-F956-4D4B-BC1C-382646DFC8C0}">
    <text>requires 122 format</text>
  </threadedComment>
  <threadedComment ref="X913" dT="2023-04-05T23:40:27.49" personId="{FE8C69F7-84F5-1046-8F83-9B09D29F64C9}" id="{3748FF2C-7764-EA4C-8982-29ECC3375BED}">
    <text>requires 122 format</text>
  </threadedComment>
  <threadedComment ref="X914" dT="2023-04-05T23:40:27.49" personId="{FE8C69F7-84F5-1046-8F83-9B09D29F64C9}" id="{3A5432D9-A883-2E44-85D4-7063FBE778A7}">
    <text>requires 122 format</text>
  </threadedComment>
  <threadedComment ref="A941" dT="2023-07-12T17:55:46.29" personId="{FE8C69F7-84F5-1046-8F83-9B09D29F64C9}" id="{D17C5839-23DE-B240-91C4-CE11A6739DB3}">
    <text>CHG FROM SONDER TO REJ 7.12.23</text>
  </threadedComment>
  <threadedComment ref="D941" dT="2023-07-12T18:03:57.92" personId="{FE8C69F7-84F5-1046-8F83-9B09D29F64C9}" id="{716E1F15-1BF9-BC48-857F-BFEBC24BED18}">
    <text>SR-ART-11513-C SONDER #</text>
  </threadedComment>
  <threadedComment ref="A945" dT="2023-04-19T20:12:57.75" personId="{FE8C69F7-84F5-1046-8F83-9B09D29F64C9}" id="{ED376718-B299-8A44-A4A3-C27084AC1FF6}">
    <text>chg to Codarus from HP 4.19.23</text>
  </threadedComment>
  <threadedComment ref="X994" dT="2023-04-05T23:40:27.49" personId="{FE8C69F7-84F5-1046-8F83-9B09D29F64C9}" id="{9C918338-13AA-B449-B0C9-EB617F60E895}">
    <text>requires 122 format</text>
  </threadedComment>
  <threadedComment ref="O1006" dT="2023-04-04T22:18:28.39" personId="{FE8C69F7-84F5-1046-8F83-9B09D29F64C9}" id="{AD654A95-6CDA-DC4F-B0CC-54B96BF36B2E}">
    <text>CHG TO SWISS FROM INCA 4.4.23 per NC</text>
  </threadedComment>
  <threadedComment ref="M1007" dT="2023-08-04T20:32:46.26" personId="{67EAC0EE-137C-6544-9B37-B97CF5FD8B96}" id="{0F660F3A-B1CE-FF49-AFBE-9B75D0CF21F9}">
    <text>Randi append 375 from 400 8.4.23</text>
  </threadedComment>
  <threadedComment ref="O1007" dT="2023-04-04T22:18:28.39" personId="{FE8C69F7-84F5-1046-8F83-9B09D29F64C9}" id="{09CCA5C9-F5C9-ED43-ABDD-168ECC5CB28B}">
    <text>CHG TO SWISS FROM INCA 4.4.23 per NC</text>
  </threadedComment>
  <threadedComment ref="M1008" dT="2023-06-29T21:46:54.11" personId="{67EAC0EE-137C-6544-9B37-B97CF5FD8B96}" id="{70CC8E54-5052-4147-9DED-F2258ECD7005}">
    <text>Randi jut from 400 to 350 6.28.23</text>
  </threadedComment>
  <threadedComment ref="O1008" dT="2023-04-04T22:18:28.39" personId="{FE8C69F7-84F5-1046-8F83-9B09D29F64C9}" id="{E9F1C000-DCD8-8544-8A82-4DC95241F00B}">
    <text>CHG TO SWISS FROM INCA 4.4.23 per NC</text>
  </threadedComment>
  <threadedComment ref="O1030" dT="2023-05-09T18:29:33.63" personId="{FE8C69F7-84F5-1046-8F83-9B09D29F64C9}" id="{19C16E08-9402-6941-BFA1-545BCB9CD10B}">
    <text>chg from inca 5.9.23</text>
  </threadedComment>
  <threadedComment ref="O1031" dT="2023-05-09T18:29:33.63" personId="{FE8C69F7-84F5-1046-8F83-9B09D29F64C9}" id="{4799A0C3-A17F-3E4F-9C26-5F4F1F65DE32}">
    <text>chg from inca 5.9.23</text>
  </threadedComment>
  <threadedComment ref="A1072" dT="2023-07-12T19:55:49.86" personId="{FE8C69F7-84F5-1046-8F83-9B09D29F64C9}" id="{01FFD870-74B2-6742-8261-332F35780D3B}">
    <text>CHG FROM RH TO REJ 7.12.23</text>
  </threadedComment>
  <threadedComment ref="B1085" dT="2023-05-15T19:28:15.71" personId="{FE8C69F7-84F5-1046-8F83-9B09D29F64C9}" id="{446F60B4-F0FB-4346-8950-25EB439144A8}">
    <text>CHG FROM RH TO CODARUS 5.15.23</text>
  </threadedComment>
  <threadedComment ref="A1097" dT="2023-07-12T21:47:55.72" personId="{FE8C69F7-84F5-1046-8F83-9B09D29F64C9}" id="{24E51642-C17B-694B-B6A0-EE2A5618CFDD}">
    <text>CHG CODARUS TO REJ 7.12.23</text>
  </threadedComment>
  <threadedComment ref="O1186" dT="2023-07-17T22:48:59.64" personId="{FE8C69F7-84F5-1046-8F83-9B09D29F64C9}" id="{F050A7D2-0DB9-7445-B282-0384F5FA6018}">
    <text>UPDATED TO SWISS FROM INCA 7.27.23 PER NICK</text>
  </threadedComment>
  <threadedComment ref="B1191" dT="2023-03-20T16:42:31.63" personId="{FE8C69F7-84F5-1046-8F83-9B09D29F64C9}" id="{7A12B920-7919-EF4E-94FE-08771BA37107}">
    <text>RH FL19 chg to Codarus 3/23</text>
  </threadedComment>
  <threadedComment ref="D1191" dT="2023-03-20T16:42:01.11" personId="{FE8C69F7-84F5-1046-8F83-9B09D29F64C9}" id="{7353E9E4-6C76-B54F-AEBE-0D30461F626C}">
    <text>RH 10062462GMNT</text>
  </threadedComment>
  <threadedComment ref="B1289" dT="2023-05-15T19:42:14.52" personId="{FE8C69F7-84F5-1046-8F83-9B09D29F64C9}" id="{5E406EB7-BC69-DB47-9EA9-9FEB3DD5DA98}">
    <text>CHG FROM RH TO CODARUS 5.15.23</text>
  </threadedComment>
  <threadedComment ref="A1313" dT="2023-04-25T22:11:07.97" personId="{EF3294F0-BB3D-4001-BCB0-28238AEA2825}" id="{A2906811-A0F1-418D-BC4F-0655A4E2E000}">
    <text>MOVE FROM RH TO CODARUS 4/23</text>
  </threadedComment>
  <threadedComment ref="B1340" dT="2023-03-20T16:50:24.98" personId="{FE8C69F7-84F5-1046-8F83-9B09D29F64C9}" id="{DBC104BF-3903-2840-95DA-3A7E358432C6}">
    <text>RH AUG20 chg to Codarus3/23</text>
  </threadedComment>
  <threadedComment ref="D1340" dT="2023-03-20T16:49:36.93" personId="{FE8C69F7-84F5-1046-8F83-9B09D29F64C9}" id="{18C4BDC2-6780-E643-B44F-48BDD5548217}">
    <text>10062048GMNT RH removed 3/23</text>
  </threadedComment>
  <threadedComment ref="E1408" dT="2022-01-31T19:59:36.97" personId="{FE8C69F7-84F5-1046-8F83-9B09D29F64C9}" id="{A2CDCCCE-3A5E-744B-9619-B5327556C7B9}">
    <text>chg from 16x24 to 20x30 1.31.22</text>
  </threadedComment>
  <threadedComment ref="E1408" dT="2022-02-28T17:12:42.76" personId="{FE8C69F7-84F5-1046-8F83-9B09D29F64C9}" id="{84E22A5F-55E2-D246-B631-63A1CD355BB3}" parentId="{A2CDCCCE-3A5E-744B-9619-B5327556C7B9}">
    <text>resize to 16x20 2.28.22</text>
  </threadedComment>
  <threadedComment ref="O1450" dT="2021-12-14T17:15:47.57" personId="{FE8C69F7-84F5-1046-8F83-9B09D29F64C9}" id="{FA24E0EA-6A7F-9A49-B95F-37C68B9D98C3}">
    <text>move to Swiss 121421</text>
  </threadedComment>
  <threadedComment ref="O1451" dT="2021-12-14T17:15:59.47" personId="{FE8C69F7-84F5-1046-8F83-9B09D29F64C9}" id="{3826145A-9643-214F-BD3E-8EEC5F0DE171}">
    <text>move to Swiss 121421</text>
  </threadedComment>
  <threadedComment ref="O1452" dT="2021-12-14T17:16:10.38" personId="{FE8C69F7-84F5-1046-8F83-9B09D29F64C9}" id="{8CE80DB2-77AB-6C49-AC81-26D76AC16E95}">
    <text>move to Swiss 121421</text>
  </threadedComment>
  <threadedComment ref="O1453" dT="2021-12-14T17:16:27.05" personId="{FE8C69F7-84F5-1046-8F83-9B09D29F64C9}" id="{85AD19C7-1D63-C34D-93D4-680A431A5401}">
    <text>move to swiss 121421</text>
  </threadedComment>
  <threadedComment ref="O1520" dT="2021-12-03T20:04:24.54" personId="{FE8C69F7-84F5-1046-8F83-9B09D29F64C9}" id="{4041C3CA-6714-C943-957C-EBC3C9359D8D}">
    <text>switch to Swiss 1.5.21</text>
  </threadedComment>
  <threadedComment ref="O1521" dT="2021-12-03T20:04:46.65" personId="{FE8C69F7-84F5-1046-8F83-9B09D29F64C9}" id="{AF1C568A-FB62-9448-B824-0A0A5ED80D76}">
    <text>switch to Swiss 11.16.21</text>
  </threadedComment>
  <threadedComment ref="B1537" dT="2023-03-20T17:00:46.13" personId="{FE8C69F7-84F5-1046-8F83-9B09D29F64C9}" id="{D3E1B60A-B606-3149-98F8-575311D2856B}">
    <text>HOMESENSE OCT22 chg to Codarus 3/23</text>
  </threadedComment>
  <threadedComment ref="A1553" dT="2022-07-11T17:50:37.51" personId="{FE8C69F7-84F5-1046-8F83-9B09D29F64C9}" id="{8115BCEA-4767-434B-B074-4444EDB454D0}">
    <text>REMOVED FROM ED 7.11.22</text>
  </threadedComment>
  <threadedComment ref="A1553" dT="2022-08-23T17:31:21.82" personId="{FE8C69F7-84F5-1046-8F83-9B09D29F64C9}" id="{FF5B3C1D-388A-1A49-9834-56B7F453C677}" parentId="{8115BCEA-4767-434B-B074-4444EDB454D0}">
    <text>ADD TO HP 8.23.22</text>
  </threadedComment>
  <threadedComment ref="E1610" dT="2022-03-03T01:37:31.75" personId="{FE8C69F7-84F5-1046-8F83-9B09D29F64C9}" id="{46AD50D2-E5DB-5047-8707-72991AB2A4EA}">
    <text>possible change to 20x16. Laura to confirm 3.2.22</text>
  </threadedComment>
  <threadedComment ref="AB1610" dT="2022-02-11T20:22:27.15" personId="{FE8C69F7-84F5-1046-8F83-9B09D29F64C9}" id="{B5F5F30A-C0FD-3C46-A12E-60BA0846C8C3}">
    <text>CHECK ML ON ACU BOM and Calc here</text>
  </threadedComment>
  <threadedComment ref="O1613" dT="2023-08-10T16:57:08.10" personId="{FE8C69F7-84F5-1046-8F83-9B09D29F64C9}" id="{9E87C7C5-8EC4-F749-B43B-F48D513E030A}">
    <text>perm change from Inca to Swiss 8.10.23 per NC</text>
  </threadedComment>
  <threadedComment ref="O1614" dT="2023-08-10T17:00:24.17" personId="{FE8C69F7-84F5-1046-8F83-9B09D29F64C9}" id="{3DD5DA59-4AAE-7247-A492-4E94389F5F07}">
    <text>perm change from Inca to Swiss per NC</text>
  </threadedComment>
  <threadedComment ref="E1617" dT="2023-10-02T22:22:16.05" personId="{FE8C69F7-84F5-1046-8F83-9B09D29F64C9}" id="{4BBDD5DB-5F42-FB47-9C9E-76737D0DCC78}">
    <text>Canvas swatch 6”x6”
Card printed 6.25”x7.5”</text>
  </threadedComment>
  <threadedComment ref="B1640" dT="2023-03-20T17:42:53.92" personId="{FE8C69F7-84F5-1046-8F83-9B09D29F64C9}" id="{EF511764-99A6-6B49-B7B7-A900591307EF}">
    <text>RH FL19 CHG TO CODARUS 3/23</text>
  </threadedComment>
  <threadedComment ref="A1642" dT="2022-07-11T17:50:48.75" personId="{FE8C69F7-84F5-1046-8F83-9B09D29F64C9}" id="{D427C9E6-DDA8-B040-B13F-C012687D5B11}">
    <text>REMOVED FROM ED 7.11.22</text>
  </threadedComment>
  <threadedComment ref="B1643" dT="2023-03-20T17:42:53.92" personId="{FE8C69F7-84F5-1046-8F83-9B09D29F64C9}" id="{B7B69158-6273-0A42-A8BD-32665D864A6C}">
    <text>RH FL19 CHG TO CODARUS 3/23</text>
  </threadedComment>
  <threadedComment ref="L1648" dT="2022-04-21T18:15:30.17" personId="{FE8C69F7-84F5-1046-8F83-9B09D29F64C9}" id="{A238D969-9DFA-0C40-A559-BE2730938691}">
    <text>CHG FROM WF TO GW 4.20.22</text>
  </threadedComment>
  <threadedComment ref="L1649" dT="2022-04-21T18:15:30.17" personId="{FE8C69F7-84F5-1046-8F83-9B09D29F64C9}" id="{2C38F4CD-D5C3-744D-B748-B12079F0FE53}">
    <text>CHG FROM WF TO GW 4.20.22</text>
  </threadedComment>
  <threadedComment ref="L1650" dT="2022-04-21T18:15:30.17" personId="{FE8C69F7-84F5-1046-8F83-9B09D29F64C9}" id="{105A93FD-D8BA-5E45-9632-CAFB0C65A428}">
    <text>CHG FROM WF TO GW 4.20.22</text>
  </threadedComment>
  <threadedComment ref="O1693" dT="2021-10-08T21:26:01.28" personId="{FE8C69F7-84F5-1046-8F83-9B09D29F64C9}" id="{C5807346-A666-E245-8F02-F163A8DB839D}">
    <text>Switch to SwissQ 10.8.21</text>
  </threadedComment>
  <threadedComment ref="O1694" dT="2021-10-08T21:26:01.28" personId="{FE8C69F7-84F5-1046-8F83-9B09D29F64C9}" id="{6A1F2686-8C5B-6F4E-A3FD-C2EB21967AD7}">
    <text>Switch to SwissQ 10.8.21</text>
  </threadedComment>
  <threadedComment ref="L1761" dT="2022-06-14T17:31:27.68" personId="{FE8C69F7-84F5-1046-8F83-9B09D29F64C9}" id="{CCB1C06D-D6C3-A943-83D9-F2497866B492}">
    <text>chg to GF 6.14.22</text>
  </threadedComment>
  <threadedComment ref="A1764" dT="2022-08-23T17:49:00.78" personId="{FE8C69F7-84F5-1046-8F83-9B09D29F64C9}" id="{539F83C0-7D53-6B46-982B-CE3749057DC1}">
    <text>CHG FROM RH TO HP 8.23.22</text>
  </threadedComment>
  <threadedComment ref="A1764" dT="2023-04-19T18:29:05.96" personId="{FE8C69F7-84F5-1046-8F83-9B09D29F64C9}" id="{CB0D0B71-FBE3-3A44-9675-176B0FF47B69}" parentId="{539F83C0-7D53-6B46-982B-CE3749057DC1}">
    <text>chg to Codarus 4.19.23</text>
  </threadedComment>
  <threadedComment ref="A1765" dT="2022-08-23T17:49:00.78" personId="{FE8C69F7-84F5-1046-8F83-9B09D29F64C9}" id="{A392AB4B-9160-3448-94DC-471D2BBF6752}">
    <text>CHG FROM RH TO HP 8.23.22</text>
  </threadedComment>
  <threadedComment ref="B1827" dT="2023-08-23T19:43:43.79" personId="{67EAC0EE-137C-6544-9B37-B97CF5FD8B96}" id="{70BE7EDD-58FA-FB45-A31D-7C881EA25198}">
    <text>Inactive 8.23.23. RH does not want the larger size, although produced for them</text>
  </threadedComment>
  <threadedComment ref="B1829" dT="2023-08-23T19:43:52.79" personId="{67EAC0EE-137C-6544-9B37-B97CF5FD8B96}" id="{5928FFE6-CDCE-454E-A0F3-3B37783D4523}">
    <text>Inactive 8.23.23. RH does not want the larger size, although produced for them</text>
  </threadedComment>
  <threadedComment ref="A1846" dT="2022-08-23T18:18:24.80" personId="{FE8C69F7-84F5-1046-8F83-9B09D29F64C9}" id="{D2BCC27C-0F86-AF47-9772-CD3E4EDE06D1}">
    <text>CHG FROM RH TO HP 8.23.22</text>
  </threadedComment>
  <threadedComment ref="O1851" dT="2022-05-26T20:14:00.70" personId="{FE8C69F7-84F5-1046-8F83-9B09D29F64C9}" id="{EA87B942-0CA9-5E49-99E3-164CA1A916F2}">
    <text>chg to SwissQ 5.26.22 per Nick</text>
  </threadedComment>
  <threadedComment ref="X1863" dT="2023-04-05T23:40:27.49" personId="{FE8C69F7-84F5-1046-8F83-9B09D29F64C9}" id="{9F144CCF-FF71-DC48-AF0B-C607F9BB1765}">
    <text>requires 122 format</text>
  </threadedComment>
  <threadedComment ref="I1895" dT="2023-09-05T18:17:44.72" personId="{FE8C69F7-84F5-1046-8F83-9B09D29F64C9}" id="{9EB67F11-9BF9-8B48-A199-50933F5B92BB}">
    <text>Chg’d to Syno to Red+ 9.5.23 per SH</text>
  </threadedComment>
  <threadedComment ref="I1896" dT="2023-09-05T18:18:11.79" personId="{FE8C69F7-84F5-1046-8F83-9B09D29F64C9}" id="{F0AD18D5-797F-AA43-9E21-378E047E09F2}">
    <text>Chg’d to Syno to Red+ 9.5.23 per SH</text>
  </threadedComment>
  <threadedComment ref="M1902" dT="2022-10-17T18:12:22.54" personId="{FE8C69F7-84F5-1046-8F83-9B09D29F64C9}" id="{02EAD0AF-78F6-E944-9B34-01C185D892B2}">
    <text>margin only 23%</text>
  </threadedComment>
  <threadedComment ref="C1907" dT="2023-06-15T19:11:34.92" personId="{FE8C69F7-84F5-1046-8F83-9B09D29F64C9}" id="{C1632DF1-101F-9646-AC5C-E5FDF36A6400}">
    <text>chg to 20x16 6.15.23 from 16x20 per hannah</text>
  </threadedComment>
  <threadedComment ref="J1928" dT="2021-12-06T19:00:04.07" personId="{FE8C69F7-84F5-1046-8F83-9B09D29F64C9}" id="{FC11774A-8720-1B4A-B5BD-43E0E3704585}">
    <text>INCA 12.6.21 per ES</text>
  </threadedComment>
  <threadedComment ref="J1929" dT="2021-12-06T19:00:04.07" personId="{FE8C69F7-84F5-1046-8F83-9B09D29F64C9}" id="{B940399F-DCE3-8D4C-AA36-127074C29E79}">
    <text>INCA 12.6.21 per ES</text>
  </threadedComment>
  <threadedComment ref="J1931" dT="2021-12-06T19:00:21.15" personId="{FE8C69F7-84F5-1046-8F83-9B09D29F64C9}" id="{B1A358FC-54C1-3C4B-A5FC-C8C4F2B1D3AB}">
    <text>inca 12.6.21 per ES</text>
  </threadedComment>
  <threadedComment ref="B1937" dT="2023-04-19T21:53:24.08" personId="{FE8C69F7-84F5-1046-8F83-9B09D29F64C9}" id="{916364D5-13A3-974E-8DF7-E1A7CAF6F11E}">
    <text>CHG FROM RH TO CODARUS 4.18.23 FROMSP19</text>
  </threadedComment>
  <threadedComment ref="L1980" dT="2022-06-14T17:09:45.25" personId="{FE8C69F7-84F5-1046-8F83-9B09D29F64C9}" id="{C48D17FB-065D-E74F-A00F-5755A9849634}">
    <text>chg to GF 6.14.22</text>
  </threadedComment>
  <threadedComment ref="O1981" dT="2023-03-28T22:06:46.26" personId="{FE8C69F7-84F5-1046-8F83-9B09D29F64C9}" id="{78E8EC3F-4128-EA45-A1AC-00838C69CB35}">
    <text>chg to Inca 3.28.23 per EV</text>
  </threadedComment>
  <threadedComment ref="E2086" dT="2023-11-20T18:32:31.66" personId="{FE8C69F7-84F5-1046-8F83-9B09D29F64C9}" id="{DEEF954D-DC28-AD46-AE99-693F5BE96A80}">
    <text>CHG FROM UNTITLED I 111/20/23</text>
  </threadedComment>
  <threadedComment ref="M2086" dT="2023-11-02T18:20:44.21" personId="{FE8C69F7-84F5-1046-8F83-9B09D29F64C9}" id="{863F662E-3DD3-0747-A7BA-6182D80A6555}">
    <text>adj price from $400 to $275 11.2.23 MC</text>
  </threadedComment>
  <threadedComment ref="E2087" dT="2023-11-20T18:32:46.54" personId="{FE8C69F7-84F5-1046-8F83-9B09D29F64C9}" id="{34A39CF5-D1DF-654D-863B-172AADB15B60}">
    <text>CHG FROM UNTITLED I 111/20/23</text>
  </threadedComment>
  <threadedComment ref="E2088" dT="2023-11-20T18:32:56.28" personId="{FE8C69F7-84F5-1046-8F83-9B09D29F64C9}" id="{622B572B-C063-C64E-AC0A-6CFF89E920F2}">
    <text>CHG FROM UNTITLED I 111/20/23</text>
  </threadedComment>
  <threadedComment ref="L2105" dT="2022-04-22T17:32:18.84" personId="{FE8C69F7-84F5-1046-8F83-9B09D29F64C9}" id="{9B395CBE-27AF-BA49-9C8F-3F7D58E755D9}">
    <text>Chg from WF to NF 4.20.22</text>
  </threadedComment>
  <threadedComment ref="X2106" dT="2023-04-05T23:40:27.49" personId="{FE8C69F7-84F5-1046-8F83-9B09D29F64C9}" id="{DBFA3074-FFD5-524F-A59A-7B1CE885DF0E}">
    <text>requires 122 format</text>
  </threadedComment>
  <threadedComment ref="X2107" dT="2023-04-05T23:40:27.49" personId="{FE8C69F7-84F5-1046-8F83-9B09D29F64C9}" id="{DAA097E1-94E9-8645-BFF1-CD0F212BCB8B}">
    <text>requires 122 format</text>
  </threadedComment>
  <threadedComment ref="X2108" dT="2023-04-05T23:40:27.49" personId="{FE8C69F7-84F5-1046-8F83-9B09D29F64C9}" id="{E160950C-645E-1E42-9890-92C2B0F7697C}">
    <text>requires 122 format</text>
  </threadedComment>
  <threadedComment ref="X2109" dT="2023-04-05T23:40:27.49" personId="{FE8C69F7-84F5-1046-8F83-9B09D29F64C9}" id="{28D648D0-6E42-AB4B-9A6D-529F0A0B7C0E}">
    <text>requires 122 format</text>
  </threadedComment>
  <threadedComment ref="X2110" dT="2023-04-05T23:40:27.49" personId="{FE8C69F7-84F5-1046-8F83-9B09D29F64C9}" id="{A32A7048-6FEC-4B43-A2B7-5FAF132EA06F}">
    <text>requires 122 format</text>
  </threadedComment>
  <threadedComment ref="X2111" dT="2023-04-05T23:40:27.49" personId="{FE8C69F7-84F5-1046-8F83-9B09D29F64C9}" id="{9E404C68-CE71-7541-8303-8F736EECFA23}">
    <text>requires 122 format</text>
  </threadedComment>
  <threadedComment ref="X2112" dT="2023-04-05T23:40:27.49" personId="{FE8C69F7-84F5-1046-8F83-9B09D29F64C9}" id="{9939B8DC-00E0-6E43-8A9C-8B4956EDFABE}">
    <text>requires 122 format</text>
  </threadedComment>
  <threadedComment ref="X2113" dT="2023-04-05T23:40:27.49" personId="{FE8C69F7-84F5-1046-8F83-9B09D29F64C9}" id="{6A835BA1-1B8D-1947-98DC-55F0CF53CE10}">
    <text>requires 122 format</text>
  </threadedComment>
  <threadedComment ref="B2165" dT="2023-03-14T21:30:30.65" personId="{FE8C69F7-84F5-1046-8F83-9B09D29F64C9}" id="{112E11A1-1E0D-FF49-878D-F04FCD056333}">
    <text>previous RH DEC20</text>
  </threadedComment>
  <threadedComment ref="B2166" dT="2023-03-14T21:30:45.28" personId="{FE8C69F7-84F5-1046-8F83-9B09D29F64C9}" id="{1404204E-1A31-8146-8D30-BDA60C2363C9}">
    <text>previous RH DEC20</text>
  </threadedComment>
  <threadedComment ref="B2186" dT="2023-03-20T18:55:04.25" personId="{FE8C69F7-84F5-1046-8F83-9B09D29F64C9}" id="{ED0F4A43-F369-F84E-BFBC-44B2DC75DC76}">
    <text>RH FL19 chg to Codarus 3/23</text>
  </threadedComment>
  <threadedComment ref="D2186" dT="2023-03-20T18:55:32.59" personId="{FE8C69F7-84F5-1046-8F83-9B09D29F64C9}" id="{7158C6A5-F2C1-A94A-95D4-4CAF48DEFFFB}">
    <text>RH 10014684GMNT</text>
  </threadedComment>
  <threadedComment ref="X2194" dT="2023-04-05T23:40:27.49" personId="{FE8C69F7-84F5-1046-8F83-9B09D29F64C9}" id="{C5B92EBF-1EBE-F64A-A4D5-2718F901FB63}">
    <text>requires 122 format</text>
  </threadedComment>
  <threadedComment ref="X2195" dT="2023-04-05T23:40:27.49" personId="{FE8C69F7-84F5-1046-8F83-9B09D29F64C9}" id="{2912282F-9FA7-254D-8C23-DE6372A20201}">
    <text>requires 122 format</text>
  </threadedComment>
  <threadedComment ref="X2197" dT="2023-04-05T23:40:27.49" personId="{FE8C69F7-84F5-1046-8F83-9B09D29F64C9}" id="{C8352436-A06E-D44A-A64E-3E8239EBACD3}">
    <text>requires 122 format</text>
  </threadedComment>
  <threadedComment ref="X2198" dT="2023-04-05T23:40:27.49" personId="{FE8C69F7-84F5-1046-8F83-9B09D29F64C9}" id="{EE9A6FF8-EAC6-DC4C-8197-131C79B58C20}">
    <text>requires 122 format</text>
  </threadedComment>
  <threadedComment ref="O2200" dT="2021-12-01T22:08:44.40" personId="{FE8C69F7-84F5-1046-8F83-9B09D29F64C9}" id="{DAF7CEC4-B156-B14E-8142-A246E8A81BD3}">
    <text>CHNGE TO SWISS 12.1.21</text>
  </threadedComment>
  <threadedComment ref="A2358" dT="2023-08-17T17:29:51.11" personId="{FE8C69F7-84F5-1046-8F83-9B09D29F64C9}" id="{9E9C8822-0471-B249-B0EC-BDC59FEFB601}">
    <text>PER LAURA 8.17.23 NO LONGER RH</text>
  </threadedComment>
  <threadedComment ref="L2439" dT="2022-06-14T16:49:25.30" personId="{FE8C69F7-84F5-1046-8F83-9B09D29F64C9}" id="{3CF209CC-395A-DE44-9181-1338763E98C7}">
    <text>chg to GF 6.14.22</text>
  </threadedComment>
  <threadedComment ref="L2443" dT="2022-06-14T16:49:37.51" personId="{FE8C69F7-84F5-1046-8F83-9B09D29F64C9}" id="{79389E5D-212E-2643-B22E-7EEF729CABEB}">
    <text>chg to GF 6.14.22</text>
  </threadedComment>
  <threadedComment ref="A2480" dT="2023-04-19T21:58:07.85" personId="{FE8C69F7-84F5-1046-8F83-9B09D29F64C9}" id="{A64AAB79-6F16-2948-8A21-69369C9EC23D}">
    <text>chg from Coco to Codarus 4.19.23</text>
  </threadedComment>
  <threadedComment ref="A2482" dT="2023-07-18T00:44:09.72" personId="{FE8C69F7-84F5-1046-8F83-9B09D29F64C9}" id="{E3763792-C591-C449-A3E2-528E9B65F292}">
    <text>MOVE FROM ARH TO REJ 7.17.23</text>
  </threadedComment>
  <threadedComment ref="E2489" dT="2022-02-14T22:07:28.05" personId="{FE8C69F7-84F5-1046-8F83-9B09D29F64C9}" id="{E1FF3EBB-AFD8-F449-AA3C-1B8D4A442E64}">
    <text>Name change from FAIL to FALL</text>
  </threadedComment>
  <threadedComment ref="B2493" dT="2022-02-04T20:31:29.65" personId="{FE8C69F7-84F5-1046-8F83-9B09D29F64C9}" id="{E93BBEBB-EADD-5940-BFD4-E276A91F5E2C}">
    <text>ORIG JUL21 collection</text>
  </threadedComment>
  <threadedComment ref="B2493" dT="2022-02-28T17:30:22.86" personId="{FE8C69F7-84F5-1046-8F83-9B09D29F64C9}" id="{8659917E-5460-C543-8B2F-63960AE4FA2B}" parentId="{E93BBEBB-EADD-5940-BFD4-E276A91F5E2C}">
    <text>REMOVED FROM COLLECTION 2.25.22</text>
  </threadedComment>
  <threadedComment ref="B2493" dT="2023-04-05T00:19:26.28" personId="{FE8C69F7-84F5-1046-8F83-9B09D29F64C9}" id="{4FD12F5C-7FD5-7948-A262-87D38F10CEF6}" parentId="{E93BBEBB-EADD-5940-BFD4-E276A91F5E2C}">
    <text xml:space="preserve">ADD TO IMJUN23 RH 4.4.23
</text>
  </threadedComment>
  <threadedComment ref="B2494" dT="2022-02-04T20:31:47.46" personId="{FE8C69F7-84F5-1046-8F83-9B09D29F64C9}" id="{876798A5-C8C5-DD40-A1AA-976E921E3F4D}">
    <text>ORIG JUL21 collection</text>
  </threadedComment>
  <threadedComment ref="B2494" dT="2022-02-28T17:30:43.55" personId="{FE8C69F7-84F5-1046-8F83-9B09D29F64C9}" id="{48616CFB-D164-8348-AC35-6BDE74C4BA54}" parentId="{876798A5-C8C5-DD40-A1AA-976E921E3F4D}">
    <text>REMOVED FROM COLLECTION 2.25.22</text>
  </threadedComment>
  <threadedComment ref="B2494" dT="2023-04-05T00:19:39.19" personId="{FE8C69F7-84F5-1046-8F83-9B09D29F64C9}" id="{5FED4B8A-DFBB-FD40-B250-6348E2F7E19D}" parentId="{876798A5-C8C5-DD40-A1AA-976E921E3F4D}">
    <text>ADD TO RH IMJUN23 4.4.23</text>
  </threadedComment>
  <threadedComment ref="A2498" dT="2023-07-18T00:46:22.30" personId="{FE8C69F7-84F5-1046-8F83-9B09D29F64C9}" id="{696F187B-D51E-874F-A7AC-B0366CC18848}">
    <text>MOVE FROM AP TO REJ 7.17.23</text>
  </threadedComment>
  <threadedComment ref="B2555" dT="2023-03-20T19:29:44.95" personId="{FE8C69F7-84F5-1046-8F83-9B09D29F64C9}" id="{39D1E232-8C1B-7745-ADC1-E7659F4EB5EF}">
    <text xml:space="preserve">CHG FROM RH JUN21 TO CODARUS 3/23	</text>
  </threadedComment>
  <threadedComment ref="D2555" dT="2023-03-20T19:30:06.97" personId="{FE8C69F7-84F5-1046-8F83-9B09D29F64C9}" id="{794FD858-AB53-6646-A152-FCB1F51510B0}">
    <text>RH 10088635GMNT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12" dT="2021-10-13T00:21:27.46" personId="{FE8C69F7-84F5-1046-8F83-9B09D29F64C9}" id="{B18AA621-9AFB-A341-866A-D213E853FFB7}">
    <text>new canvas cost 10.15.21 from  $ .43</text>
  </threadedComment>
  <threadedComment ref="D12" dT="2022-05-02T20:03:36.89" personId="{D6E70C1C-7BA2-E147-805D-ECD562C1D0B5}" id="{0259CE17-96D7-EE46-8761-F4D0A547FDF5}" parentId="{B18AA621-9AFB-A341-866A-D213E853FFB7}">
    <text>5/2/22 Price inc. to 0.55 for 122”</text>
  </threadedComment>
  <threadedComment ref="D12" dT="2023-10-03T23:59:58.91" personId="{FE8C69F7-84F5-1046-8F83-9B09D29F64C9}" id="{59B792CD-DBB4-C041-93F5-A61477439813}" parentId="{B18AA621-9AFB-A341-866A-D213E853FFB7}">
    <text>10.3.23 price decrease to 0.53 for 122”</text>
  </threadedComment>
  <threadedComment ref="D28" dT="2022-11-10T22:43:34.70" personId="{FE8C69F7-84F5-1046-8F83-9B09D29F64C9}" id="{3307FAD9-C4D0-5949-AE7D-FEF7762529ED}">
    <text>Inca data 11/22</text>
  </threadedComment>
  <threadedComment ref="C29" dT="2022-11-10T22:47:24.56" personId="{FE8C69F7-84F5-1046-8F83-9B09D29F64C9}" id="{464634E0-847F-5346-84D4-A9B2C6C87AFC}">
    <text>landed ink cost 9/22</text>
  </threadedComment>
  <threadedComment ref="D31" dT="2022-11-10T22:12:22.48" personId="{FE8C69F7-84F5-1046-8F83-9B09D29F64C9}" id="{97DDBCB1-1408-8B4A-819E-24F9F1E19199}">
    <text>update 11/22</text>
  </threadedComment>
  <threadedComment ref="B36" dT="2022-11-10T22:51:59.32" personId="{FE8C69F7-84F5-1046-8F83-9B09D29F64C9}" id="{FF4C4165-CB1D-7943-9D74-0FAC1DB9335D}">
    <text>update 11/22 landed cost (9/22)</text>
  </threadedComment>
  <threadedComment ref="C36" dT="2022-11-10T22:50:50.18" personId="{FE8C69F7-84F5-1046-8F83-9B09D29F64C9}" id="{AE627C7F-DB35-D041-A715-C9155B456D2C}">
    <text>updated 11/22</text>
  </threadedComment>
  <threadedComment ref="C37" dT="2022-05-02T21:04:35.71" personId="{D6E70C1C-7BA2-E147-805D-ECD562C1D0B5}" id="{FD8AA526-C2B8-224C-A03D-F5F2CD3E0D50}">
    <text xml:space="preserve">New ink profile. Reduce $5.55 to $5.0 5/2/22
</text>
  </threadedComment>
  <threadedComment ref="C37" dT="2022-11-10T21:56:20.26" personId="{FE8C69F7-84F5-1046-8F83-9B09D29F64C9}" id="{CD4BDC0E-2085-E745-B066-EB56A95A7884}" parentId="{FD8AA526-C2B8-224C-A03D-F5F2CD3E0D50}">
    <text>New ink profile cost  11/22 from $5.55</text>
  </threadedComment>
  <threadedComment ref="B40" dT="2022-11-10T22:51:59.32" personId="{FE8C69F7-84F5-1046-8F83-9B09D29F64C9}" id="{0BFA6F91-8DAB-2040-9BB6-0E5A8C92F907}">
    <text>update 11/22 landed cost (9/22)</text>
  </threadedComment>
  <threadedComment ref="C40" dT="2021-11-30T22:41:51.75" personId="{FE8C69F7-84F5-1046-8F83-9B09D29F64C9}" id="{1150A089-56DF-6C4A-81F4-C4FB66EF4828}">
    <text>update 11/30/21 new calc Zephyr</text>
  </threadedComment>
  <threadedComment ref="C40" dT="2022-11-10T23:29:11.88" personId="{FE8C69F7-84F5-1046-8F83-9B09D29F64C9}" id="{FD5D20FA-3C1A-8F48-8F32-6AB9A4BE26CB}" parentId="{1150A089-56DF-6C4A-81F4-C4FB66EF4828}">
    <text>update 9/30 data on 11/22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microsoft.com/office/2019/04/relationships/namedSheetView" Target="../namedSheetViews/namedSheetView1.xml"/><Relationship Id="rId2" Type="http://schemas.openxmlformats.org/officeDocument/2006/relationships/hyperlink" Target="javascript:;" TargetMode="External"/><Relationship Id="rId1" Type="http://schemas.openxmlformats.org/officeDocument/2006/relationships/hyperlink" Target="javascript:;" TargetMode="External"/><Relationship Id="rId6" Type="http://schemas.microsoft.com/office/2017/10/relationships/threadedComment" Target="../threadedComments/threadedComment1.xml"/><Relationship Id="rId5" Type="http://schemas.openxmlformats.org/officeDocument/2006/relationships/comments" Target="../comments1.xml"/><Relationship Id="rId4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R2604"/>
  <sheetViews>
    <sheetView tabSelected="1" zoomScale="155" zoomScaleNormal="125" zoomScaleSheetLayoutView="125" zoomScalePageLayoutView="125" workbookViewId="0">
      <pane ySplit="1" topLeftCell="A206" activePane="bottomLeft" state="frozen"/>
      <selection pane="bottomLeft" activeCell="AC450" sqref="AC450"/>
    </sheetView>
  </sheetViews>
  <sheetFormatPr baseColWidth="10" defaultColWidth="14.7109375" defaultRowHeight="15" x14ac:dyDescent="0.2"/>
  <cols>
    <col min="1" max="1" width="11.85546875" style="218" customWidth="1"/>
    <col min="2" max="3" width="14.7109375" style="218"/>
    <col min="4" max="4" width="14.7109375" style="781"/>
    <col min="5" max="5" width="35.140625" style="218" customWidth="1"/>
    <col min="6" max="6" width="14.7109375" style="220"/>
    <col min="7" max="12" width="14.7109375" style="218"/>
    <col min="13" max="14" width="14.7109375" style="226"/>
    <col min="15" max="15" width="14.7109375" style="218"/>
    <col min="16" max="17" width="14.7109375" style="221"/>
    <col min="18" max="18" width="14.7109375" style="218"/>
    <col min="19" max="21" width="14.7109375" style="221"/>
    <col min="22" max="23" width="14.7109375" style="218"/>
    <col min="24" max="24" width="14.7109375" style="1156"/>
    <col min="25" max="26" width="14.7109375" style="218"/>
    <col min="27" max="27" width="14.7109375" style="224"/>
    <col min="28" max="28" width="14.7109375" style="248"/>
    <col min="29" max="31" width="14.7109375" style="218"/>
    <col min="32" max="32" width="14.7109375" style="250"/>
    <col min="33" max="41" width="14.7109375" style="218"/>
    <col min="42" max="46" width="14.7109375" style="227"/>
    <col min="47" max="53" width="14.7109375" style="218"/>
    <col min="54" max="16384" width="14.7109375" style="229"/>
  </cols>
  <sheetData>
    <row r="1" spans="1:356" s="214" customFormat="1" ht="16" x14ac:dyDescent="0.2">
      <c r="A1" s="211" t="s">
        <v>0</v>
      </c>
      <c r="B1" s="1548" t="s">
        <v>1</v>
      </c>
      <c r="C1" s="211" t="s">
        <v>2</v>
      </c>
      <c r="D1" s="715" t="s">
        <v>3</v>
      </c>
      <c r="E1" s="211" t="s">
        <v>4</v>
      </c>
      <c r="F1" s="211" t="s">
        <v>5</v>
      </c>
      <c r="G1" s="211" t="s">
        <v>6</v>
      </c>
      <c r="H1" s="211" t="s">
        <v>7</v>
      </c>
      <c r="I1" s="211" t="s">
        <v>8</v>
      </c>
      <c r="J1" s="211" t="s">
        <v>9</v>
      </c>
      <c r="K1" s="211" t="s">
        <v>10</v>
      </c>
      <c r="L1" s="211" t="s">
        <v>11</v>
      </c>
      <c r="M1" s="212" t="s">
        <v>12</v>
      </c>
      <c r="N1" s="212" t="s">
        <v>13</v>
      </c>
      <c r="O1" s="211" t="s">
        <v>14</v>
      </c>
      <c r="P1" s="716" t="s">
        <v>15</v>
      </c>
      <c r="Q1" s="716" t="s">
        <v>16</v>
      </c>
      <c r="R1" s="211" t="s">
        <v>17</v>
      </c>
      <c r="S1" s="716" t="s">
        <v>18</v>
      </c>
      <c r="T1" s="716" t="s">
        <v>19</v>
      </c>
      <c r="U1" s="716" t="s">
        <v>20</v>
      </c>
      <c r="V1" s="211" t="s">
        <v>21</v>
      </c>
      <c r="W1" s="211" t="s">
        <v>22</v>
      </c>
      <c r="X1" s="1160" t="s">
        <v>23</v>
      </c>
      <c r="Y1" s="211" t="s">
        <v>24</v>
      </c>
      <c r="Z1" s="211" t="s">
        <v>25</v>
      </c>
      <c r="AA1" s="211" t="s">
        <v>26</v>
      </c>
      <c r="AB1" s="211" t="s">
        <v>27</v>
      </c>
      <c r="AC1" s="211" t="s">
        <v>28</v>
      </c>
      <c r="AD1" s="211" t="s">
        <v>29</v>
      </c>
      <c r="AE1" s="211" t="s">
        <v>30</v>
      </c>
      <c r="AF1" s="213" t="s">
        <v>31</v>
      </c>
      <c r="AG1" s="211" t="s">
        <v>32</v>
      </c>
      <c r="AH1" s="211" t="s">
        <v>33</v>
      </c>
      <c r="AI1" s="211" t="s">
        <v>34</v>
      </c>
      <c r="AJ1" s="211" t="s">
        <v>35</v>
      </c>
      <c r="AK1" s="211" t="s">
        <v>36</v>
      </c>
      <c r="AL1" s="211" t="s">
        <v>37</v>
      </c>
      <c r="AM1" s="214" t="s">
        <v>38</v>
      </c>
      <c r="AN1" s="214" t="s">
        <v>39</v>
      </c>
      <c r="AO1" s="214" t="s">
        <v>40</v>
      </c>
      <c r="AP1" s="215" t="s">
        <v>41</v>
      </c>
      <c r="AQ1" s="215" t="s">
        <v>42</v>
      </c>
      <c r="AR1" s="215" t="s">
        <v>43</v>
      </c>
      <c r="AS1" s="215" t="s">
        <v>44</v>
      </c>
      <c r="AT1" s="215" t="s">
        <v>45</v>
      </c>
      <c r="AU1" s="214" t="s">
        <v>46</v>
      </c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</row>
    <row r="2" spans="1:356" s="1299" customFormat="1" ht="16" hidden="1" x14ac:dyDescent="0.2">
      <c r="A2" s="101"/>
      <c r="B2" s="60"/>
      <c r="C2" s="75" t="s">
        <v>47</v>
      </c>
      <c r="D2" s="75" t="s">
        <v>48</v>
      </c>
      <c r="E2" s="76" t="s">
        <v>49</v>
      </c>
      <c r="F2" s="83" t="s">
        <v>50</v>
      </c>
      <c r="G2" s="70" t="s">
        <v>51</v>
      </c>
      <c r="H2" s="70" t="s">
        <v>51</v>
      </c>
      <c r="I2" s="60" t="s">
        <v>52</v>
      </c>
      <c r="J2" s="59" t="s">
        <v>53</v>
      </c>
      <c r="K2" s="60" t="s">
        <v>54</v>
      </c>
      <c r="L2" s="101" t="s">
        <v>55</v>
      </c>
      <c r="M2" s="102">
        <v>560</v>
      </c>
      <c r="N2" s="71"/>
      <c r="O2" s="101" t="s">
        <v>56</v>
      </c>
      <c r="P2" s="273">
        <v>30</v>
      </c>
      <c r="Q2" s="273">
        <v>40</v>
      </c>
      <c r="R2" s="60">
        <v>30</v>
      </c>
      <c r="S2" s="273">
        <v>40</v>
      </c>
      <c r="T2" s="101">
        <f>P2</f>
        <v>30</v>
      </c>
      <c r="U2" s="273" t="str">
        <f>RIGHT(Table1[[#This Row],[OD]],2)</f>
        <v>40</v>
      </c>
      <c r="V2" s="608">
        <f>IF(J2="Canvas",P2+BorderGW,P2)</f>
        <v>38</v>
      </c>
      <c r="W2" s="608">
        <f>IF(J2="Canvas",Q2+BorderGW,Q2)</f>
        <v>48</v>
      </c>
      <c r="X2" s="157" t="s">
        <v>57</v>
      </c>
      <c r="Y2" s="60">
        <v>38</v>
      </c>
      <c r="Z2" s="60">
        <v>96</v>
      </c>
      <c r="AA2" s="649">
        <f t="shared" ref="AA2:AA9" si="0">V2*W2/144</f>
        <v>12.666666666666666</v>
      </c>
      <c r="AB2" s="184">
        <f>AA2*IncaG</f>
        <v>266.50666666666666</v>
      </c>
      <c r="AC2" s="104">
        <f t="shared" ref="AC2:AC9" si="1">AA2*Canvas</f>
        <v>8.36</v>
      </c>
      <c r="AD2" s="104">
        <f>AA2*IncaC</f>
        <v>21.320533333333334</v>
      </c>
      <c r="AE2" s="104">
        <f>IF(Table1[[#This Row],[Work Center]]="SwissQ",Materials!G$37,IF(Table1[[#This Row],[Work Center]]="Inca",Materials!G$29,IF(Table1[[#This Row],[Work Center]]="Canon",Materials!G$49,Materials!G$45)))</f>
        <v>8</v>
      </c>
      <c r="AF2" s="69">
        <f>'Cali FPS'!C$48</f>
        <v>76.3</v>
      </c>
      <c r="AG2" s="115"/>
      <c r="AH2" s="498">
        <f t="shared" ref="AH2:AH9" si="2">(M2*0.05)</f>
        <v>28</v>
      </c>
      <c r="AI2" s="278"/>
      <c r="AJ2" s="104">
        <f t="shared" ref="AJ2:AJ9" si="3">SUM(AC2:AH2)</f>
        <v>141.98053333333331</v>
      </c>
      <c r="AK2" s="830">
        <f t="shared" ref="AK2:AK9" si="4">(M2-AJ2)/M2</f>
        <v>0.74646333333333337</v>
      </c>
      <c r="AL2" s="225">
        <f>Table1[[#This Row],[WSP/Dealer]]/Table1[[#This Row],[OD Sq Inch]]</f>
        <v>0.46666666666666667</v>
      </c>
      <c r="AM2" s="218">
        <f>Table1[[#This Row],[OD Wdth]]*Table1[[#This Row],[OD Hgt]]</f>
        <v>1200</v>
      </c>
      <c r="AN2" s="216">
        <f>Table1[[#This Row],[Min VO]]+Table1[[#This Row],[Max VO]]</f>
        <v>70</v>
      </c>
      <c r="AO2" s="103"/>
      <c r="AP2" s="101"/>
      <c r="AQ2" s="104"/>
      <c r="AR2" s="104"/>
      <c r="AS2" s="104"/>
      <c r="AT2" s="104"/>
      <c r="AU2" s="108" t="str">
        <f t="shared" ref="AU2:AU65" si="5">IF(AQ2=0,"-",(AQ2-AT2)/AQ2)</f>
        <v>-</v>
      </c>
      <c r="AV2" s="1298"/>
      <c r="AW2" s="1298"/>
      <c r="AX2" s="1298"/>
      <c r="AY2" s="1298"/>
      <c r="AZ2" s="1298"/>
      <c r="BA2" s="1298"/>
      <c r="BB2" s="1298"/>
      <c r="BC2" s="1298"/>
      <c r="BD2" s="1298"/>
      <c r="BE2" s="1298"/>
      <c r="BF2" s="1298"/>
      <c r="BG2" s="1298"/>
      <c r="BH2" s="1298"/>
      <c r="BI2" s="1298"/>
      <c r="BJ2" s="1298"/>
      <c r="BK2" s="1298"/>
      <c r="BL2" s="1298"/>
      <c r="BM2" s="1298"/>
      <c r="BN2" s="1298"/>
      <c r="BO2" s="1298"/>
      <c r="BP2" s="1298"/>
      <c r="BQ2" s="1298"/>
      <c r="BR2" s="1298"/>
      <c r="BS2" s="1298"/>
      <c r="BT2" s="1298"/>
      <c r="BU2" s="1298"/>
      <c r="BV2" s="1298"/>
      <c r="BW2" s="1298"/>
      <c r="BX2" s="1298"/>
      <c r="BY2" s="1298"/>
      <c r="BZ2" s="1298"/>
      <c r="CA2" s="1298"/>
      <c r="CB2" s="1298"/>
      <c r="CC2" s="1298"/>
      <c r="CD2" s="1298"/>
      <c r="CE2" s="1298"/>
      <c r="CF2" s="1298"/>
      <c r="CG2" s="1298"/>
      <c r="CH2" s="1298"/>
      <c r="CI2" s="1298"/>
      <c r="CJ2" s="1298"/>
      <c r="CK2" s="1298"/>
      <c r="CL2" s="1298"/>
      <c r="CM2" s="1298"/>
      <c r="CN2" s="1298"/>
      <c r="CO2" s="1298"/>
      <c r="CP2" s="1298"/>
      <c r="CQ2" s="1298"/>
      <c r="CR2" s="1298"/>
      <c r="CS2" s="1298"/>
      <c r="CT2" s="1298"/>
      <c r="CU2" s="1298"/>
      <c r="CV2" s="1298"/>
      <c r="CW2" s="1298"/>
      <c r="CX2" s="1298"/>
      <c r="CY2" s="1298"/>
      <c r="CZ2" s="1298"/>
      <c r="DA2" s="1298"/>
      <c r="DB2" s="1298"/>
      <c r="DC2" s="1298"/>
      <c r="DD2" s="1298"/>
      <c r="DE2" s="1298"/>
      <c r="DF2" s="1298"/>
      <c r="DG2" s="1298"/>
      <c r="DH2" s="1298"/>
      <c r="DI2" s="1298"/>
      <c r="DJ2" s="1298"/>
      <c r="DK2" s="1298"/>
      <c r="DL2" s="1298"/>
      <c r="DM2" s="1298"/>
      <c r="DN2" s="1298"/>
      <c r="DO2" s="1298"/>
      <c r="DP2" s="1298"/>
      <c r="DQ2" s="1298"/>
      <c r="DR2" s="1298"/>
      <c r="DS2" s="1298"/>
      <c r="DT2" s="1298"/>
      <c r="DU2" s="1298"/>
      <c r="DV2" s="1298"/>
      <c r="DW2" s="1298"/>
      <c r="DX2" s="1298"/>
      <c r="DY2" s="1298"/>
      <c r="DZ2" s="1298"/>
      <c r="EA2" s="1298"/>
      <c r="EB2" s="1298"/>
      <c r="EC2" s="1298"/>
      <c r="ED2" s="1298"/>
      <c r="EE2" s="1298"/>
      <c r="EF2" s="1298"/>
      <c r="EG2" s="1298"/>
      <c r="EH2" s="1298"/>
      <c r="EI2" s="1298"/>
      <c r="EJ2" s="1298"/>
      <c r="EK2" s="1298"/>
      <c r="EL2" s="1298"/>
      <c r="EM2" s="1298"/>
      <c r="EN2" s="1298"/>
      <c r="EO2" s="1298"/>
      <c r="EP2" s="1298"/>
      <c r="EQ2" s="1298"/>
      <c r="ER2" s="1298"/>
      <c r="ES2" s="1298"/>
      <c r="ET2" s="1298"/>
      <c r="EU2" s="1298"/>
      <c r="EV2" s="1298"/>
      <c r="EW2" s="1298"/>
      <c r="EX2" s="1298"/>
      <c r="EY2" s="1298"/>
      <c r="EZ2" s="1298"/>
      <c r="FA2" s="1298"/>
      <c r="FB2" s="1298"/>
      <c r="FC2" s="1298"/>
      <c r="FD2" s="1298"/>
      <c r="FE2" s="1298"/>
      <c r="FF2" s="1298"/>
      <c r="FG2" s="1298"/>
      <c r="FH2" s="1298"/>
      <c r="FI2" s="1298"/>
      <c r="FJ2" s="1298"/>
      <c r="FK2" s="1298"/>
      <c r="FL2" s="1298"/>
      <c r="FM2" s="1298"/>
      <c r="FN2" s="1298"/>
      <c r="FO2" s="1298"/>
      <c r="FP2" s="1298"/>
      <c r="FQ2" s="1298"/>
      <c r="FR2" s="1298"/>
      <c r="FS2" s="1298"/>
      <c r="FT2" s="1298"/>
      <c r="FU2" s="1298"/>
      <c r="FV2" s="1298"/>
      <c r="FW2" s="1298"/>
      <c r="FX2" s="1298"/>
      <c r="FY2" s="1298"/>
      <c r="FZ2" s="1298"/>
      <c r="GA2" s="1298"/>
      <c r="GB2" s="1298"/>
      <c r="GC2" s="1298"/>
      <c r="GD2" s="1298"/>
      <c r="GE2" s="1298"/>
      <c r="GF2" s="1298"/>
      <c r="GG2" s="1298"/>
      <c r="GH2" s="1298"/>
      <c r="GI2" s="1298"/>
      <c r="GJ2" s="1298"/>
      <c r="GK2" s="1298"/>
      <c r="GL2" s="1298"/>
      <c r="GM2" s="1298"/>
      <c r="GN2" s="1298"/>
      <c r="GO2" s="1298"/>
      <c r="GP2" s="1298"/>
      <c r="GQ2" s="1298"/>
      <c r="GR2" s="1298"/>
      <c r="GS2" s="1298"/>
      <c r="GT2" s="1298"/>
      <c r="GU2" s="1298"/>
      <c r="GV2" s="1298"/>
      <c r="GW2" s="1298"/>
      <c r="GX2" s="1298"/>
      <c r="GY2" s="1298"/>
      <c r="GZ2" s="1298"/>
      <c r="HA2" s="1298"/>
      <c r="HB2" s="1298"/>
      <c r="HC2" s="1298"/>
      <c r="HD2" s="1298"/>
      <c r="HE2" s="1298"/>
      <c r="HF2" s="1298"/>
      <c r="HG2" s="1298"/>
      <c r="HH2" s="1298"/>
      <c r="HI2" s="1298"/>
      <c r="HJ2" s="1298"/>
      <c r="HK2" s="1298"/>
      <c r="HL2" s="1298"/>
      <c r="HM2" s="1298"/>
      <c r="HN2" s="1298"/>
      <c r="HO2" s="1298"/>
      <c r="HP2" s="1298"/>
      <c r="HQ2" s="1298"/>
      <c r="HR2" s="1298"/>
      <c r="HS2" s="1298"/>
      <c r="HT2" s="1298"/>
      <c r="HU2" s="1298"/>
      <c r="HV2" s="1298"/>
      <c r="HW2" s="1298"/>
      <c r="HX2" s="1298"/>
      <c r="HY2" s="1298"/>
      <c r="HZ2" s="1298"/>
      <c r="IA2" s="1298"/>
      <c r="IB2" s="1298"/>
      <c r="IC2" s="1298"/>
      <c r="ID2" s="1298"/>
      <c r="IE2" s="1298"/>
      <c r="IF2" s="1298"/>
      <c r="IG2" s="1298"/>
      <c r="IH2" s="1298"/>
      <c r="II2" s="1298"/>
      <c r="IJ2" s="1298"/>
      <c r="IK2" s="1298"/>
      <c r="IL2" s="1298"/>
      <c r="IM2" s="1298"/>
      <c r="IN2" s="1298"/>
      <c r="IO2" s="1298"/>
      <c r="IP2" s="1298"/>
      <c r="IQ2" s="1298"/>
      <c r="IR2" s="1298"/>
      <c r="IS2" s="1298"/>
      <c r="IT2" s="1298"/>
      <c r="IU2" s="1298"/>
      <c r="IV2" s="1298"/>
      <c r="IW2" s="1298"/>
      <c r="IX2" s="1298"/>
      <c r="IY2" s="1298"/>
      <c r="IZ2" s="1298"/>
      <c r="JA2" s="1298"/>
      <c r="JB2" s="1298"/>
      <c r="JC2" s="1298"/>
      <c r="JD2" s="1298"/>
      <c r="JE2" s="1298"/>
      <c r="JF2" s="1298"/>
      <c r="JG2" s="1298"/>
      <c r="JH2" s="1298"/>
      <c r="JI2" s="1298"/>
      <c r="JJ2" s="1298"/>
      <c r="JK2" s="1298"/>
      <c r="JL2" s="1298"/>
      <c r="JM2" s="1298"/>
      <c r="JN2" s="1298"/>
      <c r="JO2" s="1298"/>
      <c r="JP2" s="1298"/>
      <c r="JQ2" s="1298"/>
      <c r="JR2" s="1298"/>
      <c r="JS2" s="1298"/>
      <c r="JT2" s="1298"/>
      <c r="JU2" s="1298"/>
      <c r="JV2" s="1298"/>
      <c r="JW2" s="1298"/>
      <c r="JX2" s="1298"/>
      <c r="JY2" s="1298"/>
      <c r="JZ2" s="1298"/>
      <c r="KA2" s="1298"/>
      <c r="KB2" s="1298"/>
      <c r="KC2" s="1298"/>
      <c r="KD2" s="1298"/>
      <c r="KE2" s="1298"/>
      <c r="KF2" s="1298"/>
      <c r="KG2" s="1298"/>
      <c r="KH2" s="1298"/>
      <c r="KI2" s="1298"/>
      <c r="KJ2" s="1298"/>
      <c r="KK2" s="1298"/>
      <c r="KL2" s="1298"/>
      <c r="KM2" s="1298"/>
      <c r="KN2" s="1298"/>
      <c r="KO2" s="1298"/>
      <c r="KP2" s="1298"/>
      <c r="KQ2" s="1298"/>
      <c r="KR2" s="1298"/>
      <c r="KS2" s="1298"/>
      <c r="KT2" s="1298"/>
      <c r="KU2" s="1298"/>
      <c r="KV2" s="1298"/>
      <c r="KW2" s="1298"/>
      <c r="KX2" s="1298"/>
      <c r="KY2" s="1298"/>
      <c r="KZ2" s="1298"/>
      <c r="LA2" s="1298"/>
      <c r="LB2" s="1298"/>
      <c r="LC2" s="1298"/>
      <c r="LD2" s="1298"/>
      <c r="LE2" s="1298"/>
      <c r="LF2" s="1298"/>
      <c r="LG2" s="1298"/>
      <c r="LH2" s="1298"/>
      <c r="LI2" s="1298"/>
      <c r="LJ2" s="1298"/>
      <c r="LK2" s="1298"/>
      <c r="LL2" s="1298"/>
      <c r="LM2" s="1298"/>
      <c r="LN2" s="1298"/>
      <c r="LO2" s="1298"/>
      <c r="LP2" s="1298"/>
      <c r="LQ2" s="1298"/>
      <c r="LR2" s="1298"/>
      <c r="LS2" s="1298"/>
      <c r="LT2" s="1298"/>
      <c r="LU2" s="1298"/>
      <c r="LV2" s="1298"/>
      <c r="LW2" s="1298"/>
      <c r="LX2" s="1298"/>
      <c r="LY2" s="1298"/>
      <c r="LZ2" s="1298"/>
      <c r="MA2" s="1298"/>
      <c r="MB2" s="1298"/>
      <c r="MC2" s="1298"/>
      <c r="MD2" s="1298"/>
      <c r="ME2" s="1298"/>
      <c r="MF2" s="1298"/>
      <c r="MG2" s="1298"/>
      <c r="MH2" s="1298"/>
      <c r="MI2" s="1298"/>
      <c r="MJ2" s="1298"/>
      <c r="MK2" s="1298"/>
      <c r="ML2" s="1298"/>
      <c r="MM2" s="1298"/>
      <c r="MN2" s="1298"/>
      <c r="MO2" s="1298"/>
      <c r="MP2" s="1298"/>
      <c r="MQ2" s="1298"/>
      <c r="MR2" s="1298"/>
    </row>
    <row r="3" spans="1:356" s="1299" customFormat="1" ht="16" x14ac:dyDescent="0.2">
      <c r="A3" s="60" t="s">
        <v>58</v>
      </c>
      <c r="B3" s="1106" t="s">
        <v>59</v>
      </c>
      <c r="C3" s="75" t="s">
        <v>60</v>
      </c>
      <c r="D3" s="75" t="s">
        <v>61</v>
      </c>
      <c r="E3" s="83" t="s">
        <v>62</v>
      </c>
      <c r="F3" s="83" t="s">
        <v>50</v>
      </c>
      <c r="G3" s="70" t="s">
        <v>63</v>
      </c>
      <c r="H3" s="70" t="s">
        <v>63</v>
      </c>
      <c r="I3" s="60" t="s">
        <v>52</v>
      </c>
      <c r="J3" s="59" t="s">
        <v>53</v>
      </c>
      <c r="K3" s="60" t="s">
        <v>54</v>
      </c>
      <c r="L3" s="60" t="s">
        <v>55</v>
      </c>
      <c r="M3" s="179">
        <v>1800</v>
      </c>
      <c r="N3" s="124"/>
      <c r="O3" s="60" t="s">
        <v>64</v>
      </c>
      <c r="P3" s="273">
        <v>68</v>
      </c>
      <c r="Q3" s="273">
        <v>90</v>
      </c>
      <c r="R3" s="60">
        <v>68</v>
      </c>
      <c r="S3" s="273">
        <v>90</v>
      </c>
      <c r="T3" s="60">
        <v>68</v>
      </c>
      <c r="U3" s="273">
        <v>90</v>
      </c>
      <c r="V3" s="946">
        <f t="shared" ref="V3:V9" si="6">IF(J3="Canvas",P3+Border,P3)</f>
        <v>76</v>
      </c>
      <c r="W3" s="946">
        <f t="shared" ref="W3:W9" si="7">IF(J3="Canvas",Q3+Border,Q3)</f>
        <v>98</v>
      </c>
      <c r="X3" s="60">
        <v>122</v>
      </c>
      <c r="Y3" s="60">
        <v>76</v>
      </c>
      <c r="Z3" s="60">
        <v>98</v>
      </c>
      <c r="AA3" s="717">
        <f t="shared" si="0"/>
        <v>51.722222222222221</v>
      </c>
      <c r="AB3" s="125">
        <f t="shared" ref="AB3:AB9" si="8">AA3*Swiss1</f>
        <v>1463.7388888888888</v>
      </c>
      <c r="AC3" s="69">
        <f t="shared" si="1"/>
        <v>34.13666666666667</v>
      </c>
      <c r="AD3" s="69">
        <f>Table1[[#This Row],[Substrate SF]]*Materials!C$37</f>
        <v>144.82222222222222</v>
      </c>
      <c r="AE3" s="69">
        <f>IF(Table1[[#This Row],[Work Center]]="SwissQ",Materials!G$37,IF(Table1[[#This Row],[Work Center]]="Inca",Materials!G$29,IF(Table1[[#This Row],[Work Center]]="Canon",Materials!G$49,Materials!G$45)))</f>
        <v>20</v>
      </c>
      <c r="AF3" s="72">
        <f>'Cali FPS'!C167</f>
        <v>275.20999999999998</v>
      </c>
      <c r="AG3" s="83"/>
      <c r="AH3" s="69">
        <f t="shared" si="2"/>
        <v>90</v>
      </c>
      <c r="AI3" s="69"/>
      <c r="AJ3" s="69">
        <f t="shared" si="3"/>
        <v>564.16888888888889</v>
      </c>
      <c r="AK3" s="650">
        <f t="shared" si="4"/>
        <v>0.68657283950617287</v>
      </c>
      <c r="AL3" s="69">
        <f>Table1[[#This Row],[WSP/Dealer]]/Table1[[#This Row],[OD Sq Inch]]</f>
        <v>0.29411764705882354</v>
      </c>
      <c r="AM3" s="46">
        <f>Table1[[#This Row],[OD Wdth]]*Table1[[#This Row],[OD Hgt]]</f>
        <v>6120</v>
      </c>
      <c r="AN3" s="60">
        <f>Table1[[#This Row],[Min VO]]+Table1[[#This Row],[Max VO]]</f>
        <v>158</v>
      </c>
      <c r="AO3" s="83"/>
      <c r="AP3" s="83"/>
      <c r="AQ3" s="540"/>
      <c r="AR3" s="540"/>
      <c r="AS3" s="540"/>
      <c r="AT3" s="69"/>
      <c r="AU3" s="1361" t="str">
        <f t="shared" si="5"/>
        <v>-</v>
      </c>
      <c r="AV3" s="1298"/>
      <c r="AW3" s="1298"/>
      <c r="AX3" s="1298"/>
      <c r="AY3" s="1298"/>
      <c r="AZ3" s="1298"/>
      <c r="BA3" s="1298"/>
      <c r="BB3" s="1298"/>
      <c r="BC3" s="1298"/>
      <c r="BD3" s="1298"/>
      <c r="BE3" s="1298"/>
      <c r="BF3" s="1298"/>
      <c r="BG3" s="1298"/>
      <c r="BH3" s="1298"/>
      <c r="BI3" s="1298"/>
      <c r="BJ3" s="1298"/>
      <c r="BK3" s="1298"/>
      <c r="BL3" s="1298"/>
      <c r="BM3" s="1298"/>
      <c r="BN3" s="1298"/>
      <c r="BO3" s="1298"/>
      <c r="BP3" s="1298"/>
      <c r="BQ3" s="1298"/>
      <c r="BR3" s="1298"/>
      <c r="BS3" s="1298"/>
      <c r="BT3" s="1298"/>
      <c r="BU3" s="1298"/>
      <c r="BV3" s="1298"/>
      <c r="BW3" s="1298"/>
      <c r="BX3" s="1298"/>
      <c r="BY3" s="1298"/>
      <c r="BZ3" s="1298"/>
      <c r="CA3" s="1298"/>
      <c r="CB3" s="1298"/>
      <c r="CC3" s="1298"/>
      <c r="CD3" s="1298"/>
      <c r="CE3" s="1298"/>
      <c r="CF3" s="1298"/>
      <c r="CG3" s="1298"/>
      <c r="CH3" s="1298"/>
      <c r="CI3" s="1298"/>
      <c r="CJ3" s="1298"/>
      <c r="CK3" s="1298"/>
      <c r="CL3" s="1298"/>
      <c r="CM3" s="1298"/>
      <c r="CN3" s="1298"/>
      <c r="CO3" s="1298"/>
      <c r="CP3" s="1298"/>
      <c r="CQ3" s="1298"/>
      <c r="CR3" s="1298"/>
      <c r="CS3" s="1298"/>
      <c r="CT3" s="1298"/>
      <c r="CU3" s="1298"/>
      <c r="CV3" s="1298"/>
      <c r="CW3" s="1298"/>
      <c r="CX3" s="1298"/>
      <c r="CY3" s="1298"/>
      <c r="CZ3" s="1298"/>
      <c r="DA3" s="1298"/>
      <c r="DB3" s="1298"/>
      <c r="DC3" s="1298"/>
      <c r="DD3" s="1298"/>
      <c r="DE3" s="1298"/>
      <c r="DF3" s="1298"/>
      <c r="DG3" s="1298"/>
      <c r="DH3" s="1298"/>
      <c r="DI3" s="1298"/>
      <c r="DJ3" s="1298"/>
      <c r="DK3" s="1298"/>
      <c r="DL3" s="1298"/>
      <c r="DM3" s="1298"/>
      <c r="DN3" s="1298"/>
      <c r="DO3" s="1298"/>
      <c r="DP3" s="1298"/>
      <c r="DQ3" s="1298"/>
      <c r="DR3" s="1298"/>
      <c r="DS3" s="1298"/>
      <c r="DT3" s="1298"/>
      <c r="DU3" s="1298"/>
      <c r="DV3" s="1298"/>
      <c r="DW3" s="1298"/>
      <c r="DX3" s="1298"/>
      <c r="DY3" s="1298"/>
      <c r="DZ3" s="1298"/>
      <c r="EA3" s="1298"/>
      <c r="EB3" s="1298"/>
      <c r="EC3" s="1298"/>
      <c r="ED3" s="1298"/>
      <c r="EE3" s="1298"/>
      <c r="EF3" s="1298"/>
      <c r="EG3" s="1298"/>
      <c r="EH3" s="1298"/>
      <c r="EI3" s="1298"/>
      <c r="EJ3" s="1298"/>
      <c r="EK3" s="1298"/>
      <c r="EL3" s="1298"/>
      <c r="EM3" s="1298"/>
      <c r="EN3" s="1298"/>
      <c r="EO3" s="1298"/>
      <c r="EP3" s="1298"/>
      <c r="EQ3" s="1298"/>
      <c r="ER3" s="1298"/>
      <c r="ES3" s="1298"/>
      <c r="ET3" s="1298"/>
      <c r="EU3" s="1298"/>
      <c r="EV3" s="1298"/>
      <c r="EW3" s="1298"/>
      <c r="EX3" s="1298"/>
      <c r="EY3" s="1298"/>
      <c r="EZ3" s="1298"/>
      <c r="FA3" s="1298"/>
      <c r="FB3" s="1298"/>
      <c r="FC3" s="1298"/>
      <c r="FD3" s="1298"/>
      <c r="FE3" s="1298"/>
      <c r="FF3" s="1298"/>
      <c r="FG3" s="1298"/>
      <c r="FH3" s="1298"/>
      <c r="FI3" s="1298"/>
      <c r="FJ3" s="1298"/>
      <c r="FK3" s="1298"/>
      <c r="FL3" s="1298"/>
      <c r="FM3" s="1298"/>
      <c r="FN3" s="1298"/>
      <c r="FO3" s="1298"/>
      <c r="FP3" s="1298"/>
      <c r="FQ3" s="1298"/>
      <c r="FR3" s="1298"/>
      <c r="FS3" s="1298"/>
      <c r="FT3" s="1298"/>
      <c r="FU3" s="1298"/>
      <c r="FV3" s="1298"/>
      <c r="FW3" s="1298"/>
      <c r="FX3" s="1298"/>
      <c r="FY3" s="1298"/>
      <c r="FZ3" s="1298"/>
      <c r="GA3" s="1298"/>
      <c r="GB3" s="1298"/>
      <c r="GC3" s="1298"/>
      <c r="GD3" s="1298"/>
      <c r="GE3" s="1298"/>
      <c r="GF3" s="1298"/>
      <c r="GG3" s="1298"/>
      <c r="GH3" s="1298"/>
      <c r="GI3" s="1298"/>
      <c r="GJ3" s="1298"/>
      <c r="GK3" s="1298"/>
      <c r="GL3" s="1298"/>
      <c r="GM3" s="1298"/>
      <c r="GN3" s="1298"/>
      <c r="GO3" s="1298"/>
      <c r="GP3" s="1298"/>
      <c r="GQ3" s="1298"/>
      <c r="GR3" s="1298"/>
      <c r="GS3" s="1298"/>
      <c r="GT3" s="1298"/>
      <c r="GU3" s="1298"/>
      <c r="GV3" s="1298"/>
      <c r="GW3" s="1298"/>
      <c r="GX3" s="1298"/>
      <c r="GY3" s="1298"/>
      <c r="GZ3" s="1298"/>
      <c r="HA3" s="1298"/>
      <c r="HB3" s="1298"/>
      <c r="HC3" s="1298"/>
      <c r="HD3" s="1298"/>
      <c r="HE3" s="1298"/>
      <c r="HF3" s="1298"/>
      <c r="HG3" s="1298"/>
      <c r="HH3" s="1298"/>
      <c r="HI3" s="1298"/>
      <c r="HJ3" s="1298"/>
      <c r="HK3" s="1298"/>
      <c r="HL3" s="1298"/>
      <c r="HM3" s="1298"/>
      <c r="HN3" s="1298"/>
      <c r="HO3" s="1298"/>
      <c r="HP3" s="1298"/>
      <c r="HQ3" s="1298"/>
      <c r="HR3" s="1298"/>
      <c r="HS3" s="1298"/>
      <c r="HT3" s="1298"/>
      <c r="HU3" s="1298"/>
      <c r="HV3" s="1298"/>
      <c r="HW3" s="1298"/>
      <c r="HX3" s="1298"/>
      <c r="HY3" s="1298"/>
      <c r="HZ3" s="1298"/>
      <c r="IA3" s="1298"/>
      <c r="IB3" s="1298"/>
      <c r="IC3" s="1298"/>
      <c r="ID3" s="1298"/>
      <c r="IE3" s="1298"/>
      <c r="IF3" s="1298"/>
      <c r="IG3" s="1298"/>
      <c r="IH3" s="1298"/>
      <c r="II3" s="1298"/>
      <c r="IJ3" s="1298"/>
      <c r="IK3" s="1298"/>
      <c r="IL3" s="1298"/>
      <c r="IM3" s="1298"/>
      <c r="IN3" s="1298"/>
      <c r="IO3" s="1298"/>
      <c r="IP3" s="1298"/>
      <c r="IQ3" s="1298"/>
      <c r="IR3" s="1298"/>
      <c r="IS3" s="1298"/>
      <c r="IT3" s="1298"/>
      <c r="IU3" s="1298"/>
      <c r="IV3" s="1298"/>
      <c r="IW3" s="1298"/>
      <c r="IX3" s="1298"/>
      <c r="IY3" s="1298"/>
      <c r="IZ3" s="1298"/>
      <c r="JA3" s="1298"/>
      <c r="JB3" s="1298"/>
      <c r="JC3" s="1298"/>
      <c r="JD3" s="1298"/>
      <c r="JE3" s="1298"/>
      <c r="JF3" s="1298"/>
      <c r="JG3" s="1298"/>
      <c r="JH3" s="1298"/>
      <c r="JI3" s="1298"/>
      <c r="JJ3" s="1298"/>
      <c r="JK3" s="1298"/>
      <c r="JL3" s="1298"/>
      <c r="JM3" s="1298"/>
      <c r="JN3" s="1298"/>
      <c r="JO3" s="1298"/>
      <c r="JP3" s="1298"/>
      <c r="JQ3" s="1298"/>
      <c r="JR3" s="1298"/>
      <c r="JS3" s="1298"/>
      <c r="JT3" s="1298"/>
      <c r="JU3" s="1298"/>
      <c r="JV3" s="1298"/>
      <c r="JW3" s="1298"/>
      <c r="JX3" s="1298"/>
      <c r="JY3" s="1298"/>
      <c r="JZ3" s="1298"/>
      <c r="KA3" s="1298"/>
      <c r="KB3" s="1298"/>
      <c r="KC3" s="1298"/>
      <c r="KD3" s="1298"/>
      <c r="KE3" s="1298"/>
      <c r="KF3" s="1298"/>
      <c r="KG3" s="1298"/>
      <c r="KH3" s="1298"/>
      <c r="KI3" s="1298"/>
      <c r="KJ3" s="1298"/>
      <c r="KK3" s="1298"/>
      <c r="KL3" s="1298"/>
      <c r="KM3" s="1298"/>
      <c r="KN3" s="1298"/>
      <c r="KO3" s="1298"/>
      <c r="KP3" s="1298"/>
      <c r="KQ3" s="1298"/>
      <c r="KR3" s="1298"/>
      <c r="KS3" s="1298"/>
      <c r="KT3" s="1298"/>
      <c r="KU3" s="1298"/>
      <c r="KV3" s="1298"/>
      <c r="KW3" s="1298"/>
      <c r="KX3" s="1298"/>
      <c r="KY3" s="1298"/>
      <c r="KZ3" s="1298"/>
      <c r="LA3" s="1298"/>
      <c r="LB3" s="1298"/>
      <c r="LC3" s="1298"/>
      <c r="LD3" s="1298"/>
      <c r="LE3" s="1298"/>
      <c r="LF3" s="1298"/>
      <c r="LG3" s="1298"/>
      <c r="LH3" s="1298"/>
      <c r="LI3" s="1298"/>
      <c r="LJ3" s="1298"/>
      <c r="LK3" s="1298"/>
      <c r="LL3" s="1298"/>
      <c r="LM3" s="1298"/>
      <c r="LN3" s="1298"/>
      <c r="LO3" s="1298"/>
      <c r="LP3" s="1298"/>
      <c r="LQ3" s="1298"/>
      <c r="LR3" s="1298"/>
      <c r="LS3" s="1298"/>
      <c r="LT3" s="1298"/>
      <c r="LU3" s="1298"/>
      <c r="LV3" s="1298"/>
      <c r="LW3" s="1298"/>
      <c r="LX3" s="1298"/>
      <c r="LY3" s="1298"/>
      <c r="LZ3" s="1298"/>
      <c r="MA3" s="1298"/>
      <c r="MB3" s="1298"/>
      <c r="MC3" s="1298"/>
      <c r="MD3" s="1298"/>
      <c r="ME3" s="1298"/>
      <c r="MF3" s="1298"/>
      <c r="MG3" s="1298"/>
      <c r="MH3" s="1298"/>
      <c r="MI3" s="1298"/>
      <c r="MJ3" s="1298"/>
      <c r="MK3" s="1298"/>
      <c r="ML3" s="1298"/>
      <c r="MM3" s="1298"/>
      <c r="MN3" s="1298"/>
      <c r="MO3" s="1298"/>
      <c r="MP3" s="1298"/>
      <c r="MQ3" s="1298"/>
      <c r="MR3" s="1298"/>
    </row>
    <row r="4" spans="1:356" s="1299" customFormat="1" ht="16" x14ac:dyDescent="0.2">
      <c r="A4" s="274" t="s">
        <v>58</v>
      </c>
      <c r="B4" s="1152" t="s">
        <v>65</v>
      </c>
      <c r="C4" s="257" t="s">
        <v>66</v>
      </c>
      <c r="D4" s="1476" t="s">
        <v>67</v>
      </c>
      <c r="E4" s="84" t="s">
        <v>62</v>
      </c>
      <c r="F4" s="84" t="s">
        <v>50</v>
      </c>
      <c r="G4" s="1131" t="s">
        <v>63</v>
      </c>
      <c r="H4" s="1131" t="s">
        <v>68</v>
      </c>
      <c r="I4" s="68" t="s">
        <v>52</v>
      </c>
      <c r="J4" s="140" t="s">
        <v>53</v>
      </c>
      <c r="K4" s="68" t="s">
        <v>69</v>
      </c>
      <c r="L4" s="68" t="s">
        <v>70</v>
      </c>
      <c r="M4" s="93">
        <v>2050</v>
      </c>
      <c r="N4" s="93"/>
      <c r="O4" s="68" t="s">
        <v>64</v>
      </c>
      <c r="P4" s="623">
        <v>68</v>
      </c>
      <c r="Q4" s="623">
        <v>90</v>
      </c>
      <c r="R4" s="68">
        <v>68</v>
      </c>
      <c r="S4" s="623">
        <v>90</v>
      </c>
      <c r="T4" s="68">
        <v>69</v>
      </c>
      <c r="U4" s="623">
        <v>91</v>
      </c>
      <c r="V4" s="917">
        <f t="shared" si="6"/>
        <v>76</v>
      </c>
      <c r="W4" s="917">
        <f t="shared" si="7"/>
        <v>98</v>
      </c>
      <c r="X4" s="68">
        <v>122</v>
      </c>
      <c r="Y4" s="68">
        <v>76</v>
      </c>
      <c r="Z4" s="68">
        <v>98</v>
      </c>
      <c r="AA4" s="699">
        <f t="shared" si="0"/>
        <v>51.722222222222221</v>
      </c>
      <c r="AB4" s="297">
        <f t="shared" si="8"/>
        <v>1463.7388888888888</v>
      </c>
      <c r="AC4" s="74">
        <f t="shared" si="1"/>
        <v>34.13666666666667</v>
      </c>
      <c r="AD4" s="74">
        <f>Table1[[#This Row],[Substrate SF]]*Materials!C$37</f>
        <v>144.82222222222222</v>
      </c>
      <c r="AE4" s="74">
        <f>IF(Table1[[#This Row],[Work Center]]="SwissQ",Materials!G$37,IF(Table1[[#This Row],[Work Center]]="Inca",Materials!G$29,IF(Table1[[#This Row],[Work Center]]="Canon",Materials!G$49,Materials!G$45)))</f>
        <v>20</v>
      </c>
      <c r="AF4" s="73">
        <f>'Cali Frames'!D355</f>
        <v>375</v>
      </c>
      <c r="AG4" s="84"/>
      <c r="AH4" s="74">
        <f t="shared" si="2"/>
        <v>102.5</v>
      </c>
      <c r="AI4" s="74"/>
      <c r="AJ4" s="74">
        <f t="shared" si="3"/>
        <v>676.45888888888885</v>
      </c>
      <c r="AK4" s="1001">
        <f t="shared" si="4"/>
        <v>0.670020054200542</v>
      </c>
      <c r="AL4" s="74">
        <f>Table1[[#This Row],[WSP/Dealer]]/Table1[[#This Row],[OD Sq Inch]]</f>
        <v>0.32648510909380474</v>
      </c>
      <c r="AM4" s="63">
        <f>Table1[[#This Row],[OD Wdth]]*Table1[[#This Row],[OD Hgt]]</f>
        <v>6279</v>
      </c>
      <c r="AN4" s="68">
        <f>Table1[[#This Row],[Min VO]]+Table1[[#This Row],[Max VO]]</f>
        <v>158</v>
      </c>
      <c r="AO4" s="84"/>
      <c r="AP4" s="84"/>
      <c r="AQ4" s="126"/>
      <c r="AR4" s="126"/>
      <c r="AS4" s="126"/>
      <c r="AT4" s="74"/>
      <c r="AU4" s="1357" t="str">
        <f t="shared" si="5"/>
        <v>-</v>
      </c>
      <c r="AV4" s="1298"/>
      <c r="AW4" s="1298"/>
      <c r="AX4" s="1298"/>
      <c r="AY4" s="1298"/>
      <c r="AZ4" s="1298"/>
      <c r="BA4" s="1298"/>
      <c r="BB4" s="1298"/>
      <c r="BC4" s="1298"/>
      <c r="BD4" s="1298"/>
      <c r="BE4" s="1298"/>
      <c r="BF4" s="1298"/>
      <c r="BG4" s="1298"/>
      <c r="BH4" s="1298"/>
      <c r="BI4" s="1298"/>
      <c r="BJ4" s="1298"/>
      <c r="BK4" s="1298"/>
      <c r="BL4" s="1298"/>
      <c r="BM4" s="1298"/>
      <c r="BN4" s="1298"/>
      <c r="BO4" s="1298"/>
      <c r="BP4" s="1298"/>
      <c r="BQ4" s="1298"/>
      <c r="BR4" s="1298"/>
      <c r="BS4" s="1298"/>
      <c r="BT4" s="1298"/>
      <c r="BU4" s="1298"/>
      <c r="BV4" s="1298"/>
      <c r="BW4" s="1298"/>
      <c r="BX4" s="1298"/>
      <c r="BY4" s="1298"/>
      <c r="BZ4" s="1298"/>
      <c r="CA4" s="1298"/>
      <c r="CB4" s="1298"/>
      <c r="CC4" s="1298"/>
      <c r="CD4" s="1298"/>
      <c r="CE4" s="1298"/>
      <c r="CF4" s="1298"/>
      <c r="CG4" s="1298"/>
      <c r="CH4" s="1298"/>
      <c r="CI4" s="1298"/>
      <c r="CJ4" s="1298"/>
      <c r="CK4" s="1298"/>
      <c r="CL4" s="1298"/>
      <c r="CM4" s="1298"/>
      <c r="CN4" s="1298"/>
      <c r="CO4" s="1298"/>
      <c r="CP4" s="1298"/>
      <c r="CQ4" s="1298"/>
      <c r="CR4" s="1298"/>
      <c r="CS4" s="1298"/>
      <c r="CT4" s="1298"/>
      <c r="CU4" s="1298"/>
      <c r="CV4" s="1298"/>
      <c r="CW4" s="1298"/>
      <c r="CX4" s="1298"/>
      <c r="CY4" s="1298"/>
      <c r="CZ4" s="1298"/>
      <c r="DA4" s="1298"/>
      <c r="DB4" s="1298"/>
      <c r="DC4" s="1298"/>
      <c r="DD4" s="1298"/>
      <c r="DE4" s="1298"/>
      <c r="DF4" s="1298"/>
      <c r="DG4" s="1298"/>
      <c r="DH4" s="1298"/>
      <c r="DI4" s="1298"/>
      <c r="DJ4" s="1298"/>
      <c r="DK4" s="1298"/>
      <c r="DL4" s="1298"/>
      <c r="DM4" s="1298"/>
      <c r="DN4" s="1298"/>
      <c r="DO4" s="1298"/>
      <c r="DP4" s="1298"/>
      <c r="DQ4" s="1298"/>
      <c r="DR4" s="1298"/>
      <c r="DS4" s="1298"/>
      <c r="DT4" s="1298"/>
      <c r="DU4" s="1298"/>
      <c r="DV4" s="1298"/>
      <c r="DW4" s="1298"/>
      <c r="DX4" s="1298"/>
      <c r="DY4" s="1298"/>
      <c r="DZ4" s="1298"/>
      <c r="EA4" s="1298"/>
      <c r="EB4" s="1298"/>
      <c r="EC4" s="1298"/>
      <c r="ED4" s="1298"/>
      <c r="EE4" s="1298"/>
      <c r="EF4" s="1298"/>
      <c r="EG4" s="1298"/>
      <c r="EH4" s="1298"/>
      <c r="EI4" s="1298"/>
      <c r="EJ4" s="1298"/>
      <c r="EK4" s="1298"/>
      <c r="EL4" s="1298"/>
      <c r="EM4" s="1298"/>
      <c r="EN4" s="1298"/>
      <c r="EO4" s="1298"/>
      <c r="EP4" s="1298"/>
      <c r="EQ4" s="1298"/>
      <c r="ER4" s="1298"/>
      <c r="ES4" s="1298"/>
      <c r="ET4" s="1298"/>
      <c r="EU4" s="1298"/>
      <c r="EV4" s="1298"/>
      <c r="EW4" s="1298"/>
      <c r="EX4" s="1298"/>
      <c r="EY4" s="1298"/>
      <c r="EZ4" s="1298"/>
      <c r="FA4" s="1298"/>
      <c r="FB4" s="1298"/>
      <c r="FC4" s="1298"/>
      <c r="FD4" s="1298"/>
      <c r="FE4" s="1298"/>
      <c r="FF4" s="1298"/>
      <c r="FG4" s="1298"/>
      <c r="FH4" s="1298"/>
      <c r="FI4" s="1298"/>
      <c r="FJ4" s="1298"/>
      <c r="FK4" s="1298"/>
      <c r="FL4" s="1298"/>
      <c r="FM4" s="1298"/>
      <c r="FN4" s="1298"/>
      <c r="FO4" s="1298"/>
      <c r="FP4" s="1298"/>
      <c r="FQ4" s="1298"/>
      <c r="FR4" s="1298"/>
      <c r="FS4" s="1298"/>
      <c r="FT4" s="1298"/>
      <c r="FU4" s="1298"/>
      <c r="FV4" s="1298"/>
      <c r="FW4" s="1298"/>
      <c r="FX4" s="1298"/>
      <c r="FY4" s="1298"/>
      <c r="FZ4" s="1298"/>
      <c r="GA4" s="1298"/>
      <c r="GB4" s="1298"/>
      <c r="GC4" s="1298"/>
      <c r="GD4" s="1298"/>
      <c r="GE4" s="1298"/>
      <c r="GF4" s="1298"/>
      <c r="GG4" s="1298"/>
      <c r="GH4" s="1298"/>
      <c r="GI4" s="1298"/>
      <c r="GJ4" s="1298"/>
      <c r="GK4" s="1298"/>
      <c r="GL4" s="1298"/>
      <c r="GM4" s="1298"/>
      <c r="GN4" s="1298"/>
      <c r="GO4" s="1298"/>
      <c r="GP4" s="1298"/>
      <c r="GQ4" s="1298"/>
      <c r="GR4" s="1298"/>
      <c r="GS4" s="1298"/>
      <c r="GT4" s="1298"/>
      <c r="GU4" s="1298"/>
      <c r="GV4" s="1298"/>
      <c r="GW4" s="1298"/>
      <c r="GX4" s="1298"/>
      <c r="GY4" s="1298"/>
      <c r="GZ4" s="1298"/>
      <c r="HA4" s="1298"/>
      <c r="HB4" s="1298"/>
      <c r="HC4" s="1298"/>
      <c r="HD4" s="1298"/>
      <c r="HE4" s="1298"/>
      <c r="HF4" s="1298"/>
      <c r="HG4" s="1298"/>
      <c r="HH4" s="1298"/>
      <c r="HI4" s="1298"/>
      <c r="HJ4" s="1298"/>
      <c r="HK4" s="1298"/>
      <c r="HL4" s="1298"/>
      <c r="HM4" s="1298"/>
      <c r="HN4" s="1298"/>
      <c r="HO4" s="1298"/>
      <c r="HP4" s="1298"/>
      <c r="HQ4" s="1298"/>
      <c r="HR4" s="1298"/>
      <c r="HS4" s="1298"/>
      <c r="HT4" s="1298"/>
      <c r="HU4" s="1298"/>
      <c r="HV4" s="1298"/>
      <c r="HW4" s="1298"/>
      <c r="HX4" s="1298"/>
      <c r="HY4" s="1298"/>
      <c r="HZ4" s="1298"/>
      <c r="IA4" s="1298"/>
      <c r="IB4" s="1298"/>
      <c r="IC4" s="1298"/>
      <c r="ID4" s="1298"/>
      <c r="IE4" s="1298"/>
      <c r="IF4" s="1298"/>
      <c r="IG4" s="1298"/>
      <c r="IH4" s="1298"/>
      <c r="II4" s="1298"/>
      <c r="IJ4" s="1298"/>
      <c r="IK4" s="1298"/>
      <c r="IL4" s="1298"/>
      <c r="IM4" s="1298"/>
      <c r="IN4" s="1298"/>
      <c r="IO4" s="1298"/>
      <c r="IP4" s="1298"/>
      <c r="IQ4" s="1298"/>
      <c r="IR4" s="1298"/>
      <c r="IS4" s="1298"/>
      <c r="IT4" s="1298"/>
      <c r="IU4" s="1298"/>
      <c r="IV4" s="1298"/>
      <c r="IW4" s="1298"/>
      <c r="IX4" s="1298"/>
      <c r="IY4" s="1298"/>
      <c r="IZ4" s="1298"/>
      <c r="JA4" s="1298"/>
      <c r="JB4" s="1298"/>
      <c r="JC4" s="1298"/>
      <c r="JD4" s="1298"/>
      <c r="JE4" s="1298"/>
      <c r="JF4" s="1298"/>
      <c r="JG4" s="1298"/>
      <c r="JH4" s="1298"/>
      <c r="JI4" s="1298"/>
      <c r="JJ4" s="1298"/>
      <c r="JK4" s="1298"/>
      <c r="JL4" s="1298"/>
      <c r="JM4" s="1298"/>
      <c r="JN4" s="1298"/>
      <c r="JO4" s="1298"/>
      <c r="JP4" s="1298"/>
      <c r="JQ4" s="1298"/>
      <c r="JR4" s="1298"/>
      <c r="JS4" s="1298"/>
      <c r="JT4" s="1298"/>
      <c r="JU4" s="1298"/>
      <c r="JV4" s="1298"/>
      <c r="JW4" s="1298"/>
      <c r="JX4" s="1298"/>
      <c r="JY4" s="1298"/>
      <c r="JZ4" s="1298"/>
      <c r="KA4" s="1298"/>
      <c r="KB4" s="1298"/>
      <c r="KC4" s="1298"/>
      <c r="KD4" s="1298"/>
      <c r="KE4" s="1298"/>
      <c r="KF4" s="1298"/>
      <c r="KG4" s="1298"/>
      <c r="KH4" s="1298"/>
      <c r="KI4" s="1298"/>
      <c r="KJ4" s="1298"/>
      <c r="KK4" s="1298"/>
      <c r="KL4" s="1298"/>
      <c r="KM4" s="1298"/>
      <c r="KN4" s="1298"/>
      <c r="KO4" s="1298"/>
      <c r="KP4" s="1298"/>
      <c r="KQ4" s="1298"/>
      <c r="KR4" s="1298"/>
      <c r="KS4" s="1298"/>
      <c r="KT4" s="1298"/>
      <c r="KU4" s="1298"/>
      <c r="KV4" s="1298"/>
      <c r="KW4" s="1298"/>
      <c r="KX4" s="1298"/>
      <c r="KY4" s="1298"/>
      <c r="KZ4" s="1298"/>
      <c r="LA4" s="1298"/>
      <c r="LB4" s="1298"/>
      <c r="LC4" s="1298"/>
      <c r="LD4" s="1298"/>
      <c r="LE4" s="1298"/>
      <c r="LF4" s="1298"/>
      <c r="LG4" s="1298"/>
      <c r="LH4" s="1298"/>
      <c r="LI4" s="1298"/>
      <c r="LJ4" s="1298"/>
      <c r="LK4" s="1298"/>
      <c r="LL4" s="1298"/>
      <c r="LM4" s="1298"/>
      <c r="LN4" s="1298"/>
      <c r="LO4" s="1298"/>
      <c r="LP4" s="1298"/>
      <c r="LQ4" s="1298"/>
      <c r="LR4" s="1298"/>
      <c r="LS4" s="1298"/>
      <c r="LT4" s="1298"/>
      <c r="LU4" s="1298"/>
      <c r="LV4" s="1298"/>
      <c r="LW4" s="1298"/>
      <c r="LX4" s="1298"/>
      <c r="LY4" s="1298"/>
      <c r="LZ4" s="1298"/>
      <c r="MA4" s="1298"/>
      <c r="MB4" s="1298"/>
      <c r="MC4" s="1298"/>
      <c r="MD4" s="1298"/>
      <c r="ME4" s="1298"/>
      <c r="MF4" s="1298"/>
      <c r="MG4" s="1298"/>
      <c r="MH4" s="1298"/>
      <c r="MI4" s="1298"/>
      <c r="MJ4" s="1298"/>
      <c r="MK4" s="1298"/>
      <c r="ML4" s="1298"/>
      <c r="MM4" s="1298"/>
      <c r="MN4" s="1298"/>
      <c r="MO4" s="1298"/>
      <c r="MP4" s="1298"/>
      <c r="MQ4" s="1298"/>
      <c r="MR4" s="1298"/>
    </row>
    <row r="5" spans="1:356" s="1299" customFormat="1" ht="16" x14ac:dyDescent="0.2">
      <c r="A5" s="274" t="s">
        <v>58</v>
      </c>
      <c r="B5" s="1152" t="s">
        <v>65</v>
      </c>
      <c r="C5" s="257" t="s">
        <v>71</v>
      </c>
      <c r="D5" s="1476" t="s">
        <v>72</v>
      </c>
      <c r="E5" s="84" t="s">
        <v>62</v>
      </c>
      <c r="F5" s="84" t="s">
        <v>50</v>
      </c>
      <c r="G5" s="1131" t="s">
        <v>63</v>
      </c>
      <c r="H5" s="1131" t="s">
        <v>68</v>
      </c>
      <c r="I5" s="68" t="s">
        <v>52</v>
      </c>
      <c r="J5" s="140" t="s">
        <v>53</v>
      </c>
      <c r="K5" s="68" t="s">
        <v>69</v>
      </c>
      <c r="L5" s="68" t="s">
        <v>73</v>
      </c>
      <c r="M5" s="93">
        <v>2050</v>
      </c>
      <c r="N5" s="93"/>
      <c r="O5" s="68" t="s">
        <v>64</v>
      </c>
      <c r="P5" s="623">
        <v>68</v>
      </c>
      <c r="Q5" s="623">
        <v>90</v>
      </c>
      <c r="R5" s="68">
        <v>68</v>
      </c>
      <c r="S5" s="623">
        <v>90</v>
      </c>
      <c r="T5" s="68">
        <v>69</v>
      </c>
      <c r="U5" s="623">
        <v>91</v>
      </c>
      <c r="V5" s="917">
        <f t="shared" si="6"/>
        <v>76</v>
      </c>
      <c r="W5" s="917">
        <f t="shared" si="7"/>
        <v>98</v>
      </c>
      <c r="X5" s="68">
        <v>122</v>
      </c>
      <c r="Y5" s="68">
        <v>76</v>
      </c>
      <c r="Z5" s="68">
        <v>98</v>
      </c>
      <c r="AA5" s="699">
        <f t="shared" si="0"/>
        <v>51.722222222222221</v>
      </c>
      <c r="AB5" s="297">
        <f t="shared" si="8"/>
        <v>1463.7388888888888</v>
      </c>
      <c r="AC5" s="74">
        <f t="shared" si="1"/>
        <v>34.13666666666667</v>
      </c>
      <c r="AD5" s="74">
        <f>Table1[[#This Row],[Substrate SF]]*Materials!C$37</f>
        <v>144.82222222222222</v>
      </c>
      <c r="AE5" s="74">
        <f>IF(Table1[[#This Row],[Work Center]]="SwissQ",Materials!G$37,IF(Table1[[#This Row],[Work Center]]="Inca",Materials!G$29,IF(Table1[[#This Row],[Work Center]]="Canon",Materials!G$49,Materials!G$45)))</f>
        <v>20</v>
      </c>
      <c r="AF5" s="73">
        <f>'Cali Frames'!D487</f>
        <v>380</v>
      </c>
      <c r="AG5" s="84"/>
      <c r="AH5" s="74">
        <f t="shared" si="2"/>
        <v>102.5</v>
      </c>
      <c r="AI5" s="74"/>
      <c r="AJ5" s="74">
        <f t="shared" si="3"/>
        <v>681.45888888888885</v>
      </c>
      <c r="AK5" s="1001">
        <f t="shared" si="4"/>
        <v>0.6675810298102981</v>
      </c>
      <c r="AL5" s="74">
        <f>Table1[[#This Row],[WSP/Dealer]]/Table1[[#This Row],[OD Sq Inch]]</f>
        <v>0.32648510909380474</v>
      </c>
      <c r="AM5" s="63">
        <f>Table1[[#This Row],[OD Wdth]]*Table1[[#This Row],[OD Hgt]]</f>
        <v>6279</v>
      </c>
      <c r="AN5" s="68">
        <f>Table1[[#This Row],[Min VO]]+Table1[[#This Row],[Max VO]]</f>
        <v>158</v>
      </c>
      <c r="AO5" s="84"/>
      <c r="AP5" s="84"/>
      <c r="AQ5" s="126"/>
      <c r="AR5" s="126"/>
      <c r="AS5" s="126"/>
      <c r="AT5" s="74"/>
      <c r="AU5" s="1357" t="str">
        <f t="shared" si="5"/>
        <v>-</v>
      </c>
      <c r="AV5" s="1298"/>
      <c r="AW5" s="1298"/>
      <c r="AX5" s="1298"/>
      <c r="AY5" s="1298"/>
      <c r="AZ5" s="1298"/>
      <c r="BA5" s="1298"/>
      <c r="BB5" s="1298"/>
      <c r="BC5" s="1298"/>
      <c r="BD5" s="1298"/>
      <c r="BE5" s="1298"/>
      <c r="BF5" s="1298"/>
      <c r="BG5" s="1298"/>
      <c r="BH5" s="1298"/>
      <c r="BI5" s="1298"/>
      <c r="BJ5" s="1298"/>
      <c r="BK5" s="1298"/>
      <c r="BL5" s="1298"/>
      <c r="BM5" s="1298"/>
      <c r="BN5" s="1298"/>
      <c r="BO5" s="1298"/>
      <c r="BP5" s="1298"/>
      <c r="BQ5" s="1298"/>
      <c r="BR5" s="1298"/>
      <c r="BS5" s="1298"/>
      <c r="BT5" s="1298"/>
      <c r="BU5" s="1298"/>
      <c r="BV5" s="1298"/>
      <c r="BW5" s="1298"/>
      <c r="BX5" s="1298"/>
      <c r="BY5" s="1298"/>
      <c r="BZ5" s="1298"/>
      <c r="CA5" s="1298"/>
      <c r="CB5" s="1298"/>
      <c r="CC5" s="1298"/>
      <c r="CD5" s="1298"/>
      <c r="CE5" s="1298"/>
      <c r="CF5" s="1298"/>
      <c r="CG5" s="1298"/>
      <c r="CH5" s="1298"/>
      <c r="CI5" s="1298"/>
      <c r="CJ5" s="1298"/>
      <c r="CK5" s="1298"/>
      <c r="CL5" s="1298"/>
      <c r="CM5" s="1298"/>
      <c r="CN5" s="1298"/>
      <c r="CO5" s="1298"/>
      <c r="CP5" s="1298"/>
      <c r="CQ5" s="1298"/>
      <c r="CR5" s="1298"/>
      <c r="CS5" s="1298"/>
      <c r="CT5" s="1298"/>
      <c r="CU5" s="1298"/>
      <c r="CV5" s="1298"/>
      <c r="CW5" s="1298"/>
      <c r="CX5" s="1298"/>
      <c r="CY5" s="1298"/>
      <c r="CZ5" s="1298"/>
      <c r="DA5" s="1298"/>
      <c r="DB5" s="1298"/>
      <c r="DC5" s="1298"/>
      <c r="DD5" s="1298"/>
      <c r="DE5" s="1298"/>
      <c r="DF5" s="1298"/>
      <c r="DG5" s="1298"/>
      <c r="DH5" s="1298"/>
      <c r="DI5" s="1298"/>
      <c r="DJ5" s="1298"/>
      <c r="DK5" s="1298"/>
      <c r="DL5" s="1298"/>
      <c r="DM5" s="1298"/>
      <c r="DN5" s="1298"/>
      <c r="DO5" s="1298"/>
      <c r="DP5" s="1298"/>
      <c r="DQ5" s="1298"/>
      <c r="DR5" s="1298"/>
      <c r="DS5" s="1298"/>
      <c r="DT5" s="1298"/>
      <c r="DU5" s="1298"/>
      <c r="DV5" s="1298"/>
      <c r="DW5" s="1298"/>
      <c r="DX5" s="1298"/>
      <c r="DY5" s="1298"/>
      <c r="DZ5" s="1298"/>
      <c r="EA5" s="1298"/>
      <c r="EB5" s="1298"/>
      <c r="EC5" s="1298"/>
      <c r="ED5" s="1298"/>
      <c r="EE5" s="1298"/>
      <c r="EF5" s="1298"/>
      <c r="EG5" s="1298"/>
      <c r="EH5" s="1298"/>
      <c r="EI5" s="1298"/>
      <c r="EJ5" s="1298"/>
      <c r="EK5" s="1298"/>
      <c r="EL5" s="1298"/>
      <c r="EM5" s="1298"/>
      <c r="EN5" s="1298"/>
      <c r="EO5" s="1298"/>
      <c r="EP5" s="1298"/>
      <c r="EQ5" s="1298"/>
      <c r="ER5" s="1298"/>
      <c r="ES5" s="1298"/>
      <c r="ET5" s="1298"/>
      <c r="EU5" s="1298"/>
      <c r="EV5" s="1298"/>
      <c r="EW5" s="1298"/>
      <c r="EX5" s="1298"/>
      <c r="EY5" s="1298"/>
      <c r="EZ5" s="1298"/>
      <c r="FA5" s="1298"/>
      <c r="FB5" s="1298"/>
      <c r="FC5" s="1298"/>
      <c r="FD5" s="1298"/>
      <c r="FE5" s="1298"/>
      <c r="FF5" s="1298"/>
      <c r="FG5" s="1298"/>
      <c r="FH5" s="1298"/>
      <c r="FI5" s="1298"/>
      <c r="FJ5" s="1298"/>
      <c r="FK5" s="1298"/>
      <c r="FL5" s="1298"/>
      <c r="FM5" s="1298"/>
      <c r="FN5" s="1298"/>
      <c r="FO5" s="1298"/>
      <c r="FP5" s="1298"/>
      <c r="FQ5" s="1298"/>
      <c r="FR5" s="1298"/>
      <c r="FS5" s="1298"/>
      <c r="FT5" s="1298"/>
      <c r="FU5" s="1298"/>
      <c r="FV5" s="1298"/>
      <c r="FW5" s="1298"/>
      <c r="FX5" s="1298"/>
      <c r="FY5" s="1298"/>
      <c r="FZ5" s="1298"/>
      <c r="GA5" s="1298"/>
      <c r="GB5" s="1298"/>
      <c r="GC5" s="1298"/>
      <c r="GD5" s="1298"/>
      <c r="GE5" s="1298"/>
      <c r="GF5" s="1298"/>
      <c r="GG5" s="1298"/>
      <c r="GH5" s="1298"/>
      <c r="GI5" s="1298"/>
      <c r="GJ5" s="1298"/>
      <c r="GK5" s="1298"/>
      <c r="GL5" s="1298"/>
      <c r="GM5" s="1298"/>
      <c r="GN5" s="1298"/>
      <c r="GO5" s="1298"/>
      <c r="GP5" s="1298"/>
      <c r="GQ5" s="1298"/>
      <c r="GR5" s="1298"/>
      <c r="GS5" s="1298"/>
      <c r="GT5" s="1298"/>
      <c r="GU5" s="1298"/>
      <c r="GV5" s="1298"/>
      <c r="GW5" s="1298"/>
      <c r="GX5" s="1298"/>
      <c r="GY5" s="1298"/>
      <c r="GZ5" s="1298"/>
      <c r="HA5" s="1298"/>
      <c r="HB5" s="1298"/>
      <c r="HC5" s="1298"/>
      <c r="HD5" s="1298"/>
      <c r="HE5" s="1298"/>
      <c r="HF5" s="1298"/>
      <c r="HG5" s="1298"/>
      <c r="HH5" s="1298"/>
      <c r="HI5" s="1298"/>
      <c r="HJ5" s="1298"/>
      <c r="HK5" s="1298"/>
      <c r="HL5" s="1298"/>
      <c r="HM5" s="1298"/>
      <c r="HN5" s="1298"/>
      <c r="HO5" s="1298"/>
      <c r="HP5" s="1298"/>
      <c r="HQ5" s="1298"/>
      <c r="HR5" s="1298"/>
      <c r="HS5" s="1298"/>
      <c r="HT5" s="1298"/>
      <c r="HU5" s="1298"/>
      <c r="HV5" s="1298"/>
      <c r="HW5" s="1298"/>
      <c r="HX5" s="1298"/>
      <c r="HY5" s="1298"/>
      <c r="HZ5" s="1298"/>
      <c r="IA5" s="1298"/>
      <c r="IB5" s="1298"/>
      <c r="IC5" s="1298"/>
      <c r="ID5" s="1298"/>
      <c r="IE5" s="1298"/>
      <c r="IF5" s="1298"/>
      <c r="IG5" s="1298"/>
      <c r="IH5" s="1298"/>
      <c r="II5" s="1298"/>
      <c r="IJ5" s="1298"/>
      <c r="IK5" s="1298"/>
      <c r="IL5" s="1298"/>
      <c r="IM5" s="1298"/>
      <c r="IN5" s="1298"/>
      <c r="IO5" s="1298"/>
      <c r="IP5" s="1298"/>
      <c r="IQ5" s="1298"/>
      <c r="IR5" s="1298"/>
      <c r="IS5" s="1298"/>
      <c r="IT5" s="1298"/>
      <c r="IU5" s="1298"/>
      <c r="IV5" s="1298"/>
      <c r="IW5" s="1298"/>
      <c r="IX5" s="1298"/>
      <c r="IY5" s="1298"/>
      <c r="IZ5" s="1298"/>
      <c r="JA5" s="1298"/>
      <c r="JB5" s="1298"/>
      <c r="JC5" s="1298"/>
      <c r="JD5" s="1298"/>
      <c r="JE5" s="1298"/>
      <c r="JF5" s="1298"/>
      <c r="JG5" s="1298"/>
      <c r="JH5" s="1298"/>
      <c r="JI5" s="1298"/>
      <c r="JJ5" s="1298"/>
      <c r="JK5" s="1298"/>
      <c r="JL5" s="1298"/>
      <c r="JM5" s="1298"/>
      <c r="JN5" s="1298"/>
      <c r="JO5" s="1298"/>
      <c r="JP5" s="1298"/>
      <c r="JQ5" s="1298"/>
      <c r="JR5" s="1298"/>
      <c r="JS5" s="1298"/>
      <c r="JT5" s="1298"/>
      <c r="JU5" s="1298"/>
      <c r="JV5" s="1298"/>
      <c r="JW5" s="1298"/>
      <c r="JX5" s="1298"/>
      <c r="JY5" s="1298"/>
      <c r="JZ5" s="1298"/>
      <c r="KA5" s="1298"/>
      <c r="KB5" s="1298"/>
      <c r="KC5" s="1298"/>
      <c r="KD5" s="1298"/>
      <c r="KE5" s="1298"/>
      <c r="KF5" s="1298"/>
      <c r="KG5" s="1298"/>
      <c r="KH5" s="1298"/>
      <c r="KI5" s="1298"/>
      <c r="KJ5" s="1298"/>
      <c r="KK5" s="1298"/>
      <c r="KL5" s="1298"/>
      <c r="KM5" s="1298"/>
      <c r="KN5" s="1298"/>
      <c r="KO5" s="1298"/>
      <c r="KP5" s="1298"/>
      <c r="KQ5" s="1298"/>
      <c r="KR5" s="1298"/>
      <c r="KS5" s="1298"/>
      <c r="KT5" s="1298"/>
      <c r="KU5" s="1298"/>
      <c r="KV5" s="1298"/>
      <c r="KW5" s="1298"/>
      <c r="KX5" s="1298"/>
      <c r="KY5" s="1298"/>
      <c r="KZ5" s="1298"/>
      <c r="LA5" s="1298"/>
      <c r="LB5" s="1298"/>
      <c r="LC5" s="1298"/>
      <c r="LD5" s="1298"/>
      <c r="LE5" s="1298"/>
      <c r="LF5" s="1298"/>
      <c r="LG5" s="1298"/>
      <c r="LH5" s="1298"/>
      <c r="LI5" s="1298"/>
      <c r="LJ5" s="1298"/>
      <c r="LK5" s="1298"/>
      <c r="LL5" s="1298"/>
      <c r="LM5" s="1298"/>
      <c r="LN5" s="1298"/>
      <c r="LO5" s="1298"/>
      <c r="LP5" s="1298"/>
      <c r="LQ5" s="1298"/>
      <c r="LR5" s="1298"/>
      <c r="LS5" s="1298"/>
      <c r="LT5" s="1298"/>
      <c r="LU5" s="1298"/>
      <c r="LV5" s="1298"/>
      <c r="LW5" s="1298"/>
      <c r="LX5" s="1298"/>
      <c r="LY5" s="1298"/>
      <c r="LZ5" s="1298"/>
      <c r="MA5" s="1298"/>
      <c r="MB5" s="1298"/>
      <c r="MC5" s="1298"/>
      <c r="MD5" s="1298"/>
      <c r="ME5" s="1298"/>
      <c r="MF5" s="1298"/>
      <c r="MG5" s="1298"/>
      <c r="MH5" s="1298"/>
      <c r="MI5" s="1298"/>
      <c r="MJ5" s="1298"/>
      <c r="MK5" s="1298"/>
      <c r="ML5" s="1298"/>
      <c r="MM5" s="1298"/>
      <c r="MN5" s="1298"/>
      <c r="MO5" s="1298"/>
      <c r="MP5" s="1298"/>
      <c r="MQ5" s="1298"/>
      <c r="MR5" s="1298"/>
    </row>
    <row r="6" spans="1:356" s="1451" customFormat="1" ht="16" x14ac:dyDescent="0.2">
      <c r="A6" s="180" t="s">
        <v>58</v>
      </c>
      <c r="B6" s="1106" t="s">
        <v>65</v>
      </c>
      <c r="C6" s="75" t="s">
        <v>74</v>
      </c>
      <c r="D6" s="1559" t="s">
        <v>75</v>
      </c>
      <c r="E6" s="83" t="s">
        <v>62</v>
      </c>
      <c r="F6" s="83" t="s">
        <v>50</v>
      </c>
      <c r="G6" s="70" t="s">
        <v>63</v>
      </c>
      <c r="H6" s="70" t="s">
        <v>68</v>
      </c>
      <c r="I6" s="60" t="s">
        <v>52</v>
      </c>
      <c r="J6" s="59" t="s">
        <v>53</v>
      </c>
      <c r="K6" s="60" t="s">
        <v>69</v>
      </c>
      <c r="L6" s="60" t="s">
        <v>76</v>
      </c>
      <c r="M6" s="124">
        <v>2050</v>
      </c>
      <c r="N6" s="124"/>
      <c r="O6" s="60" t="s">
        <v>64</v>
      </c>
      <c r="P6" s="273">
        <v>68</v>
      </c>
      <c r="Q6" s="273">
        <v>90</v>
      </c>
      <c r="R6" s="60">
        <v>68</v>
      </c>
      <c r="S6" s="273">
        <v>90</v>
      </c>
      <c r="T6" s="60">
        <v>69</v>
      </c>
      <c r="U6" s="273">
        <v>91</v>
      </c>
      <c r="V6" s="946">
        <f t="shared" si="6"/>
        <v>76</v>
      </c>
      <c r="W6" s="946">
        <f t="shared" si="7"/>
        <v>98</v>
      </c>
      <c r="X6" s="60">
        <v>122</v>
      </c>
      <c r="Y6" s="60">
        <v>76</v>
      </c>
      <c r="Z6" s="60">
        <v>98</v>
      </c>
      <c r="AA6" s="717">
        <f t="shared" si="0"/>
        <v>51.722222222222221</v>
      </c>
      <c r="AB6" s="125">
        <f t="shared" si="8"/>
        <v>1463.7388888888888</v>
      </c>
      <c r="AC6" s="69">
        <f t="shared" si="1"/>
        <v>34.13666666666667</v>
      </c>
      <c r="AD6" s="69">
        <f>Table1[[#This Row],[Substrate SF]]*Materials!C$37</f>
        <v>144.82222222222222</v>
      </c>
      <c r="AE6" s="69">
        <f>IF(Table1[[#This Row],[Work Center]]="SwissQ",Materials!G$37,IF(Table1[[#This Row],[Work Center]]="Inca",Materials!G$29,IF(Table1[[#This Row],[Work Center]]="Canon",Materials!G$49,Materials!G$45)))</f>
        <v>20</v>
      </c>
      <c r="AF6" s="72">
        <f>'Cali Frames'!D390</f>
        <v>379.02</v>
      </c>
      <c r="AG6" s="83"/>
      <c r="AH6" s="69">
        <f t="shared" si="2"/>
        <v>102.5</v>
      </c>
      <c r="AI6" s="69"/>
      <c r="AJ6" s="69">
        <f t="shared" si="3"/>
        <v>680.47888888888883</v>
      </c>
      <c r="AK6" s="650">
        <f t="shared" si="4"/>
        <v>0.66805907859078595</v>
      </c>
      <c r="AL6" s="69">
        <f>Table1[[#This Row],[WSP/Dealer]]/Table1[[#This Row],[OD Sq Inch]]</f>
        <v>0.32648510909380474</v>
      </c>
      <c r="AM6" s="46">
        <f>Table1[[#This Row],[OD Wdth]]*Table1[[#This Row],[OD Hgt]]</f>
        <v>6279</v>
      </c>
      <c r="AN6" s="60">
        <f>Table1[[#This Row],[Min VO]]+Table1[[#This Row],[Max VO]]</f>
        <v>158</v>
      </c>
      <c r="AO6" s="83"/>
      <c r="AP6" s="83"/>
      <c r="AQ6" s="540"/>
      <c r="AR6" s="540"/>
      <c r="AS6" s="540"/>
      <c r="AT6" s="69"/>
      <c r="AU6" s="1361" t="str">
        <f t="shared" si="5"/>
        <v>-</v>
      </c>
      <c r="AV6" s="41"/>
      <c r="AW6" s="41"/>
      <c r="AX6" s="41"/>
      <c r="AY6" s="41"/>
      <c r="AZ6" s="41"/>
      <c r="BA6" s="41"/>
      <c r="BB6" s="41"/>
      <c r="BC6" s="41"/>
      <c r="BD6" s="41"/>
      <c r="BE6" s="41"/>
      <c r="BF6" s="41"/>
      <c r="BG6" s="41"/>
      <c r="BH6" s="41"/>
      <c r="BI6" s="41"/>
      <c r="BJ6" s="41"/>
      <c r="BK6" s="41"/>
      <c r="BL6" s="41"/>
      <c r="BM6" s="41"/>
      <c r="BN6" s="41"/>
      <c r="BO6" s="41"/>
      <c r="BP6" s="41"/>
      <c r="BQ6" s="41"/>
      <c r="BR6" s="41"/>
      <c r="BS6" s="41"/>
      <c r="BT6" s="41"/>
      <c r="BU6" s="41"/>
      <c r="BV6" s="41"/>
      <c r="BW6" s="41"/>
      <c r="BX6" s="41"/>
      <c r="BY6" s="41"/>
      <c r="BZ6" s="41"/>
      <c r="CA6" s="41"/>
      <c r="CB6" s="41"/>
      <c r="CC6" s="41"/>
      <c r="CD6" s="41"/>
      <c r="CE6" s="41"/>
      <c r="CF6" s="41"/>
      <c r="CG6" s="41"/>
      <c r="CH6" s="41"/>
      <c r="CI6" s="41"/>
      <c r="CJ6" s="41"/>
      <c r="CK6" s="41"/>
      <c r="CL6" s="41"/>
      <c r="CM6" s="41"/>
      <c r="CN6" s="41"/>
      <c r="CO6" s="41"/>
      <c r="CP6" s="41"/>
      <c r="CQ6" s="41"/>
      <c r="CR6" s="41"/>
      <c r="CS6" s="41"/>
      <c r="CT6" s="41"/>
      <c r="CU6" s="41"/>
      <c r="CV6" s="41"/>
      <c r="CW6" s="41"/>
      <c r="CX6" s="41"/>
      <c r="CY6" s="41"/>
      <c r="CZ6" s="41"/>
      <c r="DA6" s="41"/>
      <c r="DB6" s="41"/>
      <c r="DC6" s="41"/>
      <c r="DD6" s="41"/>
      <c r="DE6" s="41"/>
      <c r="DF6" s="41"/>
      <c r="DG6" s="41"/>
      <c r="DH6" s="41"/>
      <c r="DI6" s="41"/>
      <c r="DJ6" s="41"/>
      <c r="DK6" s="41"/>
      <c r="DL6" s="41"/>
      <c r="DM6" s="41"/>
      <c r="DN6" s="41"/>
      <c r="DO6" s="41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1"/>
      <c r="FE6" s="41"/>
      <c r="FF6" s="41"/>
      <c r="FG6" s="41"/>
      <c r="FH6" s="41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  <c r="HL6" s="41"/>
      <c r="HM6" s="41"/>
      <c r="HN6" s="41"/>
      <c r="HO6" s="41"/>
      <c r="HP6" s="41"/>
      <c r="HQ6" s="41"/>
      <c r="HR6" s="41"/>
      <c r="HS6" s="41"/>
      <c r="HT6" s="41"/>
      <c r="HU6" s="41"/>
      <c r="HV6" s="41"/>
      <c r="HW6" s="41"/>
      <c r="HX6" s="41"/>
      <c r="HY6" s="41"/>
      <c r="HZ6" s="41"/>
      <c r="IA6" s="41"/>
      <c r="IB6" s="41"/>
      <c r="IC6" s="41"/>
      <c r="ID6" s="41"/>
      <c r="IE6" s="41"/>
      <c r="IF6" s="41"/>
      <c r="IG6" s="41"/>
      <c r="IH6" s="41"/>
      <c r="II6" s="41"/>
      <c r="IJ6" s="41"/>
      <c r="IK6" s="41"/>
      <c r="IL6" s="41"/>
      <c r="IM6" s="41"/>
      <c r="IN6" s="41"/>
      <c r="IO6" s="41"/>
      <c r="IP6" s="41"/>
      <c r="IQ6" s="41"/>
      <c r="IR6" s="41"/>
      <c r="IS6" s="41"/>
      <c r="IT6" s="41"/>
      <c r="IU6" s="41"/>
      <c r="IV6" s="41"/>
      <c r="IW6" s="41"/>
      <c r="IX6" s="41"/>
      <c r="IY6" s="41"/>
      <c r="IZ6" s="41"/>
      <c r="JA6" s="41"/>
      <c r="JB6" s="41"/>
      <c r="JC6" s="41"/>
      <c r="JD6" s="41"/>
      <c r="JE6" s="41"/>
      <c r="JF6" s="41"/>
      <c r="JG6" s="41"/>
      <c r="JH6" s="41"/>
      <c r="JI6" s="41"/>
      <c r="JJ6" s="41"/>
      <c r="JK6" s="41"/>
      <c r="JL6" s="41"/>
      <c r="JM6" s="41"/>
      <c r="JN6" s="41"/>
      <c r="JO6" s="41"/>
      <c r="JP6" s="41"/>
      <c r="JQ6" s="41"/>
      <c r="JR6" s="41"/>
      <c r="JS6" s="41"/>
      <c r="JT6" s="41"/>
      <c r="JU6" s="41"/>
      <c r="JV6" s="41"/>
      <c r="JW6" s="41"/>
      <c r="JX6" s="41"/>
      <c r="JY6" s="41"/>
      <c r="JZ6" s="41"/>
      <c r="KA6" s="41"/>
      <c r="KB6" s="41"/>
      <c r="KC6" s="41"/>
      <c r="KD6" s="41"/>
      <c r="KE6" s="41"/>
      <c r="KF6" s="41"/>
      <c r="KG6" s="41"/>
      <c r="KH6" s="41"/>
      <c r="KI6" s="41"/>
      <c r="KJ6" s="41"/>
      <c r="KK6" s="41"/>
      <c r="KL6" s="41"/>
      <c r="KM6" s="41"/>
      <c r="KN6" s="41"/>
      <c r="KO6" s="41"/>
      <c r="KP6" s="41"/>
      <c r="KQ6" s="41"/>
      <c r="KR6" s="41"/>
      <c r="KS6" s="41"/>
      <c r="KT6" s="41"/>
      <c r="KU6" s="41"/>
      <c r="KV6" s="41"/>
      <c r="KW6" s="41"/>
      <c r="KX6" s="41"/>
      <c r="KY6" s="41"/>
      <c r="KZ6" s="41"/>
      <c r="LA6" s="41"/>
      <c r="LB6" s="41"/>
      <c r="LC6" s="41"/>
      <c r="LD6" s="41"/>
      <c r="LE6" s="41"/>
      <c r="LF6" s="41"/>
      <c r="LG6" s="41"/>
      <c r="LH6" s="41"/>
      <c r="LI6" s="41"/>
      <c r="LJ6" s="41"/>
      <c r="LK6" s="41"/>
      <c r="LL6" s="41"/>
      <c r="LM6" s="41"/>
      <c r="LN6" s="41"/>
      <c r="LO6" s="41"/>
      <c r="LP6" s="41"/>
      <c r="LQ6" s="41"/>
      <c r="LR6" s="41"/>
      <c r="LS6" s="41"/>
      <c r="LT6" s="41"/>
      <c r="LU6" s="41"/>
      <c r="LV6" s="41"/>
      <c r="LW6" s="41"/>
      <c r="LX6" s="41"/>
      <c r="LY6" s="41"/>
      <c r="LZ6" s="41"/>
      <c r="MA6" s="41"/>
      <c r="MB6" s="41"/>
      <c r="MC6" s="41"/>
      <c r="MD6" s="41"/>
      <c r="ME6" s="41"/>
      <c r="MF6" s="41"/>
      <c r="MG6" s="41"/>
      <c r="MH6" s="41"/>
      <c r="MI6" s="41"/>
      <c r="MJ6" s="41"/>
      <c r="MK6" s="41"/>
      <c r="ML6" s="41"/>
      <c r="MM6" s="41"/>
      <c r="MN6" s="41"/>
      <c r="MO6" s="41"/>
      <c r="MP6" s="41"/>
      <c r="MQ6" s="41"/>
      <c r="MR6" s="41"/>
    </row>
    <row r="7" spans="1:356" s="1299" customFormat="1" ht="16" x14ac:dyDescent="0.2">
      <c r="A7" s="274" t="s">
        <v>58</v>
      </c>
      <c r="B7" s="279" t="s">
        <v>59</v>
      </c>
      <c r="C7" s="1037" t="s">
        <v>77</v>
      </c>
      <c r="D7" s="1748" t="s">
        <v>61</v>
      </c>
      <c r="E7" s="275" t="s">
        <v>78</v>
      </c>
      <c r="F7" s="275" t="s">
        <v>50</v>
      </c>
      <c r="G7" s="1112" t="s">
        <v>79</v>
      </c>
      <c r="H7" s="1112" t="s">
        <v>79</v>
      </c>
      <c r="I7" s="274" t="s">
        <v>52</v>
      </c>
      <c r="J7" s="344" t="s">
        <v>53</v>
      </c>
      <c r="K7" s="274" t="s">
        <v>54</v>
      </c>
      <c r="L7" s="274" t="s">
        <v>55</v>
      </c>
      <c r="M7" s="178">
        <v>1850</v>
      </c>
      <c r="N7" s="318"/>
      <c r="O7" s="274" t="s">
        <v>64</v>
      </c>
      <c r="P7" s="783">
        <v>72</v>
      </c>
      <c r="Q7" s="783">
        <v>96</v>
      </c>
      <c r="R7" s="274">
        <v>72</v>
      </c>
      <c r="S7" s="783">
        <v>96</v>
      </c>
      <c r="T7" s="274">
        <v>72</v>
      </c>
      <c r="U7" s="783">
        <v>96</v>
      </c>
      <c r="V7" s="917">
        <f t="shared" si="6"/>
        <v>80</v>
      </c>
      <c r="W7" s="917">
        <f t="shared" si="7"/>
        <v>104</v>
      </c>
      <c r="X7" s="274">
        <v>122</v>
      </c>
      <c r="Y7" s="274">
        <v>80</v>
      </c>
      <c r="Z7" s="274">
        <v>104</v>
      </c>
      <c r="AA7" s="699">
        <f t="shared" si="0"/>
        <v>57.777777777777779</v>
      </c>
      <c r="AB7" s="297">
        <f t="shared" si="8"/>
        <v>1635.1111111111111</v>
      </c>
      <c r="AC7" s="74">
        <f t="shared" si="1"/>
        <v>38.133333333333333</v>
      </c>
      <c r="AD7" s="74">
        <f>Table1[[#This Row],[Substrate SF]]*Materials!C$37</f>
        <v>161.77777777777777</v>
      </c>
      <c r="AE7" s="74">
        <f>IF(Table1[[#This Row],[Work Center]]="SwissQ",Materials!G$37,IF(Table1[[#This Row],[Work Center]]="Inca",Materials!G$29,IF(Table1[[#This Row],[Work Center]]="Canon",Materials!G$49,Materials!G$45)))</f>
        <v>20</v>
      </c>
      <c r="AF7" s="321">
        <f>'Cali FPS'!C171</f>
        <v>243.72</v>
      </c>
      <c r="AG7" s="275"/>
      <c r="AH7" s="278">
        <f t="shared" si="2"/>
        <v>92.5</v>
      </c>
      <c r="AI7" s="278"/>
      <c r="AJ7" s="278">
        <f t="shared" si="3"/>
        <v>556.13111111111107</v>
      </c>
      <c r="AK7" s="1192">
        <f t="shared" si="4"/>
        <v>0.69938858858858866</v>
      </c>
      <c r="AL7" s="278">
        <f>Table1[[#This Row],[WSP/Dealer]]/Table1[[#This Row],[OD Sq Inch]]</f>
        <v>0.26765046296296297</v>
      </c>
      <c r="AM7" s="170">
        <f>Table1[[#This Row],[OD Wdth]]*Table1[[#This Row],[OD Hgt]]</f>
        <v>6912</v>
      </c>
      <c r="AN7" s="274">
        <f>Table1[[#This Row],[Min VO]]+Table1[[#This Row],[Max VO]]</f>
        <v>168</v>
      </c>
      <c r="AO7" s="275"/>
      <c r="AP7" s="275"/>
      <c r="AQ7" s="320"/>
      <c r="AR7" s="320"/>
      <c r="AS7" s="320"/>
      <c r="AT7" s="278"/>
      <c r="AU7" s="1368" t="str">
        <f t="shared" si="5"/>
        <v>-</v>
      </c>
      <c r="AV7" s="1298"/>
      <c r="AW7" s="1298"/>
      <c r="AX7" s="1298"/>
      <c r="AY7" s="1298"/>
      <c r="AZ7" s="1298"/>
      <c r="BA7" s="1298"/>
      <c r="BB7" s="1298"/>
      <c r="BC7" s="1298"/>
      <c r="BD7" s="1298"/>
      <c r="BE7" s="1298"/>
      <c r="BF7" s="1298"/>
      <c r="BG7" s="1298"/>
      <c r="BH7" s="1298"/>
      <c r="BI7" s="1298"/>
      <c r="BJ7" s="1298"/>
      <c r="BK7" s="1298"/>
      <c r="BL7" s="1298"/>
      <c r="BM7" s="1298"/>
      <c r="BN7" s="1298"/>
      <c r="BO7" s="1298"/>
      <c r="BP7" s="1298"/>
      <c r="BQ7" s="1298"/>
      <c r="BR7" s="1298"/>
      <c r="BS7" s="1298"/>
      <c r="BT7" s="1298"/>
      <c r="BU7" s="1298"/>
      <c r="BV7" s="1298"/>
      <c r="BW7" s="1298"/>
      <c r="BX7" s="1298"/>
      <c r="BY7" s="1298"/>
      <c r="BZ7" s="1298"/>
      <c r="CA7" s="1298"/>
      <c r="CB7" s="1298"/>
      <c r="CC7" s="1298"/>
      <c r="CD7" s="1298"/>
      <c r="CE7" s="1298"/>
      <c r="CF7" s="1298"/>
      <c r="CG7" s="1298"/>
      <c r="CH7" s="1298"/>
      <c r="CI7" s="1298"/>
      <c r="CJ7" s="1298"/>
      <c r="CK7" s="1298"/>
      <c r="CL7" s="1298"/>
      <c r="CM7" s="1298"/>
      <c r="CN7" s="1298"/>
      <c r="CO7" s="1298"/>
      <c r="CP7" s="1298"/>
      <c r="CQ7" s="1298"/>
      <c r="CR7" s="1298"/>
      <c r="CS7" s="1298"/>
      <c r="CT7" s="1298"/>
      <c r="CU7" s="1298"/>
      <c r="CV7" s="1298"/>
      <c r="CW7" s="1298"/>
      <c r="CX7" s="1298"/>
      <c r="CY7" s="1298"/>
      <c r="CZ7" s="1298"/>
      <c r="DA7" s="1298"/>
      <c r="DB7" s="1298"/>
      <c r="DC7" s="1298"/>
      <c r="DD7" s="1298"/>
      <c r="DE7" s="1298"/>
      <c r="DF7" s="1298"/>
      <c r="DG7" s="1298"/>
      <c r="DH7" s="1298"/>
      <c r="DI7" s="1298"/>
      <c r="DJ7" s="1298"/>
      <c r="DK7" s="1298"/>
      <c r="DL7" s="1298"/>
      <c r="DM7" s="1298"/>
      <c r="DN7" s="1298"/>
      <c r="DO7" s="1298"/>
      <c r="DP7" s="1298"/>
      <c r="DQ7" s="1298"/>
      <c r="DR7" s="1298"/>
      <c r="DS7" s="1298"/>
      <c r="DT7" s="1298"/>
      <c r="DU7" s="1298"/>
      <c r="DV7" s="1298"/>
      <c r="DW7" s="1298"/>
      <c r="DX7" s="1298"/>
      <c r="DY7" s="1298"/>
      <c r="DZ7" s="1298"/>
      <c r="EA7" s="1298"/>
      <c r="EB7" s="1298"/>
      <c r="EC7" s="1298"/>
      <c r="ED7" s="1298"/>
      <c r="EE7" s="1298"/>
      <c r="EF7" s="1298"/>
      <c r="EG7" s="1298"/>
      <c r="EH7" s="1298"/>
      <c r="EI7" s="1298"/>
      <c r="EJ7" s="1298"/>
      <c r="EK7" s="1298"/>
      <c r="EL7" s="1298"/>
      <c r="EM7" s="1298"/>
      <c r="EN7" s="1298"/>
      <c r="EO7" s="1298"/>
      <c r="EP7" s="1298"/>
      <c r="EQ7" s="1298"/>
      <c r="ER7" s="1298"/>
      <c r="ES7" s="1298"/>
      <c r="ET7" s="1298"/>
      <c r="EU7" s="1298"/>
      <c r="EV7" s="1298"/>
      <c r="EW7" s="1298"/>
      <c r="EX7" s="1298"/>
      <c r="EY7" s="1298"/>
      <c r="EZ7" s="1298"/>
      <c r="FA7" s="1298"/>
      <c r="FB7" s="1298"/>
      <c r="FC7" s="1298"/>
      <c r="FD7" s="1298"/>
      <c r="FE7" s="1298"/>
      <c r="FF7" s="1298"/>
      <c r="FG7" s="1298"/>
      <c r="FH7" s="1298"/>
      <c r="FI7" s="1298"/>
      <c r="FJ7" s="1298"/>
      <c r="FK7" s="1298"/>
      <c r="FL7" s="1298"/>
      <c r="FM7" s="1298"/>
      <c r="FN7" s="1298"/>
      <c r="FO7" s="1298"/>
      <c r="FP7" s="1298"/>
      <c r="FQ7" s="1298"/>
      <c r="FR7" s="1298"/>
      <c r="FS7" s="1298"/>
      <c r="FT7" s="1298"/>
      <c r="FU7" s="1298"/>
      <c r="FV7" s="1298"/>
      <c r="FW7" s="1298"/>
      <c r="FX7" s="1298"/>
      <c r="FY7" s="1298"/>
      <c r="FZ7" s="1298"/>
      <c r="GA7" s="1298"/>
      <c r="GB7" s="1298"/>
      <c r="GC7" s="1298"/>
      <c r="GD7" s="1298"/>
      <c r="GE7" s="1298"/>
      <c r="GF7" s="1298"/>
      <c r="GG7" s="1298"/>
      <c r="GH7" s="1298"/>
      <c r="GI7" s="1298"/>
      <c r="GJ7" s="1298"/>
      <c r="GK7" s="1298"/>
      <c r="GL7" s="1298"/>
      <c r="GM7" s="1298"/>
      <c r="GN7" s="1298"/>
      <c r="GO7" s="1298"/>
      <c r="GP7" s="1298"/>
      <c r="GQ7" s="1298"/>
      <c r="GR7" s="1298"/>
      <c r="GS7" s="1298"/>
      <c r="GT7" s="1298"/>
      <c r="GU7" s="1298"/>
      <c r="GV7" s="1298"/>
      <c r="GW7" s="1298"/>
      <c r="GX7" s="1298"/>
      <c r="GY7" s="1298"/>
      <c r="GZ7" s="1298"/>
      <c r="HA7" s="1298"/>
      <c r="HB7" s="1298"/>
      <c r="HC7" s="1298"/>
      <c r="HD7" s="1298"/>
      <c r="HE7" s="1298"/>
      <c r="HF7" s="1298"/>
      <c r="HG7" s="1298"/>
      <c r="HH7" s="1298"/>
      <c r="HI7" s="1298"/>
      <c r="HJ7" s="1298"/>
      <c r="HK7" s="1298"/>
      <c r="HL7" s="1298"/>
      <c r="HM7" s="1298"/>
      <c r="HN7" s="1298"/>
      <c r="HO7" s="1298"/>
      <c r="HP7" s="1298"/>
      <c r="HQ7" s="1298"/>
      <c r="HR7" s="1298"/>
      <c r="HS7" s="1298"/>
      <c r="HT7" s="1298"/>
      <c r="HU7" s="1298"/>
      <c r="HV7" s="1298"/>
      <c r="HW7" s="1298"/>
      <c r="HX7" s="1298"/>
      <c r="HY7" s="1298"/>
      <c r="HZ7" s="1298"/>
      <c r="IA7" s="1298"/>
      <c r="IB7" s="1298"/>
      <c r="IC7" s="1298"/>
      <c r="ID7" s="1298"/>
      <c r="IE7" s="1298"/>
      <c r="IF7" s="1298"/>
      <c r="IG7" s="1298"/>
      <c r="IH7" s="1298"/>
      <c r="II7" s="1298"/>
      <c r="IJ7" s="1298"/>
      <c r="IK7" s="1298"/>
      <c r="IL7" s="1298"/>
      <c r="IM7" s="1298"/>
      <c r="IN7" s="1298"/>
      <c r="IO7" s="1298"/>
      <c r="IP7" s="1298"/>
      <c r="IQ7" s="1298"/>
      <c r="IR7" s="1298"/>
      <c r="IS7" s="1298"/>
      <c r="IT7" s="1298"/>
      <c r="IU7" s="1298"/>
      <c r="IV7" s="1298"/>
      <c r="IW7" s="1298"/>
      <c r="IX7" s="1298"/>
      <c r="IY7" s="1298"/>
      <c r="IZ7" s="1298"/>
      <c r="JA7" s="1298"/>
      <c r="JB7" s="1298"/>
      <c r="JC7" s="1298"/>
      <c r="JD7" s="1298"/>
      <c r="JE7" s="1298"/>
      <c r="JF7" s="1298"/>
      <c r="JG7" s="1298"/>
      <c r="JH7" s="1298"/>
      <c r="JI7" s="1298"/>
      <c r="JJ7" s="1298"/>
      <c r="JK7" s="1298"/>
      <c r="JL7" s="1298"/>
      <c r="JM7" s="1298"/>
      <c r="JN7" s="1298"/>
      <c r="JO7" s="1298"/>
      <c r="JP7" s="1298"/>
      <c r="JQ7" s="1298"/>
      <c r="JR7" s="1298"/>
      <c r="JS7" s="1298"/>
      <c r="JT7" s="1298"/>
      <c r="JU7" s="1298"/>
      <c r="JV7" s="1298"/>
      <c r="JW7" s="1298"/>
      <c r="JX7" s="1298"/>
      <c r="JY7" s="1298"/>
      <c r="JZ7" s="1298"/>
      <c r="KA7" s="1298"/>
      <c r="KB7" s="1298"/>
      <c r="KC7" s="1298"/>
      <c r="KD7" s="1298"/>
      <c r="KE7" s="1298"/>
      <c r="KF7" s="1298"/>
      <c r="KG7" s="1298"/>
      <c r="KH7" s="1298"/>
      <c r="KI7" s="1298"/>
      <c r="KJ7" s="1298"/>
      <c r="KK7" s="1298"/>
      <c r="KL7" s="1298"/>
      <c r="KM7" s="1298"/>
      <c r="KN7" s="1298"/>
      <c r="KO7" s="1298"/>
      <c r="KP7" s="1298"/>
      <c r="KQ7" s="1298"/>
      <c r="KR7" s="1298"/>
      <c r="KS7" s="1298"/>
      <c r="KT7" s="1298"/>
      <c r="KU7" s="1298"/>
      <c r="KV7" s="1298"/>
      <c r="KW7" s="1298"/>
      <c r="KX7" s="1298"/>
      <c r="KY7" s="1298"/>
      <c r="KZ7" s="1298"/>
      <c r="LA7" s="1298"/>
      <c r="LB7" s="1298"/>
      <c r="LC7" s="1298"/>
      <c r="LD7" s="1298"/>
      <c r="LE7" s="1298"/>
      <c r="LF7" s="1298"/>
      <c r="LG7" s="1298"/>
      <c r="LH7" s="1298"/>
      <c r="LI7" s="1298"/>
      <c r="LJ7" s="1298"/>
      <c r="LK7" s="1298"/>
      <c r="LL7" s="1298"/>
      <c r="LM7" s="1298"/>
      <c r="LN7" s="1298"/>
      <c r="LO7" s="1298"/>
      <c r="LP7" s="1298"/>
      <c r="LQ7" s="1298"/>
      <c r="LR7" s="1298"/>
      <c r="LS7" s="1298"/>
      <c r="LT7" s="1298"/>
      <c r="LU7" s="1298"/>
      <c r="LV7" s="1298"/>
      <c r="LW7" s="1298"/>
      <c r="LX7" s="1298"/>
      <c r="LY7" s="1298"/>
      <c r="LZ7" s="1298"/>
      <c r="MA7" s="1298"/>
      <c r="MB7" s="1298"/>
      <c r="MC7" s="1298"/>
      <c r="MD7" s="1298"/>
      <c r="ME7" s="1298"/>
      <c r="MF7" s="1298"/>
      <c r="MG7" s="1298"/>
      <c r="MH7" s="1298"/>
      <c r="MI7" s="1298"/>
      <c r="MJ7" s="1298"/>
      <c r="MK7" s="1298"/>
      <c r="ML7" s="1298"/>
      <c r="MM7" s="1298"/>
      <c r="MN7" s="1298"/>
      <c r="MO7" s="1298"/>
      <c r="MP7" s="1298"/>
      <c r="MQ7" s="1298"/>
      <c r="MR7" s="1298"/>
    </row>
    <row r="8" spans="1:356" s="1299" customFormat="1" ht="16" x14ac:dyDescent="0.2">
      <c r="A8" s="68" t="s">
        <v>58</v>
      </c>
      <c r="B8" s="1152" t="s">
        <v>59</v>
      </c>
      <c r="C8" s="1037" t="s">
        <v>80</v>
      </c>
      <c r="D8" s="1746"/>
      <c r="E8" s="84" t="s">
        <v>78</v>
      </c>
      <c r="F8" s="84" t="s">
        <v>50</v>
      </c>
      <c r="G8" s="1131" t="s">
        <v>79</v>
      </c>
      <c r="H8" s="1131" t="s">
        <v>81</v>
      </c>
      <c r="I8" s="68" t="s">
        <v>52</v>
      </c>
      <c r="J8" s="140" t="s">
        <v>53</v>
      </c>
      <c r="K8" s="68" t="s">
        <v>82</v>
      </c>
      <c r="L8" s="68" t="s">
        <v>83</v>
      </c>
      <c r="M8" s="93">
        <v>2050</v>
      </c>
      <c r="N8" s="93"/>
      <c r="O8" s="68" t="s">
        <v>64</v>
      </c>
      <c r="P8" s="623">
        <v>72</v>
      </c>
      <c r="Q8" s="623">
        <v>96</v>
      </c>
      <c r="R8" s="68">
        <v>72</v>
      </c>
      <c r="S8" s="623">
        <v>96</v>
      </c>
      <c r="T8" s="68">
        <v>73</v>
      </c>
      <c r="U8" s="623">
        <v>97</v>
      </c>
      <c r="V8" s="917">
        <f t="shared" si="6"/>
        <v>80</v>
      </c>
      <c r="W8" s="917">
        <f t="shared" si="7"/>
        <v>104</v>
      </c>
      <c r="X8" s="68">
        <v>122</v>
      </c>
      <c r="Y8" s="68">
        <v>80</v>
      </c>
      <c r="Z8" s="68">
        <v>104</v>
      </c>
      <c r="AA8" s="699">
        <f t="shared" si="0"/>
        <v>57.777777777777779</v>
      </c>
      <c r="AB8" s="297">
        <f t="shared" si="8"/>
        <v>1635.1111111111111</v>
      </c>
      <c r="AC8" s="74">
        <f t="shared" si="1"/>
        <v>38.133333333333333</v>
      </c>
      <c r="AD8" s="74">
        <f>Table1[[#This Row],[Substrate SF]]*Materials!C$37</f>
        <v>161.77777777777777</v>
      </c>
      <c r="AE8" s="74">
        <f>IF(Table1[[#This Row],[Work Center]]="SwissQ",Materials!G$37,IF(Table1[[#This Row],[Work Center]]="Inca",Materials!G$29,IF(Table1[[#This Row],[Work Center]]="Canon",Materials!G$49,Materials!G$45)))</f>
        <v>20</v>
      </c>
      <c r="AF8" s="73">
        <f>'Cali Frames'!D172</f>
        <v>390</v>
      </c>
      <c r="AG8" s="84"/>
      <c r="AH8" s="74">
        <f t="shared" si="2"/>
        <v>102.5</v>
      </c>
      <c r="AI8" s="74"/>
      <c r="AJ8" s="74">
        <f t="shared" si="3"/>
        <v>712.41111111111104</v>
      </c>
      <c r="AK8" s="1001">
        <f t="shared" si="4"/>
        <v>0.65248238482384824</v>
      </c>
      <c r="AL8" s="74">
        <f>Table1[[#This Row],[WSP/Dealer]]/Table1[[#This Row],[OD Sq Inch]]</f>
        <v>0.2895071317610507</v>
      </c>
      <c r="AM8" s="63">
        <f>Table1[[#This Row],[OD Wdth]]*Table1[[#This Row],[OD Hgt]]</f>
        <v>7081</v>
      </c>
      <c r="AN8" s="68">
        <f>Table1[[#This Row],[Min VO]]+Table1[[#This Row],[Max VO]]</f>
        <v>168</v>
      </c>
      <c r="AO8" s="119"/>
      <c r="AP8" s="84"/>
      <c r="AQ8" s="126"/>
      <c r="AR8" s="126"/>
      <c r="AS8" s="126"/>
      <c r="AT8" s="74"/>
      <c r="AU8" s="1356" t="str">
        <f t="shared" si="5"/>
        <v>-</v>
      </c>
      <c r="AV8" s="1298"/>
      <c r="AW8" s="1298"/>
      <c r="AX8" s="1298"/>
      <c r="AY8" s="1298"/>
      <c r="AZ8" s="1298"/>
      <c r="BA8" s="1298"/>
      <c r="BB8" s="1298"/>
      <c r="BC8" s="1298"/>
      <c r="BD8" s="1298"/>
      <c r="BE8" s="1298"/>
      <c r="BF8" s="1298"/>
      <c r="BG8" s="1298"/>
      <c r="BH8" s="1298"/>
      <c r="BI8" s="1298"/>
      <c r="BJ8" s="1298"/>
      <c r="BK8" s="1298"/>
      <c r="BL8" s="1298"/>
      <c r="BM8" s="1298"/>
      <c r="BN8" s="1298"/>
      <c r="BO8" s="1298"/>
      <c r="BP8" s="1298"/>
      <c r="BQ8" s="1298"/>
      <c r="BR8" s="1298"/>
      <c r="BS8" s="1298"/>
      <c r="BT8" s="1298"/>
      <c r="BU8" s="1298"/>
      <c r="BV8" s="1298"/>
      <c r="BW8" s="1298"/>
      <c r="BX8" s="1298"/>
      <c r="BY8" s="1298"/>
      <c r="BZ8" s="1298"/>
      <c r="CA8" s="1298"/>
      <c r="CB8" s="1298"/>
      <c r="CC8" s="1298"/>
      <c r="CD8" s="1298"/>
      <c r="CE8" s="1298"/>
      <c r="CF8" s="1298"/>
      <c r="CG8" s="1298"/>
      <c r="CH8" s="1298"/>
      <c r="CI8" s="1298"/>
      <c r="CJ8" s="1298"/>
      <c r="CK8" s="1298"/>
      <c r="CL8" s="1298"/>
      <c r="CM8" s="1298"/>
      <c r="CN8" s="1298"/>
      <c r="CO8" s="1298"/>
      <c r="CP8" s="1298"/>
      <c r="CQ8" s="1298"/>
      <c r="CR8" s="1298"/>
      <c r="CS8" s="1298"/>
      <c r="CT8" s="1298"/>
      <c r="CU8" s="1298"/>
      <c r="CV8" s="1298"/>
      <c r="CW8" s="1298"/>
      <c r="CX8" s="1298"/>
      <c r="CY8" s="1298"/>
      <c r="CZ8" s="1298"/>
      <c r="DA8" s="1298"/>
      <c r="DB8" s="1298"/>
      <c r="DC8" s="1298"/>
      <c r="DD8" s="1298"/>
      <c r="DE8" s="1298"/>
      <c r="DF8" s="1298"/>
      <c r="DG8" s="1298"/>
      <c r="DH8" s="1298"/>
      <c r="DI8" s="1298"/>
      <c r="DJ8" s="1298"/>
      <c r="DK8" s="1298"/>
      <c r="DL8" s="1298"/>
      <c r="DM8" s="1298"/>
      <c r="DN8" s="1298"/>
      <c r="DO8" s="1298"/>
      <c r="DP8" s="1298"/>
      <c r="DQ8" s="1298"/>
      <c r="DR8" s="1298"/>
      <c r="DS8" s="1298"/>
      <c r="DT8" s="1298"/>
      <c r="DU8" s="1298"/>
      <c r="DV8" s="1298"/>
      <c r="DW8" s="1298"/>
      <c r="DX8" s="1298"/>
      <c r="DY8" s="1298"/>
      <c r="DZ8" s="1298"/>
      <c r="EA8" s="1298"/>
      <c r="EB8" s="1298"/>
      <c r="EC8" s="1298"/>
      <c r="ED8" s="1298"/>
      <c r="EE8" s="1298"/>
      <c r="EF8" s="1298"/>
      <c r="EG8" s="1298"/>
      <c r="EH8" s="1298"/>
      <c r="EI8" s="1298"/>
      <c r="EJ8" s="1298"/>
      <c r="EK8" s="1298"/>
      <c r="EL8" s="1298"/>
      <c r="EM8" s="1298"/>
      <c r="EN8" s="1298"/>
      <c r="EO8" s="1298"/>
      <c r="EP8" s="1298"/>
      <c r="EQ8" s="1298"/>
      <c r="ER8" s="1298"/>
      <c r="ES8" s="1298"/>
      <c r="ET8" s="1298"/>
      <c r="EU8" s="1298"/>
      <c r="EV8" s="1298"/>
      <c r="EW8" s="1298"/>
      <c r="EX8" s="1298"/>
      <c r="EY8" s="1298"/>
      <c r="EZ8" s="1298"/>
      <c r="FA8" s="1298"/>
      <c r="FB8" s="1298"/>
      <c r="FC8" s="1298"/>
      <c r="FD8" s="1298"/>
      <c r="FE8" s="1298"/>
      <c r="FF8" s="1298"/>
      <c r="FG8" s="1298"/>
      <c r="FH8" s="1298"/>
      <c r="FI8" s="1298"/>
      <c r="FJ8" s="1298"/>
      <c r="FK8" s="1298"/>
      <c r="FL8" s="1298"/>
      <c r="FM8" s="1298"/>
      <c r="FN8" s="1298"/>
      <c r="FO8" s="1298"/>
      <c r="FP8" s="1298"/>
      <c r="FQ8" s="1298"/>
      <c r="FR8" s="1298"/>
      <c r="FS8" s="1298"/>
      <c r="FT8" s="1298"/>
      <c r="FU8" s="1298"/>
      <c r="FV8" s="1298"/>
      <c r="FW8" s="1298"/>
      <c r="FX8" s="1298"/>
      <c r="FY8" s="1298"/>
      <c r="FZ8" s="1298"/>
      <c r="GA8" s="1298"/>
      <c r="GB8" s="1298"/>
      <c r="GC8" s="1298"/>
      <c r="GD8" s="1298"/>
      <c r="GE8" s="1298"/>
      <c r="GF8" s="1298"/>
      <c r="GG8" s="1298"/>
      <c r="GH8" s="1298"/>
      <c r="GI8" s="1298"/>
      <c r="GJ8" s="1298"/>
      <c r="GK8" s="1298"/>
      <c r="GL8" s="1298"/>
      <c r="GM8" s="1298"/>
      <c r="GN8" s="1298"/>
      <c r="GO8" s="1298"/>
      <c r="GP8" s="1298"/>
      <c r="GQ8" s="1298"/>
      <c r="GR8" s="1298"/>
      <c r="GS8" s="1298"/>
      <c r="GT8" s="1298"/>
      <c r="GU8" s="1298"/>
      <c r="GV8" s="1298"/>
      <c r="GW8" s="1298"/>
      <c r="GX8" s="1298"/>
      <c r="GY8" s="1298"/>
      <c r="GZ8" s="1298"/>
      <c r="HA8" s="1298"/>
      <c r="HB8" s="1298"/>
      <c r="HC8" s="1298"/>
      <c r="HD8" s="1298"/>
      <c r="HE8" s="1298"/>
      <c r="HF8" s="1298"/>
      <c r="HG8" s="1298"/>
      <c r="HH8" s="1298"/>
      <c r="HI8" s="1298"/>
      <c r="HJ8" s="1298"/>
      <c r="HK8" s="1298"/>
      <c r="HL8" s="1298"/>
      <c r="HM8" s="1298"/>
      <c r="HN8" s="1298"/>
      <c r="HO8" s="1298"/>
      <c r="HP8" s="1298"/>
      <c r="HQ8" s="1298"/>
      <c r="HR8" s="1298"/>
      <c r="HS8" s="1298"/>
      <c r="HT8" s="1298"/>
      <c r="HU8" s="1298"/>
      <c r="HV8" s="1298"/>
      <c r="HW8" s="1298"/>
      <c r="HX8" s="1298"/>
      <c r="HY8" s="1298"/>
      <c r="HZ8" s="1298"/>
      <c r="IA8" s="1298"/>
      <c r="IB8" s="1298"/>
      <c r="IC8" s="1298"/>
      <c r="ID8" s="1298"/>
      <c r="IE8" s="1298"/>
      <c r="IF8" s="1298"/>
      <c r="IG8" s="1298"/>
      <c r="IH8" s="1298"/>
      <c r="II8" s="1298"/>
      <c r="IJ8" s="1298"/>
      <c r="IK8" s="1298"/>
      <c r="IL8" s="1298"/>
      <c r="IM8" s="1298"/>
      <c r="IN8" s="1298"/>
      <c r="IO8" s="1298"/>
      <c r="IP8" s="1298"/>
      <c r="IQ8" s="1298"/>
      <c r="IR8" s="1298"/>
      <c r="IS8" s="1298"/>
      <c r="IT8" s="1298"/>
      <c r="IU8" s="1298"/>
      <c r="IV8" s="1298"/>
      <c r="IW8" s="1298"/>
      <c r="IX8" s="1298"/>
      <c r="IY8" s="1298"/>
      <c r="IZ8" s="1298"/>
      <c r="JA8" s="1298"/>
      <c r="JB8" s="1298"/>
      <c r="JC8" s="1298"/>
      <c r="JD8" s="1298"/>
      <c r="JE8" s="1298"/>
      <c r="JF8" s="1298"/>
      <c r="JG8" s="1298"/>
      <c r="JH8" s="1298"/>
      <c r="JI8" s="1298"/>
      <c r="JJ8" s="1298"/>
      <c r="JK8" s="1298"/>
      <c r="JL8" s="1298"/>
      <c r="JM8" s="1298"/>
      <c r="JN8" s="1298"/>
      <c r="JO8" s="1298"/>
      <c r="JP8" s="1298"/>
      <c r="JQ8" s="1298"/>
      <c r="JR8" s="1298"/>
      <c r="JS8" s="1298"/>
      <c r="JT8" s="1298"/>
      <c r="JU8" s="1298"/>
      <c r="JV8" s="1298"/>
      <c r="JW8" s="1298"/>
      <c r="JX8" s="1298"/>
      <c r="JY8" s="1298"/>
      <c r="JZ8" s="1298"/>
      <c r="KA8" s="1298"/>
      <c r="KB8" s="1298"/>
      <c r="KC8" s="1298"/>
      <c r="KD8" s="1298"/>
      <c r="KE8" s="1298"/>
      <c r="KF8" s="1298"/>
      <c r="KG8" s="1298"/>
      <c r="KH8" s="1298"/>
      <c r="KI8" s="1298"/>
      <c r="KJ8" s="1298"/>
      <c r="KK8" s="1298"/>
      <c r="KL8" s="1298"/>
      <c r="KM8" s="1298"/>
      <c r="KN8" s="1298"/>
      <c r="KO8" s="1298"/>
      <c r="KP8" s="1298"/>
      <c r="KQ8" s="1298"/>
      <c r="KR8" s="1298"/>
      <c r="KS8" s="1298"/>
      <c r="KT8" s="1298"/>
      <c r="KU8" s="1298"/>
      <c r="KV8" s="1298"/>
      <c r="KW8" s="1298"/>
      <c r="KX8" s="1298"/>
      <c r="KY8" s="1298"/>
      <c r="KZ8" s="1298"/>
      <c r="LA8" s="1298"/>
      <c r="LB8" s="1298"/>
      <c r="LC8" s="1298"/>
      <c r="LD8" s="1298"/>
      <c r="LE8" s="1298"/>
      <c r="LF8" s="1298"/>
      <c r="LG8" s="1298"/>
      <c r="LH8" s="1298"/>
      <c r="LI8" s="1298"/>
      <c r="LJ8" s="1298"/>
      <c r="LK8" s="1298"/>
      <c r="LL8" s="1298"/>
      <c r="LM8" s="1298"/>
      <c r="LN8" s="1298"/>
      <c r="LO8" s="1298"/>
      <c r="LP8" s="1298"/>
      <c r="LQ8" s="1298"/>
      <c r="LR8" s="1298"/>
      <c r="LS8" s="1298"/>
      <c r="LT8" s="1298"/>
      <c r="LU8" s="1298"/>
      <c r="LV8" s="1298"/>
      <c r="LW8" s="1298"/>
      <c r="LX8" s="1298"/>
      <c r="LY8" s="1298"/>
      <c r="LZ8" s="1298"/>
      <c r="MA8" s="1298"/>
      <c r="MB8" s="1298"/>
      <c r="MC8" s="1298"/>
      <c r="MD8" s="1298"/>
      <c r="ME8" s="1298"/>
      <c r="MF8" s="1298"/>
      <c r="MG8" s="1298"/>
      <c r="MH8" s="1298"/>
      <c r="MI8" s="1298"/>
      <c r="MJ8" s="1298"/>
      <c r="MK8" s="1298"/>
      <c r="ML8" s="1298"/>
      <c r="MM8" s="1298"/>
      <c r="MN8" s="1298"/>
      <c r="MO8" s="1298"/>
      <c r="MP8" s="1298"/>
      <c r="MQ8" s="1298"/>
      <c r="MR8" s="1298"/>
    </row>
    <row r="9" spans="1:356" s="1299" customFormat="1" ht="16" x14ac:dyDescent="0.2">
      <c r="A9" s="68" t="s">
        <v>58</v>
      </c>
      <c r="B9" s="1152" t="s">
        <v>59</v>
      </c>
      <c r="C9" s="1037" t="s">
        <v>84</v>
      </c>
      <c r="D9" s="257" t="s">
        <v>67</v>
      </c>
      <c r="E9" s="84" t="s">
        <v>78</v>
      </c>
      <c r="F9" s="84" t="s">
        <v>50</v>
      </c>
      <c r="G9" s="1131" t="s">
        <v>79</v>
      </c>
      <c r="H9" s="1131" t="s">
        <v>85</v>
      </c>
      <c r="I9" s="68" t="s">
        <v>52</v>
      </c>
      <c r="J9" s="140" t="s">
        <v>53</v>
      </c>
      <c r="K9" s="68" t="s">
        <v>69</v>
      </c>
      <c r="L9" s="68" t="s">
        <v>70</v>
      </c>
      <c r="M9" s="93">
        <v>2070</v>
      </c>
      <c r="N9" s="93"/>
      <c r="O9" s="274" t="s">
        <v>64</v>
      </c>
      <c r="P9" s="783">
        <v>72</v>
      </c>
      <c r="Q9" s="783">
        <v>96</v>
      </c>
      <c r="R9" s="274">
        <v>72</v>
      </c>
      <c r="S9" s="783">
        <v>96</v>
      </c>
      <c r="T9" s="68">
        <v>73</v>
      </c>
      <c r="U9" s="623">
        <v>97</v>
      </c>
      <c r="V9" s="917">
        <f t="shared" si="6"/>
        <v>80</v>
      </c>
      <c r="W9" s="917">
        <f t="shared" si="7"/>
        <v>104</v>
      </c>
      <c r="X9" s="274">
        <v>122</v>
      </c>
      <c r="Y9" s="68"/>
      <c r="Z9" s="68"/>
      <c r="AA9" s="699">
        <f t="shared" si="0"/>
        <v>57.777777777777779</v>
      </c>
      <c r="AB9" s="297">
        <f t="shared" si="8"/>
        <v>1635.1111111111111</v>
      </c>
      <c r="AC9" s="74">
        <f t="shared" si="1"/>
        <v>38.133333333333333</v>
      </c>
      <c r="AD9" s="74">
        <f>Table1[[#This Row],[Substrate SF]]*Materials!C$37</f>
        <v>161.77777777777777</v>
      </c>
      <c r="AE9" s="74">
        <f>IF(Table1[[#This Row],[Work Center]]="SwissQ",Materials!G$37,IF(Table1[[#This Row],[Work Center]]="Inca",Materials!G$29,IF(Table1[[#This Row],[Work Center]]="Canon",Materials!G$49,Materials!G$45)))</f>
        <v>20</v>
      </c>
      <c r="AF9" s="73">
        <v>400</v>
      </c>
      <c r="AG9" s="84"/>
      <c r="AH9" s="278">
        <f t="shared" si="2"/>
        <v>103.5</v>
      </c>
      <c r="AI9" s="278"/>
      <c r="AJ9" s="278">
        <f t="shared" si="3"/>
        <v>723.41111111111104</v>
      </c>
      <c r="AK9" s="1192">
        <f t="shared" si="4"/>
        <v>0.65052603327965652</v>
      </c>
      <c r="AL9" s="278">
        <f>Table1[[#This Row],[WSP/Dealer]]/Table1[[#This Row],[OD Sq Inch]]</f>
        <v>0.29233159158310973</v>
      </c>
      <c r="AM9" s="170">
        <f>Table1[[#This Row],[OD Wdth]]*Table1[[#This Row],[OD Hgt]]</f>
        <v>7081</v>
      </c>
      <c r="AN9" s="274">
        <f>Table1[[#This Row],[Min VO]]+Table1[[#This Row],[Max VO]]</f>
        <v>168</v>
      </c>
      <c r="AO9" s="119"/>
      <c r="AP9" s="84"/>
      <c r="AQ9" s="126"/>
      <c r="AR9" s="126"/>
      <c r="AS9" s="126"/>
      <c r="AT9" s="74"/>
      <c r="AU9" s="1356" t="str">
        <f t="shared" si="5"/>
        <v>-</v>
      </c>
      <c r="AV9" s="1298"/>
      <c r="AW9" s="1298"/>
      <c r="AX9" s="1298"/>
      <c r="AY9" s="1298"/>
      <c r="AZ9" s="1298"/>
      <c r="BA9" s="1298"/>
      <c r="BB9" s="1298"/>
      <c r="BC9" s="1298"/>
      <c r="BD9" s="1298"/>
      <c r="BE9" s="1298"/>
      <c r="BF9" s="1298"/>
      <c r="BG9" s="1298"/>
      <c r="BH9" s="1298"/>
      <c r="BI9" s="1298"/>
      <c r="BJ9" s="1298"/>
      <c r="BK9" s="1298"/>
      <c r="BL9" s="1298"/>
      <c r="BM9" s="1298"/>
      <c r="BN9" s="1298"/>
      <c r="BO9" s="1298"/>
      <c r="BP9" s="1298"/>
      <c r="BQ9" s="1298"/>
      <c r="BR9" s="1298"/>
      <c r="BS9" s="1298"/>
      <c r="BT9" s="1298"/>
      <c r="BU9" s="1298"/>
      <c r="BV9" s="1298"/>
      <c r="BW9" s="1298"/>
      <c r="BX9" s="1298"/>
      <c r="BY9" s="1298"/>
      <c r="BZ9" s="1298"/>
      <c r="CA9" s="1298"/>
      <c r="CB9" s="1298"/>
      <c r="CC9" s="1298"/>
      <c r="CD9" s="1298"/>
      <c r="CE9" s="1298"/>
      <c r="CF9" s="1298"/>
      <c r="CG9" s="1298"/>
      <c r="CH9" s="1298"/>
      <c r="CI9" s="1298"/>
      <c r="CJ9" s="1298"/>
      <c r="CK9" s="1298"/>
      <c r="CL9" s="1298"/>
      <c r="CM9" s="1298"/>
      <c r="CN9" s="1298"/>
      <c r="CO9" s="1298"/>
      <c r="CP9" s="1298"/>
      <c r="CQ9" s="1298"/>
      <c r="CR9" s="1298"/>
      <c r="CS9" s="1298"/>
      <c r="CT9" s="1298"/>
      <c r="CU9" s="1298"/>
      <c r="CV9" s="1298"/>
      <c r="CW9" s="1298"/>
      <c r="CX9" s="1298"/>
      <c r="CY9" s="1298"/>
      <c r="CZ9" s="1298"/>
      <c r="DA9" s="1298"/>
      <c r="DB9" s="1298"/>
      <c r="DC9" s="1298"/>
      <c r="DD9" s="1298"/>
      <c r="DE9" s="1298"/>
      <c r="DF9" s="1298"/>
      <c r="DG9" s="1298"/>
      <c r="DH9" s="1298"/>
      <c r="DI9" s="1298"/>
      <c r="DJ9" s="1298"/>
      <c r="DK9" s="1298"/>
      <c r="DL9" s="1298"/>
      <c r="DM9" s="1298"/>
      <c r="DN9" s="1298"/>
      <c r="DO9" s="1298"/>
      <c r="DP9" s="1298"/>
      <c r="DQ9" s="1298"/>
      <c r="DR9" s="1298"/>
      <c r="DS9" s="1298"/>
      <c r="DT9" s="1298"/>
      <c r="DU9" s="1298"/>
      <c r="DV9" s="1298"/>
      <c r="DW9" s="1298"/>
      <c r="DX9" s="1298"/>
      <c r="DY9" s="1298"/>
      <c r="DZ9" s="1298"/>
      <c r="EA9" s="1298"/>
      <c r="EB9" s="1298"/>
      <c r="EC9" s="1298"/>
      <c r="ED9" s="1298"/>
      <c r="EE9" s="1298"/>
      <c r="EF9" s="1298"/>
      <c r="EG9" s="1298"/>
      <c r="EH9" s="1298"/>
      <c r="EI9" s="1298"/>
      <c r="EJ9" s="1298"/>
      <c r="EK9" s="1298"/>
      <c r="EL9" s="1298"/>
      <c r="EM9" s="1298"/>
      <c r="EN9" s="1298"/>
      <c r="EO9" s="1298"/>
      <c r="EP9" s="1298"/>
      <c r="EQ9" s="1298"/>
      <c r="ER9" s="1298"/>
      <c r="ES9" s="1298"/>
      <c r="ET9" s="1298"/>
      <c r="EU9" s="1298"/>
      <c r="EV9" s="1298"/>
      <c r="EW9" s="1298"/>
      <c r="EX9" s="1298"/>
      <c r="EY9" s="1298"/>
      <c r="EZ9" s="1298"/>
      <c r="FA9" s="1298"/>
      <c r="FB9" s="1298"/>
      <c r="FC9" s="1298"/>
      <c r="FD9" s="1298"/>
      <c r="FE9" s="1298"/>
      <c r="FF9" s="1298"/>
      <c r="FG9" s="1298"/>
      <c r="FH9" s="1298"/>
      <c r="FI9" s="1298"/>
      <c r="FJ9" s="1298"/>
      <c r="FK9" s="1298"/>
      <c r="FL9" s="1298"/>
      <c r="FM9" s="1298"/>
      <c r="FN9" s="1298"/>
      <c r="FO9" s="1298"/>
      <c r="FP9" s="1298"/>
      <c r="FQ9" s="1298"/>
      <c r="FR9" s="1298"/>
      <c r="FS9" s="1298"/>
      <c r="FT9" s="1298"/>
      <c r="FU9" s="1298"/>
      <c r="FV9" s="1298"/>
      <c r="FW9" s="1298"/>
      <c r="FX9" s="1298"/>
      <c r="FY9" s="1298"/>
      <c r="FZ9" s="1298"/>
      <c r="GA9" s="1298"/>
      <c r="GB9" s="1298"/>
      <c r="GC9" s="1298"/>
      <c r="GD9" s="1298"/>
      <c r="GE9" s="1298"/>
      <c r="GF9" s="1298"/>
      <c r="GG9" s="1298"/>
      <c r="GH9" s="1298"/>
      <c r="GI9" s="1298"/>
      <c r="GJ9" s="1298"/>
      <c r="GK9" s="1298"/>
      <c r="GL9" s="1298"/>
      <c r="GM9" s="1298"/>
      <c r="GN9" s="1298"/>
      <c r="GO9" s="1298"/>
      <c r="GP9" s="1298"/>
      <c r="GQ9" s="1298"/>
      <c r="GR9" s="1298"/>
      <c r="GS9" s="1298"/>
      <c r="GT9" s="1298"/>
      <c r="GU9" s="1298"/>
      <c r="GV9" s="1298"/>
      <c r="GW9" s="1298"/>
      <c r="GX9" s="1298"/>
      <c r="GY9" s="1298"/>
      <c r="GZ9" s="1298"/>
      <c r="HA9" s="1298"/>
      <c r="HB9" s="1298"/>
      <c r="HC9" s="1298"/>
      <c r="HD9" s="1298"/>
      <c r="HE9" s="1298"/>
      <c r="HF9" s="1298"/>
      <c r="HG9" s="1298"/>
      <c r="HH9" s="1298"/>
      <c r="HI9" s="1298"/>
      <c r="HJ9" s="1298"/>
      <c r="HK9" s="1298"/>
      <c r="HL9" s="1298"/>
      <c r="HM9" s="1298"/>
      <c r="HN9" s="1298"/>
      <c r="HO9" s="1298"/>
      <c r="HP9" s="1298"/>
      <c r="HQ9" s="1298"/>
      <c r="HR9" s="1298"/>
      <c r="HS9" s="1298"/>
      <c r="HT9" s="1298"/>
      <c r="HU9" s="1298"/>
      <c r="HV9" s="1298"/>
      <c r="HW9" s="1298"/>
      <c r="HX9" s="1298"/>
      <c r="HY9" s="1298"/>
      <c r="HZ9" s="1298"/>
      <c r="IA9" s="1298"/>
      <c r="IB9" s="1298"/>
      <c r="IC9" s="1298"/>
      <c r="ID9" s="1298"/>
      <c r="IE9" s="1298"/>
      <c r="IF9" s="1298"/>
      <c r="IG9" s="1298"/>
      <c r="IH9" s="1298"/>
      <c r="II9" s="1298"/>
      <c r="IJ9" s="1298"/>
      <c r="IK9" s="1298"/>
      <c r="IL9" s="1298"/>
      <c r="IM9" s="1298"/>
      <c r="IN9" s="1298"/>
      <c r="IO9" s="1298"/>
      <c r="IP9" s="1298"/>
      <c r="IQ9" s="1298"/>
      <c r="IR9" s="1298"/>
      <c r="IS9" s="1298"/>
      <c r="IT9" s="1298"/>
      <c r="IU9" s="1298"/>
      <c r="IV9" s="1298"/>
      <c r="IW9" s="1298"/>
      <c r="IX9" s="1298"/>
      <c r="IY9" s="1298"/>
      <c r="IZ9" s="1298"/>
      <c r="JA9" s="1298"/>
      <c r="JB9" s="1298"/>
      <c r="JC9" s="1298"/>
      <c r="JD9" s="1298"/>
      <c r="JE9" s="1298"/>
      <c r="JF9" s="1298"/>
      <c r="JG9" s="1298"/>
      <c r="JH9" s="1298"/>
      <c r="JI9" s="1298"/>
      <c r="JJ9" s="1298"/>
      <c r="JK9" s="1298"/>
      <c r="JL9" s="1298"/>
      <c r="JM9" s="1298"/>
      <c r="JN9" s="1298"/>
      <c r="JO9" s="1298"/>
      <c r="JP9" s="1298"/>
      <c r="JQ9" s="1298"/>
      <c r="JR9" s="1298"/>
      <c r="JS9" s="1298"/>
      <c r="JT9" s="1298"/>
      <c r="JU9" s="1298"/>
      <c r="JV9" s="1298"/>
      <c r="JW9" s="1298"/>
      <c r="JX9" s="1298"/>
      <c r="JY9" s="1298"/>
      <c r="JZ9" s="1298"/>
      <c r="KA9" s="1298"/>
      <c r="KB9" s="1298"/>
      <c r="KC9" s="1298"/>
      <c r="KD9" s="1298"/>
      <c r="KE9" s="1298"/>
      <c r="KF9" s="1298"/>
      <c r="KG9" s="1298"/>
      <c r="KH9" s="1298"/>
      <c r="KI9" s="1298"/>
      <c r="KJ9" s="1298"/>
      <c r="KK9" s="1298"/>
      <c r="KL9" s="1298"/>
      <c r="KM9" s="1298"/>
      <c r="KN9" s="1298"/>
      <c r="KO9" s="1298"/>
      <c r="KP9" s="1298"/>
      <c r="KQ9" s="1298"/>
      <c r="KR9" s="1298"/>
      <c r="KS9" s="1298"/>
      <c r="KT9" s="1298"/>
      <c r="KU9" s="1298"/>
      <c r="KV9" s="1298"/>
      <c r="KW9" s="1298"/>
      <c r="KX9" s="1298"/>
      <c r="KY9" s="1298"/>
      <c r="KZ9" s="1298"/>
      <c r="LA9" s="1298"/>
      <c r="LB9" s="1298"/>
      <c r="LC9" s="1298"/>
      <c r="LD9" s="1298"/>
      <c r="LE9" s="1298"/>
      <c r="LF9" s="1298"/>
      <c r="LG9" s="1298"/>
      <c r="LH9" s="1298"/>
      <c r="LI9" s="1298"/>
      <c r="LJ9" s="1298"/>
      <c r="LK9" s="1298"/>
      <c r="LL9" s="1298"/>
      <c r="LM9" s="1298"/>
      <c r="LN9" s="1298"/>
      <c r="LO9" s="1298"/>
      <c r="LP9" s="1298"/>
      <c r="LQ9" s="1298"/>
      <c r="LR9" s="1298"/>
      <c r="LS9" s="1298"/>
      <c r="LT9" s="1298"/>
      <c r="LU9" s="1298"/>
      <c r="LV9" s="1298"/>
      <c r="LW9" s="1298"/>
      <c r="LX9" s="1298"/>
      <c r="LY9" s="1298"/>
      <c r="LZ9" s="1298"/>
      <c r="MA9" s="1298"/>
      <c r="MB9" s="1298"/>
      <c r="MC9" s="1298"/>
      <c r="MD9" s="1298"/>
      <c r="ME9" s="1298"/>
      <c r="MF9" s="1298"/>
      <c r="MG9" s="1298"/>
      <c r="MH9" s="1298"/>
      <c r="MI9" s="1298"/>
      <c r="MJ9" s="1298"/>
      <c r="MK9" s="1298"/>
      <c r="ML9" s="1298"/>
      <c r="MM9" s="1298"/>
      <c r="MN9" s="1298"/>
      <c r="MO9" s="1298"/>
      <c r="MP9" s="1298"/>
      <c r="MQ9" s="1298"/>
      <c r="MR9" s="1298"/>
    </row>
    <row r="10" spans="1:356" s="97" customFormat="1" x14ac:dyDescent="0.2">
      <c r="A10" s="68" t="s">
        <v>58</v>
      </c>
      <c r="B10" s="1152" t="s">
        <v>59</v>
      </c>
      <c r="C10" s="1037" t="s">
        <v>86</v>
      </c>
      <c r="D10" s="257" t="s">
        <v>72</v>
      </c>
      <c r="E10" s="84" t="s">
        <v>78</v>
      </c>
      <c r="F10" s="84" t="s">
        <v>50</v>
      </c>
      <c r="G10" s="1131" t="s">
        <v>79</v>
      </c>
      <c r="H10" s="1131" t="s">
        <v>85</v>
      </c>
      <c r="I10" s="68" t="s">
        <v>52</v>
      </c>
      <c r="J10" s="140" t="s">
        <v>53</v>
      </c>
      <c r="K10" s="68" t="s">
        <v>69</v>
      </c>
      <c r="L10" s="68" t="s">
        <v>73</v>
      </c>
      <c r="M10" s="93">
        <v>2070</v>
      </c>
      <c r="N10" s="93"/>
      <c r="O10" s="274" t="s">
        <v>64</v>
      </c>
      <c r="P10" s="783">
        <v>72</v>
      </c>
      <c r="Q10" s="783">
        <v>96</v>
      </c>
      <c r="R10" s="274">
        <v>72</v>
      </c>
      <c r="S10" s="783">
        <v>96</v>
      </c>
      <c r="T10" s="68">
        <v>73</v>
      </c>
      <c r="U10" s="623">
        <v>97</v>
      </c>
      <c r="V10" s="917"/>
      <c r="W10" s="917"/>
      <c r="X10" s="68"/>
      <c r="Y10" s="68"/>
      <c r="Z10" s="68"/>
      <c r="AA10" s="699"/>
      <c r="AB10" s="297"/>
      <c r="AC10" s="74"/>
      <c r="AD10" s="126"/>
      <c r="AE10" s="126"/>
      <c r="AF10" s="73"/>
      <c r="AG10" s="84"/>
      <c r="AH10" s="126"/>
      <c r="AI10" s="126"/>
      <c r="AJ10" s="126"/>
      <c r="AK10" s="1001"/>
      <c r="AL10" s="126"/>
      <c r="AM10" s="84"/>
      <c r="AN10" s="84"/>
      <c r="AO10" s="84"/>
      <c r="AP10" s="84"/>
      <c r="AQ10" s="126"/>
      <c r="AR10" s="126"/>
      <c r="AS10" s="126"/>
      <c r="AT10" s="74"/>
      <c r="AU10" s="1357" t="str">
        <f t="shared" si="5"/>
        <v>-</v>
      </c>
    </row>
    <row r="11" spans="1:356" s="228" customFormat="1" x14ac:dyDescent="0.2">
      <c r="A11" s="68" t="s">
        <v>58</v>
      </c>
      <c r="B11" s="1152" t="s">
        <v>59</v>
      </c>
      <c r="C11" s="1037" t="s">
        <v>87</v>
      </c>
      <c r="D11" s="257" t="s">
        <v>75</v>
      </c>
      <c r="E11" s="84" t="s">
        <v>78</v>
      </c>
      <c r="F11" s="84" t="s">
        <v>50</v>
      </c>
      <c r="G11" s="1131" t="s">
        <v>79</v>
      </c>
      <c r="H11" s="1131" t="s">
        <v>85</v>
      </c>
      <c r="I11" s="68" t="s">
        <v>52</v>
      </c>
      <c r="J11" s="140" t="s">
        <v>53</v>
      </c>
      <c r="K11" s="68" t="s">
        <v>69</v>
      </c>
      <c r="L11" s="68" t="s">
        <v>76</v>
      </c>
      <c r="M11" s="93">
        <v>2070</v>
      </c>
      <c r="N11" s="93"/>
      <c r="O11" s="274" t="s">
        <v>64</v>
      </c>
      <c r="P11" s="783">
        <v>72</v>
      </c>
      <c r="Q11" s="783">
        <v>96</v>
      </c>
      <c r="R11" s="274">
        <v>72</v>
      </c>
      <c r="S11" s="783">
        <v>96</v>
      </c>
      <c r="T11" s="68">
        <v>73</v>
      </c>
      <c r="U11" s="623">
        <v>97</v>
      </c>
      <c r="V11" s="917"/>
      <c r="W11" s="917"/>
      <c r="X11" s="68"/>
      <c r="Y11" s="68"/>
      <c r="Z11" s="68"/>
      <c r="AA11" s="699"/>
      <c r="AB11" s="297"/>
      <c r="AC11" s="74"/>
      <c r="AD11" s="126"/>
      <c r="AE11" s="126"/>
      <c r="AF11" s="73"/>
      <c r="AG11" s="84"/>
      <c r="AH11" s="126"/>
      <c r="AI11" s="126"/>
      <c r="AJ11" s="126"/>
      <c r="AK11" s="1001"/>
      <c r="AL11" s="126"/>
      <c r="AM11" s="84"/>
      <c r="AN11" s="84"/>
      <c r="AO11" s="84"/>
      <c r="AP11" s="84"/>
      <c r="AQ11" s="126"/>
      <c r="AR11" s="126"/>
      <c r="AS11" s="126"/>
      <c r="AT11" s="74"/>
      <c r="AU11" s="1357" t="str">
        <f t="shared" si="5"/>
        <v>-</v>
      </c>
    </row>
    <row r="12" spans="1:356" s="237" customFormat="1" x14ac:dyDescent="0.2">
      <c r="A12" s="101" t="s">
        <v>58</v>
      </c>
      <c r="B12" s="101" t="s">
        <v>88</v>
      </c>
      <c r="C12" s="76" t="s">
        <v>89</v>
      </c>
      <c r="D12" s="76" t="s">
        <v>90</v>
      </c>
      <c r="E12" s="100" t="s">
        <v>91</v>
      </c>
      <c r="F12" s="83" t="s">
        <v>92</v>
      </c>
      <c r="G12" s="101" t="s">
        <v>93</v>
      </c>
      <c r="H12" s="101" t="s">
        <v>94</v>
      </c>
      <c r="I12" s="101" t="s">
        <v>52</v>
      </c>
      <c r="J12" s="60" t="s">
        <v>53</v>
      </c>
      <c r="K12" s="101" t="s">
        <v>82</v>
      </c>
      <c r="L12" s="101" t="s">
        <v>83</v>
      </c>
      <c r="M12" s="71">
        <v>935</v>
      </c>
      <c r="N12" s="639">
        <v>1100</v>
      </c>
      <c r="O12" s="551" t="s">
        <v>56</v>
      </c>
      <c r="P12" s="101">
        <v>48</v>
      </c>
      <c r="Q12" s="101">
        <v>55</v>
      </c>
      <c r="R12" s="60">
        <v>48</v>
      </c>
      <c r="S12" s="273">
        <v>55</v>
      </c>
      <c r="T12" s="101">
        <v>50</v>
      </c>
      <c r="U12" s="101">
        <v>57</v>
      </c>
      <c r="V12" s="608">
        <f>IF(J12="Canvas",P12+Border,P12)</f>
        <v>56</v>
      </c>
      <c r="W12" s="608">
        <f>IF(J12="Canvas",Q12+Border,Q12)</f>
        <v>63</v>
      </c>
      <c r="X12" s="311">
        <v>63</v>
      </c>
      <c r="Y12" s="551"/>
      <c r="Z12" s="551"/>
      <c r="AA12" s="649">
        <f>V12*W12/144</f>
        <v>24.5</v>
      </c>
      <c r="AB12" s="184">
        <f>AA12*IncaG</f>
        <v>515.48</v>
      </c>
      <c r="AC12" s="104">
        <f>AA12*Canvas</f>
        <v>16.170000000000002</v>
      </c>
      <c r="AD12" s="104">
        <f>AA12*IncaC</f>
        <v>41.238399999999999</v>
      </c>
      <c r="AE12" s="104">
        <f>IF(Table1[[#This Row],[Work Center]]="SwissQ",Materials!G$37,IF(Table1[[#This Row],[Work Center]]="Inca",Materials!G$29,IF(Table1[[#This Row],[Work Center]]="Canon",Materials!G$49,Materials!G$45)))</f>
        <v>8</v>
      </c>
      <c r="AF12" s="102">
        <f>'Cali Frames'!D154</f>
        <v>230.80749999999998</v>
      </c>
      <c r="AG12" s="104"/>
      <c r="AH12" s="112">
        <f>(M12*0.05)</f>
        <v>46.75</v>
      </c>
      <c r="AI12" s="263"/>
      <c r="AJ12" s="104">
        <f>SUM(AC12:AH12)</f>
        <v>342.96589999999998</v>
      </c>
      <c r="AK12" s="62">
        <f>(M12-AJ12)/M12</f>
        <v>0.63319155080213907</v>
      </c>
      <c r="AL12" s="225">
        <f>Table1[[#This Row],[WSP/Dealer]]/Table1[[#This Row],[OD Sq Inch]]</f>
        <v>0.32807017543859651</v>
      </c>
      <c r="AM12" s="103">
        <f>Table1[[#This Row],[OD Wdth]]*Table1[[#This Row],[OD Hgt]]</f>
        <v>2850</v>
      </c>
      <c r="AN12" s="216">
        <f>Table1[[#This Row],[Min VO]]+Table1[[#This Row],[Max VO]]</f>
        <v>103</v>
      </c>
      <c r="AO12" s="68"/>
      <c r="AP12" s="101"/>
      <c r="AQ12" s="104"/>
      <c r="AR12" s="104"/>
      <c r="AS12" s="104"/>
      <c r="AT12" s="104"/>
      <c r="AU12" s="830" t="str">
        <f t="shared" si="5"/>
        <v>-</v>
      </c>
    </row>
    <row r="13" spans="1:356" s="237" customFormat="1" hidden="1" x14ac:dyDescent="0.2">
      <c r="A13" s="180" t="s">
        <v>95</v>
      </c>
      <c r="B13" s="1194" t="s">
        <v>96</v>
      </c>
      <c r="C13" s="76" t="s">
        <v>97</v>
      </c>
      <c r="D13" s="302"/>
      <c r="E13" s="284" t="s">
        <v>98</v>
      </c>
      <c r="F13" s="284" t="s">
        <v>99</v>
      </c>
      <c r="G13" s="180" t="s">
        <v>100</v>
      </c>
      <c r="H13" s="180" t="s">
        <v>100</v>
      </c>
      <c r="I13" s="180" t="s">
        <v>52</v>
      </c>
      <c r="J13" s="310" t="s">
        <v>53</v>
      </c>
      <c r="K13" s="180" t="s">
        <v>54</v>
      </c>
      <c r="L13" s="180" t="s">
        <v>55</v>
      </c>
      <c r="M13" s="292">
        <v>500</v>
      </c>
      <c r="N13" s="72"/>
      <c r="O13" s="180" t="s">
        <v>64</v>
      </c>
      <c r="P13" s="180">
        <v>24</v>
      </c>
      <c r="Q13" s="180">
        <v>36</v>
      </c>
      <c r="R13" s="180">
        <v>24</v>
      </c>
      <c r="S13" s="813">
        <v>36</v>
      </c>
      <c r="T13" s="180">
        <v>24</v>
      </c>
      <c r="U13" s="180">
        <v>36</v>
      </c>
      <c r="V13" s="946">
        <f>IF(J13="Canvas",P13+Border,P13)</f>
        <v>32</v>
      </c>
      <c r="W13" s="946">
        <f>IF(J13="Canvas",Q13+Border,Q13)</f>
        <v>44</v>
      </c>
      <c r="X13" s="289">
        <v>40</v>
      </c>
      <c r="Y13" s="180">
        <v>32</v>
      </c>
      <c r="Z13" s="180">
        <v>44</v>
      </c>
      <c r="AA13" s="717">
        <f>V13*W13/144</f>
        <v>9.7777777777777786</v>
      </c>
      <c r="AB13" s="125">
        <f>AA13*Swiss1</f>
        <v>276.71111111111117</v>
      </c>
      <c r="AC13" s="69">
        <f>AA13*Canvas</f>
        <v>6.453333333333334</v>
      </c>
      <c r="AD13" s="48">
        <f>Table1[[#This Row],[Substrate SF]]*SWISSC1</f>
        <v>27.37777777777778</v>
      </c>
      <c r="AE13" s="69">
        <f>IF(Table1[[#This Row],[Work Center]]="SwissQ",Materials!G$37,IF(Table1[[#This Row],[Work Center]]="Inca",Materials!G$29,IF(Table1[[#This Row],[Work Center]]="Canon",Materials!G$49,Materials!G$45)))</f>
        <v>20</v>
      </c>
      <c r="AF13" s="290">
        <f>'Cali FPS'!C37</f>
        <v>75.162500000000009</v>
      </c>
      <c r="AG13" s="296"/>
      <c r="AH13" s="69">
        <f>(M13*0.05)</f>
        <v>25</v>
      </c>
      <c r="AI13" s="278"/>
      <c r="AJ13" s="69">
        <f>SUM(AC13:AH13)</f>
        <v>153.99361111111114</v>
      </c>
      <c r="AK13" s="650">
        <f>(M13-AJ13)/M13</f>
        <v>0.6920127777777777</v>
      </c>
      <c r="AL13" s="225">
        <f>Table1[[#This Row],[WSP/Dealer]]/Table1[[#This Row],[OD Sq Inch]]</f>
        <v>0.57870370370370372</v>
      </c>
      <c r="AM13" s="216">
        <f>Table1[[#This Row],[OD Wdth]]*Table1[[#This Row],[OD Hgt]]</f>
        <v>864</v>
      </c>
      <c r="AN13" s="216">
        <f>Table1[[#This Row],[Min VO]]+Table1[[#This Row],[Max VO]]</f>
        <v>60</v>
      </c>
      <c r="AO13" s="284"/>
      <c r="AP13" s="284"/>
      <c r="AQ13" s="296"/>
      <c r="AR13" s="296"/>
      <c r="AS13" s="296"/>
      <c r="AT13" s="176"/>
      <c r="AU13" s="1358" t="str">
        <f t="shared" si="5"/>
        <v>-</v>
      </c>
    </row>
    <row r="14" spans="1:356" s="237" customFormat="1" hidden="1" x14ac:dyDescent="0.2">
      <c r="A14" s="274" t="s">
        <v>101</v>
      </c>
      <c r="B14" s="279" t="s">
        <v>102</v>
      </c>
      <c r="C14" s="76" t="s">
        <v>103</v>
      </c>
      <c r="D14" s="323"/>
      <c r="E14" s="275" t="s">
        <v>104</v>
      </c>
      <c r="F14" s="275" t="s">
        <v>105</v>
      </c>
      <c r="G14" s="274" t="s">
        <v>106</v>
      </c>
      <c r="H14" s="274" t="s">
        <v>107</v>
      </c>
      <c r="I14" s="274" t="s">
        <v>108</v>
      </c>
      <c r="J14" s="344" t="s">
        <v>53</v>
      </c>
      <c r="K14" s="274" t="s">
        <v>69</v>
      </c>
      <c r="L14" s="274" t="s">
        <v>73</v>
      </c>
      <c r="M14" s="141">
        <v>180</v>
      </c>
      <c r="N14" s="318"/>
      <c r="O14" s="274" t="s">
        <v>109</v>
      </c>
      <c r="P14" s="274">
        <v>14</v>
      </c>
      <c r="Q14" s="274">
        <v>10</v>
      </c>
      <c r="R14" s="274">
        <v>10</v>
      </c>
      <c r="S14" s="783">
        <v>14</v>
      </c>
      <c r="T14" s="274">
        <v>15</v>
      </c>
      <c r="U14" s="274">
        <v>11</v>
      </c>
      <c r="V14" s="917">
        <f>IF(J14="Canvas",P14+Border,P14)</f>
        <v>22</v>
      </c>
      <c r="W14" s="917">
        <f>IF(J14="Canvas",Q14+Border,Q14)</f>
        <v>18</v>
      </c>
      <c r="X14" s="274">
        <v>40</v>
      </c>
      <c r="Y14" s="686">
        <f>Table1[[#This Row],[Print Wth]]</f>
        <v>22</v>
      </c>
      <c r="Z14" s="686">
        <f>Table1[[#This Row],[Print Ht]]</f>
        <v>18</v>
      </c>
      <c r="AA14" s="727">
        <f>Table1[[#This Row],[Cut Width]]*Table1[[#This Row],[Cut Height]]/144</f>
        <v>2.75</v>
      </c>
      <c r="AB14" s="341">
        <f>Table1[[#This Row],[Print Wth]]*Table1[[#This Row],[Print Ht]]/144*EPSONM</f>
        <v>12.375</v>
      </c>
      <c r="AC14" s="278">
        <f>Table1[[#This Row],[Substrate SF]]*Canvas</f>
        <v>1.8150000000000002</v>
      </c>
      <c r="AD14" s="278">
        <f>Table1[[#This Row],[Ink g/mL]]*EPSONC</f>
        <v>2.7225000000000001</v>
      </c>
      <c r="AE14" s="278">
        <f>IF(Table1[[#This Row],[Work Center]]="SwissQ",Materials!G$37,IF(Table1[[#This Row],[Work Center]]="Inca",Materials!G$29,IF(Table1[[#This Row],[Work Center]]="Canon",Materials!G$49,Materials!G$45)))</f>
        <v>5</v>
      </c>
      <c r="AF14" s="321">
        <f>'Cali Frames'!D409</f>
        <v>80</v>
      </c>
      <c r="AG14" s="320"/>
      <c r="AH14" s="74">
        <v>0</v>
      </c>
      <c r="AI14" s="278"/>
      <c r="AJ14" s="74">
        <f>SUM(AC14:AH14)</f>
        <v>89.537499999999994</v>
      </c>
      <c r="AK14" s="1001">
        <f>(M14-AJ14)/M14</f>
        <v>0.50256944444444451</v>
      </c>
      <c r="AL14" s="240">
        <f>Table1[[#This Row],[WSP/Dealer]]/Table1[[#This Row],[OD Sq Inch]]</f>
        <v>1.0909090909090908</v>
      </c>
      <c r="AM14" s="238">
        <f>Table1[[#This Row],[OD Wdth]]*Table1[[#This Row],[OD Hgt]]</f>
        <v>165</v>
      </c>
      <c r="AN14" s="238">
        <f>Table1[[#This Row],[Min VO]]+Table1[[#This Row],[Max VO]]</f>
        <v>24</v>
      </c>
      <c r="AO14" s="275"/>
      <c r="AP14" s="275"/>
      <c r="AQ14" s="320"/>
      <c r="AR14" s="320"/>
      <c r="AS14" s="320"/>
      <c r="AT14" s="278"/>
      <c r="AU14" s="1368" t="str">
        <f t="shared" si="5"/>
        <v>-</v>
      </c>
    </row>
    <row r="15" spans="1:356" s="402" customFormat="1" hidden="1" x14ac:dyDescent="0.2">
      <c r="A15" s="101" t="s">
        <v>110</v>
      </c>
      <c r="B15" s="1064" t="s">
        <v>111</v>
      </c>
      <c r="C15" s="100" t="s">
        <v>112</v>
      </c>
      <c r="D15" s="100"/>
      <c r="E15" s="115" t="s">
        <v>113</v>
      </c>
      <c r="F15" s="115" t="s">
        <v>114</v>
      </c>
      <c r="G15" s="101" t="s">
        <v>115</v>
      </c>
      <c r="H15" s="101" t="s">
        <v>115</v>
      </c>
      <c r="I15" s="101" t="s">
        <v>52</v>
      </c>
      <c r="J15" s="487" t="s">
        <v>53</v>
      </c>
      <c r="K15" s="101" t="s">
        <v>54</v>
      </c>
      <c r="L15" s="101" t="s">
        <v>55</v>
      </c>
      <c r="M15" s="114"/>
      <c r="N15" s="114"/>
      <c r="O15" s="101"/>
      <c r="P15" s="101"/>
      <c r="Q15" s="101"/>
      <c r="R15" s="101"/>
      <c r="S15" s="697"/>
      <c r="T15" s="101"/>
      <c r="U15" s="101"/>
      <c r="V15" s="608"/>
      <c r="W15" s="608"/>
      <c r="X15" s="101"/>
      <c r="Y15" s="101"/>
      <c r="Z15" s="101"/>
      <c r="AA15" s="649"/>
      <c r="AB15" s="184"/>
      <c r="AC15" s="104"/>
      <c r="AD15" s="121"/>
      <c r="AE15" s="121"/>
      <c r="AF15" s="102"/>
      <c r="AG15" s="121"/>
      <c r="AH15" s="121"/>
      <c r="AI15" s="121"/>
      <c r="AJ15" s="121"/>
      <c r="AK15" s="830"/>
      <c r="AL15" s="121"/>
      <c r="AM15" s="115"/>
      <c r="AN15" s="115"/>
      <c r="AO15" s="115"/>
      <c r="AP15" s="115"/>
      <c r="AQ15" s="121">
        <f>(Table1[[#This Row],[Desgnr/Retail P]]*0.05)</f>
        <v>0</v>
      </c>
      <c r="AR15" s="121">
        <f>IF(A15="Codarus",(AP15*0.13))</f>
        <v>0</v>
      </c>
      <c r="AS15" s="121" cm="1">
        <f t="array" ref="AS15">SUM(AC15:AG15+AQ15)</f>
        <v>0</v>
      </c>
      <c r="AT15" s="830" t="str">
        <f>IF(AP15=0,"-",(AP15-AS15)/AP15)</f>
        <v>-</v>
      </c>
      <c r="AU15" s="1359" t="str">
        <f t="shared" si="5"/>
        <v>-</v>
      </c>
    </row>
    <row r="16" spans="1:356" s="286" customFormat="1" hidden="1" x14ac:dyDescent="0.2">
      <c r="A16" s="60" t="s">
        <v>101</v>
      </c>
      <c r="B16" s="1106" t="s">
        <v>102</v>
      </c>
      <c r="C16" s="76" t="s">
        <v>116</v>
      </c>
      <c r="D16" s="76"/>
      <c r="E16" s="83" t="s">
        <v>117</v>
      </c>
      <c r="F16" s="83" t="s">
        <v>105</v>
      </c>
      <c r="G16" s="60" t="s">
        <v>118</v>
      </c>
      <c r="H16" s="60" t="s">
        <v>118</v>
      </c>
      <c r="I16" s="60" t="s">
        <v>108</v>
      </c>
      <c r="J16" s="59" t="s">
        <v>53</v>
      </c>
      <c r="K16" s="60" t="s">
        <v>119</v>
      </c>
      <c r="L16" s="60" t="s">
        <v>120</v>
      </c>
      <c r="M16" s="179">
        <v>170</v>
      </c>
      <c r="N16" s="124"/>
      <c r="O16" s="60" t="s">
        <v>109</v>
      </c>
      <c r="P16" s="60">
        <v>9</v>
      </c>
      <c r="Q16" s="60">
        <v>12</v>
      </c>
      <c r="R16" s="60">
        <v>9</v>
      </c>
      <c r="S16" s="273">
        <v>12</v>
      </c>
      <c r="T16" s="60">
        <v>9</v>
      </c>
      <c r="U16" s="60">
        <v>12</v>
      </c>
      <c r="V16" s="946">
        <f t="shared" ref="V16:V22" si="9">IF(J16="Canvas",P16+Border,P16)</f>
        <v>17</v>
      </c>
      <c r="W16" s="946">
        <f t="shared" ref="W16:W22" si="10">IF(J16="Canvas",Q16+Border,Q16)</f>
        <v>20</v>
      </c>
      <c r="X16" s="60">
        <v>40</v>
      </c>
      <c r="Y16" s="947">
        <f>Table1[[#This Row],[Print Wth]]</f>
        <v>17</v>
      </c>
      <c r="Z16" s="947">
        <f>Table1[[#This Row],[Print Ht]]</f>
        <v>20</v>
      </c>
      <c r="AA16" s="678">
        <f>Table1[[#This Row],[Cut Width]]*Table1[[#This Row],[Cut Height]]/144</f>
        <v>2.3611111111111112</v>
      </c>
      <c r="AB16" s="329">
        <f>Table1[[#This Row],[Print Wth]]*Table1[[#This Row],[Print Ht]]/144*EPSONM</f>
        <v>10.625</v>
      </c>
      <c r="AC16" s="176">
        <f>Table1[[#This Row],[Substrate SF]]*Canvas</f>
        <v>1.5583333333333333</v>
      </c>
      <c r="AD16" s="176">
        <f>Table1[[#This Row],[Ink g/mL]]*EPSONC</f>
        <v>2.3374999999999999</v>
      </c>
      <c r="AE16" s="176">
        <f>IF(Table1[[#This Row],[Work Center]]="SwissQ",Materials!G$37,IF(Table1[[#This Row],[Work Center]]="Inca",Materials!G$29,IF(Table1[[#This Row],[Work Center]]="Canon",Materials!G$49,Materials!G$45)))</f>
        <v>5</v>
      </c>
      <c r="AF16" s="72">
        <f>'Cali FPS'!C177</f>
        <v>75.83</v>
      </c>
      <c r="AG16" s="540"/>
      <c r="AH16" s="69">
        <v>0</v>
      </c>
      <c r="AI16" s="176"/>
      <c r="AJ16" s="69">
        <f>SUM(AC16:AH16)</f>
        <v>84.725833333333327</v>
      </c>
      <c r="AK16" s="650">
        <f t="shared" ref="AK16:AK47" si="11">(M16-AJ16)/M16</f>
        <v>0.50161274509803921</v>
      </c>
      <c r="AL16" s="225">
        <f>Table1[[#This Row],[WSP/Dealer]]/Table1[[#This Row],[OD Sq Inch]]</f>
        <v>1.5740740740740742</v>
      </c>
      <c r="AM16" s="216">
        <f>Table1[[#This Row],[OD Wdth]]*Table1[[#This Row],[OD Hgt]]</f>
        <v>108</v>
      </c>
      <c r="AN16" s="216">
        <f>Table1[[#This Row],[Min VO]]+Table1[[#This Row],[Max VO]]</f>
        <v>21</v>
      </c>
      <c r="AO16" s="83"/>
      <c r="AP16" s="83"/>
      <c r="AQ16" s="540"/>
      <c r="AR16" s="540"/>
      <c r="AS16" s="540"/>
      <c r="AT16" s="69"/>
      <c r="AU16" s="1361" t="str">
        <f t="shared" si="5"/>
        <v>-</v>
      </c>
    </row>
    <row r="17" spans="1:47" s="171" customFormat="1" x14ac:dyDescent="0.2">
      <c r="A17" s="101" t="s">
        <v>58</v>
      </c>
      <c r="B17" s="1064" t="s">
        <v>121</v>
      </c>
      <c r="C17" s="100" t="s">
        <v>122</v>
      </c>
      <c r="D17" s="168"/>
      <c r="E17" s="115" t="s">
        <v>123</v>
      </c>
      <c r="F17" s="115" t="s">
        <v>124</v>
      </c>
      <c r="G17" s="101" t="s">
        <v>125</v>
      </c>
      <c r="H17" s="101" t="s">
        <v>125</v>
      </c>
      <c r="I17" s="101" t="s">
        <v>52</v>
      </c>
      <c r="J17" s="487" t="s">
        <v>53</v>
      </c>
      <c r="K17" s="101" t="s">
        <v>54</v>
      </c>
      <c r="L17" s="101" t="s">
        <v>55</v>
      </c>
      <c r="M17" s="299">
        <v>700</v>
      </c>
      <c r="N17" s="114"/>
      <c r="O17" s="101" t="s">
        <v>56</v>
      </c>
      <c r="P17" s="101">
        <v>42</v>
      </c>
      <c r="Q17" s="101">
        <v>52</v>
      </c>
      <c r="R17" s="101">
        <v>42</v>
      </c>
      <c r="S17" s="101">
        <v>52</v>
      </c>
      <c r="T17" s="101">
        <v>42</v>
      </c>
      <c r="U17" s="101">
        <v>52</v>
      </c>
      <c r="V17" s="608">
        <f t="shared" si="9"/>
        <v>50</v>
      </c>
      <c r="W17" s="608">
        <f t="shared" si="10"/>
        <v>60</v>
      </c>
      <c r="X17" s="137">
        <v>63</v>
      </c>
      <c r="Y17" s="101">
        <v>56</v>
      </c>
      <c r="Z17" s="101">
        <v>56</v>
      </c>
      <c r="AA17" s="649">
        <f>V17*W17/144</f>
        <v>20.833333333333332</v>
      </c>
      <c r="AB17" s="184">
        <f>AA17*IncaG</f>
        <v>438.33333333333331</v>
      </c>
      <c r="AC17" s="104">
        <f>AA17*Canvas</f>
        <v>13.75</v>
      </c>
      <c r="AD17" s="1066">
        <f>Table1[[#This Row],[Substrate SF]]*IncaC</f>
        <v>35.066666666666663</v>
      </c>
      <c r="AE17" s="104">
        <f>IF(Table1[[#This Row],[Work Center]]="SwissQ",Materials!G$37,IF(Table1[[#This Row],[Work Center]]="Inca",Materials!G$29,IF(Table1[[#This Row],[Work Center]]="Canon",Materials!G$49,Materials!G$45)))</f>
        <v>8</v>
      </c>
      <c r="AF17" s="102">
        <f>'Cali FPS'!C95</f>
        <v>110.51</v>
      </c>
      <c r="AG17" s="121"/>
      <c r="AH17" s="406">
        <f t="shared" ref="AH17:AH60" si="12">(M17*0.05)</f>
        <v>35</v>
      </c>
      <c r="AI17" s="278"/>
      <c r="AJ17" s="406">
        <f>SUM(AC17:AH17)</f>
        <v>202.32666666666665</v>
      </c>
      <c r="AK17" s="1065">
        <f t="shared" si="11"/>
        <v>0.71096190476190479</v>
      </c>
      <c r="AL17" s="406">
        <f>Table1[[#This Row],[WSP/Dealer]]/Table1[[#This Row],[OD Sq Inch]]</f>
        <v>0.32051282051282054</v>
      </c>
      <c r="AM17" s="400">
        <f>Table1[[#This Row],[OD Wdth]]*Table1[[#This Row],[OD Hgt]]</f>
        <v>2184</v>
      </c>
      <c r="AN17" s="400">
        <f>Table1[[#This Row],[Min VO]]+Table1[[#This Row],[Max VO]]</f>
        <v>94</v>
      </c>
      <c r="AO17" s="115"/>
      <c r="AP17" s="115"/>
      <c r="AQ17" s="121"/>
      <c r="AR17" s="121"/>
      <c r="AS17" s="121"/>
      <c r="AT17" s="104"/>
      <c r="AU17" s="1359" t="str">
        <f t="shared" si="5"/>
        <v>-</v>
      </c>
    </row>
    <row r="18" spans="1:47" s="171" customFormat="1" x14ac:dyDescent="0.2">
      <c r="A18" s="101" t="s">
        <v>58</v>
      </c>
      <c r="B18" s="1064" t="s">
        <v>121</v>
      </c>
      <c r="C18" s="100" t="s">
        <v>126</v>
      </c>
      <c r="D18" s="168"/>
      <c r="E18" s="115" t="s">
        <v>127</v>
      </c>
      <c r="F18" s="115" t="s">
        <v>124</v>
      </c>
      <c r="G18" s="101" t="s">
        <v>125</v>
      </c>
      <c r="H18" s="101" t="s">
        <v>125</v>
      </c>
      <c r="I18" s="101" t="s">
        <v>52</v>
      </c>
      <c r="J18" s="487" t="s">
        <v>53</v>
      </c>
      <c r="K18" s="101" t="s">
        <v>54</v>
      </c>
      <c r="L18" s="101" t="s">
        <v>55</v>
      </c>
      <c r="M18" s="299">
        <v>700</v>
      </c>
      <c r="N18" s="114"/>
      <c r="O18" s="101" t="s">
        <v>56</v>
      </c>
      <c r="P18" s="101">
        <v>42</v>
      </c>
      <c r="Q18" s="101">
        <v>52</v>
      </c>
      <c r="R18" s="101">
        <v>42</v>
      </c>
      <c r="S18" s="101">
        <v>52</v>
      </c>
      <c r="T18" s="101">
        <v>42</v>
      </c>
      <c r="U18" s="101">
        <v>52</v>
      </c>
      <c r="V18" s="608">
        <f t="shared" si="9"/>
        <v>50</v>
      </c>
      <c r="W18" s="608">
        <f t="shared" si="10"/>
        <v>60</v>
      </c>
      <c r="X18" s="137">
        <v>63</v>
      </c>
      <c r="Y18" s="101">
        <v>56</v>
      </c>
      <c r="Z18" s="101">
        <v>56</v>
      </c>
      <c r="AA18" s="649">
        <f>V18*W18/144</f>
        <v>20.833333333333332</v>
      </c>
      <c r="AB18" s="184">
        <f>AA18*IncaG</f>
        <v>438.33333333333331</v>
      </c>
      <c r="AC18" s="104">
        <f>AA18*Canvas</f>
        <v>13.75</v>
      </c>
      <c r="AD18" s="1000">
        <f>Table1[[#This Row],[Substrate SF]]*IncaC</f>
        <v>35.066666666666663</v>
      </c>
      <c r="AE18" s="104">
        <f>IF(Table1[[#This Row],[Work Center]]="SwissQ",Materials!G$37,IF(Table1[[#This Row],[Work Center]]="Inca",Materials!G$29,IF(Table1[[#This Row],[Work Center]]="Canon",Materials!G$49,Materials!G$45)))</f>
        <v>8</v>
      </c>
      <c r="AF18" s="102">
        <f>'Cali FPS'!C95</f>
        <v>110.51</v>
      </c>
      <c r="AG18" s="121"/>
      <c r="AH18" s="406">
        <f t="shared" si="12"/>
        <v>35</v>
      </c>
      <c r="AI18" s="278"/>
      <c r="AJ18" s="406">
        <f>SUM(AC18:AH18)</f>
        <v>202.32666666666665</v>
      </c>
      <c r="AK18" s="1065">
        <f t="shared" si="11"/>
        <v>0.71096190476190479</v>
      </c>
      <c r="AL18" s="406">
        <f>Table1[[#This Row],[WSP/Dealer]]/Table1[[#This Row],[OD Sq Inch]]</f>
        <v>0.32051282051282054</v>
      </c>
      <c r="AM18" s="400">
        <f>Table1[[#This Row],[OD Wdth]]*Table1[[#This Row],[OD Hgt]]</f>
        <v>2184</v>
      </c>
      <c r="AN18" s="400">
        <f>Table1[[#This Row],[Min VO]]+Table1[[#This Row],[Max VO]]</f>
        <v>94</v>
      </c>
      <c r="AO18" s="115"/>
      <c r="AP18" s="115"/>
      <c r="AQ18" s="121"/>
      <c r="AR18" s="121"/>
      <c r="AS18" s="121"/>
      <c r="AT18" s="104"/>
      <c r="AU18" s="1359" t="str">
        <f t="shared" si="5"/>
        <v>-</v>
      </c>
    </row>
    <row r="19" spans="1:47" s="171" customFormat="1" hidden="1" x14ac:dyDescent="0.2">
      <c r="A19" s="400" t="s">
        <v>128</v>
      </c>
      <c r="B19" s="1322" t="s">
        <v>96</v>
      </c>
      <c r="C19" s="100" t="s">
        <v>129</v>
      </c>
      <c r="D19" s="168"/>
      <c r="E19" s="115" t="s">
        <v>130</v>
      </c>
      <c r="F19" s="115" t="s">
        <v>131</v>
      </c>
      <c r="G19" s="101" t="s">
        <v>132</v>
      </c>
      <c r="H19" s="101" t="s">
        <v>133</v>
      </c>
      <c r="I19" s="101" t="s">
        <v>52</v>
      </c>
      <c r="J19" s="101" t="s">
        <v>53</v>
      </c>
      <c r="K19" s="101" t="s">
        <v>69</v>
      </c>
      <c r="L19" s="101" t="s">
        <v>70</v>
      </c>
      <c r="M19" s="299">
        <v>825</v>
      </c>
      <c r="N19" s="102"/>
      <c r="O19" s="101" t="s">
        <v>64</v>
      </c>
      <c r="P19" s="101">
        <v>36</v>
      </c>
      <c r="Q19" s="101">
        <v>48</v>
      </c>
      <c r="R19" s="101">
        <v>36</v>
      </c>
      <c r="S19" s="101">
        <v>48</v>
      </c>
      <c r="T19" s="101">
        <v>37</v>
      </c>
      <c r="U19" s="101">
        <v>49</v>
      </c>
      <c r="V19" s="608">
        <f t="shared" si="9"/>
        <v>44</v>
      </c>
      <c r="W19" s="608">
        <f t="shared" si="10"/>
        <v>56</v>
      </c>
      <c r="X19" s="137">
        <v>59</v>
      </c>
      <c r="Y19" s="101">
        <v>44</v>
      </c>
      <c r="Z19" s="101">
        <v>56</v>
      </c>
      <c r="AA19" s="649">
        <f>V19*W19/144</f>
        <v>17.111111111111111</v>
      </c>
      <c r="AB19" s="184">
        <f>AA19*Swiss1</f>
        <v>484.24444444444447</v>
      </c>
      <c r="AC19" s="104">
        <f>AA19*Canvas</f>
        <v>11.293333333333333</v>
      </c>
      <c r="AD19" s="107">
        <f>Table1[[#This Row],[Substrate SF]]*Materials!C$37</f>
        <v>47.911111111111104</v>
      </c>
      <c r="AE19" s="104">
        <f>IF(Table1[[#This Row],[Work Center]]="SwissQ",Materials!G$37,IF(Table1[[#This Row],[Work Center]]="Inca",Materials!G$29,IF(Table1[[#This Row],[Work Center]]="Canon",Materials!G$49,Materials!G$45)))</f>
        <v>20</v>
      </c>
      <c r="AF19" s="102">
        <f>'Cali Frames'!D300</f>
        <v>164.8</v>
      </c>
      <c r="AG19" s="121"/>
      <c r="AH19" s="104">
        <f t="shared" si="12"/>
        <v>41.25</v>
      </c>
      <c r="AI19" s="278"/>
      <c r="AJ19" s="104">
        <f>SUM(AC19:AH19)</f>
        <v>285.25444444444446</v>
      </c>
      <c r="AK19" s="830">
        <f t="shared" si="11"/>
        <v>0.65423703703703695</v>
      </c>
      <c r="AL19" s="660">
        <f>Table1[[#This Row],[WSP/Dealer]]/Table1[[#This Row],[OD Sq Inch]]</f>
        <v>0.45504688361831219</v>
      </c>
      <c r="AM19" s="266">
        <f>Table1[[#This Row],[OD Wdth]]*Table1[[#This Row],[OD Hgt]]</f>
        <v>1813</v>
      </c>
      <c r="AN19" s="266">
        <f>Table1[[#This Row],[Min VO]]+Table1[[#This Row],[Max VO]]</f>
        <v>84</v>
      </c>
      <c r="AO19" s="115"/>
      <c r="AP19" s="115"/>
      <c r="AQ19" s="121"/>
      <c r="AR19" s="121"/>
      <c r="AS19" s="121"/>
      <c r="AT19" s="104"/>
      <c r="AU19" s="1359" t="str">
        <f t="shared" si="5"/>
        <v>-</v>
      </c>
    </row>
    <row r="20" spans="1:47" s="402" customFormat="1" hidden="1" x14ac:dyDescent="0.2">
      <c r="A20" s="101" t="s">
        <v>110</v>
      </c>
      <c r="B20" s="1064" t="s">
        <v>134</v>
      </c>
      <c r="C20" s="100" t="s">
        <v>135</v>
      </c>
      <c r="D20" s="168"/>
      <c r="E20" s="115" t="s">
        <v>130</v>
      </c>
      <c r="F20" s="115" t="s">
        <v>131</v>
      </c>
      <c r="G20" s="101" t="s">
        <v>132</v>
      </c>
      <c r="H20" s="101" t="s">
        <v>132</v>
      </c>
      <c r="I20" s="101" t="s">
        <v>52</v>
      </c>
      <c r="J20" s="101" t="s">
        <v>53</v>
      </c>
      <c r="K20" s="101" t="s">
        <v>54</v>
      </c>
      <c r="L20" s="101" t="s">
        <v>55</v>
      </c>
      <c r="M20" s="299">
        <v>600</v>
      </c>
      <c r="N20" s="114"/>
      <c r="O20" s="101" t="s">
        <v>56</v>
      </c>
      <c r="P20" s="101">
        <v>36</v>
      </c>
      <c r="Q20" s="101">
        <v>48</v>
      </c>
      <c r="R20" s="101">
        <v>36</v>
      </c>
      <c r="S20" s="101">
        <v>48</v>
      </c>
      <c r="T20" s="101">
        <v>36</v>
      </c>
      <c r="U20" s="101">
        <v>48</v>
      </c>
      <c r="V20" s="106">
        <f t="shared" si="9"/>
        <v>44</v>
      </c>
      <c r="W20" s="106">
        <f t="shared" si="10"/>
        <v>56</v>
      </c>
      <c r="X20" s="137">
        <v>59</v>
      </c>
      <c r="Y20" s="101">
        <v>44</v>
      </c>
      <c r="Z20" s="101">
        <v>56</v>
      </c>
      <c r="AA20" s="649">
        <f>V20*W20/144</f>
        <v>17.111111111111111</v>
      </c>
      <c r="AB20" s="184">
        <f>AA20*IncaG</f>
        <v>360.01777777777778</v>
      </c>
      <c r="AC20" s="104">
        <f>AA20*Canvas</f>
        <v>11.293333333333333</v>
      </c>
      <c r="AD20" s="1066">
        <f>Table1[[#This Row],[Substrate SF]]*IncaC</f>
        <v>28.801422222222222</v>
      </c>
      <c r="AE20" s="104">
        <f>IF(Table1[[#This Row],[Work Center]]="SwissQ",Materials!G$37,IF(Table1[[#This Row],[Work Center]]="Inca",Materials!G$29,IF(Table1[[#This Row],[Work Center]]="Canon",Materials!G$49,Materials!G$45)))</f>
        <v>8</v>
      </c>
      <c r="AF20" s="102">
        <f>'Cali FPS'!C71</f>
        <v>114.31</v>
      </c>
      <c r="AG20" s="121"/>
      <c r="AH20" s="104">
        <f t="shared" si="12"/>
        <v>30</v>
      </c>
      <c r="AI20" s="405">
        <f>IF(A20="Codarus",(M20*0.13))</f>
        <v>78</v>
      </c>
      <c r="AJ20" s="104">
        <f>SUM(AC20:AI20)</f>
        <v>270.40475555555554</v>
      </c>
      <c r="AK20" s="830">
        <f t="shared" si="11"/>
        <v>0.54932540740740743</v>
      </c>
      <c r="AL20" s="104">
        <f>Table1[[#This Row],[WSP/Dealer]]/Table1[[#This Row],[OD Sq Inch]]</f>
        <v>0.34722222222222221</v>
      </c>
      <c r="AM20" s="103">
        <f>Table1[[#This Row],[OD Wdth]]*Table1[[#This Row],[OD Hgt]]</f>
        <v>1728</v>
      </c>
      <c r="AN20" s="400">
        <f>Table1[[#This Row],[Min VO]]+Table1[[#This Row],[Max VO]]</f>
        <v>84</v>
      </c>
      <c r="AO20" s="115"/>
      <c r="AP20" s="1307">
        <v>1200</v>
      </c>
      <c r="AQ20" s="121">
        <f>(Table1[[#This Row],[Desgnr/Retail P]]*0.05)</f>
        <v>60</v>
      </c>
      <c r="AR20" s="121">
        <f>IF(A20="Codarus",(AP20*0.13))</f>
        <v>156</v>
      </c>
      <c r="AS20" s="121">
        <f>SUM(Table1[[#This Row],[Substrate $]:[GP FINISH]])+Table1[[#This Row],[Retail Royalty]]+Table1[[#This Row],[Retail$Comm]]</f>
        <v>378.40475555555554</v>
      </c>
      <c r="AT20" s="830">
        <f>IF(AP20=0,"-",(AP20-AS20)/AP20)</f>
        <v>0.68466270370370375</v>
      </c>
      <c r="AU20" s="1359">
        <f t="shared" si="5"/>
        <v>0.9885889549382717</v>
      </c>
    </row>
    <row r="21" spans="1:47" s="897" customFormat="1" hidden="1" x14ac:dyDescent="0.2">
      <c r="A21" s="101" t="s">
        <v>101</v>
      </c>
      <c r="B21" s="1064" t="s">
        <v>111</v>
      </c>
      <c r="C21" s="100" t="s">
        <v>136</v>
      </c>
      <c r="D21" s="168"/>
      <c r="E21" s="115" t="s">
        <v>137</v>
      </c>
      <c r="F21" s="115" t="s">
        <v>138</v>
      </c>
      <c r="G21" s="101" t="s">
        <v>139</v>
      </c>
      <c r="H21" s="101" t="s">
        <v>139</v>
      </c>
      <c r="I21" s="101" t="s">
        <v>52</v>
      </c>
      <c r="J21" s="487" t="s">
        <v>53</v>
      </c>
      <c r="K21" s="101" t="s">
        <v>54</v>
      </c>
      <c r="L21" s="101" t="s">
        <v>55</v>
      </c>
      <c r="M21" s="141">
        <v>190</v>
      </c>
      <c r="N21" s="114"/>
      <c r="O21" s="101" t="s">
        <v>56</v>
      </c>
      <c r="P21" s="101">
        <v>24</v>
      </c>
      <c r="Q21" s="101">
        <v>24</v>
      </c>
      <c r="R21" s="101">
        <v>24</v>
      </c>
      <c r="S21" s="101">
        <v>24</v>
      </c>
      <c r="T21" s="101">
        <v>24</v>
      </c>
      <c r="U21" s="101">
        <v>24</v>
      </c>
      <c r="V21" s="608">
        <f t="shared" si="9"/>
        <v>32</v>
      </c>
      <c r="W21" s="608">
        <f t="shared" si="10"/>
        <v>32</v>
      </c>
      <c r="X21" s="101">
        <v>40</v>
      </c>
      <c r="Y21" s="608">
        <f>Table1[[#This Row],[Print Wth]]</f>
        <v>32</v>
      </c>
      <c r="Z21" s="608">
        <f>Table1[[#This Row],[Print Ht]]</f>
        <v>32</v>
      </c>
      <c r="AA21" s="903">
        <f>Table1[[#This Row],[Cut Width]]*Table1[[#This Row],[Cut Height]]/144</f>
        <v>7.1111111111111107</v>
      </c>
      <c r="AB21" s="898">
        <f>Table1[[#This Row],[Print Wth]]*Table1[[#This Row],[Print Ht]]/144*IncaG</f>
        <v>149.61777777777777</v>
      </c>
      <c r="AC21" s="867">
        <f>Table1[[#This Row],[Substrate SF]]*Canvas</f>
        <v>4.6933333333333334</v>
      </c>
      <c r="AD21" s="867">
        <f>(Table1[[#This Row],[Print Wth]]*Table1[[#This Row],[Print Ht]])/144*IncaC</f>
        <v>11.969422222222223</v>
      </c>
      <c r="AE21" s="104">
        <f>IF(Table1[[#This Row],[Work Center]]="SwissQ",Materials!G$37,IF(Table1[[#This Row],[Work Center]]="Inca",Materials!G$29,IF(Table1[[#This Row],[Work Center]]="Canon",Materials!G$49,Materials!G$45)))</f>
        <v>8</v>
      </c>
      <c r="AF21" s="102">
        <f>'Cali FPS'!C32</f>
        <v>63.47</v>
      </c>
      <c r="AG21" s="121"/>
      <c r="AH21" s="104">
        <f t="shared" si="12"/>
        <v>9.5</v>
      </c>
      <c r="AI21" s="406"/>
      <c r="AJ21" s="104">
        <f>SUM(AC21:AI21)</f>
        <v>97.632755555555548</v>
      </c>
      <c r="AK21" s="830">
        <f t="shared" si="11"/>
        <v>0.48614339181286553</v>
      </c>
      <c r="AL21" s="104">
        <f>Table1[[#This Row],[WSP/Dealer]]/Table1[[#This Row],[OD Sq Inch]]</f>
        <v>0.3298611111111111</v>
      </c>
      <c r="AM21" s="101">
        <f>Table1[[#This Row],[OD Wdth]]*Table1[[#This Row],[OD Hgt]]</f>
        <v>576</v>
      </c>
      <c r="AN21" s="400">
        <f>Table1[[#This Row],[Min VO]]+Table1[[#This Row],[Max VO]]</f>
        <v>48</v>
      </c>
      <c r="AO21" s="115"/>
      <c r="AP21" s="121"/>
      <c r="AQ21" s="121"/>
      <c r="AR21" s="104"/>
      <c r="AS21" s="1144"/>
      <c r="AT21" s="1193"/>
      <c r="AU21" s="1359" t="str">
        <f t="shared" si="5"/>
        <v>-</v>
      </c>
    </row>
    <row r="22" spans="1:47" s="170" customFormat="1" hidden="1" x14ac:dyDescent="0.2">
      <c r="A22" s="551" t="s">
        <v>140</v>
      </c>
      <c r="B22" s="1107" t="s">
        <v>141</v>
      </c>
      <c r="C22" s="805" t="s">
        <v>142</v>
      </c>
      <c r="D22" s="77"/>
      <c r="E22" s="653" t="s">
        <v>143</v>
      </c>
      <c r="F22" s="653" t="s">
        <v>144</v>
      </c>
      <c r="G22" s="551" t="s">
        <v>115</v>
      </c>
      <c r="H22" s="551" t="s">
        <v>145</v>
      </c>
      <c r="I22" s="551" t="s">
        <v>52</v>
      </c>
      <c r="J22" s="856" t="s">
        <v>53</v>
      </c>
      <c r="K22" s="551" t="s">
        <v>69</v>
      </c>
      <c r="L22" s="551" t="s">
        <v>70</v>
      </c>
      <c r="M22" s="857">
        <v>950</v>
      </c>
      <c r="N22" s="858">
        <f>Table1[[#This Row],[WSP/Dealer]]/0.35</f>
        <v>2714.2857142857147</v>
      </c>
      <c r="O22" s="551" t="s">
        <v>56</v>
      </c>
      <c r="P22" s="551">
        <v>48</v>
      </c>
      <c r="Q22" s="551">
        <v>48</v>
      </c>
      <c r="R22" s="551">
        <v>48</v>
      </c>
      <c r="S22" s="551">
        <v>48</v>
      </c>
      <c r="T22" s="551">
        <v>49</v>
      </c>
      <c r="U22" s="551">
        <v>49</v>
      </c>
      <c r="V22" s="881">
        <f t="shared" si="9"/>
        <v>56</v>
      </c>
      <c r="W22" s="881">
        <f t="shared" si="10"/>
        <v>56</v>
      </c>
      <c r="X22" s="311">
        <v>59</v>
      </c>
      <c r="Y22" s="551">
        <v>56</v>
      </c>
      <c r="Z22" s="551">
        <v>56</v>
      </c>
      <c r="AA22" s="860">
        <f t="shared" ref="AA22:AA60" si="13">V22*W22/144</f>
        <v>21.777777777777779</v>
      </c>
      <c r="AB22" s="861">
        <f>AA22*IncaG</f>
        <v>458.20444444444445</v>
      </c>
      <c r="AC22" s="863">
        <f t="shared" ref="AC22:AC37" si="14">AA22*Canvas</f>
        <v>14.373333333333335</v>
      </c>
      <c r="AD22" s="876">
        <f>Table1[[#This Row],[Substrate SF]]*IncaC</f>
        <v>36.656355555555557</v>
      </c>
      <c r="AE22" s="863">
        <f>IF(Table1[[#This Row],[Work Center]]="SwissQ",Materials!G$37,IF(Table1[[#This Row],[Work Center]]="Inca",Materials!G$29,IF(Table1[[#This Row],[Work Center]]="Canon",Materials!G$49,Materials!G$45)))</f>
        <v>8</v>
      </c>
      <c r="AF22" s="71">
        <f>'Cali Frames'!D331</f>
        <v>171.26</v>
      </c>
      <c r="AG22" s="864"/>
      <c r="AH22" s="867">
        <f t="shared" si="12"/>
        <v>47.5</v>
      </c>
      <c r="AI22" s="867"/>
      <c r="AJ22" s="867">
        <f t="shared" ref="AJ22:AJ69" si="15">SUM(AC22:AH22)</f>
        <v>277.78968888888892</v>
      </c>
      <c r="AK22" s="1087">
        <f t="shared" si="11"/>
        <v>0.70758980116959058</v>
      </c>
      <c r="AL22" s="867">
        <f>Table1[[#This Row],[WSP/Dealer]]/Table1[[#This Row],[OD Sq Inch]]</f>
        <v>0.39566847147022072</v>
      </c>
      <c r="AM22" s="868">
        <f>Table1[[#This Row],[OD Wdth]]*Table1[[#This Row],[OD Hgt]]</f>
        <v>2401</v>
      </c>
      <c r="AN22" s="869">
        <f>Table1[[#This Row],[Min VO]]+Table1[[#This Row],[Max VO]]</f>
        <v>96</v>
      </c>
      <c r="AO22" s="653"/>
      <c r="AP22" s="653"/>
      <c r="AQ22" s="864"/>
      <c r="AR22" s="864"/>
      <c r="AS22" s="864"/>
      <c r="AT22" s="863"/>
      <c r="AU22" s="1364" t="str">
        <f t="shared" si="5"/>
        <v>-</v>
      </c>
    </row>
    <row r="23" spans="1:47" s="180" customFormat="1" x14ac:dyDescent="0.2">
      <c r="A23" s="110" t="s">
        <v>58</v>
      </c>
      <c r="B23" s="110" t="s">
        <v>146</v>
      </c>
      <c r="C23" s="109" t="s">
        <v>147</v>
      </c>
      <c r="D23" s="109" t="s">
        <v>148</v>
      </c>
      <c r="E23" s="109" t="s">
        <v>149</v>
      </c>
      <c r="F23" s="522" t="s">
        <v>150</v>
      </c>
      <c r="G23" s="110" t="s">
        <v>151</v>
      </c>
      <c r="H23" s="110" t="s">
        <v>151</v>
      </c>
      <c r="I23" s="110" t="s">
        <v>52</v>
      </c>
      <c r="J23" s="846" t="s">
        <v>53</v>
      </c>
      <c r="K23" s="110" t="s">
        <v>54</v>
      </c>
      <c r="L23" s="110" t="s">
        <v>55</v>
      </c>
      <c r="M23" s="111">
        <v>760</v>
      </c>
      <c r="N23" s="639">
        <v>800</v>
      </c>
      <c r="O23" s="110" t="s">
        <v>64</v>
      </c>
      <c r="P23" s="110">
        <v>36</v>
      </c>
      <c r="Q23" s="110">
        <v>53</v>
      </c>
      <c r="R23" s="110">
        <v>36</v>
      </c>
      <c r="S23" s="1097">
        <v>53</v>
      </c>
      <c r="T23" s="1097">
        <f>Table1[[#This Row],[VO Wdth]]</f>
        <v>36</v>
      </c>
      <c r="U23" s="1097">
        <f>Table1[[#This Row],[VO Hgt]]</f>
        <v>53</v>
      </c>
      <c r="V23" s="98">
        <f>IF(J23="Canvas",P23+BorderGW,P23)</f>
        <v>44</v>
      </c>
      <c r="W23" s="98">
        <f>IF(J23="Canvas",Q23+BorderGW,Q23)</f>
        <v>61</v>
      </c>
      <c r="X23" s="138" t="s">
        <v>152</v>
      </c>
      <c r="Y23" s="60"/>
      <c r="Z23" s="60"/>
      <c r="AA23" s="792">
        <f t="shared" si="13"/>
        <v>18.638888888888889</v>
      </c>
      <c r="AB23" s="297">
        <f t="shared" ref="AB23:AB37" si="16">AA23*Swiss1</f>
        <v>527.48055555555561</v>
      </c>
      <c r="AC23" s="498">
        <f t="shared" si="14"/>
        <v>12.301666666666668</v>
      </c>
      <c r="AD23" s="67">
        <f>Table1[[#This Row],[Substrate SF]]*Materials!C$37</f>
        <v>52.18888888888889</v>
      </c>
      <c r="AE23" s="104">
        <f>IF(Table1[[#This Row],[Work Center]]="SwissQ",Materials!G$37,IF(Table1[[#This Row],[Work Center]]="Inca",Materials!G$29,IF(Table1[[#This Row],[Work Center]]="Canon",Materials!G$49,Materials!G$45)))</f>
        <v>20</v>
      </c>
      <c r="AF23" s="498">
        <f>'Cali FPS'!C$72</f>
        <v>107.4675</v>
      </c>
      <c r="AG23" s="115"/>
      <c r="AH23" s="112">
        <f t="shared" si="12"/>
        <v>38</v>
      </c>
      <c r="AI23" s="112"/>
      <c r="AJ23" s="498">
        <f t="shared" si="15"/>
        <v>229.95805555555557</v>
      </c>
      <c r="AK23" s="62">
        <f t="shared" si="11"/>
        <v>0.69742361111111106</v>
      </c>
      <c r="AL23" s="225">
        <f>Table1[[#This Row],[WSP/Dealer]]/Table1[[#This Row],[OD Sq Inch]]</f>
        <v>0.39832285115303984</v>
      </c>
      <c r="AM23" s="218">
        <f>Table1[[#This Row],[OD Wdth]]*Table1[[#This Row],[OD Hgt]]</f>
        <v>1908</v>
      </c>
      <c r="AN23" s="216">
        <f>Table1[[#This Row],[Min VO]]+Table1[[#This Row],[Max VO]]</f>
        <v>89</v>
      </c>
      <c r="AO23" s="110"/>
      <c r="AP23" s="110"/>
      <c r="AQ23" s="498"/>
      <c r="AR23" s="498"/>
      <c r="AS23" s="498"/>
      <c r="AT23" s="498"/>
      <c r="AU23" s="1360" t="str">
        <f t="shared" si="5"/>
        <v>-</v>
      </c>
    </row>
    <row r="24" spans="1:47" s="274" customFormat="1" x14ac:dyDescent="0.2">
      <c r="A24" s="110" t="s">
        <v>58</v>
      </c>
      <c r="B24" s="110" t="s">
        <v>146</v>
      </c>
      <c r="C24" s="109" t="s">
        <v>153</v>
      </c>
      <c r="D24" s="109" t="s">
        <v>154</v>
      </c>
      <c r="E24" s="109" t="s">
        <v>149</v>
      </c>
      <c r="F24" s="522" t="s">
        <v>150</v>
      </c>
      <c r="G24" s="110" t="s">
        <v>151</v>
      </c>
      <c r="H24" s="110" t="s">
        <v>155</v>
      </c>
      <c r="I24" s="110" t="s">
        <v>52</v>
      </c>
      <c r="J24" s="846" t="s">
        <v>53</v>
      </c>
      <c r="K24" s="110" t="s">
        <v>69</v>
      </c>
      <c r="L24" s="110" t="s">
        <v>73</v>
      </c>
      <c r="M24" s="111">
        <f>760+170</f>
        <v>930</v>
      </c>
      <c r="N24" s="639">
        <v>930</v>
      </c>
      <c r="O24" s="110" t="s">
        <v>64</v>
      </c>
      <c r="P24" s="110">
        <v>36</v>
      </c>
      <c r="Q24" s="110">
        <v>53</v>
      </c>
      <c r="R24" s="110">
        <v>36</v>
      </c>
      <c r="S24" s="1097">
        <v>53</v>
      </c>
      <c r="T24" s="110">
        <v>37</v>
      </c>
      <c r="U24" s="1097" t="str">
        <f>RIGHT(Table1[[#This Row],[OD]],2)</f>
        <v>54</v>
      </c>
      <c r="V24" s="98">
        <f>IF(J24="Canvas",P24+BorderGW,P24)</f>
        <v>44</v>
      </c>
      <c r="W24" s="98">
        <f>IF(J24="Canvas",Q24+BorderGW,Q24)</f>
        <v>61</v>
      </c>
      <c r="X24" s="138" t="s">
        <v>152</v>
      </c>
      <c r="Y24" s="60"/>
      <c r="Z24" s="60"/>
      <c r="AA24" s="792">
        <f t="shared" si="13"/>
        <v>18.638888888888889</v>
      </c>
      <c r="AB24" s="297">
        <f t="shared" si="16"/>
        <v>527.48055555555561</v>
      </c>
      <c r="AC24" s="498">
        <f t="shared" si="14"/>
        <v>12.301666666666668</v>
      </c>
      <c r="AD24" s="67">
        <f>Table1[[#This Row],[Substrate SF]]*Materials!C$37</f>
        <v>52.18888888888889</v>
      </c>
      <c r="AE24" s="104">
        <f>IF(Table1[[#This Row],[Work Center]]="SwissQ",Materials!G$37,IF(Table1[[#This Row],[Work Center]]="Inca",Materials!G$29,IF(Table1[[#This Row],[Work Center]]="Canon",Materials!G$49,Materials!G$45)))</f>
        <v>20</v>
      </c>
      <c r="AF24" s="111">
        <f>'Cali Frames'!D$527</f>
        <v>136.82</v>
      </c>
      <c r="AG24" s="498"/>
      <c r="AH24" s="498">
        <f t="shared" si="12"/>
        <v>46.5</v>
      </c>
      <c r="AI24" s="498"/>
      <c r="AJ24" s="498">
        <f t="shared" si="15"/>
        <v>267.81055555555554</v>
      </c>
      <c r="AK24" s="650">
        <f t="shared" si="11"/>
        <v>0.71203166069295099</v>
      </c>
      <c r="AL24" s="225">
        <f>Table1[[#This Row],[WSP/Dealer]]/Table1[[#This Row],[OD Sq Inch]]</f>
        <v>0.46546546546546547</v>
      </c>
      <c r="AM24" s="97">
        <f>Table1[[#This Row],[OD Wdth]]*Table1[[#This Row],[OD Hgt]]</f>
        <v>1998</v>
      </c>
      <c r="AN24" s="216">
        <f>Table1[[#This Row],[Min VO]]+Table1[[#This Row],[Max VO]]</f>
        <v>89</v>
      </c>
      <c r="AO24" s="110"/>
      <c r="AP24" s="110"/>
      <c r="AQ24" s="498"/>
      <c r="AR24" s="498"/>
      <c r="AS24" s="498"/>
      <c r="AT24" s="498"/>
      <c r="AU24" s="1360" t="str">
        <f t="shared" si="5"/>
        <v>-</v>
      </c>
    </row>
    <row r="25" spans="1:47" s="274" customFormat="1" x14ac:dyDescent="0.2">
      <c r="A25" s="110" t="s">
        <v>58</v>
      </c>
      <c r="B25" s="110" t="s">
        <v>146</v>
      </c>
      <c r="C25" s="109" t="s">
        <v>156</v>
      </c>
      <c r="D25" s="109" t="s">
        <v>157</v>
      </c>
      <c r="E25" s="109" t="s">
        <v>149</v>
      </c>
      <c r="F25" s="522" t="s">
        <v>150</v>
      </c>
      <c r="G25" s="110" t="s">
        <v>151</v>
      </c>
      <c r="H25" s="110" t="s">
        <v>158</v>
      </c>
      <c r="I25" s="110" t="s">
        <v>52</v>
      </c>
      <c r="J25" s="846" t="s">
        <v>53</v>
      </c>
      <c r="K25" s="110" t="s">
        <v>82</v>
      </c>
      <c r="L25" s="110" t="s">
        <v>83</v>
      </c>
      <c r="M25" s="111">
        <f>760+115</f>
        <v>875</v>
      </c>
      <c r="N25" s="639">
        <v>950</v>
      </c>
      <c r="O25" s="110" t="s">
        <v>64</v>
      </c>
      <c r="P25" s="110">
        <v>36</v>
      </c>
      <c r="Q25" s="110">
        <v>53</v>
      </c>
      <c r="R25" s="110">
        <v>36</v>
      </c>
      <c r="S25" s="1097">
        <v>53</v>
      </c>
      <c r="T25" s="110">
        <v>38</v>
      </c>
      <c r="U25" s="110" t="str">
        <f>RIGHT(Table1[[#This Row],[OD]],2)</f>
        <v>55</v>
      </c>
      <c r="V25" s="1487">
        <f>IF(J25="Canvas",P25+BorderGW,P25)</f>
        <v>44</v>
      </c>
      <c r="W25" s="1487">
        <f>IF(J25="Canvas",Q25+BorderGW,Q25)</f>
        <v>61</v>
      </c>
      <c r="X25" s="138" t="s">
        <v>152</v>
      </c>
      <c r="Y25" s="60"/>
      <c r="Z25" s="60"/>
      <c r="AA25" s="792">
        <f t="shared" si="13"/>
        <v>18.638888888888889</v>
      </c>
      <c r="AB25" s="297">
        <f t="shared" si="16"/>
        <v>527.48055555555561</v>
      </c>
      <c r="AC25" s="498">
        <f t="shared" si="14"/>
        <v>12.301666666666668</v>
      </c>
      <c r="AD25" s="67">
        <f>Table1[[#This Row],[Substrate SF]]*Materials!C$37</f>
        <v>52.18888888888889</v>
      </c>
      <c r="AE25" s="104">
        <f>IF(Table1[[#This Row],[Work Center]]="SwissQ",Materials!G$37,IF(Table1[[#This Row],[Work Center]]="Inca",Materials!G$29,IF(Table1[[#This Row],[Work Center]]="Canon",Materials!G$49,Materials!G$45)))</f>
        <v>20</v>
      </c>
      <c r="AF25" s="111">
        <f>'Cali Frames'!D$134</f>
        <v>150.9725</v>
      </c>
      <c r="AG25" s="498"/>
      <c r="AH25" s="498">
        <f t="shared" si="12"/>
        <v>43.75</v>
      </c>
      <c r="AI25" s="498"/>
      <c r="AJ25" s="498">
        <f t="shared" si="15"/>
        <v>279.21305555555557</v>
      </c>
      <c r="AK25" s="650">
        <f t="shared" si="11"/>
        <v>0.6808993650793651</v>
      </c>
      <c r="AL25" s="225">
        <f>Table1[[#This Row],[WSP/Dealer]]/Table1[[#This Row],[OD Sq Inch]]</f>
        <v>0.41866028708133973</v>
      </c>
      <c r="AM25" s="97">
        <f>Table1[[#This Row],[OD Wdth]]*Table1[[#This Row],[OD Hgt]]</f>
        <v>2090</v>
      </c>
      <c r="AN25" s="216">
        <f>Table1[[#This Row],[Min VO]]+Table1[[#This Row],[Max VO]]</f>
        <v>89</v>
      </c>
      <c r="AO25" s="110"/>
      <c r="AP25" s="110"/>
      <c r="AQ25" s="498"/>
      <c r="AR25" s="498"/>
      <c r="AS25" s="498"/>
      <c r="AT25" s="498"/>
      <c r="AU25" s="1360" t="str">
        <f t="shared" si="5"/>
        <v>-</v>
      </c>
    </row>
    <row r="26" spans="1:47" s="400" customFormat="1" x14ac:dyDescent="0.2">
      <c r="A26" s="110" t="s">
        <v>58</v>
      </c>
      <c r="B26" s="110" t="s">
        <v>159</v>
      </c>
      <c r="C26" s="109" t="s">
        <v>160</v>
      </c>
      <c r="D26" s="109" t="s">
        <v>161</v>
      </c>
      <c r="E26" s="109" t="s">
        <v>162</v>
      </c>
      <c r="F26" s="522" t="s">
        <v>150</v>
      </c>
      <c r="G26" s="110" t="s">
        <v>163</v>
      </c>
      <c r="H26" s="110" t="s">
        <v>164</v>
      </c>
      <c r="I26" s="110" t="s">
        <v>52</v>
      </c>
      <c r="J26" s="846" t="s">
        <v>53</v>
      </c>
      <c r="K26" s="110" t="s">
        <v>69</v>
      </c>
      <c r="L26" s="110" t="s">
        <v>73</v>
      </c>
      <c r="M26" s="111">
        <f>1023+195</f>
        <v>1218</v>
      </c>
      <c r="N26" s="639">
        <v>1340</v>
      </c>
      <c r="O26" s="110" t="s">
        <v>64</v>
      </c>
      <c r="P26" s="110">
        <v>47</v>
      </c>
      <c r="Q26" s="110">
        <v>69</v>
      </c>
      <c r="R26" s="110">
        <v>47</v>
      </c>
      <c r="S26" s="1097">
        <v>69</v>
      </c>
      <c r="T26" s="110">
        <v>48</v>
      </c>
      <c r="U26" s="1097" t="str">
        <f>RIGHT(Table1[[#This Row],[OD]],2)</f>
        <v>70</v>
      </c>
      <c r="V26" s="1487">
        <f>IF(J26="Canvas",P26+BorderGW,P26)</f>
        <v>55</v>
      </c>
      <c r="W26" s="1487">
        <f>IF(J26="Canvas",Q26+BorderGW,Q26)</f>
        <v>77</v>
      </c>
      <c r="X26" s="138" t="s">
        <v>165</v>
      </c>
      <c r="Y26" s="60"/>
      <c r="Z26" s="60"/>
      <c r="AA26" s="792">
        <f t="shared" si="13"/>
        <v>29.409722222222221</v>
      </c>
      <c r="AB26" s="297">
        <f t="shared" si="16"/>
        <v>832.29513888888891</v>
      </c>
      <c r="AC26" s="498">
        <f t="shared" si="14"/>
        <v>19.410416666666666</v>
      </c>
      <c r="AD26" s="74">
        <f>Table1[[#This Row],[Substrate SF]]*Materials!C$37</f>
        <v>82.347222222222214</v>
      </c>
      <c r="AE26" s="104">
        <f>IF(Table1[[#This Row],[Work Center]]="SwissQ",Materials!G$37,IF(Table1[[#This Row],[Work Center]]="Inca",Materials!G$29,IF(Table1[[#This Row],[Work Center]]="Canon",Materials!G$49,Materials!G$45)))</f>
        <v>20</v>
      </c>
      <c r="AF26" s="111">
        <f>'Cali Frames'!D$457</f>
        <v>160.3175</v>
      </c>
      <c r="AG26" s="1115"/>
      <c r="AH26" s="498">
        <f t="shared" si="12"/>
        <v>60.900000000000006</v>
      </c>
      <c r="AI26" s="498"/>
      <c r="AJ26" s="498">
        <f t="shared" si="15"/>
        <v>342.97513888888886</v>
      </c>
      <c r="AK26" s="650">
        <f t="shared" si="11"/>
        <v>0.71841121601897462</v>
      </c>
      <c r="AL26" s="225">
        <f>Table1[[#This Row],[WSP/Dealer]]/Table1[[#This Row],[OD Sq Inch]]</f>
        <v>0.36249999999999999</v>
      </c>
      <c r="AM26" s="110">
        <f>Table1[[#This Row],[OD Wdth]]*Table1[[#This Row],[OD Hgt]]</f>
        <v>3360</v>
      </c>
      <c r="AN26" s="216">
        <f>Table1[[#This Row],[Min VO]]+Table1[[#This Row],[Max VO]]</f>
        <v>116</v>
      </c>
      <c r="AO26" s="110"/>
      <c r="AP26" s="110"/>
      <c r="AQ26" s="498"/>
      <c r="AR26" s="498"/>
      <c r="AS26" s="498"/>
      <c r="AT26" s="498"/>
      <c r="AU26" s="1360" t="str">
        <f t="shared" si="5"/>
        <v>-</v>
      </c>
    </row>
    <row r="27" spans="1:47" s="400" customFormat="1" x14ac:dyDescent="0.2">
      <c r="A27" s="110" t="s">
        <v>58</v>
      </c>
      <c r="B27" s="110" t="s">
        <v>88</v>
      </c>
      <c r="C27" s="109" t="s">
        <v>166</v>
      </c>
      <c r="D27" s="109" t="s">
        <v>167</v>
      </c>
      <c r="E27" s="109" t="s">
        <v>162</v>
      </c>
      <c r="F27" s="522" t="s">
        <v>150</v>
      </c>
      <c r="G27" s="110" t="s">
        <v>168</v>
      </c>
      <c r="H27" s="110" t="s">
        <v>169</v>
      </c>
      <c r="I27" s="110" t="s">
        <v>52</v>
      </c>
      <c r="J27" s="110" t="s">
        <v>53</v>
      </c>
      <c r="K27" s="110" t="s">
        <v>82</v>
      </c>
      <c r="L27" s="110" t="s">
        <v>83</v>
      </c>
      <c r="M27" s="111">
        <v>1078</v>
      </c>
      <c r="N27" s="639">
        <v>1300</v>
      </c>
      <c r="O27" s="110" t="s">
        <v>64</v>
      </c>
      <c r="P27" s="110">
        <v>47</v>
      </c>
      <c r="Q27" s="110">
        <v>69</v>
      </c>
      <c r="R27" s="110">
        <v>47</v>
      </c>
      <c r="S27" s="1097">
        <v>69</v>
      </c>
      <c r="T27" s="110">
        <v>49</v>
      </c>
      <c r="U27" s="110">
        <v>71</v>
      </c>
      <c r="V27" s="1487">
        <f>IF(J27="Canvas",P27+Border,P27)</f>
        <v>55</v>
      </c>
      <c r="W27" s="1487">
        <f>IF(J27="Canvas",Q27+Border,Q27)</f>
        <v>77</v>
      </c>
      <c r="X27" s="138" t="s">
        <v>165</v>
      </c>
      <c r="Y27" s="60"/>
      <c r="Z27" s="60"/>
      <c r="AA27" s="792">
        <f t="shared" si="13"/>
        <v>29.409722222222221</v>
      </c>
      <c r="AB27" s="297">
        <f t="shared" si="16"/>
        <v>832.29513888888891</v>
      </c>
      <c r="AC27" s="498">
        <f t="shared" si="14"/>
        <v>19.410416666666666</v>
      </c>
      <c r="AD27" s="67">
        <f>Table1[[#This Row],[Substrate SF]]*Materials!C$37</f>
        <v>82.347222222222214</v>
      </c>
      <c r="AE27" s="104">
        <f>IF(Table1[[#This Row],[Work Center]]="SwissQ",Materials!G$37,IF(Table1[[#This Row],[Work Center]]="Inca",Materials!G$29,IF(Table1[[#This Row],[Work Center]]="Canon",Materials!G$49,Materials!G$45)))</f>
        <v>20</v>
      </c>
      <c r="AF27" s="684">
        <f>'Cali Frames'!D151</f>
        <v>237.96499999999997</v>
      </c>
      <c r="AG27" s="498"/>
      <c r="AH27" s="498">
        <f t="shared" si="12"/>
        <v>53.900000000000006</v>
      </c>
      <c r="AI27" s="498"/>
      <c r="AJ27" s="498">
        <f t="shared" si="15"/>
        <v>413.6226388888889</v>
      </c>
      <c r="AK27" s="650">
        <f t="shared" si="11"/>
        <v>0.61630552978767261</v>
      </c>
      <c r="AL27" s="225">
        <f>Table1[[#This Row],[WSP/Dealer]]/Table1[[#This Row],[OD Sq Inch]]</f>
        <v>0.30985915492957744</v>
      </c>
      <c r="AM27" s="110">
        <f>Table1[[#This Row],[OD Wdth]]*Table1[[#This Row],[OD Hgt]]</f>
        <v>3479</v>
      </c>
      <c r="AN27" s="216">
        <f>Table1[[#This Row],[Min VO]]+Table1[[#This Row],[Max VO]]</f>
        <v>116</v>
      </c>
      <c r="AO27" s="110"/>
      <c r="AP27" s="110"/>
      <c r="AQ27" s="498"/>
      <c r="AR27" s="498"/>
      <c r="AS27" s="498"/>
      <c r="AT27" s="498"/>
      <c r="AU27" s="1360" t="str">
        <f t="shared" si="5"/>
        <v>-</v>
      </c>
    </row>
    <row r="28" spans="1:47" s="274" customFormat="1" x14ac:dyDescent="0.2">
      <c r="A28" s="110" t="s">
        <v>58</v>
      </c>
      <c r="B28" s="110" t="s">
        <v>159</v>
      </c>
      <c r="C28" s="109" t="s">
        <v>170</v>
      </c>
      <c r="D28" s="109" t="s">
        <v>171</v>
      </c>
      <c r="E28" s="109" t="s">
        <v>172</v>
      </c>
      <c r="F28" s="522" t="s">
        <v>150</v>
      </c>
      <c r="G28" s="110" t="s">
        <v>168</v>
      </c>
      <c r="H28" s="110" t="s">
        <v>168</v>
      </c>
      <c r="I28" s="110" t="s">
        <v>52</v>
      </c>
      <c r="J28" s="846" t="s">
        <v>53</v>
      </c>
      <c r="K28" s="110" t="s">
        <v>54</v>
      </c>
      <c r="L28" s="110" t="s">
        <v>55</v>
      </c>
      <c r="M28" s="111">
        <v>1023</v>
      </c>
      <c r="N28" s="639">
        <v>1100</v>
      </c>
      <c r="O28" s="110" t="s">
        <v>64</v>
      </c>
      <c r="P28" s="110">
        <v>47</v>
      </c>
      <c r="Q28" s="110">
        <v>69</v>
      </c>
      <c r="R28" s="110">
        <v>47</v>
      </c>
      <c r="S28" s="1097">
        <v>69</v>
      </c>
      <c r="T28" s="1097">
        <f>Table1[[#This Row],[VO Wdth]]</f>
        <v>47</v>
      </c>
      <c r="U28" s="1097">
        <f>Table1[[#This Row],[VO Hgt]]</f>
        <v>69</v>
      </c>
      <c r="V28" s="1487">
        <f>IF(J28="Canvas",P28+BorderGW,P28)</f>
        <v>55</v>
      </c>
      <c r="W28" s="1487">
        <f>IF(J28="Canvas",Q28+BorderGW,Q28)</f>
        <v>77</v>
      </c>
      <c r="X28" s="138" t="s">
        <v>165</v>
      </c>
      <c r="Y28" s="60"/>
      <c r="Z28" s="60"/>
      <c r="AA28" s="792">
        <f t="shared" si="13"/>
        <v>29.409722222222221</v>
      </c>
      <c r="AB28" s="297">
        <f t="shared" si="16"/>
        <v>832.29513888888891</v>
      </c>
      <c r="AC28" s="498">
        <f t="shared" si="14"/>
        <v>19.410416666666666</v>
      </c>
      <c r="AD28" s="67">
        <f>Table1[[#This Row],[Substrate SF]]*Materials!C$37</f>
        <v>82.347222222222214</v>
      </c>
      <c r="AE28" s="104">
        <f>IF(Table1[[#This Row],[Work Center]]="SwissQ",Materials!G$37,IF(Table1[[#This Row],[Work Center]]="Inca",Materials!G$29,IF(Table1[[#This Row],[Work Center]]="Canon",Materials!G$49,Materials!G$45)))</f>
        <v>20</v>
      </c>
      <c r="AF28" s="498">
        <f>'Cali FPS'!C$126</f>
        <v>189.88</v>
      </c>
      <c r="AG28" s="115"/>
      <c r="AH28" s="498">
        <f t="shared" si="12"/>
        <v>51.150000000000006</v>
      </c>
      <c r="AI28" s="498"/>
      <c r="AJ28" s="498">
        <f t="shared" si="15"/>
        <v>362.78763888888886</v>
      </c>
      <c r="AK28" s="650">
        <f t="shared" si="11"/>
        <v>0.64536887694145761</v>
      </c>
      <c r="AL28" s="225">
        <f>Table1[[#This Row],[WSP/Dealer]]/Table1[[#This Row],[OD Sq Inch]]</f>
        <v>0.31544865864939869</v>
      </c>
      <c r="AM28" s="101">
        <f>Table1[[#This Row],[OD Wdth]]*Table1[[#This Row],[OD Hgt]]</f>
        <v>3243</v>
      </c>
      <c r="AN28" s="216">
        <f>Table1[[#This Row],[Min VO]]+Table1[[#This Row],[Max VO]]</f>
        <v>116</v>
      </c>
      <c r="AO28" s="110"/>
      <c r="AP28" s="110"/>
      <c r="AQ28" s="498"/>
      <c r="AR28" s="498"/>
      <c r="AS28" s="498"/>
      <c r="AT28" s="498"/>
      <c r="AU28" s="1360" t="str">
        <f t="shared" si="5"/>
        <v>-</v>
      </c>
    </row>
    <row r="29" spans="1:47" s="400" customFormat="1" x14ac:dyDescent="0.2">
      <c r="A29" s="60" t="s">
        <v>58</v>
      </c>
      <c r="B29" s="60" t="s">
        <v>146</v>
      </c>
      <c r="C29" s="76" t="s">
        <v>173</v>
      </c>
      <c r="D29" s="76" t="s">
        <v>174</v>
      </c>
      <c r="E29" s="76" t="s">
        <v>175</v>
      </c>
      <c r="F29" s="83" t="s">
        <v>150</v>
      </c>
      <c r="G29" s="60" t="s">
        <v>151</v>
      </c>
      <c r="H29" s="60" t="s">
        <v>151</v>
      </c>
      <c r="I29" s="60" t="s">
        <v>52</v>
      </c>
      <c r="J29" s="59" t="s">
        <v>53</v>
      </c>
      <c r="K29" s="60" t="s">
        <v>54</v>
      </c>
      <c r="L29" s="60" t="s">
        <v>55</v>
      </c>
      <c r="M29" s="72">
        <v>760</v>
      </c>
      <c r="N29" s="639">
        <v>800</v>
      </c>
      <c r="O29" s="60" t="s">
        <v>64</v>
      </c>
      <c r="P29" s="60">
        <v>36</v>
      </c>
      <c r="Q29" s="60">
        <v>53</v>
      </c>
      <c r="R29" s="60">
        <v>36</v>
      </c>
      <c r="S29" s="273">
        <v>53</v>
      </c>
      <c r="T29" s="273">
        <f>Table1[[#This Row],[VO Wdth]]</f>
        <v>36</v>
      </c>
      <c r="U29" s="273">
        <f>Table1[[#This Row],[VO Hgt]]</f>
        <v>53</v>
      </c>
      <c r="V29" s="946">
        <f>IF(J29="Canvas",P29+BorderGW,P29)</f>
        <v>44</v>
      </c>
      <c r="W29" s="946">
        <f>IF(J29="Canvas",Q29+BorderGW,Q29)</f>
        <v>61</v>
      </c>
      <c r="X29" s="138" t="s">
        <v>152</v>
      </c>
      <c r="Y29" s="60"/>
      <c r="Z29" s="60"/>
      <c r="AA29" s="717">
        <f t="shared" si="13"/>
        <v>18.638888888888889</v>
      </c>
      <c r="AB29" s="297">
        <f t="shared" si="16"/>
        <v>527.48055555555561</v>
      </c>
      <c r="AC29" s="69">
        <f t="shared" si="14"/>
        <v>12.301666666666668</v>
      </c>
      <c r="AD29" s="67">
        <f>Table1[[#This Row],[Substrate SF]]*Materials!C$37</f>
        <v>52.18888888888889</v>
      </c>
      <c r="AE29" s="104">
        <f>IF(Table1[[#This Row],[Work Center]]="SwissQ",Materials!G$37,IF(Table1[[#This Row],[Work Center]]="Inca",Materials!G$29,IF(Table1[[#This Row],[Work Center]]="Canon",Materials!G$49,Materials!G$45)))</f>
        <v>20</v>
      </c>
      <c r="AF29" s="69">
        <f>'Cali FPS'!C$72</f>
        <v>107.4675</v>
      </c>
      <c r="AG29" s="115"/>
      <c r="AH29" s="498">
        <f t="shared" si="12"/>
        <v>38</v>
      </c>
      <c r="AI29" s="498"/>
      <c r="AJ29" s="69">
        <f t="shared" si="15"/>
        <v>229.95805555555557</v>
      </c>
      <c r="AK29" s="650">
        <f t="shared" si="11"/>
        <v>0.69742361111111106</v>
      </c>
      <c r="AL29" s="225">
        <f>Table1[[#This Row],[WSP/Dealer]]/Table1[[#This Row],[OD Sq Inch]]</f>
        <v>0.39832285115303984</v>
      </c>
      <c r="AM29" s="110">
        <f>Table1[[#This Row],[OD Wdth]]*Table1[[#This Row],[OD Hgt]]</f>
        <v>1908</v>
      </c>
      <c r="AN29" s="216">
        <f>Table1[[#This Row],[Min VO]]+Table1[[#This Row],[Max VO]]</f>
        <v>89</v>
      </c>
      <c r="AO29" s="101"/>
      <c r="AP29" s="101"/>
      <c r="AQ29" s="104"/>
      <c r="AR29" s="104"/>
      <c r="AS29" s="104"/>
      <c r="AT29" s="104"/>
      <c r="AU29" s="830" t="str">
        <f t="shared" si="5"/>
        <v>-</v>
      </c>
    </row>
    <row r="30" spans="1:47" s="274" customFormat="1" x14ac:dyDescent="0.2">
      <c r="A30" s="60" t="s">
        <v>58</v>
      </c>
      <c r="B30" s="60" t="s">
        <v>146</v>
      </c>
      <c r="C30" s="76" t="s">
        <v>176</v>
      </c>
      <c r="D30" s="1467" t="s">
        <v>177</v>
      </c>
      <c r="E30" s="76" t="s">
        <v>175</v>
      </c>
      <c r="F30" s="83" t="s">
        <v>150</v>
      </c>
      <c r="G30" s="60" t="s">
        <v>151</v>
      </c>
      <c r="H30" s="60" t="s">
        <v>155</v>
      </c>
      <c r="I30" s="60" t="s">
        <v>52</v>
      </c>
      <c r="J30" s="59" t="s">
        <v>53</v>
      </c>
      <c r="K30" s="60" t="s">
        <v>69</v>
      </c>
      <c r="L30" s="60" t="s">
        <v>73</v>
      </c>
      <c r="M30" s="72">
        <f>760+170</f>
        <v>930</v>
      </c>
      <c r="N30" s="639">
        <v>930</v>
      </c>
      <c r="O30" s="60" t="s">
        <v>64</v>
      </c>
      <c r="P30" s="60">
        <v>36</v>
      </c>
      <c r="Q30" s="60">
        <v>53</v>
      </c>
      <c r="R30" s="60">
        <v>36</v>
      </c>
      <c r="S30" s="273">
        <v>53</v>
      </c>
      <c r="T30" s="60">
        <v>37</v>
      </c>
      <c r="U30" s="273" t="str">
        <f>RIGHT(Table1[[#This Row],[OD]],2)</f>
        <v>54</v>
      </c>
      <c r="V30" s="946">
        <f>IF(J30="Canvas",P30+BorderGW,P30)</f>
        <v>44</v>
      </c>
      <c r="W30" s="946">
        <f>IF(J30="Canvas",Q30+BorderGW,Q30)</f>
        <v>61</v>
      </c>
      <c r="X30" s="138" t="s">
        <v>152</v>
      </c>
      <c r="Y30" s="60"/>
      <c r="Z30" s="60"/>
      <c r="AA30" s="717">
        <f t="shared" si="13"/>
        <v>18.638888888888889</v>
      </c>
      <c r="AB30" s="297">
        <f t="shared" si="16"/>
        <v>527.48055555555561</v>
      </c>
      <c r="AC30" s="69">
        <f t="shared" si="14"/>
        <v>12.301666666666668</v>
      </c>
      <c r="AD30" s="67">
        <f>Table1[[#This Row],[Substrate SF]]*Materials!C$37</f>
        <v>52.18888888888889</v>
      </c>
      <c r="AE30" s="104">
        <f>IF(Table1[[#This Row],[Work Center]]="SwissQ",Materials!G$37,IF(Table1[[#This Row],[Work Center]]="Inca",Materials!G$29,IF(Table1[[#This Row],[Work Center]]="Canon",Materials!G$49,Materials!G$45)))</f>
        <v>20</v>
      </c>
      <c r="AF30" s="72">
        <f>'Cali Frames'!D$527</f>
        <v>136.82</v>
      </c>
      <c r="AG30" s="69"/>
      <c r="AH30" s="498">
        <f t="shared" si="12"/>
        <v>46.5</v>
      </c>
      <c r="AI30" s="498"/>
      <c r="AJ30" s="69">
        <f t="shared" si="15"/>
        <v>267.81055555555554</v>
      </c>
      <c r="AK30" s="650">
        <f t="shared" si="11"/>
        <v>0.71203166069295099</v>
      </c>
      <c r="AL30" s="225">
        <f>Table1[[#This Row],[WSP/Dealer]]/Table1[[#This Row],[OD Sq Inch]]</f>
        <v>0.46546546546546547</v>
      </c>
      <c r="AM30" s="103">
        <f>Table1[[#This Row],[OD Wdth]]*Table1[[#This Row],[OD Hgt]]</f>
        <v>1998</v>
      </c>
      <c r="AN30" s="216">
        <f>Table1[[#This Row],[Min VO]]+Table1[[#This Row],[Max VO]]</f>
        <v>89</v>
      </c>
      <c r="AO30" s="101"/>
      <c r="AP30" s="101"/>
      <c r="AQ30" s="104"/>
      <c r="AR30" s="104"/>
      <c r="AS30" s="104"/>
      <c r="AT30" s="104"/>
      <c r="AU30" s="830" t="str">
        <f t="shared" si="5"/>
        <v>-</v>
      </c>
    </row>
    <row r="31" spans="1:47" s="103" customFormat="1" x14ac:dyDescent="0.2">
      <c r="A31" s="60" t="s">
        <v>58</v>
      </c>
      <c r="B31" s="60" t="s">
        <v>146</v>
      </c>
      <c r="C31" s="76" t="s">
        <v>178</v>
      </c>
      <c r="D31" s="1467" t="s">
        <v>179</v>
      </c>
      <c r="E31" s="76" t="s">
        <v>175</v>
      </c>
      <c r="F31" s="83" t="s">
        <v>150</v>
      </c>
      <c r="G31" s="60" t="s">
        <v>151</v>
      </c>
      <c r="H31" s="60" t="s">
        <v>158</v>
      </c>
      <c r="I31" s="60" t="s">
        <v>52</v>
      </c>
      <c r="J31" s="59" t="s">
        <v>53</v>
      </c>
      <c r="K31" s="60" t="s">
        <v>82</v>
      </c>
      <c r="L31" s="60" t="s">
        <v>83</v>
      </c>
      <c r="M31" s="72">
        <f>760+115</f>
        <v>875</v>
      </c>
      <c r="N31" s="639">
        <v>950</v>
      </c>
      <c r="O31" s="60" t="s">
        <v>64</v>
      </c>
      <c r="P31" s="46">
        <v>36</v>
      </c>
      <c r="Q31" s="46">
        <v>53</v>
      </c>
      <c r="R31" s="60">
        <v>36</v>
      </c>
      <c r="S31" s="61">
        <v>53</v>
      </c>
      <c r="T31" s="46">
        <v>38</v>
      </c>
      <c r="U31" s="61" t="str">
        <f>RIGHT(Table1[[#This Row],[OD]],2)</f>
        <v>55</v>
      </c>
      <c r="V31" s="946">
        <f>IF(J31="Canvas",P31+BorderGW,P31)</f>
        <v>44</v>
      </c>
      <c r="W31" s="946">
        <f>IF(J31="Canvas",Q31+BorderGW,Q31)</f>
        <v>61</v>
      </c>
      <c r="X31" s="138" t="s">
        <v>152</v>
      </c>
      <c r="Y31" s="60"/>
      <c r="Z31" s="60"/>
      <c r="AA31" s="717">
        <f t="shared" si="13"/>
        <v>18.638888888888889</v>
      </c>
      <c r="AB31" s="297">
        <f t="shared" si="16"/>
        <v>527.48055555555561</v>
      </c>
      <c r="AC31" s="69">
        <f t="shared" si="14"/>
        <v>12.301666666666668</v>
      </c>
      <c r="AD31" s="67">
        <f>Table1[[#This Row],[Substrate SF]]*Materials!C$37</f>
        <v>52.18888888888889</v>
      </c>
      <c r="AE31" s="104">
        <f>IF(Table1[[#This Row],[Work Center]]="SwissQ",Materials!G$37,IF(Table1[[#This Row],[Work Center]]="Inca",Materials!G$29,IF(Table1[[#This Row],[Work Center]]="Canon",Materials!G$49,Materials!G$45)))</f>
        <v>20</v>
      </c>
      <c r="AF31" s="72">
        <f>'Cali Frames'!D$134</f>
        <v>150.9725</v>
      </c>
      <c r="AG31" s="69"/>
      <c r="AH31" s="498">
        <f t="shared" si="12"/>
        <v>43.75</v>
      </c>
      <c r="AI31" s="498"/>
      <c r="AJ31" s="69">
        <f t="shared" si="15"/>
        <v>279.21305555555557</v>
      </c>
      <c r="AK31" s="650">
        <f t="shared" si="11"/>
        <v>0.6808993650793651</v>
      </c>
      <c r="AL31" s="225">
        <f>Table1[[#This Row],[WSP/Dealer]]/Table1[[#This Row],[OD Sq Inch]]</f>
        <v>0.41866028708133973</v>
      </c>
      <c r="AM31" s="103">
        <f>Table1[[#This Row],[OD Wdth]]*Table1[[#This Row],[OD Hgt]]</f>
        <v>2090</v>
      </c>
      <c r="AN31" s="216">
        <f>Table1[[#This Row],[Min VO]]+Table1[[#This Row],[Max VO]]</f>
        <v>89</v>
      </c>
      <c r="AP31" s="101"/>
      <c r="AQ31" s="104"/>
      <c r="AR31" s="104"/>
      <c r="AS31" s="104"/>
      <c r="AT31" s="104"/>
      <c r="AU31" s="108" t="str">
        <f t="shared" si="5"/>
        <v>-</v>
      </c>
    </row>
    <row r="32" spans="1:47" s="103" customFormat="1" x14ac:dyDescent="0.2">
      <c r="A32" s="101" t="s">
        <v>58</v>
      </c>
      <c r="B32" s="101" t="s">
        <v>88</v>
      </c>
      <c r="C32" s="76" t="s">
        <v>180</v>
      </c>
      <c r="D32" s="1467" t="s">
        <v>181</v>
      </c>
      <c r="E32" s="76" t="s">
        <v>182</v>
      </c>
      <c r="F32" s="83" t="s">
        <v>150</v>
      </c>
      <c r="G32" s="101" t="s">
        <v>168</v>
      </c>
      <c r="H32" s="101" t="str">
        <f>G32</f>
        <v>47X69</v>
      </c>
      <c r="I32" s="101" t="s">
        <v>52</v>
      </c>
      <c r="J32" s="60" t="s">
        <v>53</v>
      </c>
      <c r="K32" s="101" t="s">
        <v>54</v>
      </c>
      <c r="L32" s="101" t="s">
        <v>55</v>
      </c>
      <c r="M32" s="71">
        <v>1023</v>
      </c>
      <c r="N32" s="639">
        <v>1100</v>
      </c>
      <c r="O32" s="60" t="s">
        <v>64</v>
      </c>
      <c r="P32" s="101">
        <v>47</v>
      </c>
      <c r="Q32" s="101">
        <v>69</v>
      </c>
      <c r="R32" s="60">
        <v>47</v>
      </c>
      <c r="S32" s="273">
        <v>69</v>
      </c>
      <c r="T32" s="273">
        <f>Table1[[#This Row],[VO Wdth]]</f>
        <v>47</v>
      </c>
      <c r="U32" s="273">
        <f>Table1[[#This Row],[VO Hgt]]</f>
        <v>69</v>
      </c>
      <c r="V32" s="106">
        <f>IF(J32="Canvas",P32+BorderGW,P32)</f>
        <v>55</v>
      </c>
      <c r="W32" s="106">
        <f>IF(J32="Canvas",Q32+BorderGW,Q32)</f>
        <v>77</v>
      </c>
      <c r="X32" s="138" t="s">
        <v>165</v>
      </c>
      <c r="Y32" s="60"/>
      <c r="Z32" s="60"/>
      <c r="AA32" s="649">
        <f t="shared" si="13"/>
        <v>29.409722222222221</v>
      </c>
      <c r="AB32" s="297">
        <f t="shared" si="16"/>
        <v>832.29513888888891</v>
      </c>
      <c r="AC32" s="104">
        <f t="shared" si="14"/>
        <v>19.410416666666666</v>
      </c>
      <c r="AD32" s="67">
        <f>Table1[[#This Row],[Substrate SF]]*Materials!C$37</f>
        <v>82.347222222222214</v>
      </c>
      <c r="AE32" s="104">
        <f>IF(Table1[[#This Row],[Work Center]]="SwissQ",Materials!G$37,IF(Table1[[#This Row],[Work Center]]="Inca",Materials!G$29,IF(Table1[[#This Row],[Work Center]]="Canon",Materials!G$49,Materials!G$45)))</f>
        <v>20</v>
      </c>
      <c r="AF32" s="74">
        <f>'Cali FPS'!C115</f>
        <v>176.785</v>
      </c>
      <c r="AG32" s="115"/>
      <c r="AH32" s="498">
        <f t="shared" si="12"/>
        <v>51.150000000000006</v>
      </c>
      <c r="AI32" s="498"/>
      <c r="AJ32" s="104">
        <f t="shared" si="15"/>
        <v>349.69263888888884</v>
      </c>
      <c r="AK32" s="650">
        <f t="shared" si="11"/>
        <v>0.65816946345172156</v>
      </c>
      <c r="AL32" s="225">
        <f>Table1[[#This Row],[WSP/Dealer]]/Table1[[#This Row],[OD Sq Inch]]</f>
        <v>0.31544865864939869</v>
      </c>
      <c r="AM32" s="103">
        <f>Table1[[#This Row],[OD Wdth]]*Table1[[#This Row],[OD Hgt]]</f>
        <v>3243</v>
      </c>
      <c r="AN32" s="216">
        <f>Table1[[#This Row],[Min VO]]+Table1[[#This Row],[Max VO]]</f>
        <v>116</v>
      </c>
      <c r="AO32" s="101"/>
      <c r="AP32" s="101"/>
      <c r="AQ32" s="104"/>
      <c r="AR32" s="104"/>
      <c r="AS32" s="104"/>
      <c r="AT32" s="104"/>
      <c r="AU32" s="830" t="str">
        <f t="shared" si="5"/>
        <v>-</v>
      </c>
    </row>
    <row r="33" spans="1:53" x14ac:dyDescent="0.2">
      <c r="A33" s="60" t="s">
        <v>58</v>
      </c>
      <c r="B33" s="60" t="s">
        <v>159</v>
      </c>
      <c r="C33" s="76" t="s">
        <v>183</v>
      </c>
      <c r="D33" s="1467" t="s">
        <v>184</v>
      </c>
      <c r="E33" s="76" t="s">
        <v>182</v>
      </c>
      <c r="F33" s="83" t="s">
        <v>150</v>
      </c>
      <c r="G33" s="60" t="s">
        <v>168</v>
      </c>
      <c r="H33" s="60" t="s">
        <v>164</v>
      </c>
      <c r="I33" s="60" t="s">
        <v>52</v>
      </c>
      <c r="J33" s="60" t="s">
        <v>53</v>
      </c>
      <c r="K33" s="60" t="s">
        <v>69</v>
      </c>
      <c r="L33" s="60" t="s">
        <v>73</v>
      </c>
      <c r="M33" s="72">
        <f>1023+197</f>
        <v>1220</v>
      </c>
      <c r="N33" s="639">
        <v>1340</v>
      </c>
      <c r="O33" s="60" t="s">
        <v>64</v>
      </c>
      <c r="P33" s="60">
        <v>47</v>
      </c>
      <c r="Q33" s="60">
        <v>69</v>
      </c>
      <c r="R33" s="60">
        <v>47</v>
      </c>
      <c r="S33" s="273">
        <v>69</v>
      </c>
      <c r="T33" s="60">
        <v>48</v>
      </c>
      <c r="U33" s="60">
        <v>70</v>
      </c>
      <c r="V33" s="946">
        <f t="shared" ref="V33:V38" si="17">IF(J33="Canvas",P33+Border,P33)</f>
        <v>55</v>
      </c>
      <c r="W33" s="946">
        <f t="shared" ref="W33:W38" si="18">IF(J33="Canvas",Q33+Border,Q33)</f>
        <v>77</v>
      </c>
      <c r="X33" s="138" t="s">
        <v>165</v>
      </c>
      <c r="Y33" s="60"/>
      <c r="Z33" s="60"/>
      <c r="AA33" s="717">
        <f t="shared" si="13"/>
        <v>29.409722222222221</v>
      </c>
      <c r="AB33" s="297">
        <f t="shared" si="16"/>
        <v>832.29513888888891</v>
      </c>
      <c r="AC33" s="69">
        <f t="shared" si="14"/>
        <v>19.410416666666666</v>
      </c>
      <c r="AD33" s="67">
        <f>Table1[[#This Row],[Substrate SF]]*Materials!C$37</f>
        <v>82.347222222222214</v>
      </c>
      <c r="AE33" s="104">
        <f>IF(Table1[[#This Row],[Work Center]]="SwissQ",Materials!G$37,IF(Table1[[#This Row],[Work Center]]="Inca",Materials!G$29,IF(Table1[[#This Row],[Work Center]]="Canon",Materials!G$49,Materials!G$45)))</f>
        <v>20</v>
      </c>
      <c r="AF33" s="72">
        <f>'Cali Frames'!D$457</f>
        <v>160.3175</v>
      </c>
      <c r="AG33" s="69"/>
      <c r="AH33" s="498">
        <f t="shared" si="12"/>
        <v>61</v>
      </c>
      <c r="AI33" s="498"/>
      <c r="AJ33" s="69">
        <f t="shared" si="15"/>
        <v>343.07513888888889</v>
      </c>
      <c r="AK33" s="650">
        <f t="shared" si="11"/>
        <v>0.71879086976320583</v>
      </c>
      <c r="AL33" s="225">
        <f>Table1[[#This Row],[WSP/Dealer]]/Table1[[#This Row],[OD Sq Inch]]</f>
        <v>0.36309523809523808</v>
      </c>
      <c r="AM33" s="103">
        <f>Table1[[#This Row],[OD Wdth]]*Table1[[#This Row],[OD Hgt]]</f>
        <v>3360</v>
      </c>
      <c r="AN33" s="216">
        <f>Table1[[#This Row],[Min VO]]+Table1[[#This Row],[Max VO]]</f>
        <v>116</v>
      </c>
      <c r="AO33" s="68"/>
      <c r="AP33" s="68"/>
      <c r="AQ33" s="74"/>
      <c r="AR33" s="74"/>
      <c r="AS33" s="74"/>
      <c r="AT33" s="74"/>
      <c r="AU33" s="1001" t="str">
        <f t="shared" si="5"/>
        <v>-</v>
      </c>
      <c r="AV33" s="229"/>
      <c r="AW33" s="229"/>
      <c r="AX33" s="229"/>
      <c r="AY33" s="229"/>
      <c r="AZ33" s="229"/>
      <c r="BA33" s="229"/>
    </row>
    <row r="34" spans="1:53" s="45" customFormat="1" x14ac:dyDescent="0.2">
      <c r="A34" s="101" t="s">
        <v>58</v>
      </c>
      <c r="B34" s="101" t="s">
        <v>88</v>
      </c>
      <c r="C34" s="76" t="s">
        <v>185</v>
      </c>
      <c r="D34" s="76" t="s">
        <v>186</v>
      </c>
      <c r="E34" s="76" t="s">
        <v>182</v>
      </c>
      <c r="F34" s="83" t="s">
        <v>150</v>
      </c>
      <c r="G34" s="101" t="s">
        <v>168</v>
      </c>
      <c r="H34" s="101" t="s">
        <v>169</v>
      </c>
      <c r="I34" s="101" t="s">
        <v>52</v>
      </c>
      <c r="J34" s="60" t="s">
        <v>53</v>
      </c>
      <c r="K34" s="101" t="s">
        <v>82</v>
      </c>
      <c r="L34" s="101" t="s">
        <v>83</v>
      </c>
      <c r="M34" s="71">
        <v>1078</v>
      </c>
      <c r="N34" s="639">
        <v>1300</v>
      </c>
      <c r="O34" s="60" t="s">
        <v>64</v>
      </c>
      <c r="P34" s="101">
        <v>47</v>
      </c>
      <c r="Q34" s="101">
        <v>69</v>
      </c>
      <c r="R34" s="60">
        <v>47</v>
      </c>
      <c r="S34" s="273">
        <v>69</v>
      </c>
      <c r="T34" s="101">
        <v>49</v>
      </c>
      <c r="U34" s="101">
        <v>71</v>
      </c>
      <c r="V34" s="608">
        <f t="shared" si="17"/>
        <v>55</v>
      </c>
      <c r="W34" s="608">
        <f t="shared" si="18"/>
        <v>77</v>
      </c>
      <c r="X34" s="138" t="s">
        <v>165</v>
      </c>
      <c r="Y34" s="60"/>
      <c r="Z34" s="60"/>
      <c r="AA34" s="649">
        <f t="shared" si="13"/>
        <v>29.409722222222221</v>
      </c>
      <c r="AB34" s="297">
        <f t="shared" si="16"/>
        <v>832.29513888888891</v>
      </c>
      <c r="AC34" s="104">
        <f t="shared" si="14"/>
        <v>19.410416666666666</v>
      </c>
      <c r="AD34" s="74">
        <f>Table1[[#This Row],[Substrate SF]]*Materials!C$37</f>
        <v>82.347222222222214</v>
      </c>
      <c r="AE34" s="104">
        <f>IF(Table1[[#This Row],[Work Center]]="SwissQ",Materials!G$37,IF(Table1[[#This Row],[Work Center]]="Inca",Materials!G$29,IF(Table1[[#This Row],[Work Center]]="Canon",Materials!G$49,Materials!G$45)))</f>
        <v>20</v>
      </c>
      <c r="AF34" s="102">
        <f>'Cali Frames'!D151</f>
        <v>237.96499999999997</v>
      </c>
      <c r="AG34" s="104"/>
      <c r="AH34" s="498">
        <f t="shared" si="12"/>
        <v>53.900000000000006</v>
      </c>
      <c r="AI34" s="498"/>
      <c r="AJ34" s="104">
        <f t="shared" si="15"/>
        <v>413.6226388888889</v>
      </c>
      <c r="AK34" s="650">
        <f t="shared" si="11"/>
        <v>0.61630552978767261</v>
      </c>
      <c r="AL34" s="225">
        <f>Table1[[#This Row],[WSP/Dealer]]/Table1[[#This Row],[OD Sq Inch]]</f>
        <v>0.30985915492957744</v>
      </c>
      <c r="AM34" s="101">
        <f>Table1[[#This Row],[OD Wdth]]*Table1[[#This Row],[OD Hgt]]</f>
        <v>3479</v>
      </c>
      <c r="AN34" s="216">
        <f>Table1[[#This Row],[Min VO]]+Table1[[#This Row],[Max VO]]</f>
        <v>116</v>
      </c>
      <c r="AO34" s="101"/>
      <c r="AP34" s="101"/>
      <c r="AQ34" s="104"/>
      <c r="AR34" s="104"/>
      <c r="AS34" s="104"/>
      <c r="AT34" s="104"/>
      <c r="AU34" s="830" t="str">
        <f t="shared" si="5"/>
        <v>-</v>
      </c>
    </row>
    <row r="35" spans="1:53" s="103" customFormat="1" hidden="1" x14ac:dyDescent="0.2">
      <c r="A35" s="377" t="s">
        <v>187</v>
      </c>
      <c r="B35" s="180" t="s">
        <v>188</v>
      </c>
      <c r="C35" s="302" t="s">
        <v>189</v>
      </c>
      <c r="D35" s="302"/>
      <c r="E35" s="284" t="s">
        <v>190</v>
      </c>
      <c r="F35" s="284" t="s">
        <v>150</v>
      </c>
      <c r="G35" s="180" t="s">
        <v>191</v>
      </c>
      <c r="H35" s="180" t="s">
        <v>191</v>
      </c>
      <c r="I35" s="180" t="s">
        <v>52</v>
      </c>
      <c r="J35" s="310" t="s">
        <v>53</v>
      </c>
      <c r="K35" s="180" t="s">
        <v>54</v>
      </c>
      <c r="L35" s="180" t="s">
        <v>55</v>
      </c>
      <c r="M35" s="292">
        <v>2550</v>
      </c>
      <c r="N35" s="71"/>
      <c r="O35" s="180" t="s">
        <v>64</v>
      </c>
      <c r="P35" s="180">
        <v>48</v>
      </c>
      <c r="Q35" s="180">
        <v>60</v>
      </c>
      <c r="R35" s="180">
        <v>48</v>
      </c>
      <c r="S35" s="813">
        <v>60</v>
      </c>
      <c r="T35" s="180">
        <v>48</v>
      </c>
      <c r="U35" s="180">
        <v>60</v>
      </c>
      <c r="V35" s="947">
        <f t="shared" si="17"/>
        <v>56</v>
      </c>
      <c r="W35" s="947">
        <f t="shared" si="18"/>
        <v>68</v>
      </c>
      <c r="X35" s="289">
        <v>69</v>
      </c>
      <c r="Y35" s="180">
        <v>56</v>
      </c>
      <c r="Z35" s="180">
        <v>68</v>
      </c>
      <c r="AA35" s="678">
        <f t="shared" si="13"/>
        <v>26.444444444444443</v>
      </c>
      <c r="AB35" s="329">
        <f t="shared" si="16"/>
        <v>748.37777777777774</v>
      </c>
      <c r="AC35" s="176">
        <f t="shared" si="14"/>
        <v>17.453333333333333</v>
      </c>
      <c r="AD35" s="175">
        <f>Table1[[#This Row],[Substrate SF]]*Materials!C$37</f>
        <v>74.044444444444437</v>
      </c>
      <c r="AE35" s="176">
        <f>IF(Table1[[#This Row],[Work Center]]="SwissQ",Materials!G$37,IF(Table1[[#This Row],[Work Center]]="Inca",Materials!G$29,IF(Table1[[#This Row],[Work Center]]="Canon",Materials!G$49,Materials!G$45)))</f>
        <v>20</v>
      </c>
      <c r="AF35" s="290">
        <f>'Cali FPS'!C121</f>
        <v>188.18</v>
      </c>
      <c r="AG35" s="296"/>
      <c r="AH35" s="498">
        <f t="shared" si="12"/>
        <v>127.5</v>
      </c>
      <c r="AI35" s="498"/>
      <c r="AJ35" s="175">
        <f t="shared" si="15"/>
        <v>427.17777777777781</v>
      </c>
      <c r="AK35" s="650">
        <f t="shared" si="11"/>
        <v>0.83247930283224392</v>
      </c>
      <c r="AL35" s="225">
        <f>Table1[[#This Row],[WSP/Dealer]]/Table1[[#This Row],[OD Sq Inch]]</f>
        <v>0.88541666666666663</v>
      </c>
      <c r="AM35" s="173">
        <f>Table1[[#This Row],[OD Wdth]]*Table1[[#This Row],[OD Hgt]]</f>
        <v>2880</v>
      </c>
      <c r="AN35" s="180">
        <f>Table1[[#This Row],[Min VO]]+Table1[[#This Row],[Max VO]]</f>
        <v>108</v>
      </c>
      <c r="AO35" s="284"/>
      <c r="AP35" s="284"/>
      <c r="AQ35" s="296"/>
      <c r="AR35" s="296"/>
      <c r="AS35" s="296"/>
      <c r="AT35" s="176"/>
      <c r="AU35" s="1358" t="str">
        <f t="shared" si="5"/>
        <v>-</v>
      </c>
    </row>
    <row r="36" spans="1:53" s="266" customFormat="1" hidden="1" x14ac:dyDescent="0.2">
      <c r="A36" s="377" t="s">
        <v>187</v>
      </c>
      <c r="B36" s="180" t="s">
        <v>188</v>
      </c>
      <c r="C36" s="302" t="s">
        <v>192</v>
      </c>
      <c r="D36" s="302"/>
      <c r="E36" s="284" t="s">
        <v>190</v>
      </c>
      <c r="F36" s="284" t="s">
        <v>150</v>
      </c>
      <c r="G36" s="180" t="s">
        <v>191</v>
      </c>
      <c r="H36" s="180" t="s">
        <v>193</v>
      </c>
      <c r="I36" s="180" t="s">
        <v>52</v>
      </c>
      <c r="J36" s="310" t="s">
        <v>53</v>
      </c>
      <c r="K36" s="180" t="s">
        <v>69</v>
      </c>
      <c r="L36" s="180" t="s">
        <v>70</v>
      </c>
      <c r="M36" s="292">
        <v>2950</v>
      </c>
      <c r="N36" s="71"/>
      <c r="O36" s="180" t="s">
        <v>64</v>
      </c>
      <c r="P36" s="180">
        <v>48</v>
      </c>
      <c r="Q36" s="180">
        <v>60</v>
      </c>
      <c r="R36" s="180">
        <v>48</v>
      </c>
      <c r="S36" s="813">
        <v>60</v>
      </c>
      <c r="T36" s="180">
        <v>49</v>
      </c>
      <c r="U36" s="180">
        <v>61</v>
      </c>
      <c r="V36" s="947">
        <f t="shared" si="17"/>
        <v>56</v>
      </c>
      <c r="W36" s="947">
        <f t="shared" si="18"/>
        <v>68</v>
      </c>
      <c r="X36" s="289">
        <v>69</v>
      </c>
      <c r="Y36" s="180">
        <v>56</v>
      </c>
      <c r="Z36" s="180">
        <v>68</v>
      </c>
      <c r="AA36" s="678">
        <f t="shared" si="13"/>
        <v>26.444444444444443</v>
      </c>
      <c r="AB36" s="329">
        <f t="shared" si="16"/>
        <v>748.37777777777774</v>
      </c>
      <c r="AC36" s="176">
        <f t="shared" si="14"/>
        <v>17.453333333333333</v>
      </c>
      <c r="AD36" s="176">
        <f>Table1[[#This Row],[Substrate SF]]*Materials!C$37</f>
        <v>74.044444444444437</v>
      </c>
      <c r="AE36" s="176">
        <f>IF(Table1[[#This Row],[Work Center]]="SwissQ",Materials!G$37,IF(Table1[[#This Row],[Work Center]]="Inca",Materials!G$29,IF(Table1[[#This Row],[Work Center]]="Canon",Materials!G$49,Materials!G$45)))</f>
        <v>20</v>
      </c>
      <c r="AF36" s="290">
        <f>'Cali Frames'!D335</f>
        <v>258.27999999999997</v>
      </c>
      <c r="AG36" s="296"/>
      <c r="AH36" s="498">
        <f t="shared" si="12"/>
        <v>147.5</v>
      </c>
      <c r="AI36" s="498"/>
      <c r="AJ36" s="176">
        <f t="shared" si="15"/>
        <v>517.27777777777771</v>
      </c>
      <c r="AK36" s="650">
        <f t="shared" si="11"/>
        <v>0.82465160075329569</v>
      </c>
      <c r="AL36" s="225">
        <f>Table1[[#This Row],[WSP/Dealer]]/Table1[[#This Row],[OD Sq Inch]]</f>
        <v>0.98695215791234525</v>
      </c>
      <c r="AM36" s="180">
        <f>Table1[[#This Row],[OD Wdth]]*Table1[[#This Row],[OD Hgt]]</f>
        <v>2989</v>
      </c>
      <c r="AN36" s="180">
        <f>Table1[[#This Row],[Min VO]]+Table1[[#This Row],[Max VO]]</f>
        <v>108</v>
      </c>
      <c r="AO36" s="284"/>
      <c r="AP36" s="284"/>
      <c r="AQ36" s="296"/>
      <c r="AR36" s="296"/>
      <c r="AS36" s="296"/>
      <c r="AT36" s="176"/>
      <c r="AU36" s="1358" t="str">
        <f t="shared" si="5"/>
        <v>-</v>
      </c>
    </row>
    <row r="37" spans="1:53" s="60" customFormat="1" hidden="1" x14ac:dyDescent="0.2">
      <c r="A37" s="377" t="s">
        <v>187</v>
      </c>
      <c r="B37" s="180" t="s">
        <v>188</v>
      </c>
      <c r="C37" s="302" t="s">
        <v>194</v>
      </c>
      <c r="D37" s="302"/>
      <c r="E37" s="284" t="s">
        <v>190</v>
      </c>
      <c r="F37" s="284" t="s">
        <v>150</v>
      </c>
      <c r="G37" s="180" t="s">
        <v>191</v>
      </c>
      <c r="H37" s="180" t="s">
        <v>193</v>
      </c>
      <c r="I37" s="180" t="s">
        <v>52</v>
      </c>
      <c r="J37" s="310" t="s">
        <v>53</v>
      </c>
      <c r="K37" s="180" t="s">
        <v>69</v>
      </c>
      <c r="L37" s="180" t="s">
        <v>73</v>
      </c>
      <c r="M37" s="292">
        <v>2950</v>
      </c>
      <c r="N37" s="71"/>
      <c r="O37" s="180" t="s">
        <v>64</v>
      </c>
      <c r="P37" s="180">
        <v>48</v>
      </c>
      <c r="Q37" s="180">
        <v>60</v>
      </c>
      <c r="R37" s="180">
        <v>48</v>
      </c>
      <c r="S37" s="813">
        <v>60</v>
      </c>
      <c r="T37" s="180">
        <v>49</v>
      </c>
      <c r="U37" s="180">
        <v>61</v>
      </c>
      <c r="V37" s="947">
        <f t="shared" si="17"/>
        <v>56</v>
      </c>
      <c r="W37" s="947">
        <f t="shared" si="18"/>
        <v>68</v>
      </c>
      <c r="X37" s="289">
        <v>69</v>
      </c>
      <c r="Y37" s="180">
        <v>56</v>
      </c>
      <c r="Z37" s="180">
        <v>68</v>
      </c>
      <c r="AA37" s="678">
        <f t="shared" si="13"/>
        <v>26.444444444444443</v>
      </c>
      <c r="AB37" s="329">
        <f t="shared" si="16"/>
        <v>748.37777777777774</v>
      </c>
      <c r="AC37" s="176">
        <f t="shared" si="14"/>
        <v>17.453333333333333</v>
      </c>
      <c r="AD37" s="175">
        <f>Table1[[#This Row],[Substrate SF]]*Materials!C$37</f>
        <v>74.044444444444437</v>
      </c>
      <c r="AE37" s="176">
        <f>IF(Table1[[#This Row],[Work Center]]="SwissQ",Materials!G$37,IF(Table1[[#This Row],[Work Center]]="Inca",Materials!G$29,IF(Table1[[#This Row],[Work Center]]="Canon",Materials!G$49,Materials!G$45)))</f>
        <v>20</v>
      </c>
      <c r="AF37" s="290">
        <f>'Cali Frames'!D470</f>
        <v>263.70999999999998</v>
      </c>
      <c r="AG37" s="296"/>
      <c r="AH37" s="498">
        <f t="shared" si="12"/>
        <v>147.5</v>
      </c>
      <c r="AI37" s="498"/>
      <c r="AJ37" s="176">
        <f t="shared" si="15"/>
        <v>522.70777777777778</v>
      </c>
      <c r="AK37" s="650">
        <f t="shared" si="11"/>
        <v>0.82281092278719403</v>
      </c>
      <c r="AL37" s="225">
        <f>Table1[[#This Row],[WSP/Dealer]]/Table1[[#This Row],[OD Sq Inch]]</f>
        <v>0.98695215791234525</v>
      </c>
      <c r="AM37" s="180">
        <f>Table1[[#This Row],[OD Wdth]]*Table1[[#This Row],[OD Hgt]]</f>
        <v>2989</v>
      </c>
      <c r="AN37" s="180">
        <f>Table1[[#This Row],[Min VO]]+Table1[[#This Row],[Max VO]]</f>
        <v>108</v>
      </c>
      <c r="AO37" s="284"/>
      <c r="AP37" s="284"/>
      <c r="AQ37" s="296"/>
      <c r="AR37" s="296"/>
      <c r="AS37" s="296"/>
      <c r="AT37" s="176"/>
      <c r="AU37" s="1358" t="str">
        <f t="shared" si="5"/>
        <v>-</v>
      </c>
    </row>
    <row r="38" spans="1:53" s="60" customFormat="1" hidden="1" x14ac:dyDescent="0.2">
      <c r="A38" s="458" t="s">
        <v>187</v>
      </c>
      <c r="B38" s="60" t="s">
        <v>188</v>
      </c>
      <c r="C38" s="76" t="s">
        <v>195</v>
      </c>
      <c r="D38" s="76"/>
      <c r="E38" s="83" t="s">
        <v>196</v>
      </c>
      <c r="F38" s="83" t="s">
        <v>150</v>
      </c>
      <c r="G38" s="60" t="s">
        <v>191</v>
      </c>
      <c r="H38" s="60" t="s">
        <v>191</v>
      </c>
      <c r="I38" s="60" t="s">
        <v>108</v>
      </c>
      <c r="J38" s="59" t="s">
        <v>197</v>
      </c>
      <c r="K38" s="60" t="s">
        <v>198</v>
      </c>
      <c r="L38" s="60" t="s">
        <v>199</v>
      </c>
      <c r="M38" s="179">
        <v>120</v>
      </c>
      <c r="N38" s="71"/>
      <c r="O38" s="60" t="s">
        <v>64</v>
      </c>
      <c r="P38" s="46">
        <v>48</v>
      </c>
      <c r="Q38" s="46">
        <v>60</v>
      </c>
      <c r="R38" s="60">
        <v>48</v>
      </c>
      <c r="S38" s="61">
        <v>60</v>
      </c>
      <c r="T38" s="46">
        <v>48</v>
      </c>
      <c r="U38" s="46">
        <v>60</v>
      </c>
      <c r="V38" s="47">
        <f t="shared" si="17"/>
        <v>48</v>
      </c>
      <c r="W38" s="47">
        <f t="shared" si="18"/>
        <v>60</v>
      </c>
      <c r="X38" s="138" t="s">
        <v>197</v>
      </c>
      <c r="Y38" s="60">
        <v>48</v>
      </c>
      <c r="Z38" s="60">
        <v>60</v>
      </c>
      <c r="AA38" s="717">
        <f t="shared" si="13"/>
        <v>20</v>
      </c>
      <c r="AB38" s="341">
        <f>AA38*SWISSRML</f>
        <v>40</v>
      </c>
      <c r="AC38" s="74">
        <f>Table1[[#This Row],[Substrate SF]]*POster</f>
        <v>14.879999999999999</v>
      </c>
      <c r="AD38" s="263">
        <f>Table1[[#This Row],[Substrate SF]]*SWISSRC</f>
        <v>4.4000000000000004</v>
      </c>
      <c r="AE3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38" s="73">
        <v>0</v>
      </c>
      <c r="AG38" s="126">
        <f>Materials!D$76</f>
        <v>10.82</v>
      </c>
      <c r="AH38" s="498">
        <f t="shared" si="12"/>
        <v>6</v>
      </c>
      <c r="AI38" s="498"/>
      <c r="AJ38" s="69">
        <f t="shared" si="15"/>
        <v>46.1</v>
      </c>
      <c r="AK38" s="650">
        <f t="shared" si="11"/>
        <v>0.61583333333333334</v>
      </c>
      <c r="AL38" s="225">
        <f>Table1[[#This Row],[WSP/Dealer]]/Table1[[#This Row],[OD Sq Inch]]</f>
        <v>4.1666666666666664E-2</v>
      </c>
      <c r="AM38" s="218">
        <f>Table1[[#This Row],[OD Wdth]]*Table1[[#This Row],[OD Hgt]]</f>
        <v>2880</v>
      </c>
      <c r="AN38" s="216">
        <f>Table1[[#This Row],[Min VO]]+Table1[[#This Row],[Max VO]]</f>
        <v>108</v>
      </c>
      <c r="AO38" s="83"/>
      <c r="AP38" s="83"/>
      <c r="AQ38" s="540"/>
      <c r="AR38" s="540"/>
      <c r="AS38" s="540"/>
      <c r="AT38" s="69"/>
      <c r="AU38" s="1361" t="str">
        <f t="shared" si="5"/>
        <v>-</v>
      </c>
    </row>
    <row r="39" spans="1:53" x14ac:dyDescent="0.2">
      <c r="A39" s="60" t="s">
        <v>58</v>
      </c>
      <c r="B39" s="60" t="s">
        <v>159</v>
      </c>
      <c r="C39" s="76" t="s">
        <v>200</v>
      </c>
      <c r="D39" s="76"/>
      <c r="E39" s="76" t="s">
        <v>201</v>
      </c>
      <c r="F39" s="83" t="s">
        <v>150</v>
      </c>
      <c r="G39" s="60" t="s">
        <v>151</v>
      </c>
      <c r="H39" s="60" t="s">
        <v>151</v>
      </c>
      <c r="I39" s="60" t="s">
        <v>52</v>
      </c>
      <c r="J39" s="60" t="s">
        <v>53</v>
      </c>
      <c r="K39" s="60" t="s">
        <v>54</v>
      </c>
      <c r="L39" s="60" t="s">
        <v>55</v>
      </c>
      <c r="M39" s="72">
        <v>760</v>
      </c>
      <c r="N39" s="639">
        <v>800</v>
      </c>
      <c r="O39" s="60" t="s">
        <v>64</v>
      </c>
      <c r="P39" s="60">
        <v>36</v>
      </c>
      <c r="Q39" s="60">
        <v>53</v>
      </c>
      <c r="R39" s="60">
        <v>36</v>
      </c>
      <c r="S39" s="61">
        <v>53</v>
      </c>
      <c r="T39" s="273">
        <f>Table1[[#This Row],[VO Wdth]]</f>
        <v>36</v>
      </c>
      <c r="U39" s="273">
        <f>Table1[[#This Row],[VO Hgt]]</f>
        <v>53</v>
      </c>
      <c r="V39" s="47">
        <f>IF(J39="Canvas",P39+BorderGW,P39)</f>
        <v>44</v>
      </c>
      <c r="W39" s="47">
        <f>IF(J39="Canvas",Q39+BorderGW,Q39)</f>
        <v>61</v>
      </c>
      <c r="X39" s="138" t="s">
        <v>152</v>
      </c>
      <c r="Y39" s="60"/>
      <c r="Z39" s="60"/>
      <c r="AA39" s="717">
        <f t="shared" si="13"/>
        <v>18.638888888888889</v>
      </c>
      <c r="AB39" s="125">
        <f t="shared" ref="AB39:AB52" si="19">AA39*Swiss1</f>
        <v>527.48055555555561</v>
      </c>
      <c r="AC39" s="69">
        <f t="shared" ref="AC39:AC52" si="20">AA39*Canvas</f>
        <v>12.301666666666668</v>
      </c>
      <c r="AD39" s="48">
        <f>Table1[[#This Row],[Substrate SF]]*Materials!C$37</f>
        <v>52.18888888888889</v>
      </c>
      <c r="AE39" s="104">
        <f>IF(Table1[[#This Row],[Work Center]]="SwissQ",Materials!G$37,IF(Table1[[#This Row],[Work Center]]="Inca",Materials!G$29,IF(Table1[[#This Row],[Work Center]]="Canon",Materials!G$49,Materials!G$45)))</f>
        <v>20</v>
      </c>
      <c r="AF39" s="69">
        <f>'Cali FPS'!C74</f>
        <v>108.325</v>
      </c>
      <c r="AG39" s="115"/>
      <c r="AH39" s="498">
        <f t="shared" si="12"/>
        <v>38</v>
      </c>
      <c r="AI39" s="498"/>
      <c r="AJ39" s="69">
        <f t="shared" si="15"/>
        <v>230.81555555555556</v>
      </c>
      <c r="AK39" s="650">
        <f t="shared" si="11"/>
        <v>0.69629532163742691</v>
      </c>
      <c r="AL39" s="225">
        <f>Table1[[#This Row],[WSP/Dealer]]/Table1[[#This Row],[OD Sq Inch]]</f>
        <v>0.39832285115303984</v>
      </c>
      <c r="AM39" s="218">
        <f>Table1[[#This Row],[OD Wdth]]*Table1[[#This Row],[OD Hgt]]</f>
        <v>1908</v>
      </c>
      <c r="AN39" s="216">
        <f>Table1[[#This Row],[Min VO]]+Table1[[#This Row],[Max VO]]</f>
        <v>89</v>
      </c>
      <c r="AO39" s="95"/>
      <c r="AP39" s="83"/>
      <c r="AQ39" s="540"/>
      <c r="AR39" s="540"/>
      <c r="AS39" s="540"/>
      <c r="AT39" s="69"/>
      <c r="AU39" s="1355" t="str">
        <f t="shared" si="5"/>
        <v>-</v>
      </c>
    </row>
    <row r="40" spans="1:53" s="103" customFormat="1" x14ac:dyDescent="0.2">
      <c r="A40" s="60" t="s">
        <v>58</v>
      </c>
      <c r="B40" s="60" t="s">
        <v>159</v>
      </c>
      <c r="C40" s="76" t="s">
        <v>202</v>
      </c>
      <c r="D40" s="76"/>
      <c r="E40" s="76" t="s">
        <v>201</v>
      </c>
      <c r="F40" s="83" t="s">
        <v>150</v>
      </c>
      <c r="G40" s="60" t="s">
        <v>151</v>
      </c>
      <c r="H40" s="60" t="s">
        <v>155</v>
      </c>
      <c r="I40" s="60" t="s">
        <v>52</v>
      </c>
      <c r="J40" s="60" t="s">
        <v>53</v>
      </c>
      <c r="K40" s="60" t="s">
        <v>69</v>
      </c>
      <c r="L40" s="60" t="s">
        <v>73</v>
      </c>
      <c r="M40" s="72">
        <f>760+170</f>
        <v>930</v>
      </c>
      <c r="N40" s="639">
        <v>930</v>
      </c>
      <c r="O40" s="60" t="s">
        <v>64</v>
      </c>
      <c r="P40" s="46">
        <v>36</v>
      </c>
      <c r="Q40" s="46">
        <v>53</v>
      </c>
      <c r="R40" s="60">
        <v>36</v>
      </c>
      <c r="S40" s="61">
        <v>53</v>
      </c>
      <c r="T40" s="46">
        <v>37</v>
      </c>
      <c r="U40" s="61" t="str">
        <f>RIGHT(Table1[[#This Row],[OD]],2)</f>
        <v>54</v>
      </c>
      <c r="V40" s="47">
        <f>IF(J40="Canvas",P40+BorderGW,P40)</f>
        <v>44</v>
      </c>
      <c r="W40" s="47">
        <f>IF(J40="Canvas",Q40+BorderGW,Q40)</f>
        <v>61</v>
      </c>
      <c r="X40" s="138" t="s">
        <v>152</v>
      </c>
      <c r="Y40" s="60"/>
      <c r="Z40" s="60"/>
      <c r="AA40" s="717">
        <f t="shared" si="13"/>
        <v>18.638888888888889</v>
      </c>
      <c r="AB40" s="125">
        <f t="shared" si="19"/>
        <v>527.48055555555561</v>
      </c>
      <c r="AC40" s="69">
        <f t="shared" si="20"/>
        <v>12.301666666666668</v>
      </c>
      <c r="AD40" s="48">
        <f>Table1[[#This Row],[Substrate SF]]*Materials!C$37</f>
        <v>52.18888888888889</v>
      </c>
      <c r="AE40" s="104">
        <f>IF(Table1[[#This Row],[Work Center]]="SwissQ",Materials!G$37,IF(Table1[[#This Row],[Work Center]]="Inca",Materials!G$29,IF(Table1[[#This Row],[Work Center]]="Canon",Materials!G$49,Materials!G$45)))</f>
        <v>20</v>
      </c>
      <c r="AF40" s="820">
        <f>'Cali Frames'!D438</f>
        <v>145.74</v>
      </c>
      <c r="AG40" s="69"/>
      <c r="AH40" s="498">
        <f t="shared" si="12"/>
        <v>46.5</v>
      </c>
      <c r="AI40" s="498"/>
      <c r="AJ40" s="48">
        <f t="shared" si="15"/>
        <v>276.73055555555555</v>
      </c>
      <c r="AK40" s="650">
        <f t="shared" si="11"/>
        <v>0.70244026284348859</v>
      </c>
      <c r="AL40" s="225">
        <f>Table1[[#This Row],[WSP/Dealer]]/Table1[[#This Row],[OD Sq Inch]]</f>
        <v>0.46546546546546547</v>
      </c>
      <c r="AM40" s="46">
        <f>Table1[[#This Row],[OD Wdth]]*Table1[[#This Row],[OD Hgt]]</f>
        <v>1998</v>
      </c>
      <c r="AN40" s="216">
        <f>Table1[[#This Row],[Min VO]]+Table1[[#This Row],[Max VO]]</f>
        <v>89</v>
      </c>
      <c r="AO40" s="95"/>
      <c r="AP40" s="83"/>
      <c r="AQ40" s="540"/>
      <c r="AR40" s="540"/>
      <c r="AS40" s="540"/>
      <c r="AT40" s="69"/>
      <c r="AU40" s="1355" t="str">
        <f t="shared" si="5"/>
        <v>-</v>
      </c>
    </row>
    <row r="41" spans="1:53" s="103" customFormat="1" x14ac:dyDescent="0.2">
      <c r="A41" s="60" t="s">
        <v>58</v>
      </c>
      <c r="B41" s="60" t="s">
        <v>159</v>
      </c>
      <c r="C41" s="76" t="s">
        <v>203</v>
      </c>
      <c r="D41" s="76"/>
      <c r="E41" s="76" t="s">
        <v>201</v>
      </c>
      <c r="F41" s="83" t="s">
        <v>150</v>
      </c>
      <c r="G41" s="60" t="s">
        <v>151</v>
      </c>
      <c r="H41" s="60" t="s">
        <v>158</v>
      </c>
      <c r="I41" s="60" t="s">
        <v>52</v>
      </c>
      <c r="J41" s="60" t="s">
        <v>53</v>
      </c>
      <c r="K41" s="60" t="s">
        <v>82</v>
      </c>
      <c r="L41" s="60" t="s">
        <v>83</v>
      </c>
      <c r="M41" s="72">
        <f>760+115</f>
        <v>875</v>
      </c>
      <c r="N41" s="639">
        <v>950</v>
      </c>
      <c r="O41" s="60" t="s">
        <v>64</v>
      </c>
      <c r="P41" s="46">
        <v>36</v>
      </c>
      <c r="Q41" s="46">
        <v>53</v>
      </c>
      <c r="R41" s="60">
        <v>36</v>
      </c>
      <c r="S41" s="61">
        <v>53</v>
      </c>
      <c r="T41" s="46">
        <v>38</v>
      </c>
      <c r="U41" s="61" t="str">
        <f>RIGHT(Table1[[#This Row],[OD]],2)</f>
        <v>55</v>
      </c>
      <c r="V41" s="47">
        <f>IF(J41="Canvas",P41+BorderGW,P41)</f>
        <v>44</v>
      </c>
      <c r="W41" s="47">
        <f>IF(J41="Canvas",Q41+BorderGW,Q41)</f>
        <v>61</v>
      </c>
      <c r="X41" s="138" t="s">
        <v>152</v>
      </c>
      <c r="Y41" s="60"/>
      <c r="Z41" s="60"/>
      <c r="AA41" s="717">
        <f t="shared" si="13"/>
        <v>18.638888888888889</v>
      </c>
      <c r="AB41" s="125">
        <f t="shared" si="19"/>
        <v>527.48055555555561</v>
      </c>
      <c r="AC41" s="69">
        <f t="shared" si="20"/>
        <v>12.301666666666668</v>
      </c>
      <c r="AD41" s="48">
        <f>Table1[[#This Row],[Substrate SF]]*Materials!C$37</f>
        <v>52.18888888888889</v>
      </c>
      <c r="AE41" s="104">
        <f>IF(Table1[[#This Row],[Work Center]]="SwissQ",Materials!G$37,IF(Table1[[#This Row],[Work Center]]="Inca",Materials!G$29,IF(Table1[[#This Row],[Work Center]]="Canon",Materials!G$49,Materials!G$45)))</f>
        <v>20</v>
      </c>
      <c r="AF41" s="72">
        <f>'Cali Frames'!D$134</f>
        <v>150.9725</v>
      </c>
      <c r="AG41" s="69"/>
      <c r="AH41" s="112">
        <f t="shared" si="12"/>
        <v>43.75</v>
      </c>
      <c r="AI41" s="112"/>
      <c r="AJ41" s="48">
        <f t="shared" si="15"/>
        <v>279.21305555555557</v>
      </c>
      <c r="AK41" s="62">
        <f t="shared" si="11"/>
        <v>0.6808993650793651</v>
      </c>
      <c r="AL41" s="225">
        <f>Table1[[#This Row],[WSP/Dealer]]/Table1[[#This Row],[OD Sq Inch]]</f>
        <v>0.41866028708133973</v>
      </c>
      <c r="AM41" s="46">
        <f>Table1[[#This Row],[OD Wdth]]*Table1[[#This Row],[OD Hgt]]</f>
        <v>2090</v>
      </c>
      <c r="AN41" s="216">
        <f>Table1[[#This Row],[Min VO]]+Table1[[#This Row],[Max VO]]</f>
        <v>89</v>
      </c>
      <c r="AO41" s="83"/>
      <c r="AP41" s="83"/>
      <c r="AQ41" s="540"/>
      <c r="AR41" s="540"/>
      <c r="AS41" s="540"/>
      <c r="AT41" s="69"/>
      <c r="AU41" s="1361" t="str">
        <f t="shared" si="5"/>
        <v>-</v>
      </c>
    </row>
    <row r="42" spans="1:53" x14ac:dyDescent="0.2">
      <c r="A42" s="101" t="s">
        <v>58</v>
      </c>
      <c r="B42" s="101" t="s">
        <v>88</v>
      </c>
      <c r="C42" s="76" t="s">
        <v>204</v>
      </c>
      <c r="D42" s="76" t="s">
        <v>205</v>
      </c>
      <c r="E42" s="76" t="s">
        <v>206</v>
      </c>
      <c r="F42" s="83" t="s">
        <v>150</v>
      </c>
      <c r="G42" s="101" t="s">
        <v>168</v>
      </c>
      <c r="H42" s="101" t="s">
        <v>168</v>
      </c>
      <c r="I42" s="101" t="s">
        <v>52</v>
      </c>
      <c r="J42" s="60" t="s">
        <v>53</v>
      </c>
      <c r="K42" s="101" t="s">
        <v>54</v>
      </c>
      <c r="L42" s="101" t="s">
        <v>55</v>
      </c>
      <c r="M42" s="71">
        <v>1023</v>
      </c>
      <c r="N42" s="639">
        <v>1100</v>
      </c>
      <c r="O42" s="60" t="s">
        <v>64</v>
      </c>
      <c r="P42" s="101">
        <v>47</v>
      </c>
      <c r="Q42" s="101">
        <v>69</v>
      </c>
      <c r="R42" s="60">
        <v>47</v>
      </c>
      <c r="S42" s="273">
        <v>69</v>
      </c>
      <c r="T42" s="273">
        <f>Table1[[#This Row],[VO Wdth]]</f>
        <v>47</v>
      </c>
      <c r="U42" s="273">
        <f>Table1[[#This Row],[VO Hgt]]</f>
        <v>69</v>
      </c>
      <c r="V42" s="608">
        <f>IF(J42="Canvas",P42+BorderGW,P42)</f>
        <v>55</v>
      </c>
      <c r="W42" s="608">
        <f>IF(J42="Canvas",Q42+BorderGW,Q42)</f>
        <v>77</v>
      </c>
      <c r="X42" s="138" t="s">
        <v>207</v>
      </c>
      <c r="Y42" s="60"/>
      <c r="Z42" s="60"/>
      <c r="AA42" s="649">
        <f t="shared" si="13"/>
        <v>29.409722222222221</v>
      </c>
      <c r="AB42" s="297">
        <f t="shared" si="19"/>
        <v>832.29513888888891</v>
      </c>
      <c r="AC42" s="104">
        <f t="shared" si="20"/>
        <v>19.410416666666666</v>
      </c>
      <c r="AD42" s="67">
        <f>Table1[[#This Row],[Substrate SF]]*Materials!C$37</f>
        <v>82.347222222222214</v>
      </c>
      <c r="AE42" s="104">
        <f>IF(Table1[[#This Row],[Work Center]]="SwissQ",Materials!G$37,IF(Table1[[#This Row],[Work Center]]="Inca",Materials!G$29,IF(Table1[[#This Row],[Work Center]]="Canon",Materials!G$49,Materials!G$45)))</f>
        <v>20</v>
      </c>
      <c r="AF42" s="104">
        <f>'Cali FPS'!C$115</f>
        <v>176.785</v>
      </c>
      <c r="AG42" s="115"/>
      <c r="AH42" s="498">
        <f t="shared" si="12"/>
        <v>51.150000000000006</v>
      </c>
      <c r="AI42" s="498"/>
      <c r="AJ42" s="104">
        <f t="shared" si="15"/>
        <v>349.69263888888884</v>
      </c>
      <c r="AK42" s="650">
        <f t="shared" si="11"/>
        <v>0.65816946345172156</v>
      </c>
      <c r="AL42" s="225">
        <f>Table1[[#This Row],[WSP/Dealer]]/Table1[[#This Row],[OD Sq Inch]]</f>
        <v>0.31544865864939869</v>
      </c>
      <c r="AM42" s="46">
        <f>Table1[[#This Row],[OD Wdth]]*Table1[[#This Row],[OD Hgt]]</f>
        <v>3243</v>
      </c>
      <c r="AN42" s="216">
        <f>Table1[[#This Row],[Min VO]]+Table1[[#This Row],[Max VO]]</f>
        <v>116</v>
      </c>
      <c r="AO42" s="101"/>
      <c r="AP42" s="101"/>
      <c r="AQ42" s="104"/>
      <c r="AR42" s="104"/>
      <c r="AS42" s="104"/>
      <c r="AT42" s="104"/>
      <c r="AU42" s="830" t="str">
        <f t="shared" si="5"/>
        <v>-</v>
      </c>
    </row>
    <row r="43" spans="1:53" s="103" customFormat="1" x14ac:dyDescent="0.2">
      <c r="A43" s="101" t="s">
        <v>58</v>
      </c>
      <c r="B43" s="101" t="s">
        <v>88</v>
      </c>
      <c r="C43" s="76" t="s">
        <v>208</v>
      </c>
      <c r="D43" s="76" t="s">
        <v>209</v>
      </c>
      <c r="E43" s="76" t="s">
        <v>206</v>
      </c>
      <c r="F43" s="83" t="s">
        <v>150</v>
      </c>
      <c r="G43" s="101" t="s">
        <v>168</v>
      </c>
      <c r="H43" s="101" t="s">
        <v>169</v>
      </c>
      <c r="I43" s="101" t="s">
        <v>52</v>
      </c>
      <c r="J43" s="60" t="s">
        <v>53</v>
      </c>
      <c r="K43" s="101" t="s">
        <v>82</v>
      </c>
      <c r="L43" s="101" t="s">
        <v>83</v>
      </c>
      <c r="M43" s="71">
        <v>1078</v>
      </c>
      <c r="N43" s="639">
        <v>1300</v>
      </c>
      <c r="O43" s="60" t="s">
        <v>64</v>
      </c>
      <c r="P43" s="101">
        <v>47</v>
      </c>
      <c r="Q43" s="101">
        <v>69</v>
      </c>
      <c r="R43" s="60">
        <v>47</v>
      </c>
      <c r="S43" s="273">
        <v>69</v>
      </c>
      <c r="T43" s="101">
        <v>49</v>
      </c>
      <c r="U43" s="101">
        <v>71</v>
      </c>
      <c r="V43" s="608">
        <f>IF(J43="Canvas",P43+Border,P43)</f>
        <v>55</v>
      </c>
      <c r="W43" s="608">
        <f>IF(J43="Canvas",Q43+Border,Q43)</f>
        <v>77</v>
      </c>
      <c r="X43" s="138" t="s">
        <v>207</v>
      </c>
      <c r="Y43" s="60"/>
      <c r="Z43" s="60"/>
      <c r="AA43" s="649">
        <f t="shared" si="13"/>
        <v>29.409722222222221</v>
      </c>
      <c r="AB43" s="297">
        <f t="shared" si="19"/>
        <v>832.29513888888891</v>
      </c>
      <c r="AC43" s="104">
        <f t="shared" si="20"/>
        <v>19.410416666666666</v>
      </c>
      <c r="AD43" s="74">
        <f>Table1[[#This Row],[Substrate SF]]*Materials!C$37</f>
        <v>82.347222222222214</v>
      </c>
      <c r="AE43" s="104">
        <f>IF(Table1[[#This Row],[Work Center]]="SwissQ",Materials!G$37,IF(Table1[[#This Row],[Work Center]]="Inca",Materials!G$29,IF(Table1[[#This Row],[Work Center]]="Canon",Materials!G$49,Materials!G$45)))</f>
        <v>20</v>
      </c>
      <c r="AF43" s="102">
        <f>'Cali Frames'!D151</f>
        <v>237.96499999999997</v>
      </c>
      <c r="AG43" s="104"/>
      <c r="AH43" s="498">
        <f t="shared" si="12"/>
        <v>53.900000000000006</v>
      </c>
      <c r="AI43" s="498"/>
      <c r="AJ43" s="104">
        <f t="shared" si="15"/>
        <v>413.6226388888889</v>
      </c>
      <c r="AK43" s="650">
        <f t="shared" si="11"/>
        <v>0.61630552978767261</v>
      </c>
      <c r="AL43" s="225">
        <f>Table1[[#This Row],[WSP/Dealer]]/Table1[[#This Row],[OD Sq Inch]]</f>
        <v>0.30985915492957744</v>
      </c>
      <c r="AM43" s="101">
        <f>Table1[[#This Row],[OD Wdth]]*Table1[[#This Row],[OD Hgt]]</f>
        <v>3479</v>
      </c>
      <c r="AN43" s="216">
        <f>Table1[[#This Row],[Min VO]]+Table1[[#This Row],[Max VO]]</f>
        <v>116</v>
      </c>
      <c r="AO43" s="101"/>
      <c r="AP43" s="101"/>
      <c r="AQ43" s="104"/>
      <c r="AR43" s="104"/>
      <c r="AS43" s="104"/>
      <c r="AT43" s="104"/>
      <c r="AU43" s="830" t="str">
        <f t="shared" si="5"/>
        <v>-</v>
      </c>
    </row>
    <row r="44" spans="1:53" s="173" customFormat="1" x14ac:dyDescent="0.2">
      <c r="A44" s="60" t="s">
        <v>58</v>
      </c>
      <c r="B44" s="60" t="s">
        <v>146</v>
      </c>
      <c r="C44" s="76" t="s">
        <v>210</v>
      </c>
      <c r="D44" s="76" t="s">
        <v>211</v>
      </c>
      <c r="E44" s="76" t="s">
        <v>212</v>
      </c>
      <c r="F44" s="83" t="s">
        <v>150</v>
      </c>
      <c r="G44" s="60" t="s">
        <v>151</v>
      </c>
      <c r="H44" s="60" t="s">
        <v>158</v>
      </c>
      <c r="I44" s="60" t="s">
        <v>52</v>
      </c>
      <c r="J44" s="59" t="s">
        <v>53</v>
      </c>
      <c r="K44" s="60" t="s">
        <v>82</v>
      </c>
      <c r="L44" s="60" t="s">
        <v>83</v>
      </c>
      <c r="M44" s="72">
        <f>760+115</f>
        <v>875</v>
      </c>
      <c r="N44" s="639">
        <v>950</v>
      </c>
      <c r="O44" s="60" t="s">
        <v>64</v>
      </c>
      <c r="P44" s="60">
        <v>36</v>
      </c>
      <c r="Q44" s="60">
        <v>53</v>
      </c>
      <c r="R44" s="60">
        <v>36</v>
      </c>
      <c r="S44" s="273">
        <v>53</v>
      </c>
      <c r="T44" s="60">
        <v>38</v>
      </c>
      <c r="U44" s="273" t="str">
        <f>RIGHT(Table1[[#This Row],[OD]],2)</f>
        <v>55</v>
      </c>
      <c r="V44" s="946">
        <f>IF(J44="Canvas",P44+BorderGW,P44)</f>
        <v>44</v>
      </c>
      <c r="W44" s="946">
        <f>IF(J44="Canvas",Q44+BorderGW,Q44)</f>
        <v>61</v>
      </c>
      <c r="X44" s="138" t="s">
        <v>152</v>
      </c>
      <c r="Y44" s="60"/>
      <c r="Z44" s="60"/>
      <c r="AA44" s="717">
        <f t="shared" si="13"/>
        <v>18.638888888888889</v>
      </c>
      <c r="AB44" s="297">
        <f t="shared" si="19"/>
        <v>527.48055555555561</v>
      </c>
      <c r="AC44" s="69">
        <f t="shared" si="20"/>
        <v>12.301666666666668</v>
      </c>
      <c r="AD44" s="74">
        <f>Table1[[#This Row],[Substrate SF]]*Materials!C$37</f>
        <v>52.18888888888889</v>
      </c>
      <c r="AE44" s="104">
        <f>IF(Table1[[#This Row],[Work Center]]="SwissQ",Materials!G$37,IF(Table1[[#This Row],[Work Center]]="Inca",Materials!G$29,IF(Table1[[#This Row],[Work Center]]="Canon",Materials!G$49,Materials!G$45)))</f>
        <v>20</v>
      </c>
      <c r="AF44" s="72">
        <f>'Cali Frames'!D$134</f>
        <v>150.9725</v>
      </c>
      <c r="AG44" s="69"/>
      <c r="AH44" s="498">
        <f t="shared" si="12"/>
        <v>43.75</v>
      </c>
      <c r="AI44" s="498"/>
      <c r="AJ44" s="69">
        <f t="shared" si="15"/>
        <v>279.21305555555557</v>
      </c>
      <c r="AK44" s="650">
        <f t="shared" si="11"/>
        <v>0.6808993650793651</v>
      </c>
      <c r="AL44" s="225">
        <f>Table1[[#This Row],[WSP/Dealer]]/Table1[[#This Row],[OD Sq Inch]]</f>
        <v>0.41866028708133973</v>
      </c>
      <c r="AM44" s="101">
        <f>Table1[[#This Row],[OD Wdth]]*Table1[[#This Row],[OD Hgt]]</f>
        <v>2090</v>
      </c>
      <c r="AN44" s="216">
        <f>Table1[[#This Row],[Min VO]]+Table1[[#This Row],[Max VO]]</f>
        <v>89</v>
      </c>
      <c r="AO44" s="101"/>
      <c r="AP44" s="101"/>
      <c r="AQ44" s="104"/>
      <c r="AR44" s="104"/>
      <c r="AS44" s="104"/>
      <c r="AT44" s="104"/>
      <c r="AU44" s="830" t="str">
        <f t="shared" si="5"/>
        <v>-</v>
      </c>
    </row>
    <row r="45" spans="1:53" s="173" customFormat="1" x14ac:dyDescent="0.2">
      <c r="A45" s="60" t="s">
        <v>58</v>
      </c>
      <c r="B45" s="60" t="s">
        <v>146</v>
      </c>
      <c r="C45" s="76" t="s">
        <v>213</v>
      </c>
      <c r="D45" s="76" t="s">
        <v>214</v>
      </c>
      <c r="E45" s="76" t="s">
        <v>215</v>
      </c>
      <c r="F45" s="83" t="s">
        <v>150</v>
      </c>
      <c r="G45" s="60" t="s">
        <v>151</v>
      </c>
      <c r="H45" s="60" t="s">
        <v>151</v>
      </c>
      <c r="I45" s="60" t="s">
        <v>52</v>
      </c>
      <c r="J45" s="59" t="s">
        <v>53</v>
      </c>
      <c r="K45" s="60" t="s">
        <v>54</v>
      </c>
      <c r="L45" s="60" t="s">
        <v>55</v>
      </c>
      <c r="M45" s="72">
        <v>760</v>
      </c>
      <c r="N45" s="639">
        <v>800</v>
      </c>
      <c r="O45" s="60" t="s">
        <v>64</v>
      </c>
      <c r="P45" s="60">
        <v>36</v>
      </c>
      <c r="Q45" s="60">
        <v>53</v>
      </c>
      <c r="R45" s="60">
        <v>36</v>
      </c>
      <c r="S45" s="273">
        <v>53</v>
      </c>
      <c r="T45" s="273">
        <f>Table1[[#This Row],[VO Wdth]]</f>
        <v>36</v>
      </c>
      <c r="U45" s="273">
        <f>Table1[[#This Row],[VO Hgt]]</f>
        <v>53</v>
      </c>
      <c r="V45" s="946">
        <f>IF(J45="Canvas",P45+BorderGW,P45)</f>
        <v>44</v>
      </c>
      <c r="W45" s="946">
        <f>IF(J45="Canvas",Q45+BorderGW,Q45)</f>
        <v>61</v>
      </c>
      <c r="X45" s="138" t="s">
        <v>152</v>
      </c>
      <c r="Y45" s="60"/>
      <c r="Z45" s="60"/>
      <c r="AA45" s="717">
        <f t="shared" si="13"/>
        <v>18.638888888888889</v>
      </c>
      <c r="AB45" s="297">
        <f t="shared" si="19"/>
        <v>527.48055555555561</v>
      </c>
      <c r="AC45" s="69">
        <f t="shared" si="20"/>
        <v>12.301666666666668</v>
      </c>
      <c r="AD45" s="67">
        <f>Table1[[#This Row],[Substrate SF]]*Materials!C$37</f>
        <v>52.18888888888889</v>
      </c>
      <c r="AE45" s="104">
        <f>IF(Table1[[#This Row],[Work Center]]="SwissQ",Materials!G$37,IF(Table1[[#This Row],[Work Center]]="Inca",Materials!G$29,IF(Table1[[#This Row],[Work Center]]="Canon",Materials!G$49,Materials!G$45)))</f>
        <v>20</v>
      </c>
      <c r="AF45" s="69">
        <f>'Cali FPS'!C$72</f>
        <v>107.4675</v>
      </c>
      <c r="AG45" s="115"/>
      <c r="AH45" s="498">
        <f t="shared" si="12"/>
        <v>38</v>
      </c>
      <c r="AI45" s="498"/>
      <c r="AJ45" s="69">
        <f t="shared" si="15"/>
        <v>229.95805555555557</v>
      </c>
      <c r="AK45" s="650">
        <f t="shared" si="11"/>
        <v>0.69742361111111106</v>
      </c>
      <c r="AL45" s="225">
        <f>Table1[[#This Row],[WSP/Dealer]]/Table1[[#This Row],[OD Sq Inch]]</f>
        <v>0.39832285115303984</v>
      </c>
      <c r="AM45" s="97">
        <f>Table1[[#This Row],[OD Wdth]]*Table1[[#This Row],[OD Hgt]]</f>
        <v>1908</v>
      </c>
      <c r="AN45" s="216">
        <f>Table1[[#This Row],[Min VO]]+Table1[[#This Row],[Max VO]]</f>
        <v>89</v>
      </c>
      <c r="AO45" s="101"/>
      <c r="AP45" s="101"/>
      <c r="AQ45" s="104"/>
      <c r="AR45" s="104"/>
      <c r="AS45" s="104"/>
      <c r="AT45" s="104"/>
      <c r="AU45" s="830" t="str">
        <f t="shared" si="5"/>
        <v>-</v>
      </c>
    </row>
    <row r="46" spans="1:53" s="173" customFormat="1" x14ac:dyDescent="0.2">
      <c r="A46" s="60" t="s">
        <v>58</v>
      </c>
      <c r="B46" s="60" t="s">
        <v>146</v>
      </c>
      <c r="C46" s="76" t="s">
        <v>216</v>
      </c>
      <c r="D46" s="76" t="s">
        <v>217</v>
      </c>
      <c r="E46" s="76" t="s">
        <v>215</v>
      </c>
      <c r="F46" s="83" t="s">
        <v>150</v>
      </c>
      <c r="G46" s="60" t="s">
        <v>151</v>
      </c>
      <c r="H46" s="60" t="s">
        <v>155</v>
      </c>
      <c r="I46" s="60" t="s">
        <v>52</v>
      </c>
      <c r="J46" s="59" t="s">
        <v>53</v>
      </c>
      <c r="K46" s="60" t="s">
        <v>69</v>
      </c>
      <c r="L46" s="60" t="s">
        <v>73</v>
      </c>
      <c r="M46" s="72">
        <f>760+170</f>
        <v>930</v>
      </c>
      <c r="N46" s="639">
        <v>930</v>
      </c>
      <c r="O46" s="60" t="s">
        <v>64</v>
      </c>
      <c r="P46" s="60">
        <v>36</v>
      </c>
      <c r="Q46" s="60">
        <v>53</v>
      </c>
      <c r="R46" s="60">
        <v>36</v>
      </c>
      <c r="S46" s="273">
        <v>53</v>
      </c>
      <c r="T46" s="60">
        <v>37</v>
      </c>
      <c r="U46" s="273" t="str">
        <f>RIGHT(Table1[[#This Row],[OD]],2)</f>
        <v>54</v>
      </c>
      <c r="V46" s="946">
        <f>IF(J46="Canvas",P46+BorderGW,P46)</f>
        <v>44</v>
      </c>
      <c r="W46" s="946">
        <f>IF(J46="Canvas",Q46+BorderGW,Q46)</f>
        <v>61</v>
      </c>
      <c r="X46" s="138" t="s">
        <v>152</v>
      </c>
      <c r="Y46" s="60"/>
      <c r="Z46" s="60"/>
      <c r="AA46" s="717">
        <f t="shared" si="13"/>
        <v>18.638888888888889</v>
      </c>
      <c r="AB46" s="297">
        <f t="shared" si="19"/>
        <v>527.48055555555561</v>
      </c>
      <c r="AC46" s="69">
        <f t="shared" si="20"/>
        <v>12.301666666666668</v>
      </c>
      <c r="AD46" s="67">
        <f>Table1[[#This Row],[Substrate SF]]*Materials!C$37</f>
        <v>52.18888888888889</v>
      </c>
      <c r="AE46" s="104">
        <f>IF(Table1[[#This Row],[Work Center]]="SwissQ",Materials!G$37,IF(Table1[[#This Row],[Work Center]]="Inca",Materials!G$29,IF(Table1[[#This Row],[Work Center]]="Canon",Materials!G$49,Materials!G$45)))</f>
        <v>20</v>
      </c>
      <c r="AF46" s="124">
        <f>'Cali Frames'!D438</f>
        <v>145.74</v>
      </c>
      <c r="AG46" s="69"/>
      <c r="AH46" s="112">
        <f t="shared" si="12"/>
        <v>46.5</v>
      </c>
      <c r="AI46" s="112"/>
      <c r="AJ46" s="69">
        <f t="shared" si="15"/>
        <v>276.73055555555555</v>
      </c>
      <c r="AK46" s="62">
        <f t="shared" si="11"/>
        <v>0.70244026284348859</v>
      </c>
      <c r="AL46" s="225">
        <f>Table1[[#This Row],[WSP/Dealer]]/Table1[[#This Row],[OD Sq Inch]]</f>
        <v>0.46546546546546547</v>
      </c>
      <c r="AM46" s="101">
        <f>Table1[[#This Row],[OD Wdth]]*Table1[[#This Row],[OD Hgt]]</f>
        <v>1998</v>
      </c>
      <c r="AN46" s="216">
        <f>Table1[[#This Row],[Min VO]]+Table1[[#This Row],[Max VO]]</f>
        <v>89</v>
      </c>
      <c r="AO46" s="101"/>
      <c r="AP46" s="101"/>
      <c r="AQ46" s="104"/>
      <c r="AR46" s="104"/>
      <c r="AS46" s="104"/>
      <c r="AT46" s="104"/>
      <c r="AU46" s="830" t="str">
        <f t="shared" si="5"/>
        <v>-</v>
      </c>
    </row>
    <row r="47" spans="1:53" s="46" customFormat="1" x14ac:dyDescent="0.2">
      <c r="A47" s="101" t="s">
        <v>58</v>
      </c>
      <c r="B47" s="101" t="s">
        <v>88</v>
      </c>
      <c r="C47" s="100" t="s">
        <v>218</v>
      </c>
      <c r="D47" s="100" t="s">
        <v>219</v>
      </c>
      <c r="E47" s="100" t="s">
        <v>220</v>
      </c>
      <c r="F47" s="115" t="s">
        <v>150</v>
      </c>
      <c r="G47" s="101" t="s">
        <v>168</v>
      </c>
      <c r="H47" s="101" t="s">
        <v>168</v>
      </c>
      <c r="I47" s="101" t="s">
        <v>52</v>
      </c>
      <c r="J47" s="60" t="s">
        <v>53</v>
      </c>
      <c r="K47" s="101" t="s">
        <v>54</v>
      </c>
      <c r="L47" s="101" t="s">
        <v>55</v>
      </c>
      <c r="M47" s="71">
        <v>1023</v>
      </c>
      <c r="N47" s="639">
        <v>1100</v>
      </c>
      <c r="O47" s="60" t="s">
        <v>64</v>
      </c>
      <c r="P47" s="101">
        <v>47</v>
      </c>
      <c r="Q47" s="101">
        <v>69</v>
      </c>
      <c r="R47" s="60">
        <v>47</v>
      </c>
      <c r="S47" s="273">
        <v>69</v>
      </c>
      <c r="T47" s="273">
        <f>Table1[[#This Row],[VO Wdth]]</f>
        <v>47</v>
      </c>
      <c r="U47" s="273">
        <f>Table1[[#This Row],[VO Hgt]]</f>
        <v>69</v>
      </c>
      <c r="V47" s="106">
        <f>IF(J47="Canvas",P47+BorderGW,P47)</f>
        <v>55</v>
      </c>
      <c r="W47" s="106">
        <f>IF(J47="Canvas",Q47+BorderGW,Q47)</f>
        <v>77</v>
      </c>
      <c r="X47" s="138" t="s">
        <v>165</v>
      </c>
      <c r="Y47" s="60"/>
      <c r="Z47" s="60"/>
      <c r="AA47" s="649">
        <f t="shared" si="13"/>
        <v>29.409722222222221</v>
      </c>
      <c r="AB47" s="297">
        <f t="shared" si="19"/>
        <v>832.29513888888891</v>
      </c>
      <c r="AC47" s="107">
        <f t="shared" si="20"/>
        <v>19.410416666666666</v>
      </c>
      <c r="AD47" s="67">
        <f>Table1[[#This Row],[Substrate SF]]*Materials!C$37</f>
        <v>82.347222222222214</v>
      </c>
      <c r="AE47" s="104">
        <f>IF(Table1[[#This Row],[Work Center]]="SwissQ",Materials!G$37,IF(Table1[[#This Row],[Work Center]]="Inca",Materials!G$29,IF(Table1[[#This Row],[Work Center]]="Canon",Materials!G$49,Materials!G$45)))</f>
        <v>20</v>
      </c>
      <c r="AF47" s="104">
        <f>'Cali FPS'!C$115</f>
        <v>176.785</v>
      </c>
      <c r="AG47" s="115"/>
      <c r="AH47" s="498">
        <f t="shared" si="12"/>
        <v>51.150000000000006</v>
      </c>
      <c r="AI47" s="498"/>
      <c r="AJ47" s="104">
        <f t="shared" si="15"/>
        <v>349.69263888888884</v>
      </c>
      <c r="AK47" s="650">
        <f t="shared" si="11"/>
        <v>0.65816946345172156</v>
      </c>
      <c r="AL47" s="225">
        <f>Table1[[#This Row],[WSP/Dealer]]/Table1[[#This Row],[OD Sq Inch]]</f>
        <v>0.31544865864939869</v>
      </c>
      <c r="AM47" s="218">
        <f>Table1[[#This Row],[OD Wdth]]*Table1[[#This Row],[OD Hgt]]</f>
        <v>3243</v>
      </c>
      <c r="AN47" s="216">
        <f>Table1[[#This Row],[Min VO]]+Table1[[#This Row],[Max VO]]</f>
        <v>116</v>
      </c>
      <c r="AO47" s="101"/>
      <c r="AP47" s="101"/>
      <c r="AQ47" s="104"/>
      <c r="AR47" s="104"/>
      <c r="AS47" s="104"/>
      <c r="AT47" s="104"/>
      <c r="AU47" s="830" t="str">
        <f t="shared" si="5"/>
        <v>-</v>
      </c>
    </row>
    <row r="48" spans="1:53" s="218" customFormat="1" x14ac:dyDescent="0.2">
      <c r="A48" s="101" t="s">
        <v>58</v>
      </c>
      <c r="B48" s="101" t="s">
        <v>88</v>
      </c>
      <c r="C48" s="100" t="s">
        <v>221</v>
      </c>
      <c r="D48" s="100" t="s">
        <v>222</v>
      </c>
      <c r="E48" s="100" t="s">
        <v>220</v>
      </c>
      <c r="F48" s="115" t="s">
        <v>150</v>
      </c>
      <c r="G48" s="101" t="s">
        <v>168</v>
      </c>
      <c r="H48" s="101" t="s">
        <v>169</v>
      </c>
      <c r="I48" s="101" t="s">
        <v>52</v>
      </c>
      <c r="J48" s="60" t="s">
        <v>53</v>
      </c>
      <c r="K48" s="101" t="s">
        <v>82</v>
      </c>
      <c r="L48" s="101" t="s">
        <v>83</v>
      </c>
      <c r="M48" s="71">
        <v>1078</v>
      </c>
      <c r="N48" s="639">
        <v>1300</v>
      </c>
      <c r="O48" s="60" t="s">
        <v>64</v>
      </c>
      <c r="P48" s="101">
        <v>47</v>
      </c>
      <c r="Q48" s="101">
        <v>69</v>
      </c>
      <c r="R48" s="60">
        <v>47</v>
      </c>
      <c r="S48" s="273">
        <v>69</v>
      </c>
      <c r="T48" s="101">
        <v>49</v>
      </c>
      <c r="U48" s="101">
        <v>71</v>
      </c>
      <c r="V48" s="106">
        <f t="shared" ref="V48:V58" si="21">IF(J48="Canvas",P48+Border,P48)</f>
        <v>55</v>
      </c>
      <c r="W48" s="106">
        <f t="shared" ref="W48:W58" si="22">IF(J48="Canvas",Q48+Border,Q48)</f>
        <v>77</v>
      </c>
      <c r="X48" s="138" t="s">
        <v>165</v>
      </c>
      <c r="Y48" s="60"/>
      <c r="Z48" s="60"/>
      <c r="AA48" s="649">
        <f t="shared" si="13"/>
        <v>29.409722222222221</v>
      </c>
      <c r="AB48" s="297">
        <f t="shared" si="19"/>
        <v>832.29513888888891</v>
      </c>
      <c r="AC48" s="104">
        <f t="shared" si="20"/>
        <v>19.410416666666666</v>
      </c>
      <c r="AD48" s="67">
        <f>Table1[[#This Row],[Substrate SF]]*Materials!C$37</f>
        <v>82.347222222222214</v>
      </c>
      <c r="AE48" s="104">
        <f>IF(Table1[[#This Row],[Work Center]]="SwissQ",Materials!G$37,IF(Table1[[#This Row],[Work Center]]="Inca",Materials!G$29,IF(Table1[[#This Row],[Work Center]]="Canon",Materials!G$49,Materials!G$45)))</f>
        <v>20</v>
      </c>
      <c r="AF48" s="102">
        <f>'Cali Frames'!D151</f>
        <v>237.96499999999997</v>
      </c>
      <c r="AG48" s="104"/>
      <c r="AH48" s="498">
        <f t="shared" si="12"/>
        <v>53.900000000000006</v>
      </c>
      <c r="AI48" s="498"/>
      <c r="AJ48" s="104">
        <f t="shared" si="15"/>
        <v>413.6226388888889</v>
      </c>
      <c r="AK48" s="650">
        <f t="shared" ref="AK48:AK79" si="23">(M48-AJ48)/M48</f>
        <v>0.61630552978767261</v>
      </c>
      <c r="AL48" s="225">
        <f>Table1[[#This Row],[WSP/Dealer]]/Table1[[#This Row],[OD Sq Inch]]</f>
        <v>0.30985915492957744</v>
      </c>
      <c r="AM48" s="103">
        <f>Table1[[#This Row],[OD Wdth]]*Table1[[#This Row],[OD Hgt]]</f>
        <v>3479</v>
      </c>
      <c r="AN48" s="216">
        <f>Table1[[#This Row],[Min VO]]+Table1[[#This Row],[Max VO]]</f>
        <v>116</v>
      </c>
      <c r="AO48" s="101"/>
      <c r="AP48" s="101"/>
      <c r="AQ48" s="104"/>
      <c r="AR48" s="104"/>
      <c r="AS48" s="104"/>
      <c r="AT48" s="104"/>
      <c r="AU48" s="830" t="str">
        <f t="shared" si="5"/>
        <v>-</v>
      </c>
    </row>
    <row r="49" spans="1:47" s="103" customFormat="1" x14ac:dyDescent="0.2">
      <c r="A49" s="60" t="s">
        <v>58</v>
      </c>
      <c r="B49" s="60" t="s">
        <v>159</v>
      </c>
      <c r="C49" s="76" t="s">
        <v>223</v>
      </c>
      <c r="D49" s="76" t="s">
        <v>224</v>
      </c>
      <c r="E49" s="76" t="s">
        <v>225</v>
      </c>
      <c r="F49" s="83" t="s">
        <v>150</v>
      </c>
      <c r="G49" s="60" t="s">
        <v>168</v>
      </c>
      <c r="H49" s="60" t="s">
        <v>164</v>
      </c>
      <c r="I49" s="60" t="s">
        <v>52</v>
      </c>
      <c r="J49" s="60" t="s">
        <v>53</v>
      </c>
      <c r="K49" s="60" t="s">
        <v>69</v>
      </c>
      <c r="L49" s="60" t="s">
        <v>73</v>
      </c>
      <c r="M49" s="72">
        <f>1023+197</f>
        <v>1220</v>
      </c>
      <c r="N49" s="639">
        <v>1340</v>
      </c>
      <c r="O49" s="60" t="s">
        <v>64</v>
      </c>
      <c r="P49" s="60">
        <v>47</v>
      </c>
      <c r="Q49" s="60">
        <v>69</v>
      </c>
      <c r="R49" s="60">
        <v>47</v>
      </c>
      <c r="S49" s="273">
        <v>69</v>
      </c>
      <c r="T49" s="60">
        <v>48</v>
      </c>
      <c r="U49" s="60">
        <v>70</v>
      </c>
      <c r="V49" s="47">
        <f t="shared" si="21"/>
        <v>55</v>
      </c>
      <c r="W49" s="47">
        <f t="shared" si="22"/>
        <v>77</v>
      </c>
      <c r="X49" s="138" t="s">
        <v>165</v>
      </c>
      <c r="Y49" s="60"/>
      <c r="Z49" s="60"/>
      <c r="AA49" s="717">
        <f t="shared" si="13"/>
        <v>29.409722222222221</v>
      </c>
      <c r="AB49" s="297">
        <f t="shared" si="19"/>
        <v>832.29513888888891</v>
      </c>
      <c r="AC49" s="69">
        <f t="shared" si="20"/>
        <v>19.410416666666666</v>
      </c>
      <c r="AD49" s="67">
        <f>Table1[[#This Row],[Substrate SF]]*Materials!C$37</f>
        <v>82.347222222222214</v>
      </c>
      <c r="AE49" s="104">
        <f>IF(Table1[[#This Row],[Work Center]]="SwissQ",Materials!G$37,IF(Table1[[#This Row],[Work Center]]="Inca",Materials!G$29,IF(Table1[[#This Row],[Work Center]]="Canon",Materials!G$49,Materials!G$45)))</f>
        <v>20</v>
      </c>
      <c r="AF49" s="72">
        <f>'Cali Frames'!D$457</f>
        <v>160.3175</v>
      </c>
      <c r="AG49" s="69"/>
      <c r="AH49" s="498">
        <f t="shared" si="12"/>
        <v>61</v>
      </c>
      <c r="AI49" s="498"/>
      <c r="AJ49" s="69">
        <f t="shared" si="15"/>
        <v>343.07513888888889</v>
      </c>
      <c r="AK49" s="650">
        <f t="shared" si="23"/>
        <v>0.71879086976320583</v>
      </c>
      <c r="AL49" s="225">
        <f>Table1[[#This Row],[WSP/Dealer]]/Table1[[#This Row],[OD Sq Inch]]</f>
        <v>0.36309523809523808</v>
      </c>
      <c r="AM49" s="103">
        <f>Table1[[#This Row],[OD Wdth]]*Table1[[#This Row],[OD Hgt]]</f>
        <v>3360</v>
      </c>
      <c r="AN49" s="216">
        <f>Table1[[#This Row],[Min VO]]+Table1[[#This Row],[Max VO]]</f>
        <v>116</v>
      </c>
      <c r="AO49" s="101"/>
      <c r="AP49" s="101"/>
      <c r="AQ49" s="104"/>
      <c r="AR49" s="104"/>
      <c r="AS49" s="104"/>
      <c r="AT49" s="104"/>
      <c r="AU49" s="830" t="str">
        <f t="shared" si="5"/>
        <v>-</v>
      </c>
    </row>
    <row r="50" spans="1:47" s="103" customFormat="1" hidden="1" x14ac:dyDescent="0.2">
      <c r="A50" s="377" t="s">
        <v>187</v>
      </c>
      <c r="B50" s="60" t="s">
        <v>188</v>
      </c>
      <c r="C50" s="76" t="s">
        <v>226</v>
      </c>
      <c r="D50" s="302"/>
      <c r="E50" s="284" t="s">
        <v>227</v>
      </c>
      <c r="F50" s="83" t="s">
        <v>150</v>
      </c>
      <c r="G50" s="180" t="s">
        <v>191</v>
      </c>
      <c r="H50" s="60" t="s">
        <v>191</v>
      </c>
      <c r="I50" s="60" t="s">
        <v>52</v>
      </c>
      <c r="J50" s="59" t="s">
        <v>53</v>
      </c>
      <c r="K50" s="60" t="s">
        <v>54</v>
      </c>
      <c r="L50" s="60" t="s">
        <v>55</v>
      </c>
      <c r="M50" s="179">
        <v>2550</v>
      </c>
      <c r="N50" s="71"/>
      <c r="O50" s="60" t="s">
        <v>64</v>
      </c>
      <c r="P50" s="60">
        <v>48</v>
      </c>
      <c r="Q50" s="60">
        <v>60</v>
      </c>
      <c r="R50" s="60">
        <v>48</v>
      </c>
      <c r="S50" s="273">
        <v>60</v>
      </c>
      <c r="T50" s="60">
        <v>48</v>
      </c>
      <c r="U50" s="60">
        <v>60</v>
      </c>
      <c r="V50" s="47">
        <f t="shared" si="21"/>
        <v>56</v>
      </c>
      <c r="W50" s="47">
        <f t="shared" si="22"/>
        <v>68</v>
      </c>
      <c r="X50" s="138">
        <v>69</v>
      </c>
      <c r="Y50" s="60">
        <v>56</v>
      </c>
      <c r="Z50" s="60">
        <v>68</v>
      </c>
      <c r="AA50" s="717">
        <f t="shared" si="13"/>
        <v>26.444444444444443</v>
      </c>
      <c r="AB50" s="125">
        <f t="shared" si="19"/>
        <v>748.37777777777774</v>
      </c>
      <c r="AC50" s="69">
        <f t="shared" si="20"/>
        <v>17.453333333333333</v>
      </c>
      <c r="AD50" s="48">
        <f>Table1[[#This Row],[Substrate SF]]*Materials!C$37</f>
        <v>74.044444444444437</v>
      </c>
      <c r="AE50" s="69">
        <f>IF(Table1[[#This Row],[Work Center]]="SwissQ",Materials!G$37,IF(Table1[[#This Row],[Work Center]]="Inca",Materials!G$29,IF(Table1[[#This Row],[Work Center]]="Canon",Materials!G$49,Materials!G$45)))</f>
        <v>20</v>
      </c>
      <c r="AF50" s="290">
        <f>'Cali FPS'!C121</f>
        <v>188.18</v>
      </c>
      <c r="AG50" s="296"/>
      <c r="AH50" s="498">
        <f t="shared" si="12"/>
        <v>127.5</v>
      </c>
      <c r="AI50" s="498"/>
      <c r="AJ50" s="69">
        <f t="shared" si="15"/>
        <v>427.17777777777781</v>
      </c>
      <c r="AK50" s="650">
        <f t="shared" si="23"/>
        <v>0.83247930283224392</v>
      </c>
      <c r="AL50" s="225">
        <f>Table1[[#This Row],[WSP/Dealer]]/Table1[[#This Row],[OD Sq Inch]]</f>
        <v>0.88541666666666663</v>
      </c>
      <c r="AM50" s="46">
        <f>Table1[[#This Row],[OD Wdth]]*Table1[[#This Row],[OD Hgt]]</f>
        <v>2880</v>
      </c>
      <c r="AN50" s="216">
        <f>Table1[[#This Row],[Min VO]]+Table1[[#This Row],[Max VO]]</f>
        <v>108</v>
      </c>
      <c r="AO50" s="284"/>
      <c r="AP50" s="284"/>
      <c r="AQ50" s="296"/>
      <c r="AR50" s="296"/>
      <c r="AS50" s="296"/>
      <c r="AT50" s="176"/>
      <c r="AU50" s="1358" t="str">
        <f t="shared" si="5"/>
        <v>-</v>
      </c>
    </row>
    <row r="51" spans="1:47" s="103" customFormat="1" hidden="1" x14ac:dyDescent="0.2">
      <c r="A51" s="377" t="s">
        <v>187</v>
      </c>
      <c r="B51" s="60" t="s">
        <v>188</v>
      </c>
      <c r="C51" s="76" t="s">
        <v>228</v>
      </c>
      <c r="D51" s="302"/>
      <c r="E51" s="284" t="s">
        <v>227</v>
      </c>
      <c r="F51" s="83" t="s">
        <v>150</v>
      </c>
      <c r="G51" s="180" t="s">
        <v>191</v>
      </c>
      <c r="H51" s="60" t="s">
        <v>193</v>
      </c>
      <c r="I51" s="60" t="s">
        <v>52</v>
      </c>
      <c r="J51" s="59" t="s">
        <v>53</v>
      </c>
      <c r="K51" s="60" t="s">
        <v>69</v>
      </c>
      <c r="L51" s="60" t="s">
        <v>70</v>
      </c>
      <c r="M51" s="179">
        <v>2950</v>
      </c>
      <c r="N51" s="71"/>
      <c r="O51" s="60" t="s">
        <v>64</v>
      </c>
      <c r="P51" s="60">
        <v>48</v>
      </c>
      <c r="Q51" s="60">
        <v>60</v>
      </c>
      <c r="R51" s="60">
        <v>48</v>
      </c>
      <c r="S51" s="273">
        <v>60</v>
      </c>
      <c r="T51" s="60">
        <v>49</v>
      </c>
      <c r="U51" s="60">
        <v>61</v>
      </c>
      <c r="V51" s="47">
        <f t="shared" si="21"/>
        <v>56</v>
      </c>
      <c r="W51" s="47">
        <f t="shared" si="22"/>
        <v>68</v>
      </c>
      <c r="X51" s="138">
        <v>69</v>
      </c>
      <c r="Y51" s="60">
        <v>56</v>
      </c>
      <c r="Z51" s="60">
        <v>68</v>
      </c>
      <c r="AA51" s="717">
        <f t="shared" si="13"/>
        <v>26.444444444444443</v>
      </c>
      <c r="AB51" s="125">
        <f t="shared" si="19"/>
        <v>748.37777777777774</v>
      </c>
      <c r="AC51" s="69">
        <f t="shared" si="20"/>
        <v>17.453333333333333</v>
      </c>
      <c r="AD51" s="48">
        <f>Table1[[#This Row],[Substrate SF]]*Materials!C$37</f>
        <v>74.044444444444437</v>
      </c>
      <c r="AE51" s="69">
        <f>IF(Table1[[#This Row],[Work Center]]="SwissQ",Materials!G$37,IF(Table1[[#This Row],[Work Center]]="Inca",Materials!G$29,IF(Table1[[#This Row],[Work Center]]="Canon",Materials!G$49,Materials!G$45)))</f>
        <v>20</v>
      </c>
      <c r="AF51" s="290">
        <f>'Cali Frames'!D335</f>
        <v>258.27999999999997</v>
      </c>
      <c r="AG51" s="296"/>
      <c r="AH51" s="498">
        <f t="shared" si="12"/>
        <v>147.5</v>
      </c>
      <c r="AI51" s="498"/>
      <c r="AJ51" s="69">
        <f t="shared" si="15"/>
        <v>517.27777777777771</v>
      </c>
      <c r="AK51" s="650">
        <f t="shared" si="23"/>
        <v>0.82465160075329569</v>
      </c>
      <c r="AL51" s="225">
        <f>Table1[[#This Row],[WSP/Dealer]]/Table1[[#This Row],[OD Sq Inch]]</f>
        <v>0.98695215791234525</v>
      </c>
      <c r="AM51" s="46">
        <f>Table1[[#This Row],[OD Wdth]]*Table1[[#This Row],[OD Hgt]]</f>
        <v>2989</v>
      </c>
      <c r="AN51" s="216">
        <f>Table1[[#This Row],[Min VO]]+Table1[[#This Row],[Max VO]]</f>
        <v>108</v>
      </c>
      <c r="AO51" s="284"/>
      <c r="AP51" s="284"/>
      <c r="AQ51" s="296"/>
      <c r="AR51" s="296"/>
      <c r="AS51" s="296"/>
      <c r="AT51" s="176"/>
      <c r="AU51" s="1358" t="str">
        <f t="shared" si="5"/>
        <v>-</v>
      </c>
    </row>
    <row r="52" spans="1:47" s="218" customFormat="1" hidden="1" x14ac:dyDescent="0.2">
      <c r="A52" s="377" t="s">
        <v>187</v>
      </c>
      <c r="B52" s="60" t="s">
        <v>188</v>
      </c>
      <c r="C52" s="76" t="s">
        <v>229</v>
      </c>
      <c r="D52" s="302"/>
      <c r="E52" s="284" t="s">
        <v>227</v>
      </c>
      <c r="F52" s="83" t="s">
        <v>150</v>
      </c>
      <c r="G52" s="180" t="s">
        <v>191</v>
      </c>
      <c r="H52" s="60" t="s">
        <v>193</v>
      </c>
      <c r="I52" s="60" t="s">
        <v>52</v>
      </c>
      <c r="J52" s="59" t="s">
        <v>53</v>
      </c>
      <c r="K52" s="60" t="s">
        <v>69</v>
      </c>
      <c r="L52" s="60" t="s">
        <v>73</v>
      </c>
      <c r="M52" s="179">
        <v>2950</v>
      </c>
      <c r="N52" s="71"/>
      <c r="O52" s="60" t="s">
        <v>64</v>
      </c>
      <c r="P52" s="60">
        <v>48</v>
      </c>
      <c r="Q52" s="60">
        <v>60</v>
      </c>
      <c r="R52" s="60">
        <v>48</v>
      </c>
      <c r="S52" s="273">
        <v>60</v>
      </c>
      <c r="T52" s="60">
        <v>49</v>
      </c>
      <c r="U52" s="60">
        <v>61</v>
      </c>
      <c r="V52" s="946">
        <f t="shared" si="21"/>
        <v>56</v>
      </c>
      <c r="W52" s="946">
        <f t="shared" si="22"/>
        <v>68</v>
      </c>
      <c r="X52" s="138">
        <v>69</v>
      </c>
      <c r="Y52" s="60">
        <v>56</v>
      </c>
      <c r="Z52" s="60">
        <v>68</v>
      </c>
      <c r="AA52" s="717">
        <f t="shared" si="13"/>
        <v>26.444444444444443</v>
      </c>
      <c r="AB52" s="125">
        <f t="shared" si="19"/>
        <v>748.37777777777774</v>
      </c>
      <c r="AC52" s="69">
        <f t="shared" si="20"/>
        <v>17.453333333333333</v>
      </c>
      <c r="AD52" s="48">
        <f>Table1[[#This Row],[Substrate SF]]*Materials!C$37</f>
        <v>74.044444444444437</v>
      </c>
      <c r="AE52" s="69">
        <f>IF(Table1[[#This Row],[Work Center]]="SwissQ",Materials!G$37,IF(Table1[[#This Row],[Work Center]]="Inca",Materials!G$29,IF(Table1[[#This Row],[Work Center]]="Canon",Materials!G$49,Materials!G$45)))</f>
        <v>20</v>
      </c>
      <c r="AF52" s="290">
        <f>'Cali Frames'!D470</f>
        <v>263.70999999999998</v>
      </c>
      <c r="AG52" s="296"/>
      <c r="AH52" s="498">
        <f t="shared" si="12"/>
        <v>147.5</v>
      </c>
      <c r="AI52" s="498"/>
      <c r="AJ52" s="69">
        <f t="shared" si="15"/>
        <v>522.70777777777778</v>
      </c>
      <c r="AK52" s="650">
        <f t="shared" si="23"/>
        <v>0.82281092278719403</v>
      </c>
      <c r="AL52" s="225">
        <f>Table1[[#This Row],[WSP/Dealer]]/Table1[[#This Row],[OD Sq Inch]]</f>
        <v>0.98695215791234525</v>
      </c>
      <c r="AM52" s="46">
        <f>Table1[[#This Row],[OD Wdth]]*Table1[[#This Row],[OD Hgt]]</f>
        <v>2989</v>
      </c>
      <c r="AN52" s="216">
        <f>Table1[[#This Row],[Min VO]]+Table1[[#This Row],[Max VO]]</f>
        <v>108</v>
      </c>
      <c r="AO52" s="284"/>
      <c r="AP52" s="284"/>
      <c r="AQ52" s="296"/>
      <c r="AR52" s="296"/>
      <c r="AS52" s="296"/>
      <c r="AT52" s="176"/>
      <c r="AU52" s="1358" t="str">
        <f t="shared" si="5"/>
        <v>-</v>
      </c>
    </row>
    <row r="53" spans="1:47" s="103" customFormat="1" hidden="1" x14ac:dyDescent="0.2">
      <c r="A53" s="377" t="s">
        <v>187</v>
      </c>
      <c r="B53" s="60" t="s">
        <v>188</v>
      </c>
      <c r="C53" s="76" t="s">
        <v>230</v>
      </c>
      <c r="D53" s="302"/>
      <c r="E53" s="284" t="s">
        <v>231</v>
      </c>
      <c r="F53" s="83" t="s">
        <v>150</v>
      </c>
      <c r="G53" s="180" t="s">
        <v>191</v>
      </c>
      <c r="H53" s="60" t="s">
        <v>191</v>
      </c>
      <c r="I53" s="60" t="s">
        <v>108</v>
      </c>
      <c r="J53" s="59" t="s">
        <v>197</v>
      </c>
      <c r="K53" s="60" t="s">
        <v>198</v>
      </c>
      <c r="L53" s="60" t="s">
        <v>199</v>
      </c>
      <c r="M53" s="179">
        <v>120</v>
      </c>
      <c r="N53" s="71"/>
      <c r="O53" s="60" t="s">
        <v>64</v>
      </c>
      <c r="P53" s="60">
        <v>48</v>
      </c>
      <c r="Q53" s="60">
        <v>60</v>
      </c>
      <c r="R53" s="60">
        <v>48</v>
      </c>
      <c r="S53" s="273">
        <v>60</v>
      </c>
      <c r="T53" s="60">
        <v>48</v>
      </c>
      <c r="U53" s="60">
        <v>60</v>
      </c>
      <c r="V53" s="946">
        <f t="shared" si="21"/>
        <v>48</v>
      </c>
      <c r="W53" s="946">
        <f t="shared" si="22"/>
        <v>60</v>
      </c>
      <c r="X53" s="138" t="s">
        <v>197</v>
      </c>
      <c r="Y53" s="60">
        <v>48</v>
      </c>
      <c r="Z53" s="60">
        <v>60</v>
      </c>
      <c r="AA53" s="717">
        <f t="shared" si="13"/>
        <v>20</v>
      </c>
      <c r="AB53" s="341">
        <f>AA53*SWISSRML</f>
        <v>40</v>
      </c>
      <c r="AC53" s="74">
        <f>Table1[[#This Row],[Substrate SF]]*POster</f>
        <v>14.879999999999999</v>
      </c>
      <c r="AD53" s="263">
        <f>Table1[[#This Row],[Substrate SF]]*SWISSRC</f>
        <v>4.4000000000000004</v>
      </c>
      <c r="AE5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53" s="73">
        <v>0</v>
      </c>
      <c r="AG53" s="126">
        <f>Materials!D$76</f>
        <v>10.82</v>
      </c>
      <c r="AH53" s="498">
        <f t="shared" si="12"/>
        <v>6</v>
      </c>
      <c r="AI53" s="498"/>
      <c r="AJ53" s="69">
        <f t="shared" si="15"/>
        <v>46.1</v>
      </c>
      <c r="AK53" s="650">
        <f t="shared" si="23"/>
        <v>0.61583333333333334</v>
      </c>
      <c r="AL53" s="225">
        <f>Table1[[#This Row],[WSP/Dealer]]/Table1[[#This Row],[OD Sq Inch]]</f>
        <v>4.1666666666666664E-2</v>
      </c>
      <c r="AM53" s="216">
        <f>Table1[[#This Row],[OD Wdth]]*Table1[[#This Row],[OD Hgt]]</f>
        <v>2880</v>
      </c>
      <c r="AN53" s="216">
        <f>Table1[[#This Row],[Min VO]]+Table1[[#This Row],[Max VO]]</f>
        <v>108</v>
      </c>
      <c r="AO53" s="284"/>
      <c r="AP53" s="284"/>
      <c r="AQ53" s="296"/>
      <c r="AR53" s="296"/>
      <c r="AS53" s="296"/>
      <c r="AT53" s="176"/>
      <c r="AU53" s="1358" t="str">
        <f t="shared" si="5"/>
        <v>-</v>
      </c>
    </row>
    <row r="54" spans="1:47" s="228" customFormat="1" x14ac:dyDescent="0.2">
      <c r="A54" s="101" t="s">
        <v>58</v>
      </c>
      <c r="B54" s="101" t="s">
        <v>88</v>
      </c>
      <c r="C54" s="100" t="s">
        <v>232</v>
      </c>
      <c r="D54" s="100" t="s">
        <v>233</v>
      </c>
      <c r="E54" s="76" t="s">
        <v>234</v>
      </c>
      <c r="F54" s="115" t="s">
        <v>150</v>
      </c>
      <c r="G54" s="101" t="s">
        <v>235</v>
      </c>
      <c r="H54" s="101" t="s">
        <v>236</v>
      </c>
      <c r="I54" s="101" t="s">
        <v>52</v>
      </c>
      <c r="J54" s="60" t="s">
        <v>53</v>
      </c>
      <c r="K54" s="101" t="s">
        <v>82</v>
      </c>
      <c r="L54" s="101" t="s">
        <v>83</v>
      </c>
      <c r="M54" s="71">
        <v>1072.5</v>
      </c>
      <c r="N54" s="639">
        <v>1300</v>
      </c>
      <c r="O54" s="811" t="s">
        <v>56</v>
      </c>
      <c r="P54" s="101">
        <v>48</v>
      </c>
      <c r="Q54" s="101">
        <v>62</v>
      </c>
      <c r="R54" s="60">
        <v>48</v>
      </c>
      <c r="S54" s="273">
        <v>62</v>
      </c>
      <c r="T54" s="101">
        <v>50</v>
      </c>
      <c r="U54" s="101" t="str">
        <f>RIGHT(H54,2)</f>
        <v>64</v>
      </c>
      <c r="V54" s="608">
        <f t="shared" si="21"/>
        <v>56</v>
      </c>
      <c r="W54" s="608">
        <f t="shared" si="22"/>
        <v>70</v>
      </c>
      <c r="X54" s="311">
        <v>69</v>
      </c>
      <c r="Y54" s="551"/>
      <c r="Z54" s="551"/>
      <c r="AA54" s="649">
        <f t="shared" si="13"/>
        <v>27.222222222222221</v>
      </c>
      <c r="AB54" s="297">
        <f>AA54*Swiss1</f>
        <v>770.38888888888891</v>
      </c>
      <c r="AC54" s="104">
        <f>AA54*Canvas</f>
        <v>17.966666666666669</v>
      </c>
      <c r="AD54" s="67">
        <f>Table1[[#This Row],[Substrate SF]]*Materials!C$37</f>
        <v>76.222222222222214</v>
      </c>
      <c r="AE54" s="104">
        <f>IF(Table1[[#This Row],[Work Center]]="SwissQ",Materials!G$37,IF(Table1[[#This Row],[Work Center]]="Inca",Materials!G$29,IF(Table1[[#This Row],[Work Center]]="Canon",Materials!G$49,Materials!G$45)))</f>
        <v>8</v>
      </c>
      <c r="AF54" s="102">
        <f>'Cali Frames'!D156</f>
        <v>236.14499999999998</v>
      </c>
      <c r="AG54" s="104"/>
      <c r="AH54" s="498">
        <f t="shared" si="12"/>
        <v>53.625</v>
      </c>
      <c r="AI54" s="498"/>
      <c r="AJ54" s="104">
        <f t="shared" si="15"/>
        <v>391.95888888888885</v>
      </c>
      <c r="AK54" s="650">
        <f t="shared" si="23"/>
        <v>0.63453716653716652</v>
      </c>
      <c r="AL54" s="225">
        <f>Table1[[#This Row],[WSP/Dealer]]/Table1[[#This Row],[OD Sq Inch]]</f>
        <v>0.33515624999999999</v>
      </c>
      <c r="AM54" s="101">
        <f>Table1[[#This Row],[OD Wdth]]*Table1[[#This Row],[OD Hgt]]</f>
        <v>3200</v>
      </c>
      <c r="AN54" s="216">
        <f>Table1[[#This Row],[Min VO]]+Table1[[#This Row],[Max VO]]</f>
        <v>110</v>
      </c>
      <c r="AO54" s="101"/>
      <c r="AP54" s="101"/>
      <c r="AQ54" s="104"/>
      <c r="AR54" s="104"/>
      <c r="AS54" s="104"/>
      <c r="AT54" s="104"/>
      <c r="AU54" s="830" t="str">
        <f t="shared" si="5"/>
        <v>-</v>
      </c>
    </row>
    <row r="55" spans="1:47" s="228" customFormat="1" hidden="1" x14ac:dyDescent="0.2">
      <c r="A55" s="377" t="s">
        <v>187</v>
      </c>
      <c r="B55" s="60" t="s">
        <v>188</v>
      </c>
      <c r="C55" s="76" t="s">
        <v>237</v>
      </c>
      <c r="D55" s="76"/>
      <c r="E55" s="83" t="s">
        <v>238</v>
      </c>
      <c r="F55" s="83" t="s">
        <v>150</v>
      </c>
      <c r="G55" s="180" t="s">
        <v>191</v>
      </c>
      <c r="H55" s="60" t="s">
        <v>191</v>
      </c>
      <c r="I55" s="60" t="s">
        <v>52</v>
      </c>
      <c r="J55" s="59" t="s">
        <v>53</v>
      </c>
      <c r="K55" s="60" t="s">
        <v>54</v>
      </c>
      <c r="L55" s="60" t="s">
        <v>55</v>
      </c>
      <c r="M55" s="179">
        <v>2550</v>
      </c>
      <c r="N55" s="71"/>
      <c r="O55" s="60" t="s">
        <v>56</v>
      </c>
      <c r="P55" s="60">
        <v>48</v>
      </c>
      <c r="Q55" s="60">
        <v>60</v>
      </c>
      <c r="R55" s="60">
        <v>48</v>
      </c>
      <c r="S55" s="273">
        <v>60</v>
      </c>
      <c r="T55" s="60">
        <v>48</v>
      </c>
      <c r="U55" s="60">
        <v>60</v>
      </c>
      <c r="V55" s="946">
        <f t="shared" si="21"/>
        <v>56</v>
      </c>
      <c r="W55" s="946">
        <f t="shared" si="22"/>
        <v>68</v>
      </c>
      <c r="X55" s="138">
        <v>69</v>
      </c>
      <c r="Y55" s="60">
        <v>56</v>
      </c>
      <c r="Z55" s="60">
        <v>68</v>
      </c>
      <c r="AA55" s="718">
        <f t="shared" si="13"/>
        <v>26.444444444444443</v>
      </c>
      <c r="AB55" s="233">
        <f>AA55*IncaC</f>
        <v>44.511288888888885</v>
      </c>
      <c r="AC55" s="225">
        <f>AA55*Canvas</f>
        <v>17.453333333333333</v>
      </c>
      <c r="AD55" s="48">
        <f>Table1[[#This Row],[Substrate SF]]*IncaC</f>
        <v>44.511288888888885</v>
      </c>
      <c r="AE55" s="69">
        <f>IF(Table1[[#This Row],[Work Center]]="SwissQ",Materials!G$37,IF(Table1[[#This Row],[Work Center]]="Inca",Materials!G$29,IF(Table1[[#This Row],[Work Center]]="Canon",Materials!G$49,Materials!G$45)))</f>
        <v>8</v>
      </c>
      <c r="AF55" s="72">
        <f>'Cali FPS'!C121</f>
        <v>188.18</v>
      </c>
      <c r="AG55" s="540"/>
      <c r="AH55" s="112">
        <f t="shared" si="12"/>
        <v>127.5</v>
      </c>
      <c r="AI55" s="112"/>
      <c r="AJ55" s="69">
        <f t="shared" si="15"/>
        <v>385.64462222222221</v>
      </c>
      <c r="AK55" s="62">
        <f t="shared" si="23"/>
        <v>0.84876681481481486</v>
      </c>
      <c r="AL55" s="225">
        <f>Table1[[#This Row],[WSP/Dealer]]/Table1[[#This Row],[OD Sq Inch]]</f>
        <v>0.88541666666666663</v>
      </c>
      <c r="AM55" s="46">
        <f>Table1[[#This Row],[OD Wdth]]*Table1[[#This Row],[OD Hgt]]</f>
        <v>2880</v>
      </c>
      <c r="AN55" s="216">
        <f>Table1[[#This Row],[Min VO]]+Table1[[#This Row],[Max VO]]</f>
        <v>108</v>
      </c>
      <c r="AO55" s="83"/>
      <c r="AP55" s="83"/>
      <c r="AQ55" s="540"/>
      <c r="AR55" s="540"/>
      <c r="AS55" s="540"/>
      <c r="AT55" s="69"/>
      <c r="AU55" s="1361" t="str">
        <f t="shared" si="5"/>
        <v>-</v>
      </c>
    </row>
    <row r="56" spans="1:47" s="228" customFormat="1" hidden="1" x14ac:dyDescent="0.2">
      <c r="A56" s="377" t="s">
        <v>187</v>
      </c>
      <c r="B56" s="60" t="s">
        <v>188</v>
      </c>
      <c r="C56" s="76" t="s">
        <v>239</v>
      </c>
      <c r="D56" s="76"/>
      <c r="E56" s="83" t="s">
        <v>238</v>
      </c>
      <c r="F56" s="83" t="s">
        <v>150</v>
      </c>
      <c r="G56" s="180" t="s">
        <v>191</v>
      </c>
      <c r="H56" s="60" t="s">
        <v>193</v>
      </c>
      <c r="I56" s="60" t="s">
        <v>52</v>
      </c>
      <c r="J56" s="59" t="s">
        <v>53</v>
      </c>
      <c r="K56" s="60" t="s">
        <v>69</v>
      </c>
      <c r="L56" s="60" t="s">
        <v>70</v>
      </c>
      <c r="M56" s="179">
        <v>2950</v>
      </c>
      <c r="N56" s="71"/>
      <c r="O56" s="60" t="s">
        <v>56</v>
      </c>
      <c r="P56" s="60">
        <v>48</v>
      </c>
      <c r="Q56" s="60">
        <v>60</v>
      </c>
      <c r="R56" s="60">
        <v>48</v>
      </c>
      <c r="S56" s="273">
        <v>60</v>
      </c>
      <c r="T56" s="60">
        <v>49</v>
      </c>
      <c r="U56" s="60">
        <v>61</v>
      </c>
      <c r="V56" s="946">
        <f t="shared" si="21"/>
        <v>56</v>
      </c>
      <c r="W56" s="946">
        <f t="shared" si="22"/>
        <v>68</v>
      </c>
      <c r="X56" s="138">
        <v>69</v>
      </c>
      <c r="Y56" s="60">
        <v>56</v>
      </c>
      <c r="Z56" s="60">
        <v>68</v>
      </c>
      <c r="AA56" s="718">
        <f t="shared" si="13"/>
        <v>26.444444444444443</v>
      </c>
      <c r="AB56" s="233">
        <f>AA56*IncaC</f>
        <v>44.511288888888885</v>
      </c>
      <c r="AC56" s="225">
        <f>AA56*Canvas</f>
        <v>17.453333333333333</v>
      </c>
      <c r="AD56" s="48">
        <f>Table1[[#This Row],[Substrate SF]]*IncaC</f>
        <v>44.511288888888885</v>
      </c>
      <c r="AE56" s="69">
        <f>IF(Table1[[#This Row],[Work Center]]="SwissQ",Materials!G$37,IF(Table1[[#This Row],[Work Center]]="Inca",Materials!G$29,IF(Table1[[#This Row],[Work Center]]="Canon",Materials!G$49,Materials!G$45)))</f>
        <v>8</v>
      </c>
      <c r="AF56" s="72">
        <f>'Cali Frames'!D335</f>
        <v>258.27999999999997</v>
      </c>
      <c r="AG56" s="540"/>
      <c r="AH56" s="112">
        <f t="shared" si="12"/>
        <v>147.5</v>
      </c>
      <c r="AI56" s="112"/>
      <c r="AJ56" s="69">
        <f t="shared" si="15"/>
        <v>475.74462222222218</v>
      </c>
      <c r="AK56" s="62">
        <f t="shared" si="23"/>
        <v>0.83873063653484003</v>
      </c>
      <c r="AL56" s="225">
        <f>Table1[[#This Row],[WSP/Dealer]]/Table1[[#This Row],[OD Sq Inch]]</f>
        <v>0.98695215791234525</v>
      </c>
      <c r="AM56" s="60">
        <f>Table1[[#This Row],[OD Wdth]]*Table1[[#This Row],[OD Hgt]]</f>
        <v>2989</v>
      </c>
      <c r="AN56" s="216">
        <f>Table1[[#This Row],[Min VO]]+Table1[[#This Row],[Max VO]]</f>
        <v>108</v>
      </c>
      <c r="AO56" s="83"/>
      <c r="AP56" s="83"/>
      <c r="AQ56" s="540"/>
      <c r="AR56" s="540"/>
      <c r="AS56" s="540"/>
      <c r="AT56" s="69"/>
      <c r="AU56" s="1361" t="str">
        <f t="shared" si="5"/>
        <v>-</v>
      </c>
    </row>
    <row r="57" spans="1:47" s="228" customFormat="1" hidden="1" x14ac:dyDescent="0.2">
      <c r="A57" s="377" t="s">
        <v>187</v>
      </c>
      <c r="B57" s="60" t="s">
        <v>188</v>
      </c>
      <c r="C57" s="76" t="s">
        <v>240</v>
      </c>
      <c r="D57" s="76"/>
      <c r="E57" s="83" t="s">
        <v>238</v>
      </c>
      <c r="F57" s="83" t="s">
        <v>150</v>
      </c>
      <c r="G57" s="180" t="s">
        <v>191</v>
      </c>
      <c r="H57" s="60" t="s">
        <v>193</v>
      </c>
      <c r="I57" s="60" t="s">
        <v>52</v>
      </c>
      <c r="J57" s="59" t="s">
        <v>53</v>
      </c>
      <c r="K57" s="60" t="s">
        <v>69</v>
      </c>
      <c r="L57" s="60" t="s">
        <v>73</v>
      </c>
      <c r="M57" s="179">
        <v>2950</v>
      </c>
      <c r="N57" s="71"/>
      <c r="O57" s="60" t="s">
        <v>56</v>
      </c>
      <c r="P57" s="60">
        <v>48</v>
      </c>
      <c r="Q57" s="60">
        <v>60</v>
      </c>
      <c r="R57" s="60">
        <v>48</v>
      </c>
      <c r="S57" s="273">
        <v>60</v>
      </c>
      <c r="T57" s="60">
        <v>49</v>
      </c>
      <c r="U57" s="60">
        <v>61</v>
      </c>
      <c r="V57" s="946">
        <f t="shared" si="21"/>
        <v>56</v>
      </c>
      <c r="W57" s="946">
        <f t="shared" si="22"/>
        <v>68</v>
      </c>
      <c r="X57" s="138">
        <v>69</v>
      </c>
      <c r="Y57" s="60">
        <v>56</v>
      </c>
      <c r="Z57" s="60">
        <v>68</v>
      </c>
      <c r="AA57" s="718">
        <f t="shared" si="13"/>
        <v>26.444444444444443</v>
      </c>
      <c r="AB57" s="233">
        <f>AA57*IncaC</f>
        <v>44.511288888888885</v>
      </c>
      <c r="AC57" s="225">
        <f>AA57*Canvas</f>
        <v>17.453333333333333</v>
      </c>
      <c r="AD57" s="69">
        <f>Table1[[#This Row],[Substrate SF]]*IncaC</f>
        <v>44.511288888888885</v>
      </c>
      <c r="AE57" s="69">
        <f>IF(Table1[[#This Row],[Work Center]]="SwissQ",Materials!G$37,IF(Table1[[#This Row],[Work Center]]="Inca",Materials!G$29,IF(Table1[[#This Row],[Work Center]]="Canon",Materials!G$49,Materials!G$45)))</f>
        <v>8</v>
      </c>
      <c r="AF57" s="72">
        <f>'Cali Frames'!D470</f>
        <v>263.70999999999998</v>
      </c>
      <c r="AG57" s="540"/>
      <c r="AH57" s="498">
        <f t="shared" si="12"/>
        <v>147.5</v>
      </c>
      <c r="AI57" s="498"/>
      <c r="AJ57" s="69">
        <f t="shared" si="15"/>
        <v>481.17462222222218</v>
      </c>
      <c r="AK57" s="650">
        <f t="shared" si="23"/>
        <v>0.83688995856873816</v>
      </c>
      <c r="AL57" s="225">
        <f>Table1[[#This Row],[WSP/Dealer]]/Table1[[#This Row],[OD Sq Inch]]</f>
        <v>0.98695215791234525</v>
      </c>
      <c r="AM57" s="60">
        <f>Table1[[#This Row],[OD Wdth]]*Table1[[#This Row],[OD Hgt]]</f>
        <v>2989</v>
      </c>
      <c r="AN57" s="216">
        <f>Table1[[#This Row],[Min VO]]+Table1[[#This Row],[Max VO]]</f>
        <v>108</v>
      </c>
      <c r="AO57" s="83"/>
      <c r="AP57" s="83"/>
      <c r="AQ57" s="540"/>
      <c r="AR57" s="540"/>
      <c r="AS57" s="540"/>
      <c r="AT57" s="69"/>
      <c r="AU57" s="1361" t="str">
        <f t="shared" si="5"/>
        <v>-</v>
      </c>
    </row>
    <row r="58" spans="1:47" s="231" customFormat="1" hidden="1" x14ac:dyDescent="0.2">
      <c r="A58" s="377" t="s">
        <v>187</v>
      </c>
      <c r="B58" s="60" t="s">
        <v>188</v>
      </c>
      <c r="C58" s="76" t="s">
        <v>241</v>
      </c>
      <c r="D58" s="76"/>
      <c r="E58" s="83" t="s">
        <v>242</v>
      </c>
      <c r="F58" s="83" t="s">
        <v>150</v>
      </c>
      <c r="G58" s="180" t="s">
        <v>191</v>
      </c>
      <c r="H58" s="60" t="s">
        <v>191</v>
      </c>
      <c r="I58" s="60" t="s">
        <v>108</v>
      </c>
      <c r="J58" s="59" t="s">
        <v>197</v>
      </c>
      <c r="K58" s="60" t="s">
        <v>198</v>
      </c>
      <c r="L58" s="60" t="s">
        <v>199</v>
      </c>
      <c r="M58" s="179">
        <v>120</v>
      </c>
      <c r="N58" s="71"/>
      <c r="O58" s="60" t="s">
        <v>56</v>
      </c>
      <c r="P58" s="60">
        <v>48</v>
      </c>
      <c r="Q58" s="60">
        <v>60</v>
      </c>
      <c r="R58" s="60">
        <v>48</v>
      </c>
      <c r="S58" s="273">
        <v>60</v>
      </c>
      <c r="T58" s="60">
        <v>48</v>
      </c>
      <c r="U58" s="60">
        <v>60</v>
      </c>
      <c r="V58" s="47">
        <f t="shared" si="21"/>
        <v>48</v>
      </c>
      <c r="W58" s="47">
        <f t="shared" si="22"/>
        <v>60</v>
      </c>
      <c r="X58" s="138" t="s">
        <v>197</v>
      </c>
      <c r="Y58" s="60">
        <v>48</v>
      </c>
      <c r="Z58" s="60">
        <v>60</v>
      </c>
      <c r="AA58" s="717">
        <f t="shared" si="13"/>
        <v>20</v>
      </c>
      <c r="AB58" s="297">
        <f>AA58*IncaGR</f>
        <v>20.399999999999999</v>
      </c>
      <c r="AC58" s="69">
        <f>Table1[[#This Row],[Substrate SF]]*POster</f>
        <v>14.879999999999999</v>
      </c>
      <c r="AD58" s="208">
        <f>Table1[[#This Row],[Ink g/mL]]*IncaCR</f>
        <v>1.6319999999999999</v>
      </c>
      <c r="AE5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58" s="72">
        <v>0</v>
      </c>
      <c r="AG58" s="296">
        <f>Materials!D$76</f>
        <v>10.82</v>
      </c>
      <c r="AH58" s="498">
        <f t="shared" si="12"/>
        <v>6</v>
      </c>
      <c r="AI58" s="498"/>
      <c r="AJ58" s="69">
        <f t="shared" si="15"/>
        <v>43.332000000000001</v>
      </c>
      <c r="AK58" s="650">
        <f t="shared" si="23"/>
        <v>0.63890000000000002</v>
      </c>
      <c r="AL58" s="225">
        <f>Table1[[#This Row],[WSP/Dealer]]/Table1[[#This Row],[OD Sq Inch]]</f>
        <v>4.1666666666666664E-2</v>
      </c>
      <c r="AM58" s="218">
        <f>Table1[[#This Row],[OD Wdth]]*Table1[[#This Row],[OD Hgt]]</f>
        <v>2880</v>
      </c>
      <c r="AN58" s="216">
        <f>Table1[[#This Row],[Min VO]]+Table1[[#This Row],[Max VO]]</f>
        <v>108</v>
      </c>
      <c r="AO58" s="83"/>
      <c r="AP58" s="83"/>
      <c r="AQ58" s="540"/>
      <c r="AR58" s="540"/>
      <c r="AS58" s="540"/>
      <c r="AT58" s="69"/>
      <c r="AU58" s="1361" t="str">
        <f t="shared" si="5"/>
        <v>-</v>
      </c>
    </row>
    <row r="59" spans="1:47" s="558" customFormat="1" x14ac:dyDescent="0.2">
      <c r="A59" s="101" t="s">
        <v>58</v>
      </c>
      <c r="B59" s="101" t="s">
        <v>88</v>
      </c>
      <c r="C59" s="76" t="s">
        <v>243</v>
      </c>
      <c r="D59" s="76" t="s">
        <v>244</v>
      </c>
      <c r="E59" s="76" t="s">
        <v>245</v>
      </c>
      <c r="F59" s="115" t="s">
        <v>150</v>
      </c>
      <c r="G59" s="101" t="s">
        <v>246</v>
      </c>
      <c r="H59" s="101" t="s">
        <v>246</v>
      </c>
      <c r="I59" s="101" t="s">
        <v>52</v>
      </c>
      <c r="J59" s="60" t="s">
        <v>53</v>
      </c>
      <c r="K59" s="101" t="s">
        <v>54</v>
      </c>
      <c r="L59" s="101" t="s">
        <v>55</v>
      </c>
      <c r="M59" s="71">
        <v>704</v>
      </c>
      <c r="N59" s="639">
        <v>825</v>
      </c>
      <c r="O59" s="811" t="s">
        <v>56</v>
      </c>
      <c r="P59" s="101">
        <v>39</v>
      </c>
      <c r="Q59" s="101">
        <v>55</v>
      </c>
      <c r="R59" s="60">
        <v>39</v>
      </c>
      <c r="S59" s="273">
        <v>55</v>
      </c>
      <c r="T59" s="273">
        <f>Table1[[#This Row],[VO Wdth]]</f>
        <v>39</v>
      </c>
      <c r="U59" s="273">
        <f>Table1[[#This Row],[VO Hgt]]</f>
        <v>55</v>
      </c>
      <c r="V59" s="106">
        <f>IF(J59="Canvas",P59+BorderGW,P59)</f>
        <v>47</v>
      </c>
      <c r="W59" s="106">
        <f>IF(J59="Canvas",Q59+BorderGW,Q59)</f>
        <v>63</v>
      </c>
      <c r="X59" s="311">
        <v>63</v>
      </c>
      <c r="Y59" s="551"/>
      <c r="Z59" s="551"/>
      <c r="AA59" s="649">
        <f t="shared" si="13"/>
        <v>20.5625</v>
      </c>
      <c r="AB59" s="297">
        <f>AA59*IncaC</f>
        <v>34.610799999999998</v>
      </c>
      <c r="AC59" s="104">
        <f>AA59*Canvas</f>
        <v>13.571250000000001</v>
      </c>
      <c r="AD59" s="67">
        <f>Table1[[#This Row],[Substrate SF]]*Materials!D$29</f>
        <v>34.610799999999998</v>
      </c>
      <c r="AE59" s="104">
        <f>IF(Table1[[#This Row],[Work Center]]="SwissQ",Materials!G$37,IF(Table1[[#This Row],[Work Center]]="Inca",Materials!G$29,IF(Table1[[#This Row],[Work Center]]="Canon",Materials!G$49,Materials!G$45)))</f>
        <v>8</v>
      </c>
      <c r="AF59" s="74">
        <f>'Cali FPS'!C$82</f>
        <v>108.3425</v>
      </c>
      <c r="AG59" s="115"/>
      <c r="AH59" s="112">
        <f t="shared" si="12"/>
        <v>35.200000000000003</v>
      </c>
      <c r="AI59" s="112"/>
      <c r="AJ59" s="104">
        <f t="shared" si="15"/>
        <v>199.72455000000002</v>
      </c>
      <c r="AK59" s="62">
        <f t="shared" si="23"/>
        <v>0.71630035511363632</v>
      </c>
      <c r="AL59" s="225">
        <f>Table1[[#This Row],[WSP/Dealer]]/Table1[[#This Row],[OD Sq Inch]]</f>
        <v>0.3282051282051282</v>
      </c>
      <c r="AM59" s="103">
        <f>Table1[[#This Row],[OD Wdth]]*Table1[[#This Row],[OD Hgt]]</f>
        <v>2145</v>
      </c>
      <c r="AN59" s="216">
        <f>Table1[[#This Row],[Min VO]]+Table1[[#This Row],[Max VO]]</f>
        <v>94</v>
      </c>
      <c r="AO59" s="101"/>
      <c r="AP59" s="101"/>
      <c r="AQ59" s="104"/>
      <c r="AR59" s="104"/>
      <c r="AS59" s="104"/>
      <c r="AT59" s="104"/>
      <c r="AU59" s="830" t="str">
        <f t="shared" si="5"/>
        <v>-</v>
      </c>
    </row>
    <row r="60" spans="1:47" s="558" customFormat="1" x14ac:dyDescent="0.2">
      <c r="A60" s="101" t="s">
        <v>58</v>
      </c>
      <c r="B60" s="101" t="s">
        <v>88</v>
      </c>
      <c r="C60" s="76" t="s">
        <v>247</v>
      </c>
      <c r="D60" s="76" t="s">
        <v>248</v>
      </c>
      <c r="E60" s="76" t="s">
        <v>245</v>
      </c>
      <c r="F60" s="115" t="s">
        <v>150</v>
      </c>
      <c r="G60" s="101" t="s">
        <v>246</v>
      </c>
      <c r="H60" s="101" t="s">
        <v>249</v>
      </c>
      <c r="I60" s="101" t="s">
        <v>52</v>
      </c>
      <c r="J60" s="60" t="s">
        <v>53</v>
      </c>
      <c r="K60" s="101" t="s">
        <v>82</v>
      </c>
      <c r="L60" s="101" t="s">
        <v>83</v>
      </c>
      <c r="M60" s="71">
        <v>704</v>
      </c>
      <c r="N60" s="639">
        <v>950</v>
      </c>
      <c r="O60" s="811" t="s">
        <v>56</v>
      </c>
      <c r="P60" s="101">
        <v>39</v>
      </c>
      <c r="Q60" s="101">
        <v>55</v>
      </c>
      <c r="R60" s="60">
        <v>39</v>
      </c>
      <c r="S60" s="273">
        <v>55</v>
      </c>
      <c r="T60" s="101">
        <v>41</v>
      </c>
      <c r="U60" s="101" t="str">
        <f>RIGHT(H60,2)</f>
        <v>57</v>
      </c>
      <c r="V60" s="106">
        <f>IF(J60="Canvas",P60+Border,P60)</f>
        <v>47</v>
      </c>
      <c r="W60" s="106">
        <f>IF(J60="Canvas",Q60+Border,Q60)</f>
        <v>63</v>
      </c>
      <c r="X60" s="311">
        <v>63</v>
      </c>
      <c r="Y60" s="551"/>
      <c r="Z60" s="551"/>
      <c r="AA60" s="649">
        <f t="shared" si="13"/>
        <v>20.5625</v>
      </c>
      <c r="AB60" s="297">
        <f>AA60*IncaC</f>
        <v>34.610799999999998</v>
      </c>
      <c r="AC60" s="104">
        <f>AA60*Canvas</f>
        <v>13.571250000000001</v>
      </c>
      <c r="AD60" s="67">
        <f>Table1[[#This Row],[Substrate SF]]*Materials!D$29</f>
        <v>34.610799999999998</v>
      </c>
      <c r="AE60" s="104">
        <f>IF(Table1[[#This Row],[Work Center]]="SwissQ",Materials!G$37,IF(Table1[[#This Row],[Work Center]]="Inca",Materials!G$29,IF(Table1[[#This Row],[Work Center]]="Canon",Materials!G$49,Materials!G$45)))</f>
        <v>8</v>
      </c>
      <c r="AF60" s="102">
        <f>'Cali Frames'!D139</f>
        <v>154.94500000000002</v>
      </c>
      <c r="AG60" s="104"/>
      <c r="AH60" s="112">
        <f t="shared" si="12"/>
        <v>35.200000000000003</v>
      </c>
      <c r="AI60" s="112"/>
      <c r="AJ60" s="104">
        <f t="shared" si="15"/>
        <v>246.32705000000004</v>
      </c>
      <c r="AK60" s="62">
        <f t="shared" si="23"/>
        <v>0.6501036221590909</v>
      </c>
      <c r="AL60" s="225">
        <f>Table1[[#This Row],[WSP/Dealer]]/Table1[[#This Row],[OD Sq Inch]]</f>
        <v>0.30124090714591356</v>
      </c>
      <c r="AM60" s="103">
        <f>Table1[[#This Row],[OD Wdth]]*Table1[[#This Row],[OD Hgt]]</f>
        <v>2337</v>
      </c>
      <c r="AN60" s="216">
        <f>Table1[[#This Row],[Min VO]]+Table1[[#This Row],[Max VO]]</f>
        <v>94</v>
      </c>
      <c r="AO60" s="101"/>
      <c r="AP60" s="101"/>
      <c r="AQ60" s="104"/>
      <c r="AR60" s="104"/>
      <c r="AS60" s="104"/>
      <c r="AT60" s="104"/>
      <c r="AU60" s="830" t="str">
        <f t="shared" si="5"/>
        <v>-</v>
      </c>
    </row>
    <row r="61" spans="1:47" s="1385" customFormat="1" hidden="1" x14ac:dyDescent="0.2">
      <c r="A61" s="101" t="s">
        <v>110</v>
      </c>
      <c r="B61" s="1109" t="s">
        <v>250</v>
      </c>
      <c r="C61" s="168" t="s">
        <v>251</v>
      </c>
      <c r="D61" s="168"/>
      <c r="E61" s="169" t="s">
        <v>252</v>
      </c>
      <c r="F61" s="169" t="s">
        <v>253</v>
      </c>
      <c r="G61" s="101" t="s">
        <v>254</v>
      </c>
      <c r="H61" s="101" t="s">
        <v>255</v>
      </c>
      <c r="I61" s="101" t="s">
        <v>256</v>
      </c>
      <c r="J61" s="487" t="s">
        <v>257</v>
      </c>
      <c r="K61" s="101" t="s">
        <v>258</v>
      </c>
      <c r="L61" s="101" t="s">
        <v>259</v>
      </c>
      <c r="M61" s="114">
        <v>500</v>
      </c>
      <c r="N61" s="114"/>
      <c r="O61" s="101" t="s">
        <v>260</v>
      </c>
      <c r="P61" s="101">
        <v>32</v>
      </c>
      <c r="Q61" s="101">
        <v>44</v>
      </c>
      <c r="R61" s="101">
        <v>32</v>
      </c>
      <c r="S61" s="101">
        <v>44</v>
      </c>
      <c r="T61" s="101">
        <v>34</v>
      </c>
      <c r="U61" s="101">
        <v>46</v>
      </c>
      <c r="V61" s="106">
        <f>IF(J61="Canvas",P61+Border,P61)</f>
        <v>32</v>
      </c>
      <c r="W61" s="106">
        <f>IF(J61="Canvas",Q61+Border,Q61)</f>
        <v>44</v>
      </c>
      <c r="X61" s="101" t="s">
        <v>257</v>
      </c>
      <c r="Y61" s="1345">
        <f>Table1[[#This Row],[Print Wth]]+Materials!$C$7</f>
        <v>34</v>
      </c>
      <c r="Z61" s="1345">
        <f>Table1[[#This Row],[Print Ht]]+Materials!$C$7</f>
        <v>46</v>
      </c>
      <c r="AA61" s="1011">
        <f>(Table1[[#This Row],[Cut Width]]*Table1[[#This Row],[Cut Height]])/144</f>
        <v>10.861111111111111</v>
      </c>
      <c r="AB61" s="184">
        <f>(Table1[[#This Row],[Print Wth]]*Table1[[#This Row],[Print Ht]])/144*canonML</f>
        <v>46.933333333333337</v>
      </c>
      <c r="AC61" s="104">
        <f>Table1[[#This Row],[Substrate SF]]*Paper</f>
        <v>14.695083333333333</v>
      </c>
      <c r="AD61" s="107">
        <f>(Table1[[#This Row],[Print Wth]]*Table1[[#This Row],[Print Ht]])/144*CanonC</f>
        <v>2.6400000000000006</v>
      </c>
      <c r="AE61" s="104">
        <f>IF(Table1[[#This Row],[Work Center]]="SwissQ",Materials!G$37,IF(Table1[[#This Row],[Work Center]]="Inca",Materials!G$29,IF(Table1[[#This Row],[Work Center]]="Canon",Materials!G$49,Materials!G$45)))</f>
        <v>7</v>
      </c>
      <c r="AF61" s="102">
        <f>'Cali Frames'!D43</f>
        <v>175.96</v>
      </c>
      <c r="AG61" s="121"/>
      <c r="AH61" s="104">
        <f>(M61*0.13)</f>
        <v>65</v>
      </c>
      <c r="AI61" s="406">
        <f>IF(A61="Codarus",(M61*0.13))</f>
        <v>65</v>
      </c>
      <c r="AJ61" s="406">
        <f t="shared" si="15"/>
        <v>265.29508333333331</v>
      </c>
      <c r="AK61" s="830">
        <f t="shared" si="23"/>
        <v>0.46940983333333336</v>
      </c>
      <c r="AL61" s="660">
        <f>Table1[[#This Row],[WSP/Dealer]]/Table1[[#This Row],[OD Sq Inch]]</f>
        <v>0.31969309462915602</v>
      </c>
      <c r="AM61" s="399">
        <f>Table1[[#This Row],[OD Wdth]]*Table1[[#This Row],[OD Hgt]]</f>
        <v>1564</v>
      </c>
      <c r="AN61" s="266">
        <f>Table1[[#This Row],[Min VO]]+Table1[[#This Row],[Max VO]]</f>
        <v>76</v>
      </c>
      <c r="AO61" s="115"/>
      <c r="AP61" s="1307">
        <f>(M61*2)</f>
        <v>1000</v>
      </c>
      <c r="AQ61" s="121">
        <f>(Table1[[#This Row],[Desgnr/Retail P]]*0.05)</f>
        <v>50</v>
      </c>
      <c r="AR61" s="121">
        <f>IF(A61="Codarus",(AP61*0.13))</f>
        <v>130</v>
      </c>
      <c r="AS61" s="121">
        <f>SUM(Table1[[#This Row],[Substrate $]:[GP FINISH]])+Table1[[#This Row],[Retail Royalty]]+Table1[[#This Row],[Retail$Comm]]</f>
        <v>380.29508333333331</v>
      </c>
      <c r="AT61" s="830">
        <f>IF(AP61=0,"-",(AP61-AS61)/AP61)</f>
        <v>0.61970491666666672</v>
      </c>
      <c r="AU61" s="1359">
        <f t="shared" si="5"/>
        <v>0.98760590166666662</v>
      </c>
    </row>
    <row r="62" spans="1:47" s="558" customFormat="1" hidden="1" x14ac:dyDescent="0.2">
      <c r="A62" s="458" t="s">
        <v>187</v>
      </c>
      <c r="B62" s="1108" t="s">
        <v>261</v>
      </c>
      <c r="C62" s="79" t="s">
        <v>262</v>
      </c>
      <c r="D62" s="79"/>
      <c r="E62" s="99" t="s">
        <v>263</v>
      </c>
      <c r="F62" s="99" t="s">
        <v>253</v>
      </c>
      <c r="G62" s="60" t="s">
        <v>132</v>
      </c>
      <c r="H62" s="60" t="s">
        <v>264</v>
      </c>
      <c r="I62" s="60" t="s">
        <v>108</v>
      </c>
      <c r="J62" s="59" t="s">
        <v>197</v>
      </c>
      <c r="K62" s="60" t="s">
        <v>265</v>
      </c>
      <c r="L62" s="60" t="s">
        <v>259</v>
      </c>
      <c r="M62" s="72">
        <v>450</v>
      </c>
      <c r="N62" s="71"/>
      <c r="O62" s="60" t="s">
        <v>109</v>
      </c>
      <c r="P62" s="60">
        <v>36</v>
      </c>
      <c r="Q62" s="60">
        <v>48</v>
      </c>
      <c r="R62" s="60">
        <v>36</v>
      </c>
      <c r="S62" s="60">
        <v>48</v>
      </c>
      <c r="T62" s="60">
        <v>38</v>
      </c>
      <c r="U62" s="60">
        <v>50</v>
      </c>
      <c r="V62" s="946">
        <f>Table1[[#This Row],[VO Wdth]]+Materials!$C$50</f>
        <v>38</v>
      </c>
      <c r="W62" s="946">
        <f>Table1[[#This Row],[VO Hgt]]+Materials!$C$50</f>
        <v>50</v>
      </c>
      <c r="X62" s="138" t="s">
        <v>197</v>
      </c>
      <c r="Y62" s="60"/>
      <c r="Z62" s="60"/>
      <c r="AA62" s="717">
        <f t="shared" ref="AA62:AA69" si="24">V62*W62/144</f>
        <v>13.194444444444445</v>
      </c>
      <c r="AB62" s="233">
        <f>AA62*EPSONM</f>
        <v>59.375</v>
      </c>
      <c r="AC62" s="69">
        <f>Table1[[#This Row],[Substrate SF]]*POster</f>
        <v>9.8166666666666664</v>
      </c>
      <c r="AD62" s="48">
        <f>Table1[[#This Row],[Ink g/mL]]*EPSONC</f>
        <v>13.0625</v>
      </c>
      <c r="AE62" s="69">
        <f>IF(Table1[[#This Row],[Work Center]]="SwissQ",Materials!G$37,IF(Table1[[#This Row],[Work Center]]="Inca",Materials!G$29,IF(Table1[[#This Row],[Work Center]]="Canon",Materials!G$49,Materials!G$45)))</f>
        <v>5</v>
      </c>
      <c r="AF62" s="72">
        <f>'Cali Frames'!D$46</f>
        <v>176.45249999999999</v>
      </c>
      <c r="AG62" s="540"/>
      <c r="AH62" s="498">
        <f>(M62*0.13)</f>
        <v>58.5</v>
      </c>
      <c r="AI62" s="498"/>
      <c r="AJ62" s="176">
        <f t="shared" si="15"/>
        <v>262.83166666666665</v>
      </c>
      <c r="AK62" s="650">
        <f t="shared" si="23"/>
        <v>0.41592962962962965</v>
      </c>
      <c r="AL62" s="225">
        <f>Table1[[#This Row],[WSP/Dealer]]/Table1[[#This Row],[OD Sq Inch]]</f>
        <v>0.23684210526315788</v>
      </c>
      <c r="AM62" s="173">
        <f>Table1[[#This Row],[OD Wdth]]*Table1[[#This Row],[OD Hgt]]</f>
        <v>1900</v>
      </c>
      <c r="AN62" s="216">
        <f>Table1[[#This Row],[Min VO]]+Table1[[#This Row],[Max VO]]</f>
        <v>84</v>
      </c>
      <c r="AO62" s="83"/>
      <c r="AP62" s="83"/>
      <c r="AQ62" s="540"/>
      <c r="AR62" s="540"/>
      <c r="AS62" s="540"/>
      <c r="AT62" s="69"/>
      <c r="AU62" s="1361" t="str">
        <f t="shared" si="5"/>
        <v>-</v>
      </c>
    </row>
    <row r="63" spans="1:47" s="63" customFormat="1" hidden="1" x14ac:dyDescent="0.2">
      <c r="A63" s="458" t="s">
        <v>187</v>
      </c>
      <c r="B63" s="1108" t="s">
        <v>261</v>
      </c>
      <c r="C63" s="79" t="s">
        <v>266</v>
      </c>
      <c r="D63" s="79"/>
      <c r="E63" s="99" t="s">
        <v>267</v>
      </c>
      <c r="F63" s="99" t="s">
        <v>253</v>
      </c>
      <c r="G63" s="60" t="s">
        <v>132</v>
      </c>
      <c r="H63" s="60" t="s">
        <v>264</v>
      </c>
      <c r="I63" s="60" t="s">
        <v>108</v>
      </c>
      <c r="J63" s="59" t="s">
        <v>197</v>
      </c>
      <c r="K63" s="60" t="s">
        <v>268</v>
      </c>
      <c r="L63" s="60" t="s">
        <v>269</v>
      </c>
      <c r="M63" s="72">
        <v>450</v>
      </c>
      <c r="N63" s="71"/>
      <c r="O63" s="60" t="s">
        <v>109</v>
      </c>
      <c r="P63" s="60">
        <v>36</v>
      </c>
      <c r="Q63" s="60">
        <v>48</v>
      </c>
      <c r="R63" s="60">
        <v>36</v>
      </c>
      <c r="S63" s="60">
        <v>48</v>
      </c>
      <c r="T63" s="60">
        <v>38</v>
      </c>
      <c r="U63" s="60">
        <v>50</v>
      </c>
      <c r="V63" s="946">
        <f>Table1[[#This Row],[VO Wdth]]+Materials!$C$50</f>
        <v>38</v>
      </c>
      <c r="W63" s="946">
        <f>Table1[[#This Row],[VO Hgt]]+Materials!$C$50</f>
        <v>50</v>
      </c>
      <c r="X63" s="138" t="s">
        <v>197</v>
      </c>
      <c r="Y63" s="60"/>
      <c r="Z63" s="60"/>
      <c r="AA63" s="717">
        <f t="shared" si="24"/>
        <v>13.194444444444445</v>
      </c>
      <c r="AB63" s="233">
        <f>AA63*EPSONM</f>
        <v>59.375</v>
      </c>
      <c r="AC63" s="69">
        <f>Table1[[#This Row],[Substrate SF]]*POster</f>
        <v>9.8166666666666664</v>
      </c>
      <c r="AD63" s="48">
        <f>Table1[[#This Row],[Ink g/mL]]*EPSONC</f>
        <v>13.0625</v>
      </c>
      <c r="AE63" s="69">
        <f>IF(Table1[[#This Row],[Work Center]]="SwissQ",Materials!G$37,IF(Table1[[#This Row],[Work Center]]="Inca",Materials!G$29,IF(Table1[[#This Row],[Work Center]]="Canon",Materials!G$49,Materials!G$45)))</f>
        <v>5</v>
      </c>
      <c r="AF63" s="72">
        <f>'Cali Frames'!D$46</f>
        <v>176.45249999999999</v>
      </c>
      <c r="AG63" s="540"/>
      <c r="AH63" s="498">
        <f>(M63*0.13)</f>
        <v>58.5</v>
      </c>
      <c r="AI63" s="498"/>
      <c r="AJ63" s="176">
        <f t="shared" si="15"/>
        <v>262.83166666666665</v>
      </c>
      <c r="AK63" s="650">
        <f t="shared" si="23"/>
        <v>0.41592962962962965</v>
      </c>
      <c r="AL63" s="225">
        <f>Table1[[#This Row],[WSP/Dealer]]/Table1[[#This Row],[OD Sq Inch]]</f>
        <v>0.23684210526315788</v>
      </c>
      <c r="AM63" s="173">
        <f>Table1[[#This Row],[OD Wdth]]*Table1[[#This Row],[OD Hgt]]</f>
        <v>1900</v>
      </c>
      <c r="AN63" s="216">
        <f>Table1[[#This Row],[Min VO]]+Table1[[#This Row],[Max VO]]</f>
        <v>84</v>
      </c>
      <c r="AO63" s="83"/>
      <c r="AP63" s="83"/>
      <c r="AQ63" s="540"/>
      <c r="AR63" s="540"/>
      <c r="AS63" s="540"/>
      <c r="AT63" s="69"/>
      <c r="AU63" s="1361" t="str">
        <f t="shared" si="5"/>
        <v>-</v>
      </c>
    </row>
    <row r="64" spans="1:47" s="367" customFormat="1" hidden="1" x14ac:dyDescent="0.2">
      <c r="A64" s="373" t="s">
        <v>187</v>
      </c>
      <c r="B64" s="1473" t="s">
        <v>261</v>
      </c>
      <c r="C64" s="94" t="s">
        <v>270</v>
      </c>
      <c r="D64" s="94"/>
      <c r="E64" s="172" t="s">
        <v>271</v>
      </c>
      <c r="F64" s="172" t="s">
        <v>253</v>
      </c>
      <c r="G64" s="68" t="s">
        <v>132</v>
      </c>
      <c r="H64" s="68" t="s">
        <v>132</v>
      </c>
      <c r="I64" s="68" t="s">
        <v>108</v>
      </c>
      <c r="J64" s="140" t="s">
        <v>197</v>
      </c>
      <c r="K64" s="68" t="s">
        <v>198</v>
      </c>
      <c r="L64" s="68" t="s">
        <v>199</v>
      </c>
      <c r="M64" s="71">
        <v>175</v>
      </c>
      <c r="N64" s="71"/>
      <c r="O64" s="68" t="s">
        <v>109</v>
      </c>
      <c r="P64" s="68">
        <v>36</v>
      </c>
      <c r="Q64" s="68">
        <v>48</v>
      </c>
      <c r="R64" s="68">
        <v>36</v>
      </c>
      <c r="S64" s="68">
        <v>48</v>
      </c>
      <c r="T64" s="68">
        <v>36</v>
      </c>
      <c r="U64" s="68">
        <v>48</v>
      </c>
      <c r="V64" s="66">
        <f>Table1[[#This Row],[VO Wdth]]+Materials!$C$50</f>
        <v>38</v>
      </c>
      <c r="W64" s="66">
        <f>Table1[[#This Row],[VO Hgt]]+Materials!$C$50</f>
        <v>50</v>
      </c>
      <c r="X64" s="189" t="s">
        <v>197</v>
      </c>
      <c r="Y64" s="68"/>
      <c r="Z64" s="68"/>
      <c r="AA64" s="699">
        <f t="shared" si="24"/>
        <v>13.194444444444445</v>
      </c>
      <c r="AB64" s="372">
        <f>AA64*EPSONM</f>
        <v>59.375</v>
      </c>
      <c r="AC64" s="74">
        <f>Table1[[#This Row],[Substrate SF]]*POster</f>
        <v>9.8166666666666664</v>
      </c>
      <c r="AD64" s="48">
        <f>Table1[[#This Row],[Ink g/mL]]*EPSONC</f>
        <v>13.0625</v>
      </c>
      <c r="AE64" s="104">
        <f>IF(Table1[[#This Row],[Work Center]]="SwissQ",Materials!G$37,IF(Table1[[#This Row],[Work Center]]="Inca",Materials!G$29,IF(Table1[[#This Row],[Work Center]]="Canon",Materials!G$49,Materials!G$45)))</f>
        <v>5</v>
      </c>
      <c r="AF64" s="73">
        <v>0</v>
      </c>
      <c r="AG64" s="126">
        <f>Materials!D$76</f>
        <v>10.82</v>
      </c>
      <c r="AH64" s="498">
        <f>(M64*0.13)</f>
        <v>22.75</v>
      </c>
      <c r="AI64" s="498"/>
      <c r="AJ64" s="278">
        <f t="shared" si="15"/>
        <v>61.44916666666667</v>
      </c>
      <c r="AK64" s="62">
        <f t="shared" si="23"/>
        <v>0.64886190476190475</v>
      </c>
      <c r="AL64" s="225">
        <f>Table1[[#This Row],[WSP/Dealer]]/Table1[[#This Row],[OD Sq Inch]]</f>
        <v>0.10127314814814815</v>
      </c>
      <c r="AM64" s="170">
        <f>Table1[[#This Row],[OD Wdth]]*Table1[[#This Row],[OD Hgt]]</f>
        <v>1728</v>
      </c>
      <c r="AN64" s="216">
        <f>Table1[[#This Row],[Min VO]]+Table1[[#This Row],[Max VO]]</f>
        <v>84</v>
      </c>
      <c r="AO64" s="84"/>
      <c r="AP64" s="84"/>
      <c r="AQ64" s="126"/>
      <c r="AR64" s="126"/>
      <c r="AS64" s="126"/>
      <c r="AT64" s="74"/>
      <c r="AU64" s="1357" t="str">
        <f t="shared" si="5"/>
        <v>-</v>
      </c>
    </row>
    <row r="65" spans="1:47" s="46" customFormat="1" hidden="1" x14ac:dyDescent="0.2">
      <c r="A65" s="216" t="s">
        <v>272</v>
      </c>
      <c r="B65" s="216" t="s">
        <v>273</v>
      </c>
      <c r="C65" s="232" t="s">
        <v>274</v>
      </c>
      <c r="D65" s="386"/>
      <c r="E65" s="217" t="s">
        <v>275</v>
      </c>
      <c r="F65" s="217" t="s">
        <v>138</v>
      </c>
      <c r="G65" s="216" t="s">
        <v>276</v>
      </c>
      <c r="H65" s="216" t="s">
        <v>276</v>
      </c>
      <c r="I65" s="216" t="s">
        <v>108</v>
      </c>
      <c r="J65" s="216" t="s">
        <v>53</v>
      </c>
      <c r="K65" s="216" t="s">
        <v>54</v>
      </c>
      <c r="L65" s="216" t="s">
        <v>55</v>
      </c>
      <c r="M65" s="219">
        <v>100</v>
      </c>
      <c r="N65" s="219"/>
      <c r="O65" s="216" t="s">
        <v>109</v>
      </c>
      <c r="P65" s="216">
        <v>16</v>
      </c>
      <c r="Q65" s="216">
        <v>16</v>
      </c>
      <c r="R65" s="216">
        <v>16</v>
      </c>
      <c r="S65" s="626">
        <v>16</v>
      </c>
      <c r="T65" s="216">
        <f>P65</f>
        <v>16</v>
      </c>
      <c r="U65" s="626" t="str">
        <f>RIGHT(Table1[[#This Row],[OD]],2)</f>
        <v>16</v>
      </c>
      <c r="V65" s="222">
        <f>IF(J65="Canvas",P65+BorderGW,P65)</f>
        <v>24</v>
      </c>
      <c r="W65" s="222">
        <f>IF(J65="Canvas",Q65+BorderGW,Q65)</f>
        <v>24</v>
      </c>
      <c r="X65" s="223">
        <v>40</v>
      </c>
      <c r="Y65" s="216"/>
      <c r="Z65" s="216"/>
      <c r="AA65" s="718">
        <f t="shared" si="24"/>
        <v>4</v>
      </c>
      <c r="AB65" s="233">
        <f>AA65*EPSONM</f>
        <v>18</v>
      </c>
      <c r="AC65" s="225">
        <f>AA65*Canvas</f>
        <v>2.64</v>
      </c>
      <c r="AD65" s="48">
        <f>Table1[[#This Row],[Ink g/mL]]*EPSONC</f>
        <v>3.96</v>
      </c>
      <c r="AE65" s="104">
        <f>IF(Table1[[#This Row],[Work Center]]="SwissQ",Materials!G$37,IF(Table1[[#This Row],[Work Center]]="Inca",Materials!G$29,IF(Table1[[#This Row],[Work Center]]="Canon",Materials!G$49,Materials!G$45)))</f>
        <v>5</v>
      </c>
      <c r="AF65" s="226">
        <f>'CALI_SONDER '!H$3</f>
        <v>43.8</v>
      </c>
      <c r="AG65" s="225"/>
      <c r="AH65" s="498">
        <f t="shared" ref="AH65:AH96" si="25">(M65*0.05)</f>
        <v>5</v>
      </c>
      <c r="AI65" s="498"/>
      <c r="AJ65" s="225">
        <f t="shared" si="15"/>
        <v>60.4</v>
      </c>
      <c r="AK65" s="650">
        <f t="shared" si="23"/>
        <v>0.39600000000000002</v>
      </c>
      <c r="AL65" s="225">
        <f>Table1[[#This Row],[WSP/Dealer]]/Table1[[#This Row],[OD Sq Inch]]</f>
        <v>0.390625</v>
      </c>
      <c r="AM65" s="218">
        <f>Table1[[#This Row],[OD Wdth]]*Table1[[#This Row],[OD Hgt]]</f>
        <v>256</v>
      </c>
      <c r="AN65" s="216">
        <f>Table1[[#This Row],[Min VO]]+Table1[[#This Row],[Max VO]]</f>
        <v>32</v>
      </c>
      <c r="AO65" s="216" t="s">
        <v>277</v>
      </c>
      <c r="AP65" s="226"/>
      <c r="AQ65" s="226"/>
      <c r="AR65" s="226"/>
      <c r="AS65" s="226"/>
      <c r="AT65" s="226"/>
      <c r="AU65" s="1363" t="str">
        <f t="shared" si="5"/>
        <v>-</v>
      </c>
    </row>
    <row r="66" spans="1:47" s="46" customFormat="1" hidden="1" x14ac:dyDescent="0.2">
      <c r="A66" s="551" t="s">
        <v>140</v>
      </c>
      <c r="B66" s="1107" t="s">
        <v>141</v>
      </c>
      <c r="C66" s="805" t="s">
        <v>278</v>
      </c>
      <c r="D66" s="805"/>
      <c r="E66" s="653" t="s">
        <v>279</v>
      </c>
      <c r="F66" s="653" t="s">
        <v>138</v>
      </c>
      <c r="G66" s="551" t="s">
        <v>139</v>
      </c>
      <c r="H66" s="551" t="s">
        <v>139</v>
      </c>
      <c r="I66" s="551" t="s">
        <v>52</v>
      </c>
      <c r="J66" s="856" t="s">
        <v>280</v>
      </c>
      <c r="K66" s="551" t="s">
        <v>281</v>
      </c>
      <c r="L66" s="551" t="s">
        <v>282</v>
      </c>
      <c r="M66" s="857">
        <v>350</v>
      </c>
      <c r="N66" s="858">
        <f>Table1[[#This Row],[WSP/Dealer]]/0.35</f>
        <v>1000.0000000000001</v>
      </c>
      <c r="O66" s="551" t="s">
        <v>56</v>
      </c>
      <c r="P66" s="551">
        <v>24</v>
      </c>
      <c r="Q66" s="551">
        <v>24</v>
      </c>
      <c r="R66" s="551">
        <v>24</v>
      </c>
      <c r="S66" s="984">
        <v>24</v>
      </c>
      <c r="T66" s="551">
        <v>24</v>
      </c>
      <c r="U66" s="984">
        <v>24</v>
      </c>
      <c r="V66" s="859">
        <v>24</v>
      </c>
      <c r="W66" s="859">
        <v>24</v>
      </c>
      <c r="X66" s="311" t="s">
        <v>283</v>
      </c>
      <c r="Y66" s="551">
        <v>24</v>
      </c>
      <c r="Z66" s="551">
        <v>24</v>
      </c>
      <c r="AA66" s="860">
        <f t="shared" si="24"/>
        <v>4</v>
      </c>
      <c r="AB66" s="861">
        <f>AA66*IncaG</f>
        <v>84.16</v>
      </c>
      <c r="AC66" s="863">
        <f>AA66*MDF</f>
        <v>3.9568750000000006</v>
      </c>
      <c r="AD66" s="876">
        <f>Table1[[#This Row],[Substrate SF]]*IncaC</f>
        <v>6.7328000000000001</v>
      </c>
      <c r="AE66" s="863">
        <f>IF(Table1[[#This Row],[Work Center]]="SwissQ",Materials!G$37,IF(Table1[[#This Row],[Work Center]]="Inca",Materials!G$29,IF(Table1[[#This Row],[Work Center]]="Canon",Materials!G$49,Materials!G$45)))</f>
        <v>8</v>
      </c>
      <c r="AF66" s="71">
        <f>'Cali Frames'!D538</f>
        <v>90.37</v>
      </c>
      <c r="AG66" s="864"/>
      <c r="AH66" s="867">
        <f t="shared" si="25"/>
        <v>17.5</v>
      </c>
      <c r="AI66" s="867"/>
      <c r="AJ66" s="867">
        <f t="shared" si="15"/>
        <v>126.559675</v>
      </c>
      <c r="AK66" s="1087">
        <f t="shared" si="23"/>
        <v>0.63840092857142861</v>
      </c>
      <c r="AL66" s="867">
        <f>Table1[[#This Row],[WSP/Dealer]]/Table1[[#This Row],[OD Sq Inch]]</f>
        <v>0.60763888888888884</v>
      </c>
      <c r="AM66" s="868">
        <f>Table1[[#This Row],[OD Wdth]]*Table1[[#This Row],[OD Hgt]]</f>
        <v>576</v>
      </c>
      <c r="AN66" s="869">
        <f>Table1[[#This Row],[Min VO]]+Table1[[#This Row],[Max VO]]</f>
        <v>48</v>
      </c>
      <c r="AO66" s="653"/>
      <c r="AP66" s="870"/>
      <c r="AQ66" s="870"/>
      <c r="AR66" s="870"/>
      <c r="AS66" s="870"/>
      <c r="AT66" s="71"/>
      <c r="AU66" s="1364" t="str">
        <f t="shared" ref="AU66:AU129" si="26">IF(AQ66=0,"-",(AQ66-AT66)/AQ66)</f>
        <v>-</v>
      </c>
    </row>
    <row r="67" spans="1:47" s="46" customFormat="1" hidden="1" x14ac:dyDescent="0.2">
      <c r="A67" s="216" t="s">
        <v>272</v>
      </c>
      <c r="B67" s="216" t="s">
        <v>273</v>
      </c>
      <c r="C67" s="232" t="s">
        <v>284</v>
      </c>
      <c r="D67" s="328"/>
      <c r="E67" s="217" t="s">
        <v>285</v>
      </c>
      <c r="F67" s="217" t="s">
        <v>138</v>
      </c>
      <c r="G67" s="216" t="s">
        <v>276</v>
      </c>
      <c r="H67" s="216" t="s">
        <v>276</v>
      </c>
      <c r="I67" s="216" t="s">
        <v>52</v>
      </c>
      <c r="J67" s="216" t="s">
        <v>53</v>
      </c>
      <c r="K67" s="216" t="s">
        <v>54</v>
      </c>
      <c r="L67" s="216" t="s">
        <v>55</v>
      </c>
      <c r="M67" s="219">
        <v>150</v>
      </c>
      <c r="N67" s="219"/>
      <c r="O67" s="216" t="s">
        <v>56</v>
      </c>
      <c r="P67" s="216">
        <v>16</v>
      </c>
      <c r="Q67" s="216">
        <v>16</v>
      </c>
      <c r="R67" s="216">
        <v>16</v>
      </c>
      <c r="S67" s="626">
        <v>16</v>
      </c>
      <c r="T67" s="216">
        <f>P67</f>
        <v>16</v>
      </c>
      <c r="U67" s="626" t="str">
        <f>RIGHT(Table1[[#This Row],[OD]],2)</f>
        <v>16</v>
      </c>
      <c r="V67" s="222">
        <f>IF(J67="Canvas",P67+BorderGW,P67)</f>
        <v>24</v>
      </c>
      <c r="W67" s="222">
        <f>IF(J67="Canvas",Q67+BorderGW,Q67)</f>
        <v>24</v>
      </c>
      <c r="X67" s="223" t="s">
        <v>286</v>
      </c>
      <c r="Y67" s="216">
        <v>28</v>
      </c>
      <c r="Z67" s="216">
        <v>92</v>
      </c>
      <c r="AA67" s="718">
        <f t="shared" si="24"/>
        <v>4</v>
      </c>
      <c r="AB67" s="233">
        <f>AA67*IncaG</f>
        <v>84.16</v>
      </c>
      <c r="AC67" s="225">
        <f>AA67*Canvas</f>
        <v>2.64</v>
      </c>
      <c r="AD67" s="206">
        <f>Table1[[#This Row],[Ink g/mL]]*Materials!$C$29</f>
        <v>6.7328000000000001</v>
      </c>
      <c r="AE67" s="104">
        <f>IF(Table1[[#This Row],[Work Center]]="SwissQ",Materials!G$37,IF(Table1[[#This Row],[Work Center]]="Inca",Materials!G$29,IF(Table1[[#This Row],[Work Center]]="Canon",Materials!G$49,Materials!G$45)))</f>
        <v>8</v>
      </c>
      <c r="AF67" s="226">
        <f>'CALI_SONDER '!H$3</f>
        <v>43.8</v>
      </c>
      <c r="AG67" s="225"/>
      <c r="AH67" s="498">
        <f t="shared" si="25"/>
        <v>7.5</v>
      </c>
      <c r="AI67" s="498"/>
      <c r="AJ67" s="225">
        <f t="shared" si="15"/>
        <v>68.672799999999995</v>
      </c>
      <c r="AK67" s="650">
        <f t="shared" si="23"/>
        <v>0.5421813333333334</v>
      </c>
      <c r="AL67" s="225">
        <f>Table1[[#This Row],[WSP/Dealer]]/Table1[[#This Row],[OD Sq Inch]]</f>
        <v>0.5859375</v>
      </c>
      <c r="AM67" s="103">
        <f>Table1[[#This Row],[OD Wdth]]*Table1[[#This Row],[OD Hgt]]</f>
        <v>256</v>
      </c>
      <c r="AN67" s="216">
        <f>Table1[[#This Row],[Min VO]]+Table1[[#This Row],[Max VO]]</f>
        <v>32</v>
      </c>
      <c r="AO67" s="216" t="s">
        <v>277</v>
      </c>
      <c r="AP67" s="226"/>
      <c r="AQ67" s="226"/>
      <c r="AR67" s="226"/>
      <c r="AS67" s="226"/>
      <c r="AT67" s="226"/>
      <c r="AU67" s="1365" t="str">
        <f t="shared" si="26"/>
        <v>-</v>
      </c>
    </row>
    <row r="68" spans="1:47" s="46" customFormat="1" x14ac:dyDescent="0.2">
      <c r="A68" s="60" t="s">
        <v>58</v>
      </c>
      <c r="B68" s="1106" t="s">
        <v>111</v>
      </c>
      <c r="C68" s="76" t="s">
        <v>287</v>
      </c>
      <c r="D68" s="76"/>
      <c r="E68" s="83" t="s">
        <v>288</v>
      </c>
      <c r="F68" s="83" t="s">
        <v>289</v>
      </c>
      <c r="G68" s="60" t="s">
        <v>290</v>
      </c>
      <c r="H68" s="60" t="s">
        <v>291</v>
      </c>
      <c r="I68" s="60" t="s">
        <v>108</v>
      </c>
      <c r="J68" s="59" t="s">
        <v>53</v>
      </c>
      <c r="K68" s="60" t="s">
        <v>69</v>
      </c>
      <c r="L68" s="60" t="s">
        <v>73</v>
      </c>
      <c r="M68" s="124">
        <v>2000</v>
      </c>
      <c r="N68" s="124"/>
      <c r="O68" s="60" t="s">
        <v>64</v>
      </c>
      <c r="P68" s="60">
        <v>70</v>
      </c>
      <c r="Q68" s="60">
        <v>110</v>
      </c>
      <c r="R68" s="60">
        <v>70</v>
      </c>
      <c r="S68" s="273">
        <v>110</v>
      </c>
      <c r="T68" s="60">
        <v>71</v>
      </c>
      <c r="U68" s="60">
        <v>111</v>
      </c>
      <c r="V68" s="149">
        <f>IF(J68="Canvas",P68+Border,P68)</f>
        <v>78</v>
      </c>
      <c r="W68" s="149">
        <f>IF(J68="Canvas",Q68+Border,Q68)</f>
        <v>118</v>
      </c>
      <c r="X68" s="60">
        <v>122</v>
      </c>
      <c r="Y68" s="60">
        <v>78</v>
      </c>
      <c r="Z68" s="60">
        <v>118</v>
      </c>
      <c r="AA68" s="678">
        <f t="shared" si="24"/>
        <v>63.916666666666664</v>
      </c>
      <c r="AB68" s="125">
        <f>AA68*SWISSMLR</f>
        <v>127.83333333333333</v>
      </c>
      <c r="AC68" s="176">
        <f>AA68*Canvas</f>
        <v>42.185000000000002</v>
      </c>
      <c r="AD68" s="175">
        <f>Table1[[#This Row],[Substrate SF]]*Materials!C$41</f>
        <v>14.061666666666666</v>
      </c>
      <c r="AE68" s="176">
        <f>IF(Table1[[#This Row],[Work Center]]="SwissQ",Materials!G$37,IF(Table1[[#This Row],[Work Center]]="Inca",Materials!G$29,IF(Table1[[#This Row],[Work Center]]="Canon",Materials!G$49,Materials!G$45)))</f>
        <v>20</v>
      </c>
      <c r="AF68" s="72">
        <f>'Cali Frames'!D489</f>
        <v>425</v>
      </c>
      <c r="AG68" s="540"/>
      <c r="AH68" s="69">
        <f t="shared" si="25"/>
        <v>100</v>
      </c>
      <c r="AI68" s="69"/>
      <c r="AJ68" s="176">
        <f t="shared" si="15"/>
        <v>601.24666666666667</v>
      </c>
      <c r="AK68" s="650">
        <f t="shared" si="23"/>
        <v>0.69937666666666665</v>
      </c>
      <c r="AL68" s="225">
        <f>Table1[[#This Row],[WSP/Dealer]]/Table1[[#This Row],[OD Sq Inch]]</f>
        <v>0.2537749016622256</v>
      </c>
      <c r="AM68" s="173">
        <f>Table1[[#This Row],[OD Wdth]]*Table1[[#This Row],[OD Hgt]]</f>
        <v>7881</v>
      </c>
      <c r="AN68" s="180">
        <f>Table1[[#This Row],[Min VO]]+Table1[[#This Row],[Max VO]]</f>
        <v>180</v>
      </c>
      <c r="AO68" s="83"/>
      <c r="AP68" s="821"/>
      <c r="AQ68" s="821"/>
      <c r="AR68" s="821"/>
      <c r="AS68" s="821"/>
      <c r="AT68" s="72"/>
      <c r="AU68" s="1361" t="str">
        <f t="shared" si="26"/>
        <v>-</v>
      </c>
    </row>
    <row r="69" spans="1:47" s="103" customFormat="1" x14ac:dyDescent="0.2">
      <c r="A69" s="60" t="s">
        <v>58</v>
      </c>
      <c r="B69" s="1106" t="s">
        <v>292</v>
      </c>
      <c r="C69" s="76" t="s">
        <v>293</v>
      </c>
      <c r="D69" s="100" t="s">
        <v>294</v>
      </c>
      <c r="E69" s="83" t="s">
        <v>295</v>
      </c>
      <c r="F69" s="83" t="s">
        <v>289</v>
      </c>
      <c r="G69" s="60" t="s">
        <v>296</v>
      </c>
      <c r="H69" s="60" t="s">
        <v>297</v>
      </c>
      <c r="I69" s="60" t="s">
        <v>52</v>
      </c>
      <c r="J69" s="59" t="s">
        <v>53</v>
      </c>
      <c r="K69" s="60" t="s">
        <v>82</v>
      </c>
      <c r="L69" s="60" t="s">
        <v>298</v>
      </c>
      <c r="M69" s="179">
        <v>1600</v>
      </c>
      <c r="N69" s="124"/>
      <c r="O69" s="60" t="s">
        <v>64</v>
      </c>
      <c r="P69" s="60">
        <v>80</v>
      </c>
      <c r="Q69" s="60">
        <v>64</v>
      </c>
      <c r="R69" s="60">
        <v>64</v>
      </c>
      <c r="S69" s="273">
        <v>80</v>
      </c>
      <c r="T69" s="60">
        <v>81</v>
      </c>
      <c r="U69" s="60">
        <v>65</v>
      </c>
      <c r="V69" s="913">
        <f>IF(J69="Canvas",P69+Border,P69)</f>
        <v>88</v>
      </c>
      <c r="W69" s="913">
        <f>IF(J69="Canvas",Q69+Border,Q69)</f>
        <v>72</v>
      </c>
      <c r="X69" s="60">
        <v>82</v>
      </c>
      <c r="Y69" s="60">
        <v>88</v>
      </c>
      <c r="Z69" s="60">
        <v>72</v>
      </c>
      <c r="AA69" s="678">
        <f t="shared" si="24"/>
        <v>44</v>
      </c>
      <c r="AB69" s="125">
        <f>AA69*Swiss1</f>
        <v>1245.2</v>
      </c>
      <c r="AC69" s="176">
        <f>AA69*Canvas</f>
        <v>29.040000000000003</v>
      </c>
      <c r="AD69" s="176">
        <f>Table1[[#This Row],[Substrate SF]]*Materials!C$37</f>
        <v>123.19999999999999</v>
      </c>
      <c r="AE69" s="176">
        <f>IF(Table1[[#This Row],[Work Center]]="SwissQ",Materials!G$37,IF(Table1[[#This Row],[Work Center]]="Inca",Materials!G$29,IF(Table1[[#This Row],[Work Center]]="Canon",Materials!G$49,Materials!G$45)))</f>
        <v>20</v>
      </c>
      <c r="AF69" s="72">
        <f>'Cali Frames'!D244</f>
        <v>380</v>
      </c>
      <c r="AG69" s="540"/>
      <c r="AH69" s="69">
        <f t="shared" si="25"/>
        <v>80</v>
      </c>
      <c r="AI69" s="69"/>
      <c r="AJ69" s="176">
        <f t="shared" si="15"/>
        <v>632.24</v>
      </c>
      <c r="AK69" s="650">
        <f t="shared" si="23"/>
        <v>0.60485</v>
      </c>
      <c r="AL69" s="225">
        <f>Table1[[#This Row],[WSP/Dealer]]/Table1[[#This Row],[OD Sq Inch]]</f>
        <v>0.30389363722697055</v>
      </c>
      <c r="AM69" s="180">
        <f>Table1[[#This Row],[OD Wdth]]*Table1[[#This Row],[OD Hgt]]</f>
        <v>5265</v>
      </c>
      <c r="AN69" s="180">
        <f>Table1[[#This Row],[Min VO]]+Table1[[#This Row],[Max VO]]</f>
        <v>144</v>
      </c>
      <c r="AO69" s="83"/>
      <c r="AP69" s="821"/>
      <c r="AQ69" s="821"/>
      <c r="AR69" s="821"/>
      <c r="AS69" s="821"/>
      <c r="AT69" s="72"/>
      <c r="AU69" s="1361" t="str">
        <f t="shared" si="26"/>
        <v>-</v>
      </c>
    </row>
    <row r="70" spans="1:47" s="46" customFormat="1" hidden="1" x14ac:dyDescent="0.2">
      <c r="A70" s="68" t="s">
        <v>128</v>
      </c>
      <c r="B70" s="1473"/>
      <c r="C70" s="78" t="s">
        <v>299</v>
      </c>
      <c r="D70" s="78"/>
      <c r="E70" s="78" t="s">
        <v>300</v>
      </c>
      <c r="F70" s="84" t="s">
        <v>301</v>
      </c>
      <c r="G70" s="68" t="s">
        <v>302</v>
      </c>
      <c r="H70" s="68" t="s">
        <v>303</v>
      </c>
      <c r="I70" s="68" t="s">
        <v>304</v>
      </c>
      <c r="J70" s="68" t="s">
        <v>257</v>
      </c>
      <c r="K70" s="68" t="s">
        <v>258</v>
      </c>
      <c r="L70" s="68" t="s">
        <v>269</v>
      </c>
      <c r="M70" s="73"/>
      <c r="N70" s="71"/>
      <c r="O70" s="68" t="s">
        <v>260</v>
      </c>
      <c r="P70" s="68">
        <v>24</v>
      </c>
      <c r="Q70" s="68">
        <v>32</v>
      </c>
      <c r="R70" s="68">
        <v>24</v>
      </c>
      <c r="S70" s="68">
        <v>32</v>
      </c>
      <c r="T70" s="68">
        <v>26</v>
      </c>
      <c r="U70" s="68">
        <v>34</v>
      </c>
      <c r="V70" s="66"/>
      <c r="W70" s="66"/>
      <c r="X70" s="189"/>
      <c r="Y70" s="68"/>
      <c r="Z70" s="68"/>
      <c r="AA70" s="699"/>
      <c r="AB70" s="297"/>
      <c r="AC70" s="74"/>
      <c r="AD70" s="67"/>
      <c r="AE70" s="74"/>
      <c r="AF70" s="73"/>
      <c r="AG70" s="74"/>
      <c r="AH70" s="498">
        <f t="shared" si="25"/>
        <v>0</v>
      </c>
      <c r="AI70" s="498"/>
      <c r="AJ70" s="74"/>
      <c r="AK70" s="650" t="e">
        <f t="shared" si="23"/>
        <v>#DIV/0!</v>
      </c>
      <c r="AL70" s="225">
        <f>Table1[[#This Row],[WSP/Dealer]]/Table1[[#This Row],[OD Sq Inch]]</f>
        <v>0</v>
      </c>
      <c r="AM70" s="103">
        <f>Table1[[#This Row],[OD Wdth]]*Table1[[#This Row],[OD Hgt]]</f>
        <v>884</v>
      </c>
      <c r="AN70" s="216">
        <f>Table1[[#This Row],[Min VO]]+Table1[[#This Row],[Max VO]]</f>
        <v>56</v>
      </c>
      <c r="AO70" s="68"/>
      <c r="AP70" s="68"/>
      <c r="AQ70" s="74"/>
      <c r="AR70" s="74"/>
      <c r="AS70" s="74"/>
      <c r="AT70" s="74"/>
      <c r="AU70" s="1001" t="str">
        <f t="shared" si="26"/>
        <v>-</v>
      </c>
    </row>
    <row r="71" spans="1:47" s="46" customFormat="1" x14ac:dyDescent="0.2">
      <c r="A71" s="60" t="s">
        <v>58</v>
      </c>
      <c r="B71" s="1108" t="s">
        <v>305</v>
      </c>
      <c r="C71" s="76" t="s">
        <v>306</v>
      </c>
      <c r="D71" s="76"/>
      <c r="E71" s="83" t="s">
        <v>307</v>
      </c>
      <c r="F71" s="83" t="s">
        <v>308</v>
      </c>
      <c r="G71" s="60" t="s">
        <v>309</v>
      </c>
      <c r="H71" s="60" t="s">
        <v>309</v>
      </c>
      <c r="I71" s="60" t="s">
        <v>52</v>
      </c>
      <c r="J71" s="59" t="s">
        <v>53</v>
      </c>
      <c r="K71" s="60" t="s">
        <v>54</v>
      </c>
      <c r="L71" s="60" t="s">
        <v>55</v>
      </c>
      <c r="M71" s="124">
        <v>400</v>
      </c>
      <c r="N71" s="124"/>
      <c r="O71" s="60" t="s">
        <v>56</v>
      </c>
      <c r="P71" s="60">
        <v>32</v>
      </c>
      <c r="Q71" s="60">
        <v>24</v>
      </c>
      <c r="R71" s="60">
        <v>24</v>
      </c>
      <c r="S71" s="60">
        <v>32</v>
      </c>
      <c r="T71" s="60">
        <v>32</v>
      </c>
      <c r="U71" s="60">
        <v>24</v>
      </c>
      <c r="V71" s="946">
        <f t="shared" ref="V71:V95" si="27">IF(J71="Canvas",P71+Border,P71)</f>
        <v>40</v>
      </c>
      <c r="W71" s="946">
        <f t="shared" ref="W71:W95" si="28">IF(J71="Canvas",Q71+Border,Q71)</f>
        <v>32</v>
      </c>
      <c r="X71" s="138">
        <v>40</v>
      </c>
      <c r="Y71" s="60">
        <v>40</v>
      </c>
      <c r="Z71" s="60">
        <v>32</v>
      </c>
      <c r="AA71" s="826">
        <f t="shared" ref="AA71:AA111" si="29">V71*W71/144</f>
        <v>8.8888888888888893</v>
      </c>
      <c r="AB71" s="125">
        <f t="shared" ref="AB71:AB76" si="30">AA71*IncaG</f>
        <v>187.02222222222221</v>
      </c>
      <c r="AC71" s="69">
        <f t="shared" ref="AC71:AC102" si="31">AA71*Canvas</f>
        <v>5.8666666666666671</v>
      </c>
      <c r="AD71" s="1041">
        <f>Table1[[#This Row],[Substrate SF]]*IncaC</f>
        <v>14.961777777777778</v>
      </c>
      <c r="AE71" s="176">
        <f>IF(Table1[[#This Row],[Work Center]]="SwissQ",Materials!G$37,IF(Table1[[#This Row],[Work Center]]="Inca",Materials!G$29,IF(Table1[[#This Row],[Work Center]]="Canon",Materials!G$49,Materials!G$45)))</f>
        <v>8</v>
      </c>
      <c r="AF71" s="72">
        <f>'Cali FPS'!C36</f>
        <v>79.239999999999995</v>
      </c>
      <c r="AG71" s="540"/>
      <c r="AH71" s="176">
        <f t="shared" si="25"/>
        <v>20</v>
      </c>
      <c r="AI71" s="176"/>
      <c r="AJ71" s="176">
        <f t="shared" ref="AJ71:AJ77" si="32">SUM(AC71:AH71)</f>
        <v>128.06844444444442</v>
      </c>
      <c r="AK71" s="1201">
        <f t="shared" si="23"/>
        <v>0.67982888888888893</v>
      </c>
      <c r="AL71" s="176">
        <f>Table1[[#This Row],[WSP/Dealer]]/Table1[[#This Row],[OD Sq Inch]]</f>
        <v>0.52083333333333337</v>
      </c>
      <c r="AM71" s="180">
        <f>Table1[[#This Row],[OD Wdth]]*Table1[[#This Row],[OD Hgt]]</f>
        <v>768</v>
      </c>
      <c r="AN71" s="180">
        <f>Table1[[#This Row],[Min VO]]+Table1[[#This Row],[Max VO]]</f>
        <v>56</v>
      </c>
      <c r="AO71" s="83"/>
      <c r="AP71" s="83"/>
      <c r="AQ71" s="69">
        <f>(Table1[[#This Row],[Desgnr/Retail P]]*0.05)</f>
        <v>0</v>
      </c>
      <c r="AR71" s="69" t="b">
        <f>IF(A71="Codarus",(AP71*0.13))</f>
        <v>0</v>
      </c>
      <c r="AS71" s="69" t="e" cm="1">
        <f t="array" ref="AS71">SUM(AC71:AG71+AQ+AR)</f>
        <v>#NAME?</v>
      </c>
      <c r="AT71" s="69" t="e">
        <f>(AP71-AS71)/AP71</f>
        <v>#NAME?</v>
      </c>
      <c r="AU71" s="1361" t="str">
        <f t="shared" si="26"/>
        <v>-</v>
      </c>
    </row>
    <row r="72" spans="1:47" s="63" customFormat="1" x14ac:dyDescent="0.2">
      <c r="A72" s="68" t="s">
        <v>58</v>
      </c>
      <c r="B72" s="1473" t="s">
        <v>310</v>
      </c>
      <c r="C72" s="78" t="s">
        <v>311</v>
      </c>
      <c r="D72" s="78"/>
      <c r="E72" s="84" t="s">
        <v>307</v>
      </c>
      <c r="F72" s="84" t="s">
        <v>308</v>
      </c>
      <c r="G72" s="68" t="s">
        <v>309</v>
      </c>
      <c r="H72" s="68" t="s">
        <v>312</v>
      </c>
      <c r="I72" s="68" t="s">
        <v>52</v>
      </c>
      <c r="J72" s="140" t="s">
        <v>53</v>
      </c>
      <c r="K72" s="68" t="s">
        <v>69</v>
      </c>
      <c r="L72" s="68" t="s">
        <v>76</v>
      </c>
      <c r="M72" s="93">
        <v>550</v>
      </c>
      <c r="N72" s="93"/>
      <c r="O72" s="68" t="s">
        <v>56</v>
      </c>
      <c r="P72" s="68">
        <v>32</v>
      </c>
      <c r="Q72" s="68">
        <v>24</v>
      </c>
      <c r="R72" s="68">
        <v>24</v>
      </c>
      <c r="S72" s="68">
        <v>32</v>
      </c>
      <c r="T72" s="68">
        <v>33</v>
      </c>
      <c r="U72" s="68">
        <v>25</v>
      </c>
      <c r="V72" s="917">
        <f t="shared" si="27"/>
        <v>40</v>
      </c>
      <c r="W72" s="917">
        <f t="shared" si="28"/>
        <v>32</v>
      </c>
      <c r="X72" s="68">
        <v>40</v>
      </c>
      <c r="Y72" s="68">
        <v>40</v>
      </c>
      <c r="Z72" s="68">
        <v>32</v>
      </c>
      <c r="AA72" s="952">
        <f t="shared" si="29"/>
        <v>8.8888888888888893</v>
      </c>
      <c r="AB72" s="297">
        <f t="shared" si="30"/>
        <v>187.02222222222221</v>
      </c>
      <c r="AC72" s="74">
        <f t="shared" si="31"/>
        <v>5.8666666666666671</v>
      </c>
      <c r="AD72" s="319">
        <f>Table1[[#This Row],[Substrate SF]]*IncaC</f>
        <v>14.961777777777778</v>
      </c>
      <c r="AE72" s="278">
        <f>IF(Table1[[#This Row],[Work Center]]="SwissQ",Materials!G$37,IF(Table1[[#This Row],[Work Center]]="Inca",Materials!G$29,IF(Table1[[#This Row],[Work Center]]="Canon",Materials!G$49,Materials!G$45)))</f>
        <v>8</v>
      </c>
      <c r="AF72" s="73">
        <f>'Cali Frames'!D367</f>
        <v>125</v>
      </c>
      <c r="AG72" s="126"/>
      <c r="AH72" s="74">
        <f t="shared" si="25"/>
        <v>27.5</v>
      </c>
      <c r="AI72" s="74"/>
      <c r="AJ72" s="74">
        <f t="shared" si="32"/>
        <v>181.32844444444444</v>
      </c>
      <c r="AK72" s="1001">
        <f t="shared" si="23"/>
        <v>0.67031191919191913</v>
      </c>
      <c r="AL72" s="74">
        <f>Table1[[#This Row],[WSP/Dealer]]/Table1[[#This Row],[OD Sq Inch]]</f>
        <v>0.66666666666666663</v>
      </c>
      <c r="AM72" s="63">
        <f>Table1[[#This Row],[OD Wdth]]*Table1[[#This Row],[OD Hgt]]</f>
        <v>825</v>
      </c>
      <c r="AN72" s="68">
        <f>Table1[[#This Row],[Min VO]]+Table1[[#This Row],[Max VO]]</f>
        <v>56</v>
      </c>
      <c r="AO72" s="84"/>
      <c r="AP72" s="84"/>
      <c r="AQ72" s="74">
        <f>(Table1[[#This Row],[Desgnr/Retail P]]*0.05)</f>
        <v>0</v>
      </c>
      <c r="AR72" s="74" t="b">
        <f>IF(A72="Codarus",(AP72*0.13))</f>
        <v>0</v>
      </c>
      <c r="AS72" s="74" t="e" cm="1">
        <f t="array" ref="AS72">SUM(AC72:AG72+AQ+AR)</f>
        <v>#NAME?</v>
      </c>
      <c r="AT72" s="74" t="e">
        <f>(AP72-AS72)/AP72</f>
        <v>#NAME?</v>
      </c>
      <c r="AU72" s="1357" t="str">
        <f t="shared" si="26"/>
        <v>-</v>
      </c>
    </row>
    <row r="73" spans="1:47" s="63" customFormat="1" x14ac:dyDescent="0.2">
      <c r="A73" s="68" t="s">
        <v>58</v>
      </c>
      <c r="B73" s="1473" t="s">
        <v>310</v>
      </c>
      <c r="C73" s="78" t="s">
        <v>313</v>
      </c>
      <c r="D73" s="78"/>
      <c r="E73" s="84" t="s">
        <v>307</v>
      </c>
      <c r="F73" s="84" t="s">
        <v>308</v>
      </c>
      <c r="G73" s="68" t="s">
        <v>309</v>
      </c>
      <c r="H73" s="68" t="s">
        <v>312</v>
      </c>
      <c r="I73" s="68" t="s">
        <v>52</v>
      </c>
      <c r="J73" s="140" t="s">
        <v>53</v>
      </c>
      <c r="K73" s="68" t="s">
        <v>69</v>
      </c>
      <c r="L73" s="68" t="s">
        <v>70</v>
      </c>
      <c r="M73" s="93">
        <v>550</v>
      </c>
      <c r="N73" s="93"/>
      <c r="O73" s="68" t="s">
        <v>56</v>
      </c>
      <c r="P73" s="68">
        <v>32</v>
      </c>
      <c r="Q73" s="68">
        <v>24</v>
      </c>
      <c r="R73" s="68">
        <v>24</v>
      </c>
      <c r="S73" s="68">
        <v>32</v>
      </c>
      <c r="T73" s="68">
        <v>33</v>
      </c>
      <c r="U73" s="68">
        <v>25</v>
      </c>
      <c r="V73" s="917">
        <f t="shared" si="27"/>
        <v>40</v>
      </c>
      <c r="W73" s="917">
        <f t="shared" si="28"/>
        <v>32</v>
      </c>
      <c r="X73" s="68">
        <v>40</v>
      </c>
      <c r="Y73" s="68">
        <v>40</v>
      </c>
      <c r="Z73" s="68">
        <v>32</v>
      </c>
      <c r="AA73" s="952">
        <f t="shared" si="29"/>
        <v>8.8888888888888893</v>
      </c>
      <c r="AB73" s="297">
        <f t="shared" si="30"/>
        <v>187.02222222222221</v>
      </c>
      <c r="AC73" s="74">
        <f t="shared" si="31"/>
        <v>5.8666666666666671</v>
      </c>
      <c r="AD73" s="320">
        <f>Table1[[#This Row],[Substrate SF]]*IncaC</f>
        <v>14.961777777777778</v>
      </c>
      <c r="AE73" s="278">
        <f>IF(Table1[[#This Row],[Work Center]]="SwissQ",Materials!G$37,IF(Table1[[#This Row],[Work Center]]="Inca",Materials!G$29,IF(Table1[[#This Row],[Work Center]]="Canon",Materials!G$49,Materials!G$45)))</f>
        <v>8</v>
      </c>
      <c r="AF73" s="73">
        <f>'Cali Frames'!D281</f>
        <v>110</v>
      </c>
      <c r="AG73" s="126"/>
      <c r="AH73" s="74">
        <f t="shared" si="25"/>
        <v>27.5</v>
      </c>
      <c r="AI73" s="74"/>
      <c r="AJ73" s="74">
        <f t="shared" si="32"/>
        <v>166.32844444444444</v>
      </c>
      <c r="AK73" s="1001">
        <f t="shared" si="23"/>
        <v>0.69758464646464646</v>
      </c>
      <c r="AL73" s="74">
        <f>Table1[[#This Row],[WSP/Dealer]]/Table1[[#This Row],[OD Sq Inch]]</f>
        <v>0.66666666666666663</v>
      </c>
      <c r="AM73" s="68">
        <f>Table1[[#This Row],[OD Wdth]]*Table1[[#This Row],[OD Hgt]]</f>
        <v>825</v>
      </c>
      <c r="AN73" s="68">
        <f>Table1[[#This Row],[Min VO]]+Table1[[#This Row],[Max VO]]</f>
        <v>56</v>
      </c>
      <c r="AO73" s="84"/>
      <c r="AP73" s="84"/>
      <c r="AQ73" s="74">
        <f>(Table1[[#This Row],[Desgnr/Retail P]]*0.05)</f>
        <v>0</v>
      </c>
      <c r="AR73" s="74" t="b">
        <f>IF(A73="Codarus",(AP73*0.13))</f>
        <v>0</v>
      </c>
      <c r="AS73" s="74" t="e" cm="1">
        <f t="array" ref="AS73">SUM(AC73:AG73+AQ+AR)</f>
        <v>#NAME?</v>
      </c>
      <c r="AT73" s="74" t="e">
        <f>(AP73-AS73)/AP73</f>
        <v>#NAME?</v>
      </c>
      <c r="AU73" s="1357" t="str">
        <f t="shared" si="26"/>
        <v>-</v>
      </c>
    </row>
    <row r="74" spans="1:47" s="63" customFormat="1" x14ac:dyDescent="0.2">
      <c r="A74" s="68" t="s">
        <v>58</v>
      </c>
      <c r="B74" s="1473" t="s">
        <v>310</v>
      </c>
      <c r="C74" s="78" t="s">
        <v>314</v>
      </c>
      <c r="D74" s="78"/>
      <c r="E74" s="84" t="s">
        <v>307</v>
      </c>
      <c r="F74" s="84" t="s">
        <v>308</v>
      </c>
      <c r="G74" s="68" t="s">
        <v>309</v>
      </c>
      <c r="H74" s="68" t="s">
        <v>312</v>
      </c>
      <c r="I74" s="68" t="s">
        <v>52</v>
      </c>
      <c r="J74" s="140" t="s">
        <v>53</v>
      </c>
      <c r="K74" s="68" t="s">
        <v>69</v>
      </c>
      <c r="L74" s="68" t="s">
        <v>315</v>
      </c>
      <c r="M74" s="93">
        <v>550</v>
      </c>
      <c r="N74" s="93"/>
      <c r="O74" s="68" t="s">
        <v>56</v>
      </c>
      <c r="P74" s="68">
        <v>32</v>
      </c>
      <c r="Q74" s="68">
        <v>24</v>
      </c>
      <c r="R74" s="68">
        <v>24</v>
      </c>
      <c r="S74" s="68">
        <v>32</v>
      </c>
      <c r="T74" s="68">
        <v>33</v>
      </c>
      <c r="U74" s="68">
        <v>25</v>
      </c>
      <c r="V74" s="66">
        <f t="shared" si="27"/>
        <v>40</v>
      </c>
      <c r="W74" s="66">
        <f t="shared" si="28"/>
        <v>32</v>
      </c>
      <c r="X74" s="68">
        <v>40</v>
      </c>
      <c r="Y74" s="68">
        <v>40</v>
      </c>
      <c r="Z74" s="68">
        <v>32</v>
      </c>
      <c r="AA74" s="952">
        <f t="shared" si="29"/>
        <v>8.8888888888888893</v>
      </c>
      <c r="AB74" s="297">
        <f t="shared" si="30"/>
        <v>187.02222222222221</v>
      </c>
      <c r="AC74" s="74">
        <f t="shared" si="31"/>
        <v>5.8666666666666671</v>
      </c>
      <c r="AD74" s="319">
        <f>Table1[[#This Row],[Substrate SF]]*IncaC</f>
        <v>14.961777777777778</v>
      </c>
      <c r="AE74" s="278">
        <f>IF(Table1[[#This Row],[Work Center]]="SwissQ",Materials!G$37,IF(Table1[[#This Row],[Work Center]]="Inca",Materials!G$29,IF(Table1[[#This Row],[Work Center]]="Canon",Materials!G$49,Materials!G$45)))</f>
        <v>8</v>
      </c>
      <c r="AF74" s="73">
        <f>'Cali Frames'!D509</f>
        <v>110</v>
      </c>
      <c r="AG74" s="126"/>
      <c r="AH74" s="74">
        <f t="shared" si="25"/>
        <v>27.5</v>
      </c>
      <c r="AI74" s="74"/>
      <c r="AJ74" s="74">
        <f t="shared" si="32"/>
        <v>166.32844444444444</v>
      </c>
      <c r="AK74" s="1001">
        <f t="shared" si="23"/>
        <v>0.69758464646464646</v>
      </c>
      <c r="AL74" s="74">
        <f>Table1[[#This Row],[WSP/Dealer]]/Table1[[#This Row],[OD Sq Inch]]</f>
        <v>0.66666666666666663</v>
      </c>
      <c r="AM74" s="63">
        <f>Table1[[#This Row],[OD Wdth]]*Table1[[#This Row],[OD Hgt]]</f>
        <v>825</v>
      </c>
      <c r="AN74" s="68">
        <f>Table1[[#This Row],[Min VO]]+Table1[[#This Row],[Max VO]]</f>
        <v>56</v>
      </c>
      <c r="AO74" s="84"/>
      <c r="AP74" s="84"/>
      <c r="AQ74" s="74">
        <f>(Table1[[#This Row],[Desgnr/Retail P]]*0.05)</f>
        <v>0</v>
      </c>
      <c r="AR74" s="74" t="b">
        <f>IF(A74="Codarus",(AP74*0.13))</f>
        <v>0</v>
      </c>
      <c r="AS74" s="74" t="e" cm="1">
        <f t="array" ref="AS74">SUM(AC74:AG74+AQ+AR)</f>
        <v>#NAME?</v>
      </c>
      <c r="AT74" s="74" t="e">
        <f>(AP74-AS74)/AP74</f>
        <v>#NAME?</v>
      </c>
      <c r="AU74" s="1357" t="str">
        <f t="shared" si="26"/>
        <v>-</v>
      </c>
    </row>
    <row r="75" spans="1:47" s="46" customFormat="1" x14ac:dyDescent="0.2">
      <c r="A75" s="60" t="s">
        <v>58</v>
      </c>
      <c r="B75" s="1108" t="s">
        <v>305</v>
      </c>
      <c r="C75" s="76" t="s">
        <v>316</v>
      </c>
      <c r="D75" s="76"/>
      <c r="E75" s="83" t="s">
        <v>317</v>
      </c>
      <c r="F75" s="83" t="s">
        <v>308</v>
      </c>
      <c r="G75" s="60" t="s">
        <v>309</v>
      </c>
      <c r="H75" s="60" t="s">
        <v>309</v>
      </c>
      <c r="I75" s="60" t="s">
        <v>52</v>
      </c>
      <c r="J75" s="59" t="s">
        <v>53</v>
      </c>
      <c r="K75" s="60" t="s">
        <v>54</v>
      </c>
      <c r="L75" s="60" t="s">
        <v>55</v>
      </c>
      <c r="M75" s="124">
        <v>400</v>
      </c>
      <c r="N75" s="124"/>
      <c r="O75" s="60" t="s">
        <v>56</v>
      </c>
      <c r="P75" s="60">
        <v>32</v>
      </c>
      <c r="Q75" s="60">
        <v>24</v>
      </c>
      <c r="R75" s="60">
        <v>24</v>
      </c>
      <c r="S75" s="60">
        <v>32</v>
      </c>
      <c r="T75" s="60">
        <v>32</v>
      </c>
      <c r="U75" s="60">
        <v>24</v>
      </c>
      <c r="V75" s="47">
        <f t="shared" si="27"/>
        <v>40</v>
      </c>
      <c r="W75" s="47">
        <f t="shared" si="28"/>
        <v>32</v>
      </c>
      <c r="X75" s="138">
        <v>40</v>
      </c>
      <c r="Y75" s="60">
        <v>40</v>
      </c>
      <c r="Z75" s="60">
        <v>32</v>
      </c>
      <c r="AA75" s="826">
        <f t="shared" si="29"/>
        <v>8.8888888888888893</v>
      </c>
      <c r="AB75" s="125">
        <f t="shared" si="30"/>
        <v>187.02222222222221</v>
      </c>
      <c r="AC75" s="69">
        <f t="shared" si="31"/>
        <v>5.8666666666666671</v>
      </c>
      <c r="AD75" s="1041">
        <f>Table1[[#This Row],[Substrate SF]]*IncaC</f>
        <v>14.961777777777778</v>
      </c>
      <c r="AE75" s="176">
        <f>IF(Table1[[#This Row],[Work Center]]="SwissQ",Materials!G$37,IF(Table1[[#This Row],[Work Center]]="Inca",Materials!G$29,IF(Table1[[#This Row],[Work Center]]="Canon",Materials!G$49,Materials!G$45)))</f>
        <v>8</v>
      </c>
      <c r="AF75" s="72">
        <f>'Cali FPS'!C36</f>
        <v>79.239999999999995</v>
      </c>
      <c r="AG75" s="540"/>
      <c r="AH75" s="176">
        <f t="shared" si="25"/>
        <v>20</v>
      </c>
      <c r="AI75" s="176"/>
      <c r="AJ75" s="176">
        <f t="shared" si="32"/>
        <v>128.06844444444442</v>
      </c>
      <c r="AK75" s="1201">
        <f t="shared" si="23"/>
        <v>0.67982888888888893</v>
      </c>
      <c r="AL75" s="176">
        <f>Table1[[#This Row],[WSP/Dealer]]/Table1[[#This Row],[OD Sq Inch]]</f>
        <v>0.52083333333333337</v>
      </c>
      <c r="AM75" s="173">
        <f>Table1[[#This Row],[OD Wdth]]*Table1[[#This Row],[OD Hgt]]</f>
        <v>768</v>
      </c>
      <c r="AN75" s="180">
        <f>Table1[[#This Row],[Min VO]]+Table1[[#This Row],[Max VO]]</f>
        <v>56</v>
      </c>
      <c r="AO75" s="83"/>
      <c r="AP75" s="83"/>
      <c r="AQ75" s="69">
        <f>(Table1[[#This Row],[Desgnr/Retail P]]*0.05)</f>
        <v>0</v>
      </c>
      <c r="AR75" s="69" t="b">
        <f>IF(A75="Codarus",(AP75*0.13))</f>
        <v>0</v>
      </c>
      <c r="AS75" s="69" t="e" cm="1">
        <f t="array" ref="AS75">SUM(AC75:AG75+AQ+AR)</f>
        <v>#NAME?</v>
      </c>
      <c r="AT75" s="69" t="e">
        <f>(AP75-AS75)/AP75</f>
        <v>#NAME?</v>
      </c>
      <c r="AU75" s="1361" t="str">
        <f t="shared" si="26"/>
        <v>-</v>
      </c>
    </row>
    <row r="76" spans="1:47" s="1429" customFormat="1" hidden="1" x14ac:dyDescent="0.2">
      <c r="A76" s="180" t="s">
        <v>318</v>
      </c>
      <c r="B76" s="1194" t="s">
        <v>319</v>
      </c>
      <c r="C76" s="76" t="s">
        <v>320</v>
      </c>
      <c r="D76" s="76"/>
      <c r="E76" s="83" t="s">
        <v>321</v>
      </c>
      <c r="F76" s="83" t="s">
        <v>322</v>
      </c>
      <c r="G76" s="60" t="s">
        <v>323</v>
      </c>
      <c r="H76" s="60" t="s">
        <v>323</v>
      </c>
      <c r="I76" s="60" t="s">
        <v>52</v>
      </c>
      <c r="J76" s="59" t="s">
        <v>53</v>
      </c>
      <c r="K76" s="60" t="s">
        <v>54</v>
      </c>
      <c r="L76" s="60" t="s">
        <v>55</v>
      </c>
      <c r="M76" s="179">
        <v>300</v>
      </c>
      <c r="N76" s="72"/>
      <c r="O76" s="60" t="s">
        <v>56</v>
      </c>
      <c r="P76" s="60">
        <v>36</v>
      </c>
      <c r="Q76" s="60">
        <v>24</v>
      </c>
      <c r="R76" s="60">
        <v>24</v>
      </c>
      <c r="S76" s="60">
        <v>36</v>
      </c>
      <c r="T76" s="60">
        <v>36</v>
      </c>
      <c r="U76" s="60">
        <v>24</v>
      </c>
      <c r="V76" s="47">
        <f t="shared" si="27"/>
        <v>44</v>
      </c>
      <c r="W76" s="47">
        <f t="shared" si="28"/>
        <v>32</v>
      </c>
      <c r="X76" s="138">
        <v>40</v>
      </c>
      <c r="Y76" s="60">
        <v>44</v>
      </c>
      <c r="Z76" s="60">
        <v>32</v>
      </c>
      <c r="AA76" s="717">
        <f t="shared" si="29"/>
        <v>9.7777777777777786</v>
      </c>
      <c r="AB76" s="125">
        <f t="shared" si="30"/>
        <v>205.72444444444446</v>
      </c>
      <c r="AC76" s="69">
        <f t="shared" si="31"/>
        <v>6.453333333333334</v>
      </c>
      <c r="AD76" s="1041">
        <f>Table1[[#This Row],[Substrate SF]]*IncaC</f>
        <v>16.457955555555557</v>
      </c>
      <c r="AE76" s="69">
        <f>IF(Table1[[#This Row],[Work Center]]="SwissQ",Materials!G$37,IF(Table1[[#This Row],[Work Center]]="Inca",Materials!G$29,IF(Table1[[#This Row],[Work Center]]="Canon",Materials!G$49,Materials!G$45)))</f>
        <v>8</v>
      </c>
      <c r="AF76" s="72">
        <f>'Cali FPS'!C37</f>
        <v>75.162500000000009</v>
      </c>
      <c r="AG76" s="540"/>
      <c r="AH76" s="69">
        <f t="shared" si="25"/>
        <v>15</v>
      </c>
      <c r="AI76" s="69"/>
      <c r="AJ76" s="69">
        <f t="shared" si="32"/>
        <v>121.0737888888889</v>
      </c>
      <c r="AK76" s="650">
        <f t="shared" si="23"/>
        <v>0.5964207037037037</v>
      </c>
      <c r="AL76" s="225">
        <f>Table1[[#This Row],[WSP/Dealer]]/Table1[[#This Row],[OD Sq Inch]]</f>
        <v>0.34722222222222221</v>
      </c>
      <c r="AM76" s="218">
        <f>Table1[[#This Row],[OD Wdth]]*Table1[[#This Row],[OD Hgt]]</f>
        <v>864</v>
      </c>
      <c r="AN76" s="216">
        <f>Table1[[#This Row],[Min VO]]+Table1[[#This Row],[Max VO]]</f>
        <v>60</v>
      </c>
      <c r="AO76" s="83"/>
      <c r="AP76" s="83"/>
      <c r="AQ76" s="540"/>
      <c r="AR76" s="540"/>
      <c r="AS76" s="540"/>
      <c r="AT76" s="69"/>
      <c r="AU76" s="1361" t="str">
        <f t="shared" si="26"/>
        <v>-</v>
      </c>
    </row>
    <row r="77" spans="1:47" s="103" customFormat="1" hidden="1" x14ac:dyDescent="0.2">
      <c r="A77" s="180" t="s">
        <v>95</v>
      </c>
      <c r="B77" s="1194" t="s">
        <v>96</v>
      </c>
      <c r="C77" s="76" t="s">
        <v>324</v>
      </c>
      <c r="D77" s="76"/>
      <c r="E77" s="83" t="s">
        <v>321</v>
      </c>
      <c r="F77" s="83" t="s">
        <v>322</v>
      </c>
      <c r="G77" s="60" t="s">
        <v>323</v>
      </c>
      <c r="H77" s="60" t="s">
        <v>325</v>
      </c>
      <c r="I77" s="60" t="s">
        <v>52</v>
      </c>
      <c r="J77" s="59" t="s">
        <v>53</v>
      </c>
      <c r="K77" s="60" t="s">
        <v>69</v>
      </c>
      <c r="L77" s="60" t="s">
        <v>326</v>
      </c>
      <c r="M77" s="179">
        <v>520</v>
      </c>
      <c r="N77" s="72"/>
      <c r="O77" s="60" t="s">
        <v>64</v>
      </c>
      <c r="P77" s="60">
        <v>36</v>
      </c>
      <c r="Q77" s="60">
        <v>24</v>
      </c>
      <c r="R77" s="60">
        <v>24</v>
      </c>
      <c r="S77" s="60">
        <v>36</v>
      </c>
      <c r="T77" s="60">
        <v>37</v>
      </c>
      <c r="U77" s="60">
        <v>25</v>
      </c>
      <c r="V77" s="47">
        <f t="shared" si="27"/>
        <v>44</v>
      </c>
      <c r="W77" s="47">
        <f t="shared" si="28"/>
        <v>32</v>
      </c>
      <c r="X77" s="138">
        <v>40</v>
      </c>
      <c r="Y77" s="60">
        <v>44</v>
      </c>
      <c r="Z77" s="60">
        <v>32</v>
      </c>
      <c r="AA77" s="717">
        <f t="shared" si="29"/>
        <v>9.7777777777777786</v>
      </c>
      <c r="AB77" s="125">
        <f>AA77*Swiss1</f>
        <v>276.71111111111117</v>
      </c>
      <c r="AC77" s="69">
        <f t="shared" si="31"/>
        <v>6.453333333333334</v>
      </c>
      <c r="AD77" s="48">
        <f>Table1[[#This Row],[Substrate SF]]*Materials!C$37</f>
        <v>27.37777777777778</v>
      </c>
      <c r="AE77" s="69">
        <f>IF(Table1[[#This Row],[Work Center]]="SwissQ",Materials!G$37,IF(Table1[[#This Row],[Work Center]]="Inca",Materials!G$29,IF(Table1[[#This Row],[Work Center]]="Canon",Materials!G$49,Materials!G$45)))</f>
        <v>20</v>
      </c>
      <c r="AF77" s="72">
        <f>'Cali Frames'!D362</f>
        <v>140.05000000000001</v>
      </c>
      <c r="AG77" s="540"/>
      <c r="AH77" s="69">
        <f t="shared" si="25"/>
        <v>26</v>
      </c>
      <c r="AI77" s="69"/>
      <c r="AJ77" s="69">
        <f t="shared" si="32"/>
        <v>219.88111111111112</v>
      </c>
      <c r="AK77" s="650">
        <f t="shared" si="23"/>
        <v>0.57715170940170935</v>
      </c>
      <c r="AL77" s="225">
        <f>Table1[[#This Row],[WSP/Dealer]]/Table1[[#This Row],[OD Sq Inch]]</f>
        <v>0.56216216216216219</v>
      </c>
      <c r="AM77" s="218">
        <f>Table1[[#This Row],[OD Wdth]]*Table1[[#This Row],[OD Hgt]]</f>
        <v>925</v>
      </c>
      <c r="AN77" s="216">
        <f>Table1[[#This Row],[Min VO]]+Table1[[#This Row],[Max VO]]</f>
        <v>60</v>
      </c>
      <c r="AO77" s="83"/>
      <c r="AP77" s="83"/>
      <c r="AQ77" s="540"/>
      <c r="AR77" s="540"/>
      <c r="AS77" s="540"/>
      <c r="AT77" s="69"/>
      <c r="AU77" s="1361" t="str">
        <f t="shared" si="26"/>
        <v>-</v>
      </c>
    </row>
    <row r="78" spans="1:47" s="103" customFormat="1" hidden="1" x14ac:dyDescent="0.2">
      <c r="A78" s="400" t="s">
        <v>110</v>
      </c>
      <c r="B78" s="1064" t="s">
        <v>134</v>
      </c>
      <c r="C78" s="496" t="s">
        <v>327</v>
      </c>
      <c r="D78" s="496"/>
      <c r="E78" s="401" t="s">
        <v>328</v>
      </c>
      <c r="F78" s="401" t="s">
        <v>124</v>
      </c>
      <c r="G78" s="400" t="s">
        <v>139</v>
      </c>
      <c r="H78" s="400" t="s">
        <v>139</v>
      </c>
      <c r="I78" s="400" t="s">
        <v>52</v>
      </c>
      <c r="J78" s="497" t="s">
        <v>53</v>
      </c>
      <c r="K78" s="400" t="s">
        <v>54</v>
      </c>
      <c r="L78" s="400" t="s">
        <v>55</v>
      </c>
      <c r="M78" s="488">
        <v>325</v>
      </c>
      <c r="N78" s="832"/>
      <c r="O78" s="400" t="s">
        <v>56</v>
      </c>
      <c r="P78" s="400">
        <v>24</v>
      </c>
      <c r="Q78" s="400">
        <v>24</v>
      </c>
      <c r="R78" s="400">
        <v>24</v>
      </c>
      <c r="S78" s="400">
        <v>24</v>
      </c>
      <c r="T78" s="400">
        <v>24</v>
      </c>
      <c r="U78" s="400">
        <v>24</v>
      </c>
      <c r="V78" s="106">
        <f t="shared" si="27"/>
        <v>32</v>
      </c>
      <c r="W78" s="106">
        <f t="shared" si="28"/>
        <v>32</v>
      </c>
      <c r="X78" s="525">
        <v>40</v>
      </c>
      <c r="Y78" s="101">
        <v>32</v>
      </c>
      <c r="Z78" s="101">
        <v>32</v>
      </c>
      <c r="AA78" s="1069">
        <f t="shared" si="29"/>
        <v>7.1111111111111107</v>
      </c>
      <c r="AB78" s="184">
        <f t="shared" ref="AB78:AB91" si="33">AA78*IncaG</f>
        <v>149.61777777777777</v>
      </c>
      <c r="AC78" s="104">
        <f t="shared" si="31"/>
        <v>4.6933333333333334</v>
      </c>
      <c r="AD78" s="1066">
        <f>Table1[[#This Row],[Substrate SF]]*IncaC</f>
        <v>11.969422222222223</v>
      </c>
      <c r="AE78" s="406">
        <f>IF(Table1[[#This Row],[Work Center]]="SwissQ",Materials!G$37,IF(Table1[[#This Row],[Work Center]]="Inca",Materials!G$29,IF(Table1[[#This Row],[Work Center]]="Canon",Materials!G$49,Materials!G$45)))</f>
        <v>8</v>
      </c>
      <c r="AF78" s="403">
        <f>'Cali FPS'!C32</f>
        <v>63.47</v>
      </c>
      <c r="AG78" s="1000"/>
      <c r="AH78" s="406">
        <f t="shared" si="25"/>
        <v>16.25</v>
      </c>
      <c r="AI78" s="406">
        <f>IF(A78="Codarus",(M78*0.13))</f>
        <v>42.25</v>
      </c>
      <c r="AJ78" s="104">
        <f>SUM(AC78:AI78)</f>
        <v>146.63275555555555</v>
      </c>
      <c r="AK78" s="830">
        <f t="shared" si="23"/>
        <v>0.54882229059829057</v>
      </c>
      <c r="AL78" s="660">
        <f>Table1[[#This Row],[WSP/Dealer]]/Table1[[#This Row],[OD Sq Inch]]</f>
        <v>0.56423611111111116</v>
      </c>
      <c r="AM78" s="399">
        <f>Table1[[#This Row],[OD Wdth]]*Table1[[#This Row],[OD Hgt]]</f>
        <v>576</v>
      </c>
      <c r="AN78" s="266">
        <f>Table1[[#This Row],[Min VO]]+Table1[[#This Row],[Max VO]]</f>
        <v>48</v>
      </c>
      <c r="AO78" s="401"/>
      <c r="AP78" s="1307">
        <f>(M78*2)</f>
        <v>650</v>
      </c>
      <c r="AQ78" s="121">
        <f>(Table1[[#This Row],[Desgnr/Retail P]]*0.05)</f>
        <v>32.5</v>
      </c>
      <c r="AR78" s="121">
        <f>IF(A78="Codarus",(AP78*0.13))</f>
        <v>84.5</v>
      </c>
      <c r="AS78" s="121">
        <f>SUM(Table1[[#This Row],[Substrate $]:[GP FINISH]])+Table1[[#This Row],[Retail Royalty]]+Table1[[#This Row],[Retail$Comm]]</f>
        <v>205.13275555555555</v>
      </c>
      <c r="AT78" s="830">
        <f>IF(AP78=0,"-",(AP78-AS78)/AP78)</f>
        <v>0.68441114529914526</v>
      </c>
      <c r="AU78" s="1366">
        <f t="shared" si="26"/>
        <v>0.97894119552925707</v>
      </c>
    </row>
    <row r="79" spans="1:47" s="45" customFormat="1" hidden="1" x14ac:dyDescent="0.2">
      <c r="A79" s="68"/>
      <c r="B79" s="1152"/>
      <c r="C79" s="323" t="s">
        <v>329</v>
      </c>
      <c r="D79" s="78"/>
      <c r="E79" s="275" t="s">
        <v>328</v>
      </c>
      <c r="F79" s="275" t="s">
        <v>124</v>
      </c>
      <c r="G79" s="274" t="s">
        <v>139</v>
      </c>
      <c r="H79" s="274" t="s">
        <v>139</v>
      </c>
      <c r="I79" s="274" t="s">
        <v>52</v>
      </c>
      <c r="J79" s="344" t="s">
        <v>53</v>
      </c>
      <c r="K79" s="68" t="s">
        <v>69</v>
      </c>
      <c r="L79" s="68" t="s">
        <v>70</v>
      </c>
      <c r="M79" s="93">
        <v>350</v>
      </c>
      <c r="N79" s="93"/>
      <c r="O79" s="274" t="s">
        <v>56</v>
      </c>
      <c r="P79" s="68">
        <v>24</v>
      </c>
      <c r="Q79" s="68">
        <v>24</v>
      </c>
      <c r="R79" s="68">
        <v>24</v>
      </c>
      <c r="S79" s="68">
        <v>24</v>
      </c>
      <c r="T79" s="68">
        <v>25</v>
      </c>
      <c r="U79" s="68">
        <v>25</v>
      </c>
      <c r="V79" s="66">
        <f t="shared" si="27"/>
        <v>32</v>
      </c>
      <c r="W79" s="66">
        <f t="shared" si="28"/>
        <v>32</v>
      </c>
      <c r="X79" s="68">
        <v>40</v>
      </c>
      <c r="Y79" s="68">
        <v>32</v>
      </c>
      <c r="Z79" s="68">
        <v>32</v>
      </c>
      <c r="AA79" s="699">
        <f t="shared" si="29"/>
        <v>7.1111111111111107</v>
      </c>
      <c r="AB79" s="297">
        <f t="shared" si="33"/>
        <v>149.61777777777777</v>
      </c>
      <c r="AC79" s="74">
        <f t="shared" si="31"/>
        <v>4.6933333333333334</v>
      </c>
      <c r="AD79" s="319">
        <f>Table1[[#This Row],[Substrate SF]]*IncaC</f>
        <v>11.969422222222223</v>
      </c>
      <c r="AE79" s="278">
        <f>IF(Table1[[#This Row],[Work Center]]="SwissQ",Materials!G$37,IF(Table1[[#This Row],[Work Center]]="Inca",Materials!G$29,IF(Table1[[#This Row],[Work Center]]="Canon",Materials!G$49,Materials!G$45)))</f>
        <v>8</v>
      </c>
      <c r="AF79" s="73">
        <f>'Cali Frames'!D278</f>
        <v>93.42</v>
      </c>
      <c r="AG79" s="126"/>
      <c r="AH79" s="278">
        <f t="shared" si="25"/>
        <v>17.5</v>
      </c>
      <c r="AI79" s="278"/>
      <c r="AJ79" s="278">
        <f t="shared" ref="AJ79:AJ84" si="34">SUM(AC79:AH79)</f>
        <v>135.58275555555556</v>
      </c>
      <c r="AK79" s="650">
        <f t="shared" si="23"/>
        <v>0.61262069841269839</v>
      </c>
      <c r="AL79" s="225">
        <f>Table1[[#This Row],[WSP/Dealer]]/Table1[[#This Row],[OD Sq Inch]]</f>
        <v>0.56000000000000005</v>
      </c>
      <c r="AM79" s="170">
        <f>Table1[[#This Row],[OD Wdth]]*Table1[[#This Row],[OD Hgt]]</f>
        <v>625</v>
      </c>
      <c r="AN79" s="84"/>
      <c r="AO79" s="84"/>
      <c r="AP79" s="84"/>
      <c r="AQ79" s="126"/>
      <c r="AR79" s="126"/>
      <c r="AS79" s="126"/>
      <c r="AT79" s="74"/>
      <c r="AU79" s="1357" t="str">
        <f t="shared" si="26"/>
        <v>-</v>
      </c>
    </row>
    <row r="80" spans="1:47" s="63" customFormat="1" hidden="1" x14ac:dyDescent="0.2">
      <c r="A80" s="68"/>
      <c r="B80" s="1152"/>
      <c r="C80" s="323" t="s">
        <v>330</v>
      </c>
      <c r="D80" s="78"/>
      <c r="E80" s="275" t="s">
        <v>328</v>
      </c>
      <c r="F80" s="275" t="s">
        <v>124</v>
      </c>
      <c r="G80" s="274" t="s">
        <v>139</v>
      </c>
      <c r="H80" s="274" t="s">
        <v>139</v>
      </c>
      <c r="I80" s="274" t="s">
        <v>52</v>
      </c>
      <c r="J80" s="344" t="s">
        <v>53</v>
      </c>
      <c r="K80" s="68" t="s">
        <v>69</v>
      </c>
      <c r="L80" s="68" t="s">
        <v>73</v>
      </c>
      <c r="M80" s="93">
        <v>350</v>
      </c>
      <c r="N80" s="93"/>
      <c r="O80" s="274" t="s">
        <v>56</v>
      </c>
      <c r="P80" s="68">
        <v>24</v>
      </c>
      <c r="Q80" s="68">
        <v>24</v>
      </c>
      <c r="R80" s="68">
        <v>24</v>
      </c>
      <c r="S80" s="68">
        <v>24</v>
      </c>
      <c r="T80" s="68">
        <v>25</v>
      </c>
      <c r="U80" s="68">
        <v>25</v>
      </c>
      <c r="V80" s="66">
        <f t="shared" si="27"/>
        <v>32</v>
      </c>
      <c r="W80" s="66">
        <f t="shared" si="28"/>
        <v>32</v>
      </c>
      <c r="X80" s="68">
        <v>40</v>
      </c>
      <c r="Y80" s="68">
        <v>32</v>
      </c>
      <c r="Z80" s="68">
        <v>32</v>
      </c>
      <c r="AA80" s="699">
        <f t="shared" si="29"/>
        <v>7.1111111111111107</v>
      </c>
      <c r="AB80" s="297">
        <f t="shared" si="33"/>
        <v>149.61777777777777</v>
      </c>
      <c r="AC80" s="74">
        <f t="shared" si="31"/>
        <v>4.6933333333333334</v>
      </c>
      <c r="AD80" s="319">
        <f>Table1[[#This Row],[Substrate SF]]*IncaC</f>
        <v>11.969422222222223</v>
      </c>
      <c r="AE80" s="278">
        <f>IF(Table1[[#This Row],[Work Center]]="SwissQ",Materials!G$37,IF(Table1[[#This Row],[Work Center]]="Inca",Materials!G$29,IF(Table1[[#This Row],[Work Center]]="Canon",Materials!G$49,Materials!G$45)))</f>
        <v>8</v>
      </c>
      <c r="AF80" s="73">
        <f>'Cali Frames'!D421</f>
        <v>83.685000000000002</v>
      </c>
      <c r="AG80" s="126"/>
      <c r="AH80" s="278">
        <f t="shared" si="25"/>
        <v>17.5</v>
      </c>
      <c r="AI80" s="278"/>
      <c r="AJ80" s="278">
        <f t="shared" si="34"/>
        <v>125.84775555555555</v>
      </c>
      <c r="AK80" s="650">
        <f t="shared" ref="AK80:AK111" si="35">(M80-AJ80)/M80</f>
        <v>0.64043498412698419</v>
      </c>
      <c r="AL80" s="225">
        <f>Table1[[#This Row],[WSP/Dealer]]/Table1[[#This Row],[OD Sq Inch]]</f>
        <v>0.56000000000000005</v>
      </c>
      <c r="AM80" s="170">
        <f>Table1[[#This Row],[OD Wdth]]*Table1[[#This Row],[OD Hgt]]</f>
        <v>625</v>
      </c>
      <c r="AN80" s="84"/>
      <c r="AO80" s="84"/>
      <c r="AP80" s="84"/>
      <c r="AQ80" s="126"/>
      <c r="AR80" s="126"/>
      <c r="AS80" s="126"/>
      <c r="AT80" s="74"/>
      <c r="AU80" s="1357" t="str">
        <f t="shared" si="26"/>
        <v>-</v>
      </c>
    </row>
    <row r="81" spans="1:47" s="46" customFormat="1" hidden="1" x14ac:dyDescent="0.2">
      <c r="A81" s="68"/>
      <c r="B81" s="1152"/>
      <c r="C81" s="323" t="s">
        <v>331</v>
      </c>
      <c r="D81" s="78"/>
      <c r="E81" s="275" t="s">
        <v>328</v>
      </c>
      <c r="F81" s="275" t="s">
        <v>124</v>
      </c>
      <c r="G81" s="274" t="s">
        <v>139</v>
      </c>
      <c r="H81" s="274" t="s">
        <v>139</v>
      </c>
      <c r="I81" s="274" t="s">
        <v>52</v>
      </c>
      <c r="J81" s="344" t="s">
        <v>53</v>
      </c>
      <c r="K81" s="68" t="s">
        <v>69</v>
      </c>
      <c r="L81" s="68" t="s">
        <v>76</v>
      </c>
      <c r="M81" s="93">
        <v>400</v>
      </c>
      <c r="N81" s="93"/>
      <c r="O81" s="274" t="s">
        <v>56</v>
      </c>
      <c r="P81" s="68">
        <v>24</v>
      </c>
      <c r="Q81" s="68">
        <v>24</v>
      </c>
      <c r="R81" s="68">
        <v>24</v>
      </c>
      <c r="S81" s="68">
        <v>24</v>
      </c>
      <c r="T81" s="68">
        <v>25</v>
      </c>
      <c r="U81" s="68">
        <v>25</v>
      </c>
      <c r="V81" s="917">
        <f t="shared" si="27"/>
        <v>32</v>
      </c>
      <c r="W81" s="917">
        <f t="shared" si="28"/>
        <v>32</v>
      </c>
      <c r="X81" s="68">
        <v>40</v>
      </c>
      <c r="Y81" s="68">
        <v>32</v>
      </c>
      <c r="Z81" s="68">
        <v>32</v>
      </c>
      <c r="AA81" s="699">
        <f t="shared" si="29"/>
        <v>7.1111111111111107</v>
      </c>
      <c r="AB81" s="297">
        <f t="shared" si="33"/>
        <v>149.61777777777777</v>
      </c>
      <c r="AC81" s="74">
        <f t="shared" si="31"/>
        <v>4.6933333333333334</v>
      </c>
      <c r="AD81" s="320">
        <f>Table1[[#This Row],[Substrate SF]]*IncaC</f>
        <v>11.969422222222223</v>
      </c>
      <c r="AE81" s="278">
        <f>IF(Table1[[#This Row],[Work Center]]="SwissQ",Materials!G$37,IF(Table1[[#This Row],[Work Center]]="Inca",Materials!G$29,IF(Table1[[#This Row],[Work Center]]="Canon",Materials!G$49,Materials!G$45)))</f>
        <v>8</v>
      </c>
      <c r="AF81" s="73">
        <f>'Cali Frames'!D366</f>
        <v>115</v>
      </c>
      <c r="AG81" s="126"/>
      <c r="AH81" s="278">
        <f t="shared" si="25"/>
        <v>20</v>
      </c>
      <c r="AI81" s="278"/>
      <c r="AJ81" s="278">
        <f t="shared" si="34"/>
        <v>159.66275555555555</v>
      </c>
      <c r="AK81" s="650">
        <f t="shared" si="35"/>
        <v>0.60084311111111111</v>
      </c>
      <c r="AL81" s="225">
        <f>Table1[[#This Row],[WSP/Dealer]]/Table1[[#This Row],[OD Sq Inch]]</f>
        <v>0.64</v>
      </c>
      <c r="AM81" s="274">
        <f>Table1[[#This Row],[OD Wdth]]*Table1[[#This Row],[OD Hgt]]</f>
        <v>625</v>
      </c>
      <c r="AN81" s="84"/>
      <c r="AO81" s="84"/>
      <c r="AP81" s="84"/>
      <c r="AQ81" s="126"/>
      <c r="AR81" s="126"/>
      <c r="AS81" s="126"/>
      <c r="AT81" s="74"/>
      <c r="AU81" s="1357" t="str">
        <f t="shared" si="26"/>
        <v>-</v>
      </c>
    </row>
    <row r="82" spans="1:47" s="46" customFormat="1" hidden="1" x14ac:dyDescent="0.2">
      <c r="A82" s="68"/>
      <c r="B82" s="1152"/>
      <c r="C82" s="323" t="s">
        <v>332</v>
      </c>
      <c r="D82" s="1477"/>
      <c r="E82" s="275" t="s">
        <v>328</v>
      </c>
      <c r="F82" s="275" t="s">
        <v>124</v>
      </c>
      <c r="G82" s="274" t="s">
        <v>139</v>
      </c>
      <c r="H82" s="274" t="s">
        <v>139</v>
      </c>
      <c r="I82" s="274" t="s">
        <v>52</v>
      </c>
      <c r="J82" s="344" t="s">
        <v>53</v>
      </c>
      <c r="K82" s="68" t="s">
        <v>82</v>
      </c>
      <c r="L82" s="68" t="s">
        <v>83</v>
      </c>
      <c r="M82" s="93">
        <v>350</v>
      </c>
      <c r="N82" s="93"/>
      <c r="O82" s="274" t="s">
        <v>56</v>
      </c>
      <c r="P82" s="68">
        <v>24</v>
      </c>
      <c r="Q82" s="68">
        <v>24</v>
      </c>
      <c r="R82" s="68">
        <v>24</v>
      </c>
      <c r="S82" s="68">
        <v>24</v>
      </c>
      <c r="T82" s="68">
        <v>26</v>
      </c>
      <c r="U82" s="68">
        <v>26</v>
      </c>
      <c r="V82" s="66">
        <f t="shared" si="27"/>
        <v>32</v>
      </c>
      <c r="W82" s="66">
        <f t="shared" si="28"/>
        <v>32</v>
      </c>
      <c r="X82" s="68">
        <v>40</v>
      </c>
      <c r="Y82" s="68">
        <v>32</v>
      </c>
      <c r="Z82" s="68">
        <v>32</v>
      </c>
      <c r="AA82" s="699">
        <f t="shared" si="29"/>
        <v>7.1111111111111107</v>
      </c>
      <c r="AB82" s="297">
        <f t="shared" si="33"/>
        <v>149.61777777777777</v>
      </c>
      <c r="AC82" s="74">
        <f t="shared" si="31"/>
        <v>4.6933333333333334</v>
      </c>
      <c r="AD82" s="319">
        <f>Table1[[#This Row],[Substrate SF]]*IncaC</f>
        <v>11.969422222222223</v>
      </c>
      <c r="AE82" s="278">
        <f>IF(Table1[[#This Row],[Work Center]]="SwissQ",Materials!G$37,IF(Table1[[#This Row],[Work Center]]="Inca",Materials!G$29,IF(Table1[[#This Row],[Work Center]]="Canon",Materials!G$49,Materials!G$45)))</f>
        <v>8</v>
      </c>
      <c r="AF82" s="73">
        <f>'Cali Frames'!D120</f>
        <v>100</v>
      </c>
      <c r="AG82" s="126"/>
      <c r="AH82" s="278">
        <f t="shared" si="25"/>
        <v>17.5</v>
      </c>
      <c r="AI82" s="278"/>
      <c r="AJ82" s="278">
        <f t="shared" si="34"/>
        <v>142.16275555555555</v>
      </c>
      <c r="AK82" s="650">
        <f t="shared" si="35"/>
        <v>0.59382069841269847</v>
      </c>
      <c r="AL82" s="225">
        <f>Table1[[#This Row],[WSP/Dealer]]/Table1[[#This Row],[OD Sq Inch]]</f>
        <v>0.51775147928994081</v>
      </c>
      <c r="AM82" s="170">
        <f>Table1[[#This Row],[OD Wdth]]*Table1[[#This Row],[OD Hgt]]</f>
        <v>676</v>
      </c>
      <c r="AN82" s="84"/>
      <c r="AO82" s="84"/>
      <c r="AP82" s="84"/>
      <c r="AQ82" s="126"/>
      <c r="AR82" s="126"/>
      <c r="AS82" s="126"/>
      <c r="AT82" s="74"/>
      <c r="AU82" s="1357" t="str">
        <f t="shared" si="26"/>
        <v>-</v>
      </c>
    </row>
    <row r="83" spans="1:47" s="331" customFormat="1" hidden="1" x14ac:dyDescent="0.2">
      <c r="A83" s="68"/>
      <c r="B83" s="1152"/>
      <c r="C83" s="323" t="s">
        <v>333</v>
      </c>
      <c r="D83" s="78"/>
      <c r="E83" s="275" t="s">
        <v>328</v>
      </c>
      <c r="F83" s="275" t="s">
        <v>124</v>
      </c>
      <c r="G83" s="274" t="s">
        <v>139</v>
      </c>
      <c r="H83" s="274" t="s">
        <v>139</v>
      </c>
      <c r="I83" s="274" t="s">
        <v>52</v>
      </c>
      <c r="J83" s="344" t="s">
        <v>53</v>
      </c>
      <c r="K83" s="68" t="s">
        <v>82</v>
      </c>
      <c r="L83" s="68" t="s">
        <v>334</v>
      </c>
      <c r="M83" s="93">
        <v>350</v>
      </c>
      <c r="N83" s="93"/>
      <c r="O83" s="274" t="s">
        <v>56</v>
      </c>
      <c r="P83" s="68">
        <v>24</v>
      </c>
      <c r="Q83" s="68">
        <v>24</v>
      </c>
      <c r="R83" s="68">
        <v>24</v>
      </c>
      <c r="S83" s="68">
        <v>24</v>
      </c>
      <c r="T83" s="68">
        <v>26</v>
      </c>
      <c r="U83" s="68">
        <v>26</v>
      </c>
      <c r="V83" s="917">
        <f t="shared" si="27"/>
        <v>32</v>
      </c>
      <c r="W83" s="917">
        <f t="shared" si="28"/>
        <v>32</v>
      </c>
      <c r="X83" s="68">
        <v>40</v>
      </c>
      <c r="Y83" s="68">
        <v>32</v>
      </c>
      <c r="Z83" s="68">
        <v>32</v>
      </c>
      <c r="AA83" s="699">
        <f t="shared" si="29"/>
        <v>7.1111111111111107</v>
      </c>
      <c r="AB83" s="297">
        <f t="shared" si="33"/>
        <v>149.61777777777777</v>
      </c>
      <c r="AC83" s="74">
        <f t="shared" si="31"/>
        <v>4.6933333333333334</v>
      </c>
      <c r="AD83" s="320">
        <f>Table1[[#This Row],[Substrate SF]]*IncaC</f>
        <v>11.969422222222223</v>
      </c>
      <c r="AE83" s="278">
        <f>IF(Table1[[#This Row],[Work Center]]="SwissQ",Materials!G$37,IF(Table1[[#This Row],[Work Center]]="Inca",Materials!G$29,IF(Table1[[#This Row],[Work Center]]="Canon",Materials!G$49,Materials!G$45)))</f>
        <v>8</v>
      </c>
      <c r="AF83" s="73">
        <f>'Cali Frames'!D209</f>
        <v>83.79</v>
      </c>
      <c r="AG83" s="126"/>
      <c r="AH83" s="278">
        <f t="shared" si="25"/>
        <v>17.5</v>
      </c>
      <c r="AI83" s="278"/>
      <c r="AJ83" s="278">
        <f t="shared" si="34"/>
        <v>125.95275555555557</v>
      </c>
      <c r="AK83" s="650">
        <f t="shared" si="35"/>
        <v>0.64013498412698411</v>
      </c>
      <c r="AL83" s="225">
        <f>Table1[[#This Row],[WSP/Dealer]]/Table1[[#This Row],[OD Sq Inch]]</f>
        <v>0.51775147928994081</v>
      </c>
      <c r="AM83" s="274">
        <f>Table1[[#This Row],[OD Wdth]]*Table1[[#This Row],[OD Hgt]]</f>
        <v>676</v>
      </c>
      <c r="AN83" s="84"/>
      <c r="AO83" s="84"/>
      <c r="AP83" s="84"/>
      <c r="AQ83" s="126"/>
      <c r="AR83" s="126"/>
      <c r="AS83" s="126"/>
      <c r="AT83" s="74"/>
      <c r="AU83" s="1357" t="str">
        <f t="shared" si="26"/>
        <v>-</v>
      </c>
    </row>
    <row r="84" spans="1:47" s="218" customFormat="1" hidden="1" x14ac:dyDescent="0.2">
      <c r="A84" s="68"/>
      <c r="B84" s="1152"/>
      <c r="C84" s="323" t="s">
        <v>335</v>
      </c>
      <c r="D84" s="1477"/>
      <c r="E84" s="275" t="s">
        <v>328</v>
      </c>
      <c r="F84" s="275" t="s">
        <v>124</v>
      </c>
      <c r="G84" s="274" t="s">
        <v>139</v>
      </c>
      <c r="H84" s="274" t="s">
        <v>139</v>
      </c>
      <c r="I84" s="274" t="s">
        <v>52</v>
      </c>
      <c r="J84" s="344" t="s">
        <v>53</v>
      </c>
      <c r="K84" s="68" t="s">
        <v>82</v>
      </c>
      <c r="L84" s="68" t="s">
        <v>298</v>
      </c>
      <c r="M84" s="93">
        <v>400</v>
      </c>
      <c r="N84" s="93"/>
      <c r="O84" s="274" t="s">
        <v>56</v>
      </c>
      <c r="P84" s="68">
        <v>24</v>
      </c>
      <c r="Q84" s="68">
        <v>24</v>
      </c>
      <c r="R84" s="68">
        <v>24</v>
      </c>
      <c r="S84" s="68">
        <v>24</v>
      </c>
      <c r="T84" s="68">
        <v>26</v>
      </c>
      <c r="U84" s="68">
        <v>26</v>
      </c>
      <c r="V84" s="66">
        <f t="shared" si="27"/>
        <v>32</v>
      </c>
      <c r="W84" s="66">
        <f t="shared" si="28"/>
        <v>32</v>
      </c>
      <c r="X84" s="68">
        <v>40</v>
      </c>
      <c r="Y84" s="68">
        <v>32</v>
      </c>
      <c r="Z84" s="68">
        <v>32</v>
      </c>
      <c r="AA84" s="699">
        <f t="shared" si="29"/>
        <v>7.1111111111111107</v>
      </c>
      <c r="AB84" s="297">
        <f t="shared" si="33"/>
        <v>149.61777777777777</v>
      </c>
      <c r="AC84" s="74">
        <f t="shared" si="31"/>
        <v>4.6933333333333334</v>
      </c>
      <c r="AD84" s="319">
        <f>Table1[[#This Row],[Substrate SF]]*IncaC</f>
        <v>11.969422222222223</v>
      </c>
      <c r="AE84" s="278">
        <f>IF(Table1[[#This Row],[Work Center]]="SwissQ",Materials!G$37,IF(Table1[[#This Row],[Work Center]]="Inca",Materials!G$29,IF(Table1[[#This Row],[Work Center]]="Canon",Materials!G$49,Materials!G$45)))</f>
        <v>8</v>
      </c>
      <c r="AF84" s="73">
        <f>'Cali Frames'!D225</f>
        <v>105</v>
      </c>
      <c r="AG84" s="126"/>
      <c r="AH84" s="278">
        <f t="shared" si="25"/>
        <v>20</v>
      </c>
      <c r="AI84" s="278"/>
      <c r="AJ84" s="278">
        <f t="shared" si="34"/>
        <v>149.66275555555555</v>
      </c>
      <c r="AK84" s="650">
        <f t="shared" si="35"/>
        <v>0.62584311111111113</v>
      </c>
      <c r="AL84" s="225">
        <f>Table1[[#This Row],[WSP/Dealer]]/Table1[[#This Row],[OD Sq Inch]]</f>
        <v>0.59171597633136097</v>
      </c>
      <c r="AM84" s="170">
        <f>Table1[[#This Row],[OD Wdth]]*Table1[[#This Row],[OD Hgt]]</f>
        <v>676</v>
      </c>
      <c r="AN84" s="84"/>
      <c r="AO84" s="84"/>
      <c r="AP84" s="84"/>
      <c r="AQ84" s="126"/>
      <c r="AR84" s="126"/>
      <c r="AS84" s="126"/>
      <c r="AT84" s="74"/>
      <c r="AU84" s="1357" t="str">
        <f t="shared" si="26"/>
        <v>-</v>
      </c>
    </row>
    <row r="85" spans="1:47" s="235" customFormat="1" ht="16" x14ac:dyDescent="0.2">
      <c r="A85" s="551" t="s">
        <v>58</v>
      </c>
      <c r="B85" s="1552" t="s">
        <v>59</v>
      </c>
      <c r="C85" s="805" t="s">
        <v>336</v>
      </c>
      <c r="D85" s="1476" t="s">
        <v>337</v>
      </c>
      <c r="E85" s="653" t="s">
        <v>338</v>
      </c>
      <c r="F85" s="653" t="s">
        <v>50</v>
      </c>
      <c r="G85" s="551" t="s">
        <v>132</v>
      </c>
      <c r="H85" s="551" t="s">
        <v>132</v>
      </c>
      <c r="I85" s="551" t="s">
        <v>52</v>
      </c>
      <c r="J85" s="856" t="s">
        <v>53</v>
      </c>
      <c r="K85" s="551" t="s">
        <v>54</v>
      </c>
      <c r="L85" s="551" t="s">
        <v>55</v>
      </c>
      <c r="M85" s="857">
        <v>650</v>
      </c>
      <c r="N85" s="896"/>
      <c r="O85" s="551" t="s">
        <v>56</v>
      </c>
      <c r="P85" s="551">
        <v>36</v>
      </c>
      <c r="Q85" s="551">
        <v>48</v>
      </c>
      <c r="R85" s="551">
        <v>36</v>
      </c>
      <c r="S85" s="551">
        <v>48</v>
      </c>
      <c r="T85" s="551">
        <v>36</v>
      </c>
      <c r="U85" s="551">
        <v>48</v>
      </c>
      <c r="V85" s="881">
        <f t="shared" si="27"/>
        <v>44</v>
      </c>
      <c r="W85" s="881">
        <f t="shared" si="28"/>
        <v>56</v>
      </c>
      <c r="X85" s="551">
        <v>59</v>
      </c>
      <c r="Y85" s="551">
        <v>44</v>
      </c>
      <c r="Z85" s="551">
        <v>56</v>
      </c>
      <c r="AA85" s="892">
        <f t="shared" si="29"/>
        <v>17.111111111111111</v>
      </c>
      <c r="AB85" s="861">
        <f t="shared" si="33"/>
        <v>360.01777777777778</v>
      </c>
      <c r="AC85" s="863">
        <f t="shared" si="31"/>
        <v>11.293333333333333</v>
      </c>
      <c r="AD85" s="876">
        <f>Table1[[#This Row],[Substrate SF]]*IncaC</f>
        <v>28.801422222222222</v>
      </c>
      <c r="AE85" s="867">
        <f>IF(Table1[[#This Row],[Work Center]]="SwissQ",Materials!G$37,IF(Table1[[#This Row],[Work Center]]="Inca",Materials!G$29,IF(Table1[[#This Row],[Work Center]]="Canon",Materials!G$49,Materials!G$45)))</f>
        <v>8</v>
      </c>
      <c r="AF85" s="71">
        <f>'Cali FPS'!C71</f>
        <v>114.31</v>
      </c>
      <c r="AG85" s="864"/>
      <c r="AH85" s="867">
        <f t="shared" si="25"/>
        <v>32.5</v>
      </c>
      <c r="AI85" s="867" t="b">
        <f>IF(A85="Codarus",(M85*0.13))</f>
        <v>0</v>
      </c>
      <c r="AJ85" s="863">
        <f>SUM(AC85:AI85)</f>
        <v>194.90475555555554</v>
      </c>
      <c r="AK85" s="1163">
        <f t="shared" si="35"/>
        <v>0.70014652991452997</v>
      </c>
      <c r="AL85" s="895">
        <f>Table1[[#This Row],[WSP/Dealer]]/Table1[[#This Row],[OD Sq Inch]]</f>
        <v>0.37615740740740738</v>
      </c>
      <c r="AM85" s="869">
        <f>Table1[[#This Row],[OD Wdth]]*Table1[[#This Row],[OD Hgt]]</f>
        <v>1728</v>
      </c>
      <c r="AN85" s="779">
        <f>Table1[[#This Row],[Min VO]]+Table1[[#This Row],[Max VO]]</f>
        <v>84</v>
      </c>
      <c r="AO85" s="653"/>
      <c r="AP85" s="864"/>
      <c r="AQ85" s="864"/>
      <c r="AR85" s="863"/>
      <c r="AS85" s="1180"/>
      <c r="AT85" s="1181"/>
      <c r="AU85" s="1364" t="str">
        <f t="shared" si="26"/>
        <v>-</v>
      </c>
    </row>
    <row r="86" spans="1:47" s="218" customFormat="1" ht="16" x14ac:dyDescent="0.2">
      <c r="A86" s="68" t="s">
        <v>58</v>
      </c>
      <c r="B86" s="279" t="s">
        <v>59</v>
      </c>
      <c r="C86" s="78" t="s">
        <v>339</v>
      </c>
      <c r="D86" s="1476" t="s">
        <v>340</v>
      </c>
      <c r="E86" s="84" t="s">
        <v>338</v>
      </c>
      <c r="F86" s="84" t="s">
        <v>50</v>
      </c>
      <c r="G86" s="68" t="s">
        <v>132</v>
      </c>
      <c r="H86" s="68" t="s">
        <v>133</v>
      </c>
      <c r="I86" s="68" t="s">
        <v>52</v>
      </c>
      <c r="J86" s="140" t="s">
        <v>53</v>
      </c>
      <c r="K86" s="68" t="s">
        <v>69</v>
      </c>
      <c r="L86" s="68" t="s">
        <v>76</v>
      </c>
      <c r="M86" s="141">
        <v>750</v>
      </c>
      <c r="N86" s="93"/>
      <c r="O86" s="68" t="s">
        <v>56</v>
      </c>
      <c r="P86" s="68">
        <v>36</v>
      </c>
      <c r="Q86" s="68">
        <v>48</v>
      </c>
      <c r="R86" s="68">
        <v>36</v>
      </c>
      <c r="S86" s="68">
        <v>48</v>
      </c>
      <c r="T86" s="68">
        <v>37</v>
      </c>
      <c r="U86" s="68">
        <v>49</v>
      </c>
      <c r="V86" s="917">
        <f t="shared" si="27"/>
        <v>44</v>
      </c>
      <c r="W86" s="917">
        <f t="shared" si="28"/>
        <v>56</v>
      </c>
      <c r="X86" s="68">
        <v>59</v>
      </c>
      <c r="Y86" s="68">
        <v>44</v>
      </c>
      <c r="Z86" s="68">
        <v>56</v>
      </c>
      <c r="AA86" s="952">
        <f t="shared" si="29"/>
        <v>17.111111111111111</v>
      </c>
      <c r="AB86" s="297">
        <f t="shared" si="33"/>
        <v>360.01777777777778</v>
      </c>
      <c r="AC86" s="74">
        <f t="shared" si="31"/>
        <v>11.293333333333333</v>
      </c>
      <c r="AD86" s="319">
        <f>Table1[[#This Row],[Substrate SF]]*IncaC</f>
        <v>28.801422222222222</v>
      </c>
      <c r="AE86" s="278">
        <f>IF(Table1[[#This Row],[Work Center]]="SwissQ",Materials!G$37,IF(Table1[[#This Row],[Work Center]]="Inca",Materials!G$29,IF(Table1[[#This Row],[Work Center]]="Canon",Materials!G$49,Materials!G$45)))</f>
        <v>8</v>
      </c>
      <c r="AF86" s="73">
        <f>'Cali Frames'!D371</f>
        <v>160</v>
      </c>
      <c r="AG86" s="126"/>
      <c r="AH86" s="278">
        <f t="shared" si="25"/>
        <v>37.5</v>
      </c>
      <c r="AI86" s="278" t="b">
        <f>IF(A86="Codarus",(M86*0.13))</f>
        <v>0</v>
      </c>
      <c r="AJ86" s="74">
        <f>SUM(AC86:AI86)</f>
        <v>245.59475555555554</v>
      </c>
      <c r="AK86" s="1001">
        <f t="shared" si="35"/>
        <v>0.67254032592592594</v>
      </c>
      <c r="AL86" s="240">
        <f>Table1[[#This Row],[WSP/Dealer]]/Table1[[#This Row],[OD Sq Inch]]</f>
        <v>0.41367898510755652</v>
      </c>
      <c r="AM86" s="170">
        <f>Table1[[#This Row],[OD Wdth]]*Table1[[#This Row],[OD Hgt]]</f>
        <v>1813</v>
      </c>
      <c r="AN86" s="238">
        <f>Table1[[#This Row],[Min VO]]+Table1[[#This Row],[Max VO]]</f>
        <v>84</v>
      </c>
      <c r="AO86" s="84"/>
      <c r="AP86" s="126"/>
      <c r="AQ86" s="126"/>
      <c r="AR86" s="74"/>
      <c r="AS86" s="1158"/>
      <c r="AT86" s="1187"/>
      <c r="AU86" s="1357" t="str">
        <f t="shared" si="26"/>
        <v>-</v>
      </c>
    </row>
    <row r="87" spans="1:47" s="399" customFormat="1" ht="16" x14ac:dyDescent="0.2">
      <c r="A87" s="68" t="s">
        <v>58</v>
      </c>
      <c r="B87" s="279" t="s">
        <v>59</v>
      </c>
      <c r="C87" s="78" t="s">
        <v>341</v>
      </c>
      <c r="D87" s="1476" t="s">
        <v>342</v>
      </c>
      <c r="E87" s="84" t="s">
        <v>338</v>
      </c>
      <c r="F87" s="84" t="s">
        <v>50</v>
      </c>
      <c r="G87" s="68" t="s">
        <v>132</v>
      </c>
      <c r="H87" s="68" t="s">
        <v>133</v>
      </c>
      <c r="I87" s="68" t="s">
        <v>52</v>
      </c>
      <c r="J87" s="140" t="s">
        <v>53</v>
      </c>
      <c r="K87" s="68" t="s">
        <v>69</v>
      </c>
      <c r="L87" s="68" t="s">
        <v>73</v>
      </c>
      <c r="M87" s="141">
        <v>750</v>
      </c>
      <c r="N87" s="93"/>
      <c r="O87" s="68" t="s">
        <v>56</v>
      </c>
      <c r="P87" s="68">
        <v>36</v>
      </c>
      <c r="Q87" s="68">
        <v>48</v>
      </c>
      <c r="R87" s="68">
        <v>36</v>
      </c>
      <c r="S87" s="68">
        <v>48</v>
      </c>
      <c r="T87" s="68">
        <v>37</v>
      </c>
      <c r="U87" s="68">
        <v>49</v>
      </c>
      <c r="V87" s="917">
        <f t="shared" si="27"/>
        <v>44</v>
      </c>
      <c r="W87" s="917">
        <f t="shared" si="28"/>
        <v>56</v>
      </c>
      <c r="X87" s="68">
        <v>59</v>
      </c>
      <c r="Y87" s="68">
        <v>44</v>
      </c>
      <c r="Z87" s="68">
        <v>56</v>
      </c>
      <c r="AA87" s="952">
        <f t="shared" si="29"/>
        <v>17.111111111111111</v>
      </c>
      <c r="AB87" s="297">
        <f t="shared" si="33"/>
        <v>360.01777777777778</v>
      </c>
      <c r="AC87" s="74">
        <f t="shared" si="31"/>
        <v>11.293333333333333</v>
      </c>
      <c r="AD87" s="320">
        <f>Table1[[#This Row],[Substrate SF]]*IncaC</f>
        <v>28.801422222222222</v>
      </c>
      <c r="AE87" s="278">
        <f>IF(Table1[[#This Row],[Work Center]]="SwissQ",Materials!G$37,IF(Table1[[#This Row],[Work Center]]="Inca",Materials!G$29,IF(Table1[[#This Row],[Work Center]]="Canon",Materials!G$49,Materials!G$45)))</f>
        <v>8</v>
      </c>
      <c r="AF87" s="73">
        <f>'Cali Frames'!D436</f>
        <v>145.70500000000001</v>
      </c>
      <c r="AG87" s="126"/>
      <c r="AH87" s="278">
        <f t="shared" si="25"/>
        <v>37.5</v>
      </c>
      <c r="AI87" s="278" t="b">
        <f>IF(A87="Codarus",(M87*0.13))</f>
        <v>0</v>
      </c>
      <c r="AJ87" s="74">
        <f>SUM(AC87:AI87)</f>
        <v>231.29975555555558</v>
      </c>
      <c r="AK87" s="1001">
        <f t="shared" si="35"/>
        <v>0.69160032592592602</v>
      </c>
      <c r="AL87" s="240">
        <f>Table1[[#This Row],[WSP/Dealer]]/Table1[[#This Row],[OD Sq Inch]]</f>
        <v>0.41367898510755652</v>
      </c>
      <c r="AM87" s="274">
        <f>Table1[[#This Row],[OD Wdth]]*Table1[[#This Row],[OD Hgt]]</f>
        <v>1813</v>
      </c>
      <c r="AN87" s="238">
        <f>Table1[[#This Row],[Min VO]]+Table1[[#This Row],[Max VO]]</f>
        <v>84</v>
      </c>
      <c r="AO87" s="84"/>
      <c r="AP87" s="126"/>
      <c r="AQ87" s="126"/>
      <c r="AR87" s="74"/>
      <c r="AS87" s="1158"/>
      <c r="AT87" s="1187"/>
      <c r="AU87" s="1357" t="str">
        <f t="shared" si="26"/>
        <v>-</v>
      </c>
    </row>
    <row r="88" spans="1:47" s="170" customFormat="1" ht="16" x14ac:dyDescent="0.2">
      <c r="A88" s="68" t="s">
        <v>58</v>
      </c>
      <c r="B88" s="279" t="s">
        <v>59</v>
      </c>
      <c r="C88" s="78" t="s">
        <v>343</v>
      </c>
      <c r="D88" s="1476" t="s">
        <v>344</v>
      </c>
      <c r="E88" s="84" t="s">
        <v>338</v>
      </c>
      <c r="F88" s="84" t="s">
        <v>50</v>
      </c>
      <c r="G88" s="68" t="s">
        <v>132</v>
      </c>
      <c r="H88" s="68" t="s">
        <v>133</v>
      </c>
      <c r="I88" s="68" t="s">
        <v>52</v>
      </c>
      <c r="J88" s="140" t="s">
        <v>53</v>
      </c>
      <c r="K88" s="68" t="s">
        <v>69</v>
      </c>
      <c r="L88" s="68" t="s">
        <v>70</v>
      </c>
      <c r="M88" s="141">
        <v>750</v>
      </c>
      <c r="N88" s="93"/>
      <c r="O88" s="68" t="s">
        <v>56</v>
      </c>
      <c r="P88" s="68">
        <v>36</v>
      </c>
      <c r="Q88" s="68">
        <v>48</v>
      </c>
      <c r="R88" s="68">
        <v>36</v>
      </c>
      <c r="S88" s="68">
        <v>48</v>
      </c>
      <c r="T88" s="68">
        <v>37</v>
      </c>
      <c r="U88" s="68">
        <v>49</v>
      </c>
      <c r="V88" s="917">
        <f t="shared" si="27"/>
        <v>44</v>
      </c>
      <c r="W88" s="917">
        <f t="shared" si="28"/>
        <v>56</v>
      </c>
      <c r="X88" s="68">
        <v>59</v>
      </c>
      <c r="Y88" s="68">
        <v>44</v>
      </c>
      <c r="Z88" s="68">
        <v>56</v>
      </c>
      <c r="AA88" s="952">
        <f t="shared" si="29"/>
        <v>17.111111111111111</v>
      </c>
      <c r="AB88" s="297">
        <f t="shared" si="33"/>
        <v>360.01777777777778</v>
      </c>
      <c r="AC88" s="74">
        <f t="shared" si="31"/>
        <v>11.293333333333333</v>
      </c>
      <c r="AD88" s="320">
        <f>Table1[[#This Row],[Substrate SF]]*IncaC</f>
        <v>28.801422222222222</v>
      </c>
      <c r="AE88" s="278">
        <f>IF(Table1[[#This Row],[Work Center]]="SwissQ",Materials!G$37,IF(Table1[[#This Row],[Work Center]]="Inca",Materials!G$29,IF(Table1[[#This Row],[Work Center]]="Canon",Materials!G$49,Materials!G$45)))</f>
        <v>8</v>
      </c>
      <c r="AF88" s="73">
        <f>'Cali Frames'!D300</f>
        <v>164.8</v>
      </c>
      <c r="AG88" s="126"/>
      <c r="AH88" s="278">
        <f t="shared" si="25"/>
        <v>37.5</v>
      </c>
      <c r="AI88" s="278" t="b">
        <f>IF(A88="Codarus",(M88*0.13))</f>
        <v>0</v>
      </c>
      <c r="AJ88" s="74">
        <f>SUM(AC88:AI88)</f>
        <v>250.39475555555555</v>
      </c>
      <c r="AK88" s="1001">
        <f t="shared" si="35"/>
        <v>0.66614032592592598</v>
      </c>
      <c r="AL88" s="240">
        <f>Table1[[#This Row],[WSP/Dealer]]/Table1[[#This Row],[OD Sq Inch]]</f>
        <v>0.41367898510755652</v>
      </c>
      <c r="AM88" s="274">
        <f>Table1[[#This Row],[OD Wdth]]*Table1[[#This Row],[OD Hgt]]</f>
        <v>1813</v>
      </c>
      <c r="AN88" s="238">
        <f>Table1[[#This Row],[Min VO]]+Table1[[#This Row],[Max VO]]</f>
        <v>84</v>
      </c>
      <c r="AO88" s="84"/>
      <c r="AP88" s="126"/>
      <c r="AQ88" s="126"/>
      <c r="AR88" s="74"/>
      <c r="AS88" s="1158"/>
      <c r="AT88" s="1187"/>
      <c r="AU88" s="1357" t="str">
        <f t="shared" si="26"/>
        <v>-</v>
      </c>
    </row>
    <row r="89" spans="1:47" s="170" customFormat="1" hidden="1" x14ac:dyDescent="0.2">
      <c r="A89" s="101" t="s">
        <v>345</v>
      </c>
      <c r="B89" s="1109" t="s">
        <v>346</v>
      </c>
      <c r="C89" s="84" t="s">
        <v>347</v>
      </c>
      <c r="D89" s="168" t="s">
        <v>128</v>
      </c>
      <c r="E89" s="84" t="s">
        <v>348</v>
      </c>
      <c r="F89" s="115" t="s">
        <v>349</v>
      </c>
      <c r="G89" s="101" t="s">
        <v>350</v>
      </c>
      <c r="H89" s="101" t="s">
        <v>351</v>
      </c>
      <c r="I89" s="60" t="s">
        <v>52</v>
      </c>
      <c r="J89" s="59" t="s">
        <v>53</v>
      </c>
      <c r="K89" s="60" t="s">
        <v>69</v>
      </c>
      <c r="L89" s="101" t="s">
        <v>73</v>
      </c>
      <c r="M89" s="114">
        <v>350</v>
      </c>
      <c r="N89" s="114"/>
      <c r="O89" s="101" t="s">
        <v>56</v>
      </c>
      <c r="P89" s="60">
        <v>12</v>
      </c>
      <c r="Q89" s="60">
        <v>16</v>
      </c>
      <c r="R89" s="60">
        <v>12</v>
      </c>
      <c r="S89" s="60">
        <v>16</v>
      </c>
      <c r="T89" s="68">
        <v>13</v>
      </c>
      <c r="U89" s="68">
        <v>17</v>
      </c>
      <c r="V89" s="917">
        <f t="shared" si="27"/>
        <v>20</v>
      </c>
      <c r="W89" s="608">
        <f t="shared" si="28"/>
        <v>24</v>
      </c>
      <c r="X89" s="101">
        <v>40</v>
      </c>
      <c r="Y89" s="101">
        <v>20</v>
      </c>
      <c r="Z89" s="101">
        <v>24</v>
      </c>
      <c r="AA89" s="649">
        <f t="shared" si="29"/>
        <v>3.3333333333333335</v>
      </c>
      <c r="AB89" s="184">
        <f t="shared" si="33"/>
        <v>70.13333333333334</v>
      </c>
      <c r="AC89" s="104">
        <f t="shared" si="31"/>
        <v>2.2000000000000002</v>
      </c>
      <c r="AD89" s="120">
        <f>Table1[[#This Row],[Substrate SF]]*IncaC</f>
        <v>5.6106666666666669</v>
      </c>
      <c r="AE89" s="121">
        <f>IF(Table1[[#This Row],[Work Center]]="SwissQ",Materials!G$37,IF(Table1[[#This Row],[Work Center]]="Inca",Materials!G$29,IF(Table1[[#This Row],[Work Center]]="Canon",Materials!G$49,Materials!G$45)))</f>
        <v>8</v>
      </c>
      <c r="AF89" s="102">
        <f>'Cali Frames'!D412</f>
        <v>75.634999999999991</v>
      </c>
      <c r="AG89" s="121"/>
      <c r="AH89" s="121">
        <f t="shared" si="25"/>
        <v>17.5</v>
      </c>
      <c r="AI89" s="121"/>
      <c r="AJ89" s="121">
        <f>SUM(AC89:AH89)</f>
        <v>108.94566666666665</v>
      </c>
      <c r="AK89" s="830">
        <f t="shared" si="35"/>
        <v>0.68872666666666671</v>
      </c>
      <c r="AL89" s="121">
        <f>Table1[[#This Row],[WSP/Dealer]]/Table1[[#This Row],[OD Sq Inch]]</f>
        <v>1.5837104072398189</v>
      </c>
      <c r="AM89" s="113">
        <f>Table1[[#This Row],[OD Wdth]]*Table1[[#This Row],[OD Hgt]]</f>
        <v>221</v>
      </c>
      <c r="AN89" s="115"/>
      <c r="AO89" s="115"/>
      <c r="AP89" s="115"/>
      <c r="AQ89" s="121"/>
      <c r="AR89" s="121"/>
      <c r="AS89" s="121"/>
      <c r="AT89" s="104"/>
      <c r="AU89" s="1359" t="str">
        <f t="shared" si="26"/>
        <v>-</v>
      </c>
    </row>
    <row r="90" spans="1:47" s="399" customFormat="1" hidden="1" x14ac:dyDescent="0.2">
      <c r="A90" s="101" t="s">
        <v>110</v>
      </c>
      <c r="B90" s="1109" t="s">
        <v>134</v>
      </c>
      <c r="C90" s="115" t="s">
        <v>352</v>
      </c>
      <c r="D90" s="168"/>
      <c r="E90" s="115" t="s">
        <v>353</v>
      </c>
      <c r="F90" s="115" t="s">
        <v>349</v>
      </c>
      <c r="G90" s="101" t="s">
        <v>354</v>
      </c>
      <c r="H90" s="101" t="s">
        <v>354</v>
      </c>
      <c r="I90" s="101" t="s">
        <v>52</v>
      </c>
      <c r="J90" s="487" t="s">
        <v>53</v>
      </c>
      <c r="K90" s="101" t="s">
        <v>54</v>
      </c>
      <c r="L90" s="101" t="s">
        <v>55</v>
      </c>
      <c r="M90" s="299">
        <v>350</v>
      </c>
      <c r="N90" s="114"/>
      <c r="O90" s="101" t="s">
        <v>56</v>
      </c>
      <c r="P90" s="101">
        <v>24</v>
      </c>
      <c r="Q90" s="101">
        <v>30</v>
      </c>
      <c r="R90" s="101">
        <v>24</v>
      </c>
      <c r="S90" s="101">
        <v>30</v>
      </c>
      <c r="T90" s="101">
        <v>24</v>
      </c>
      <c r="U90" s="101">
        <v>30</v>
      </c>
      <c r="V90" s="608">
        <f t="shared" si="27"/>
        <v>32</v>
      </c>
      <c r="W90" s="608">
        <f t="shared" si="28"/>
        <v>38</v>
      </c>
      <c r="X90" s="137">
        <v>40</v>
      </c>
      <c r="Y90" s="101">
        <v>32</v>
      </c>
      <c r="Z90" s="101">
        <v>38</v>
      </c>
      <c r="AA90" s="649">
        <f t="shared" si="29"/>
        <v>8.4444444444444446</v>
      </c>
      <c r="AB90" s="184">
        <f t="shared" si="33"/>
        <v>177.67111111111112</v>
      </c>
      <c r="AC90" s="104">
        <f t="shared" si="31"/>
        <v>5.5733333333333341</v>
      </c>
      <c r="AD90" s="1000">
        <f>Table1[[#This Row],[Substrate SF]]*IncaC</f>
        <v>14.213688888888889</v>
      </c>
      <c r="AE90" s="406">
        <f>IF(Table1[[#This Row],[Work Center]]="SwissQ",Materials!G$37,IF(Table1[[#This Row],[Work Center]]="Inca",Materials!G$29,IF(Table1[[#This Row],[Work Center]]="Canon",Materials!G$49,Materials!G$45)))</f>
        <v>8</v>
      </c>
      <c r="AF90" s="102">
        <f>'Cali FPS'!C35</f>
        <v>74.2</v>
      </c>
      <c r="AG90" s="121"/>
      <c r="AH90" s="406">
        <f t="shared" si="25"/>
        <v>17.5</v>
      </c>
      <c r="AI90" s="406">
        <f>IF(A90="Codarus",(M90*0.13))</f>
        <v>45.5</v>
      </c>
      <c r="AJ90" s="104">
        <f>SUM(AC90:AI90)</f>
        <v>164.98702222222221</v>
      </c>
      <c r="AK90" s="830">
        <f t="shared" si="35"/>
        <v>0.52860850793650793</v>
      </c>
      <c r="AL90" s="660">
        <f>Table1[[#This Row],[WSP/Dealer]]/Table1[[#This Row],[OD Sq Inch]]</f>
        <v>0.4861111111111111</v>
      </c>
      <c r="AM90" s="400">
        <f>Table1[[#This Row],[OD Wdth]]*Table1[[#This Row],[OD Hgt]]</f>
        <v>720</v>
      </c>
      <c r="AN90" s="266">
        <f>Table1[[#This Row],[Min VO]]+Table1[[#This Row],[Max VO]]</f>
        <v>54</v>
      </c>
      <c r="AO90" s="115"/>
      <c r="AP90" s="1307">
        <f>(M90*2)</f>
        <v>700</v>
      </c>
      <c r="AQ90" s="121">
        <f>(Table1[[#This Row],[Desgnr/Retail P]]*0.05)</f>
        <v>35</v>
      </c>
      <c r="AR90" s="121">
        <f>IF(A90="Codarus",(AP90*0.13))</f>
        <v>91</v>
      </c>
      <c r="AS90" s="121">
        <f>SUM(Table1[[#This Row],[Substrate $]:[GP FINISH]])+Table1[[#This Row],[Retail Royalty]]+Table1[[#This Row],[Retail$Comm]]</f>
        <v>227.98702222222221</v>
      </c>
      <c r="AT90" s="830">
        <f>IF(AP90=0,"-",(AP90-AS90)/AP90)</f>
        <v>0.674304253968254</v>
      </c>
      <c r="AU90" s="1359">
        <f t="shared" si="26"/>
        <v>0.98073416417233561</v>
      </c>
    </row>
    <row r="91" spans="1:47" s="170" customFormat="1" hidden="1" x14ac:dyDescent="0.2">
      <c r="A91" s="101" t="s">
        <v>187</v>
      </c>
      <c r="B91" s="1109" t="s">
        <v>292</v>
      </c>
      <c r="C91" s="653" t="s">
        <v>355</v>
      </c>
      <c r="D91" s="168"/>
      <c r="E91" s="84" t="s">
        <v>356</v>
      </c>
      <c r="F91" s="115" t="s">
        <v>349</v>
      </c>
      <c r="G91" s="101" t="s">
        <v>357</v>
      </c>
      <c r="H91" s="101" t="s">
        <v>358</v>
      </c>
      <c r="I91" s="60" t="s">
        <v>52</v>
      </c>
      <c r="J91" s="59" t="s">
        <v>53</v>
      </c>
      <c r="K91" s="60" t="s">
        <v>54</v>
      </c>
      <c r="L91" s="101" t="s">
        <v>70</v>
      </c>
      <c r="M91" s="114">
        <v>1250</v>
      </c>
      <c r="N91" s="114"/>
      <c r="O91" s="101" t="s">
        <v>56</v>
      </c>
      <c r="P91" s="60">
        <v>26</v>
      </c>
      <c r="Q91" s="60">
        <v>32</v>
      </c>
      <c r="R91" s="60">
        <v>26</v>
      </c>
      <c r="S91" s="60">
        <v>32</v>
      </c>
      <c r="T91" s="68">
        <v>26</v>
      </c>
      <c r="U91" s="68">
        <v>32</v>
      </c>
      <c r="V91" s="917">
        <f t="shared" si="27"/>
        <v>34</v>
      </c>
      <c r="W91" s="608">
        <f t="shared" si="28"/>
        <v>40</v>
      </c>
      <c r="X91" s="101"/>
      <c r="Y91" s="101"/>
      <c r="Z91" s="101"/>
      <c r="AA91" s="649">
        <f t="shared" si="29"/>
        <v>9.4444444444444446</v>
      </c>
      <c r="AB91" s="184">
        <f t="shared" si="33"/>
        <v>198.71111111111111</v>
      </c>
      <c r="AC91" s="104">
        <f t="shared" si="31"/>
        <v>6.2333333333333334</v>
      </c>
      <c r="AD91" s="120">
        <f>Table1[[#This Row],[Substrate SF]]*IncaC</f>
        <v>15.89688888888889</v>
      </c>
      <c r="AE91" s="121">
        <f>IF(Table1[[#This Row],[Work Center]]="SwissQ",Materials!G$37,IF(Table1[[#This Row],[Work Center]]="Inca",Materials!G$29,IF(Table1[[#This Row],[Work Center]]="Canon",Materials!G$49,Materials!G$45)))</f>
        <v>8</v>
      </c>
      <c r="AF91" s="102">
        <f>'Cali Frames'!D282</f>
        <v>112.66500000000001</v>
      </c>
      <c r="AG91" s="121"/>
      <c r="AH91" s="121">
        <f t="shared" si="25"/>
        <v>62.5</v>
      </c>
      <c r="AI91" s="121"/>
      <c r="AJ91" s="121">
        <f t="shared" ref="AJ91:AJ106" si="36">SUM(AC91:AH91)</f>
        <v>205.29522222222224</v>
      </c>
      <c r="AK91" s="830">
        <f t="shared" si="35"/>
        <v>0.83576382222222223</v>
      </c>
      <c r="AL91" s="121">
        <f>Table1[[#This Row],[WSP/Dealer]]/Table1[[#This Row],[OD Sq Inch]]</f>
        <v>1.5024038461538463</v>
      </c>
      <c r="AM91" s="113">
        <f>Table1[[#This Row],[OD Wdth]]*Table1[[#This Row],[OD Hgt]]</f>
        <v>832</v>
      </c>
      <c r="AN91" s="115">
        <f>Table1[[#This Row],[Min VO]]+Table1[[#This Row],[Max VO]]</f>
        <v>58</v>
      </c>
      <c r="AO91" s="115"/>
      <c r="AP91" s="115"/>
      <c r="AQ91" s="121"/>
      <c r="AR91" s="121"/>
      <c r="AS91" s="121"/>
      <c r="AT91" s="104"/>
      <c r="AU91" s="1359" t="str">
        <f t="shared" si="26"/>
        <v>-</v>
      </c>
    </row>
    <row r="92" spans="1:47" s="173" customFormat="1" hidden="1" x14ac:dyDescent="0.2">
      <c r="A92" s="60" t="s">
        <v>318</v>
      </c>
      <c r="B92" s="1071" t="s">
        <v>102</v>
      </c>
      <c r="C92" s="76" t="s">
        <v>359</v>
      </c>
      <c r="D92" s="79"/>
      <c r="E92" s="83" t="s">
        <v>360</v>
      </c>
      <c r="F92" s="83" t="s">
        <v>361</v>
      </c>
      <c r="G92" s="60" t="s">
        <v>51</v>
      </c>
      <c r="H92" s="60" t="s">
        <v>362</v>
      </c>
      <c r="I92" s="60" t="s">
        <v>52</v>
      </c>
      <c r="J92" s="59" t="s">
        <v>53</v>
      </c>
      <c r="K92" s="60" t="s">
        <v>82</v>
      </c>
      <c r="L92" s="60" t="s">
        <v>83</v>
      </c>
      <c r="M92" s="179">
        <v>350</v>
      </c>
      <c r="N92" s="124"/>
      <c r="O92" s="60" t="s">
        <v>64</v>
      </c>
      <c r="P92" s="60">
        <v>30</v>
      </c>
      <c r="Q92" s="60">
        <v>40</v>
      </c>
      <c r="R92" s="60">
        <v>30</v>
      </c>
      <c r="S92" s="60">
        <v>40</v>
      </c>
      <c r="T92" s="60">
        <v>32</v>
      </c>
      <c r="U92" s="60">
        <v>42</v>
      </c>
      <c r="V92" s="946">
        <f t="shared" si="27"/>
        <v>38</v>
      </c>
      <c r="W92" s="946">
        <f t="shared" si="28"/>
        <v>48</v>
      </c>
      <c r="X92" s="60">
        <v>40</v>
      </c>
      <c r="Y92" s="60">
        <v>38</v>
      </c>
      <c r="Z92" s="60">
        <v>48</v>
      </c>
      <c r="AA92" s="826">
        <f t="shared" si="29"/>
        <v>12.666666666666666</v>
      </c>
      <c r="AB92" s="125">
        <f>AA92*Swiss1</f>
        <v>358.46666666666664</v>
      </c>
      <c r="AC92" s="69">
        <f t="shared" si="31"/>
        <v>8.36</v>
      </c>
      <c r="AD92" s="448">
        <f>Table1[[#This Row],[Substrate SF]]*Materials!C$37</f>
        <v>35.466666666666661</v>
      </c>
      <c r="AE92" s="176">
        <f>IF(Table1[[#This Row],[Work Center]]="SwissQ",Materials!G$37,IF(Table1[[#This Row],[Work Center]]="Inca",Materials!G$29,IF(Table1[[#This Row],[Work Center]]="Canon",Materials!G$49,Materials!G$45)))</f>
        <v>20</v>
      </c>
      <c r="AF92" s="72">
        <f>'Cali Frames'!D128</f>
        <v>113.19000000000001</v>
      </c>
      <c r="AG92" s="540"/>
      <c r="AH92" s="176">
        <f t="shared" si="25"/>
        <v>17.5</v>
      </c>
      <c r="AI92" s="176"/>
      <c r="AJ92" s="176">
        <f t="shared" si="36"/>
        <v>194.51666666666668</v>
      </c>
      <c r="AK92" s="650">
        <f t="shared" si="35"/>
        <v>0.44423809523809521</v>
      </c>
      <c r="AL92" s="225">
        <f>Table1[[#This Row],[WSP/Dealer]]/Table1[[#This Row],[OD Sq Inch]]</f>
        <v>0.26041666666666669</v>
      </c>
      <c r="AM92" s="173">
        <f>Table1[[#This Row],[OD Wdth]]*Table1[[#This Row],[OD Hgt]]</f>
        <v>1344</v>
      </c>
      <c r="AN92" s="83"/>
      <c r="AO92" s="83"/>
      <c r="AP92" s="83"/>
      <c r="AQ92" s="540"/>
      <c r="AR92" s="540"/>
      <c r="AS92" s="540"/>
      <c r="AT92" s="69"/>
      <c r="AU92" s="1361" t="str">
        <f t="shared" si="26"/>
        <v>-</v>
      </c>
    </row>
    <row r="93" spans="1:47" s="170" customFormat="1" hidden="1" x14ac:dyDescent="0.2">
      <c r="A93" s="68" t="s">
        <v>318</v>
      </c>
      <c r="B93" s="1072" t="s">
        <v>102</v>
      </c>
      <c r="C93" s="78" t="s">
        <v>363</v>
      </c>
      <c r="D93" s="94"/>
      <c r="E93" s="84" t="s">
        <v>360</v>
      </c>
      <c r="F93" s="84" t="s">
        <v>361</v>
      </c>
      <c r="G93" s="68" t="s">
        <v>51</v>
      </c>
      <c r="H93" s="68" t="s">
        <v>364</v>
      </c>
      <c r="I93" s="68" t="s">
        <v>52</v>
      </c>
      <c r="J93" s="140" t="s">
        <v>53</v>
      </c>
      <c r="K93" s="68" t="s">
        <v>69</v>
      </c>
      <c r="L93" s="68" t="s">
        <v>70</v>
      </c>
      <c r="M93" s="141">
        <v>350</v>
      </c>
      <c r="N93" s="93"/>
      <c r="O93" s="68" t="s">
        <v>64</v>
      </c>
      <c r="P93" s="68">
        <v>30</v>
      </c>
      <c r="Q93" s="68">
        <v>40</v>
      </c>
      <c r="R93" s="68">
        <v>30</v>
      </c>
      <c r="S93" s="68">
        <v>40</v>
      </c>
      <c r="T93" s="68">
        <v>31</v>
      </c>
      <c r="U93" s="68">
        <v>41</v>
      </c>
      <c r="V93" s="917">
        <f t="shared" si="27"/>
        <v>38</v>
      </c>
      <c r="W93" s="917">
        <f t="shared" si="28"/>
        <v>48</v>
      </c>
      <c r="X93" s="68">
        <v>40</v>
      </c>
      <c r="Y93" s="68">
        <v>38</v>
      </c>
      <c r="Z93" s="68">
        <v>48</v>
      </c>
      <c r="AA93" s="952">
        <f t="shared" si="29"/>
        <v>12.666666666666666</v>
      </c>
      <c r="AB93" s="297">
        <f>AA93*Swiss1</f>
        <v>358.46666666666664</v>
      </c>
      <c r="AC93" s="67">
        <f t="shared" si="31"/>
        <v>8.36</v>
      </c>
      <c r="AD93" s="118">
        <f>Table1[[#This Row],[Substrate SF]]*Materials!C$37</f>
        <v>35.466666666666661</v>
      </c>
      <c r="AE93" s="278">
        <f>IF(Table1[[#This Row],[Work Center]]="SwissQ",Materials!G$37,IF(Table1[[#This Row],[Work Center]]="Inca",Materials!G$29,IF(Table1[[#This Row],[Work Center]]="Canon",Materials!G$49,Materials!G$45)))</f>
        <v>20</v>
      </c>
      <c r="AF93" s="73">
        <f>'Cali Frames'!D291</f>
        <v>117.0575</v>
      </c>
      <c r="AG93" s="126"/>
      <c r="AH93" s="278">
        <f t="shared" si="25"/>
        <v>17.5</v>
      </c>
      <c r="AI93" s="263"/>
      <c r="AJ93" s="278">
        <f t="shared" si="36"/>
        <v>198.38416666666666</v>
      </c>
      <c r="AK93" s="1001">
        <f t="shared" si="35"/>
        <v>0.43318809523809526</v>
      </c>
      <c r="AL93" s="240">
        <f>Table1[[#This Row],[WSP/Dealer]]/Table1[[#This Row],[OD Sq Inch]]</f>
        <v>0.27537372147915029</v>
      </c>
      <c r="AM93" s="170">
        <f>Table1[[#This Row],[OD Wdth]]*Table1[[#This Row],[OD Hgt]]</f>
        <v>1271</v>
      </c>
      <c r="AN93" s="84"/>
      <c r="AO93" s="84"/>
      <c r="AP93" s="84"/>
      <c r="AQ93" s="126"/>
      <c r="AR93" s="126"/>
      <c r="AS93" s="126"/>
      <c r="AT93" s="74"/>
      <c r="AU93" s="1357" t="str">
        <f t="shared" si="26"/>
        <v>-</v>
      </c>
    </row>
    <row r="94" spans="1:47" s="1427" customFormat="1" hidden="1" x14ac:dyDescent="0.2">
      <c r="A94" s="551" t="s">
        <v>318</v>
      </c>
      <c r="B94" s="1107" t="s">
        <v>111</v>
      </c>
      <c r="C94" s="805" t="s">
        <v>365</v>
      </c>
      <c r="D94" s="77"/>
      <c r="E94" s="653" t="s">
        <v>360</v>
      </c>
      <c r="F94" s="653" t="s">
        <v>361</v>
      </c>
      <c r="G94" s="551" t="s">
        <v>51</v>
      </c>
      <c r="H94" s="551" t="s">
        <v>51</v>
      </c>
      <c r="I94" s="551" t="s">
        <v>52</v>
      </c>
      <c r="J94" s="856" t="s">
        <v>53</v>
      </c>
      <c r="K94" s="551" t="s">
        <v>54</v>
      </c>
      <c r="L94" s="551" t="s">
        <v>55</v>
      </c>
      <c r="M94" s="857">
        <v>300</v>
      </c>
      <c r="N94" s="1167"/>
      <c r="O94" s="551" t="s">
        <v>64</v>
      </c>
      <c r="P94" s="551">
        <v>30</v>
      </c>
      <c r="Q94" s="551">
        <v>40</v>
      </c>
      <c r="R94" s="551">
        <v>30</v>
      </c>
      <c r="S94" s="551">
        <v>40</v>
      </c>
      <c r="T94" s="551">
        <v>30</v>
      </c>
      <c r="U94" s="551">
        <v>40</v>
      </c>
      <c r="V94" s="881">
        <f t="shared" si="27"/>
        <v>38</v>
      </c>
      <c r="W94" s="881">
        <f t="shared" si="28"/>
        <v>48</v>
      </c>
      <c r="X94" s="551">
        <v>40</v>
      </c>
      <c r="Y94" s="551">
        <v>38</v>
      </c>
      <c r="Z94" s="551">
        <v>48</v>
      </c>
      <c r="AA94" s="892">
        <f t="shared" si="29"/>
        <v>12.666666666666666</v>
      </c>
      <c r="AB94" s="184">
        <f>AA94*Swiss1</f>
        <v>358.46666666666664</v>
      </c>
      <c r="AC94" s="863">
        <f t="shared" si="31"/>
        <v>8.36</v>
      </c>
      <c r="AD94" s="121">
        <f>Table1[[#This Row],[Substrate SF]]*Materials!C$37</f>
        <v>35.466666666666661</v>
      </c>
      <c r="AE94" s="867">
        <f>IF(Table1[[#This Row],[Work Center]]="SwissQ",Materials!G$37,IF(Table1[[#This Row],[Work Center]]="Inca",Materials!G$29,IF(Table1[[#This Row],[Work Center]]="Canon",Materials!G$49,Materials!G$45)))</f>
        <v>20</v>
      </c>
      <c r="AF94" s="902">
        <f>'Cali FPS'!C48</f>
        <v>76.3</v>
      </c>
      <c r="AG94" s="864"/>
      <c r="AH94" s="867">
        <f t="shared" si="25"/>
        <v>15</v>
      </c>
      <c r="AI94" s="867"/>
      <c r="AJ94" s="867">
        <f t="shared" si="36"/>
        <v>155.12666666666667</v>
      </c>
      <c r="AK94" s="1163">
        <f t="shared" si="35"/>
        <v>0.48291111111111112</v>
      </c>
      <c r="AL94" s="895">
        <f>Table1[[#This Row],[WSP/Dealer]]/Table1[[#This Row],[OD Sq Inch]]</f>
        <v>0.25</v>
      </c>
      <c r="AM94" s="869">
        <f>Table1[[#This Row],[OD Wdth]]*Table1[[#This Row],[OD Hgt]]</f>
        <v>1200</v>
      </c>
      <c r="AN94" s="653"/>
      <c r="AO94" s="653"/>
      <c r="AP94" s="653"/>
      <c r="AQ94" s="864"/>
      <c r="AR94" s="864"/>
      <c r="AS94" s="864"/>
      <c r="AT94" s="863"/>
      <c r="AU94" s="1364" t="str">
        <f t="shared" si="26"/>
        <v>-</v>
      </c>
    </row>
    <row r="95" spans="1:47" s="170" customFormat="1" x14ac:dyDescent="0.2">
      <c r="A95" s="101" t="s">
        <v>58</v>
      </c>
      <c r="B95" s="101" t="s">
        <v>366</v>
      </c>
      <c r="C95" s="100" t="s">
        <v>367</v>
      </c>
      <c r="D95" s="100" t="s">
        <v>368</v>
      </c>
      <c r="E95" s="115" t="s">
        <v>369</v>
      </c>
      <c r="F95" s="115" t="s">
        <v>361</v>
      </c>
      <c r="G95" s="101" t="s">
        <v>370</v>
      </c>
      <c r="H95" s="101" t="s">
        <v>371</v>
      </c>
      <c r="I95" s="60" t="s">
        <v>52</v>
      </c>
      <c r="J95" s="59" t="s">
        <v>53</v>
      </c>
      <c r="K95" s="60" t="s">
        <v>69</v>
      </c>
      <c r="L95" s="101" t="s">
        <v>73</v>
      </c>
      <c r="M95" s="114">
        <v>715</v>
      </c>
      <c r="N95" s="114">
        <v>700</v>
      </c>
      <c r="O95" s="101" t="s">
        <v>56</v>
      </c>
      <c r="P95" s="60">
        <v>40</v>
      </c>
      <c r="Q95" s="60">
        <v>30</v>
      </c>
      <c r="R95" s="60">
        <v>30</v>
      </c>
      <c r="S95" s="273">
        <v>40</v>
      </c>
      <c r="T95" s="101">
        <v>41</v>
      </c>
      <c r="U95" s="697" t="str">
        <f>RIGHT(Table1[[#This Row],[OD]],2)</f>
        <v>31</v>
      </c>
      <c r="V95" s="608">
        <f t="shared" si="27"/>
        <v>48</v>
      </c>
      <c r="W95" s="608">
        <f t="shared" si="28"/>
        <v>38</v>
      </c>
      <c r="X95" s="101" t="s">
        <v>57</v>
      </c>
      <c r="Y95" s="101">
        <v>38</v>
      </c>
      <c r="Z95" s="101">
        <v>96</v>
      </c>
      <c r="AA95" s="649">
        <f t="shared" si="29"/>
        <v>12.666666666666666</v>
      </c>
      <c r="AB95" s="184">
        <f>AA95*IncaG</f>
        <v>266.50666666666666</v>
      </c>
      <c r="AC95" s="104">
        <f t="shared" si="31"/>
        <v>8.36</v>
      </c>
      <c r="AD95" s="120">
        <f>AA95*IncaC</f>
        <v>21.320533333333334</v>
      </c>
      <c r="AE95" s="121">
        <f>IF(Table1[[#This Row],[Work Center]]="SwissQ",Materials!G$37,IF(Table1[[#This Row],[Work Center]]="Inca",Materials!G$29,IF(Table1[[#This Row],[Work Center]]="Canon",Materials!G$49,Materials!G$45)))</f>
        <v>8</v>
      </c>
      <c r="AF95" s="102">
        <f>'Cali Frames'!D430</f>
        <v>108.955</v>
      </c>
      <c r="AG95" s="121"/>
      <c r="AH95" s="121">
        <f t="shared" si="25"/>
        <v>35.75</v>
      </c>
      <c r="AI95" s="121"/>
      <c r="AJ95" s="121">
        <f t="shared" si="36"/>
        <v>182.38553333333334</v>
      </c>
      <c r="AK95" s="830">
        <f t="shared" si="35"/>
        <v>0.74491533799533793</v>
      </c>
      <c r="AL95" s="121">
        <f>Table1[[#This Row],[WSP/Dealer]]/Table1[[#This Row],[OD Sq Inch]]</f>
        <v>0.56254917387883552</v>
      </c>
      <c r="AM95" s="115">
        <f>Table1[[#This Row],[OD Wdth]]*Table1[[#This Row],[OD Hgt]]</f>
        <v>1271</v>
      </c>
      <c r="AN95" s="115">
        <f>Table1[[#This Row],[Min VO]]+Table1[[#This Row],[Max VO]]</f>
        <v>70</v>
      </c>
      <c r="AO95" s="115"/>
      <c r="AP95" s="115"/>
      <c r="AQ95" s="121"/>
      <c r="AR95" s="104"/>
      <c r="AS95" s="104"/>
      <c r="AT95" s="104"/>
      <c r="AU95" s="1359" t="str">
        <f t="shared" si="26"/>
        <v>-</v>
      </c>
    </row>
    <row r="96" spans="1:47" s="170" customFormat="1" x14ac:dyDescent="0.2">
      <c r="A96" s="101" t="s">
        <v>58</v>
      </c>
      <c r="B96" s="1064" t="s">
        <v>96</v>
      </c>
      <c r="C96" s="76" t="s">
        <v>372</v>
      </c>
      <c r="D96" s="100"/>
      <c r="E96" s="83" t="s">
        <v>373</v>
      </c>
      <c r="F96" s="115" t="s">
        <v>374</v>
      </c>
      <c r="G96" s="101" t="s">
        <v>115</v>
      </c>
      <c r="H96" s="101" t="s">
        <v>115</v>
      </c>
      <c r="I96" s="60" t="s">
        <v>52</v>
      </c>
      <c r="J96" s="59" t="s">
        <v>53</v>
      </c>
      <c r="K96" s="60" t="s">
        <v>54</v>
      </c>
      <c r="L96" s="101" t="s">
        <v>55</v>
      </c>
      <c r="M96" s="114">
        <v>800</v>
      </c>
      <c r="N96" s="114">
        <v>830</v>
      </c>
      <c r="O96" s="101" t="s">
        <v>64</v>
      </c>
      <c r="P96" s="60">
        <v>48</v>
      </c>
      <c r="Q96" s="60">
        <v>48</v>
      </c>
      <c r="R96" s="60">
        <v>48</v>
      </c>
      <c r="S96" s="273">
        <v>48</v>
      </c>
      <c r="T96" s="60">
        <v>48</v>
      </c>
      <c r="U96" s="60">
        <v>48</v>
      </c>
      <c r="V96" s="946">
        <f>IF(J96="Canvas",P96+Materials!C$5,P96)</f>
        <v>55</v>
      </c>
      <c r="W96" s="608">
        <f>IF(J96="Canvas",Q96+Materials!C$5,Q96)</f>
        <v>55</v>
      </c>
      <c r="X96" s="101"/>
      <c r="Y96" s="101">
        <v>55</v>
      </c>
      <c r="Z96" s="101">
        <v>55</v>
      </c>
      <c r="AA96" s="649">
        <f t="shared" si="29"/>
        <v>21.006944444444443</v>
      </c>
      <c r="AB96" s="184">
        <f>AA96*Swiss1</f>
        <v>594.49652777777771</v>
      </c>
      <c r="AC96" s="104">
        <f t="shared" si="31"/>
        <v>13.864583333333332</v>
      </c>
      <c r="AD96" s="120">
        <f>Table1[[#This Row],[Substrate SF]]*Materials!C$37</f>
        <v>58.819444444444436</v>
      </c>
      <c r="AE96" s="121">
        <f>IF(Table1[[#This Row],[Work Center]]="SwissQ",Materials!G$37,IF(Table1[[#This Row],[Work Center]]="Inca",Materials!G$29,IF(Table1[[#This Row],[Work Center]]="Canon",Materials!G$49,Materials!G$45)))</f>
        <v>20</v>
      </c>
      <c r="AF96" s="102">
        <f>'Cali FPS'!C117</f>
        <v>119.7</v>
      </c>
      <c r="AG96" s="121"/>
      <c r="AH96" s="121">
        <f t="shared" si="25"/>
        <v>40</v>
      </c>
      <c r="AI96" s="121"/>
      <c r="AJ96" s="121">
        <f t="shared" si="36"/>
        <v>252.38402777777776</v>
      </c>
      <c r="AK96" s="830">
        <f t="shared" si="35"/>
        <v>0.68451996527777781</v>
      </c>
      <c r="AL96" s="121">
        <f>Table1[[#This Row],[WSP/Dealer]]/Table1[[#This Row],[OD Sq Inch]]</f>
        <v>0.34722222222222221</v>
      </c>
      <c r="AM96" s="113">
        <f>Table1[[#This Row],[OD Wdth]]*Table1[[#This Row],[OD Hgt]]</f>
        <v>2304</v>
      </c>
      <c r="AN96" s="115">
        <f>Table1[[#This Row],[Min VO]]+Table1[[#This Row],[Max VO]]</f>
        <v>96</v>
      </c>
      <c r="AO96" s="115"/>
      <c r="AP96" s="115"/>
      <c r="AQ96" s="121"/>
      <c r="AR96" s="121"/>
      <c r="AS96" s="121"/>
      <c r="AT96" s="104"/>
      <c r="AU96" s="1359" t="str">
        <f t="shared" si="26"/>
        <v>-</v>
      </c>
    </row>
    <row r="97" spans="1:47" s="170" customFormat="1" x14ac:dyDescent="0.2">
      <c r="A97" s="101" t="s">
        <v>58</v>
      </c>
      <c r="B97" s="1064" t="s">
        <v>96</v>
      </c>
      <c r="C97" s="76" t="s">
        <v>375</v>
      </c>
      <c r="D97" s="100"/>
      <c r="E97" s="83" t="s">
        <v>376</v>
      </c>
      <c r="F97" s="115" t="s">
        <v>374</v>
      </c>
      <c r="G97" s="101" t="s">
        <v>115</v>
      </c>
      <c r="H97" s="101" t="s">
        <v>115</v>
      </c>
      <c r="I97" s="60" t="s">
        <v>52</v>
      </c>
      <c r="J97" s="59" t="s">
        <v>53</v>
      </c>
      <c r="K97" s="60" t="s">
        <v>54</v>
      </c>
      <c r="L97" s="101" t="s">
        <v>55</v>
      </c>
      <c r="M97" s="114">
        <v>800</v>
      </c>
      <c r="N97" s="114">
        <v>830</v>
      </c>
      <c r="O97" s="101" t="s">
        <v>64</v>
      </c>
      <c r="P97" s="60">
        <v>48</v>
      </c>
      <c r="Q97" s="60">
        <v>48</v>
      </c>
      <c r="R97" s="60">
        <v>48</v>
      </c>
      <c r="S97" s="273">
        <v>48</v>
      </c>
      <c r="T97" s="60">
        <v>48</v>
      </c>
      <c r="U97" s="60">
        <v>48</v>
      </c>
      <c r="V97" s="946">
        <f>IF(J97="Canvas",P97+Materials!C$5,P97)</f>
        <v>55</v>
      </c>
      <c r="W97" s="608">
        <f>IF(J97="Canvas",Q97+Materials!C$5,Q97)</f>
        <v>55</v>
      </c>
      <c r="X97" s="101"/>
      <c r="Y97" s="101">
        <v>55</v>
      </c>
      <c r="Z97" s="101">
        <v>55</v>
      </c>
      <c r="AA97" s="649">
        <f t="shared" si="29"/>
        <v>21.006944444444443</v>
      </c>
      <c r="AB97" s="184">
        <f>AA97*Swiss1</f>
        <v>594.49652777777771</v>
      </c>
      <c r="AC97" s="104">
        <f t="shared" si="31"/>
        <v>13.864583333333332</v>
      </c>
      <c r="AD97" s="120">
        <f>Table1[[#This Row],[Substrate SF]]*Materials!C$37</f>
        <v>58.819444444444436</v>
      </c>
      <c r="AE97" s="121">
        <f>IF(Table1[[#This Row],[Work Center]]="SwissQ",Materials!G$37,IF(Table1[[#This Row],[Work Center]]="Inca",Materials!G$29,IF(Table1[[#This Row],[Work Center]]="Canon",Materials!G$49,Materials!G$45)))</f>
        <v>20</v>
      </c>
      <c r="AF97" s="102">
        <f>'Cali FPS'!C117</f>
        <v>119.7</v>
      </c>
      <c r="AG97" s="121"/>
      <c r="AH97" s="121">
        <f t="shared" ref="AH97:AH128" si="37">(M97*0.05)</f>
        <v>40</v>
      </c>
      <c r="AI97" s="121"/>
      <c r="AJ97" s="121">
        <f t="shared" si="36"/>
        <v>252.38402777777776</v>
      </c>
      <c r="AK97" s="830">
        <f t="shared" si="35"/>
        <v>0.68451996527777781</v>
      </c>
      <c r="AL97" s="121">
        <f>Table1[[#This Row],[WSP/Dealer]]/Table1[[#This Row],[OD Sq Inch]]</f>
        <v>0.34722222222222221</v>
      </c>
      <c r="AM97" s="115">
        <f>Table1[[#This Row],[OD Wdth]]*Table1[[#This Row],[OD Hgt]]</f>
        <v>2304</v>
      </c>
      <c r="AN97" s="115">
        <f>Table1[[#This Row],[Min VO]]+Table1[[#This Row],[Max VO]]</f>
        <v>96</v>
      </c>
      <c r="AO97" s="115"/>
      <c r="AP97" s="115"/>
      <c r="AQ97" s="121"/>
      <c r="AR97" s="121"/>
      <c r="AS97" s="121"/>
      <c r="AT97" s="104"/>
      <c r="AU97" s="1359" t="str">
        <f t="shared" si="26"/>
        <v>-</v>
      </c>
    </row>
    <row r="98" spans="1:47" s="170" customFormat="1" x14ac:dyDescent="0.2">
      <c r="A98" s="551" t="s">
        <v>58</v>
      </c>
      <c r="B98" s="1107" t="s">
        <v>310</v>
      </c>
      <c r="C98" s="805" t="s">
        <v>377</v>
      </c>
      <c r="D98" s="805"/>
      <c r="E98" s="653" t="s">
        <v>378</v>
      </c>
      <c r="F98" s="653" t="s">
        <v>308</v>
      </c>
      <c r="G98" s="551" t="s">
        <v>379</v>
      </c>
      <c r="H98" s="551" t="s">
        <v>379</v>
      </c>
      <c r="I98" s="551" t="s">
        <v>52</v>
      </c>
      <c r="J98" s="856" t="s">
        <v>53</v>
      </c>
      <c r="K98" s="551" t="s">
        <v>54</v>
      </c>
      <c r="L98" s="551" t="s">
        <v>55</v>
      </c>
      <c r="M98" s="896">
        <v>1120</v>
      </c>
      <c r="N98" s="896"/>
      <c r="O98" s="551" t="s">
        <v>56</v>
      </c>
      <c r="P98" s="551">
        <v>48</v>
      </c>
      <c r="Q98" s="551">
        <v>72</v>
      </c>
      <c r="R98" s="551">
        <v>48</v>
      </c>
      <c r="S98" s="984">
        <v>72</v>
      </c>
      <c r="T98" s="551">
        <v>48</v>
      </c>
      <c r="U98" s="551">
        <v>72</v>
      </c>
      <c r="V98" s="881">
        <f>IF(J98="Canvas",P98+Materials!C$5,P98)</f>
        <v>55</v>
      </c>
      <c r="W98" s="881">
        <f>IF(J98="Canvas",Q98+Materials!C$5,Q98)</f>
        <v>79</v>
      </c>
      <c r="X98" s="551">
        <v>80</v>
      </c>
      <c r="Y98" s="551">
        <v>55</v>
      </c>
      <c r="Z98" s="551">
        <v>79</v>
      </c>
      <c r="AA98" s="860">
        <f t="shared" si="29"/>
        <v>30.173611111111111</v>
      </c>
      <c r="AB98" s="861">
        <f>AA98*IncaG</f>
        <v>634.85277777777776</v>
      </c>
      <c r="AC98" s="863">
        <f t="shared" si="31"/>
        <v>19.914583333333333</v>
      </c>
      <c r="AD98" s="1550">
        <f>AA98*IncaC</f>
        <v>50.788222222222224</v>
      </c>
      <c r="AE98" s="864">
        <f>IF(Table1[[#This Row],[Work Center]]="SwissQ",Materials!G$37,IF(Table1[[#This Row],[Work Center]]="Inca",Materials!G$29,IF(Table1[[#This Row],[Work Center]]="Canon",Materials!G$49,Materials!G$45)))</f>
        <v>8</v>
      </c>
      <c r="AF98" s="71">
        <f>'Cali FPS'!C126</f>
        <v>189.88</v>
      </c>
      <c r="AG98" s="864"/>
      <c r="AH98" s="864">
        <f t="shared" si="37"/>
        <v>56</v>
      </c>
      <c r="AI98" s="864"/>
      <c r="AJ98" s="864">
        <f t="shared" si="36"/>
        <v>324.58280555555552</v>
      </c>
      <c r="AK98" s="1163">
        <f t="shared" si="35"/>
        <v>0.71019392361111111</v>
      </c>
      <c r="AL98" s="864">
        <f>Table1[[#This Row],[WSP/Dealer]]/Table1[[#This Row],[OD Sq Inch]]</f>
        <v>0.32407407407407407</v>
      </c>
      <c r="AM98" s="1545">
        <f>Table1[[#This Row],[OD Wdth]]*Table1[[#This Row],[OD Hgt]]</f>
        <v>3456</v>
      </c>
      <c r="AN98" s="653">
        <f>Table1[[#This Row],[Min VO]]+Table1[[#This Row],[Max VO]]</f>
        <v>120</v>
      </c>
      <c r="AO98" s="653"/>
      <c r="AP98" s="653"/>
      <c r="AQ98" s="864">
        <f>(Table1[[#This Row],[Desgnr/Retail P]]*0.05)</f>
        <v>0</v>
      </c>
      <c r="AR98" s="864" t="b">
        <f>IF(A98="Codarus",(AP98*0.13))</f>
        <v>0</v>
      </c>
      <c r="AS98" s="864" t="e" cm="1">
        <f t="array" ref="AS98">SUM(AC98:AG98+AQ+AR)</f>
        <v>#NAME?</v>
      </c>
      <c r="AT98" s="863" t="e">
        <f>(AP98-AS98)/AP98</f>
        <v>#NAME?</v>
      </c>
      <c r="AU98" s="1364" t="str">
        <f t="shared" si="26"/>
        <v>-</v>
      </c>
    </row>
    <row r="99" spans="1:47" s="170" customFormat="1" x14ac:dyDescent="0.2">
      <c r="A99" s="551" t="s">
        <v>58</v>
      </c>
      <c r="B99" s="1107" t="s">
        <v>310</v>
      </c>
      <c r="C99" s="805" t="s">
        <v>380</v>
      </c>
      <c r="D99" s="805"/>
      <c r="E99" s="653" t="s">
        <v>378</v>
      </c>
      <c r="F99" s="653" t="s">
        <v>308</v>
      </c>
      <c r="G99" s="551" t="s">
        <v>379</v>
      </c>
      <c r="H99" s="551" t="s">
        <v>381</v>
      </c>
      <c r="I99" s="551" t="s">
        <v>52</v>
      </c>
      <c r="J99" s="856" t="s">
        <v>53</v>
      </c>
      <c r="K99" s="551" t="s">
        <v>69</v>
      </c>
      <c r="L99" s="551" t="s">
        <v>70</v>
      </c>
      <c r="M99" s="896">
        <v>1300</v>
      </c>
      <c r="N99" s="896"/>
      <c r="O99" s="551" t="s">
        <v>56</v>
      </c>
      <c r="P99" s="551">
        <v>48</v>
      </c>
      <c r="Q99" s="551">
        <v>72</v>
      </c>
      <c r="R99" s="551">
        <v>48</v>
      </c>
      <c r="S99" s="984">
        <v>72</v>
      </c>
      <c r="T99" s="551">
        <v>49</v>
      </c>
      <c r="U99" s="551">
        <v>73</v>
      </c>
      <c r="V99" s="881">
        <f>IF(J99="Canvas",P99+Materials!C$5,P99)</f>
        <v>55</v>
      </c>
      <c r="W99" s="881">
        <f>IF(J99="Canvas",Q99+Materials!C$5,Q99)</f>
        <v>79</v>
      </c>
      <c r="X99" s="551">
        <v>80</v>
      </c>
      <c r="Y99" s="551">
        <v>55</v>
      </c>
      <c r="Z99" s="551">
        <v>79</v>
      </c>
      <c r="AA99" s="860">
        <f t="shared" si="29"/>
        <v>30.173611111111111</v>
      </c>
      <c r="AB99" s="861">
        <f>AA99*IncaG</f>
        <v>634.85277777777776</v>
      </c>
      <c r="AC99" s="863">
        <f t="shared" si="31"/>
        <v>19.914583333333333</v>
      </c>
      <c r="AD99" s="1550">
        <f>AA99*IncaC</f>
        <v>50.788222222222224</v>
      </c>
      <c r="AE99" s="864">
        <f>IF(Table1[[#This Row],[Work Center]]="SwissQ",Materials!G$37,IF(Table1[[#This Row],[Work Center]]="Inca",Materials!G$29,IF(Table1[[#This Row],[Work Center]]="Canon",Materials!G$49,Materials!G$45)))</f>
        <v>8</v>
      </c>
      <c r="AF99" s="71">
        <f>'Cali Frames'!D337</f>
        <v>263.8</v>
      </c>
      <c r="AG99" s="864"/>
      <c r="AH99" s="864">
        <f t="shared" si="37"/>
        <v>65</v>
      </c>
      <c r="AI99" s="864"/>
      <c r="AJ99" s="864">
        <f t="shared" si="36"/>
        <v>407.5028055555556</v>
      </c>
      <c r="AK99" s="1163">
        <f t="shared" si="35"/>
        <v>0.68653630341880334</v>
      </c>
      <c r="AL99" s="864">
        <f>Table1[[#This Row],[WSP/Dealer]]/Table1[[#This Row],[OD Sq Inch]]</f>
        <v>0.36343304445065699</v>
      </c>
      <c r="AM99" s="1545">
        <f>Table1[[#This Row],[OD Wdth]]*Table1[[#This Row],[OD Hgt]]</f>
        <v>3577</v>
      </c>
      <c r="AN99" s="653">
        <f>Table1[[#This Row],[Min VO]]+Table1[[#This Row],[Max VO]]</f>
        <v>120</v>
      </c>
      <c r="AO99" s="653"/>
      <c r="AP99" s="653"/>
      <c r="AQ99" s="864">
        <f>(Table1[[#This Row],[Desgnr/Retail P]]*0.05)</f>
        <v>0</v>
      </c>
      <c r="AR99" s="864" t="b">
        <f>IF(A99="Codarus",(AP99*0.13))</f>
        <v>0</v>
      </c>
      <c r="AS99" s="864" t="e" cm="1">
        <f t="array" ref="AS99">SUM(AC99:AG99+AQ+AR)</f>
        <v>#NAME?</v>
      </c>
      <c r="AT99" s="863" t="e">
        <f>(AP99-AS99)/AP99</f>
        <v>#NAME?</v>
      </c>
      <c r="AU99" s="1364" t="str">
        <f t="shared" si="26"/>
        <v>-</v>
      </c>
    </row>
    <row r="100" spans="1:47" s="170" customFormat="1" x14ac:dyDescent="0.2">
      <c r="A100" s="551" t="s">
        <v>58</v>
      </c>
      <c r="B100" s="1107" t="s">
        <v>310</v>
      </c>
      <c r="C100" s="805" t="s">
        <v>382</v>
      </c>
      <c r="D100" s="805"/>
      <c r="E100" s="653" t="s">
        <v>383</v>
      </c>
      <c r="F100" s="653" t="s">
        <v>308</v>
      </c>
      <c r="G100" s="551" t="s">
        <v>379</v>
      </c>
      <c r="H100" s="551" t="s">
        <v>379</v>
      </c>
      <c r="I100" s="551" t="s">
        <v>52</v>
      </c>
      <c r="J100" s="856" t="s">
        <v>53</v>
      </c>
      <c r="K100" s="551" t="s">
        <v>54</v>
      </c>
      <c r="L100" s="551" t="s">
        <v>55</v>
      </c>
      <c r="M100" s="896">
        <v>1120</v>
      </c>
      <c r="N100" s="896"/>
      <c r="O100" s="551" t="s">
        <v>56</v>
      </c>
      <c r="P100" s="551">
        <v>48</v>
      </c>
      <c r="Q100" s="551">
        <v>72</v>
      </c>
      <c r="R100" s="551">
        <v>48</v>
      </c>
      <c r="S100" s="984">
        <v>72</v>
      </c>
      <c r="T100" s="551">
        <v>48</v>
      </c>
      <c r="U100" s="551">
        <v>72</v>
      </c>
      <c r="V100" s="881">
        <f>IF(J100="Canvas",P100+Materials!C$5,P100)</f>
        <v>55</v>
      </c>
      <c r="W100" s="881">
        <f>IF(J100="Canvas",Q100+Materials!C$5,Q100)</f>
        <v>79</v>
      </c>
      <c r="X100" s="551">
        <v>80</v>
      </c>
      <c r="Y100" s="551">
        <v>55</v>
      </c>
      <c r="Z100" s="551">
        <v>79</v>
      </c>
      <c r="AA100" s="860">
        <f t="shared" si="29"/>
        <v>30.173611111111111</v>
      </c>
      <c r="AB100" s="861">
        <f>AA100*IncaG</f>
        <v>634.85277777777776</v>
      </c>
      <c r="AC100" s="863">
        <f t="shared" si="31"/>
        <v>19.914583333333333</v>
      </c>
      <c r="AD100" s="1550">
        <f>AA100*IncaC</f>
        <v>50.788222222222224</v>
      </c>
      <c r="AE100" s="864">
        <f>IF(Table1[[#This Row],[Work Center]]="SwissQ",Materials!G$37,IF(Table1[[#This Row],[Work Center]]="Inca",Materials!G$29,IF(Table1[[#This Row],[Work Center]]="Canon",Materials!G$49,Materials!G$45)))</f>
        <v>8</v>
      </c>
      <c r="AF100" s="71">
        <f>'Cali FPS'!C126</f>
        <v>189.88</v>
      </c>
      <c r="AG100" s="864"/>
      <c r="AH100" s="864">
        <f t="shared" si="37"/>
        <v>56</v>
      </c>
      <c r="AI100" s="864"/>
      <c r="AJ100" s="864">
        <f t="shared" si="36"/>
        <v>324.58280555555552</v>
      </c>
      <c r="AK100" s="1163">
        <f t="shared" si="35"/>
        <v>0.71019392361111111</v>
      </c>
      <c r="AL100" s="864">
        <f>Table1[[#This Row],[WSP/Dealer]]/Table1[[#This Row],[OD Sq Inch]]</f>
        <v>0.32407407407407407</v>
      </c>
      <c r="AM100" s="653">
        <f>Table1[[#This Row],[OD Wdth]]*Table1[[#This Row],[OD Hgt]]</f>
        <v>3456</v>
      </c>
      <c r="AN100" s="653">
        <f>Table1[[#This Row],[Min VO]]+Table1[[#This Row],[Max VO]]</f>
        <v>120</v>
      </c>
      <c r="AO100" s="653"/>
      <c r="AP100" s="653"/>
      <c r="AQ100" s="864">
        <f>(Table1[[#This Row],[Desgnr/Retail P]]*0.05)</f>
        <v>0</v>
      </c>
      <c r="AR100" s="864" t="b">
        <f>IF(A100="Codarus",(AP100*0.13))</f>
        <v>0</v>
      </c>
      <c r="AS100" s="864" t="e" cm="1">
        <f t="array" ref="AS100">SUM(AC100:AG100+AQ+AR)</f>
        <v>#NAME?</v>
      </c>
      <c r="AT100" s="863" t="e">
        <f>(AP100-AS100)/AP100</f>
        <v>#NAME?</v>
      </c>
      <c r="AU100" s="1364" t="str">
        <f t="shared" si="26"/>
        <v>-</v>
      </c>
    </row>
    <row r="101" spans="1:47" s="170" customFormat="1" x14ac:dyDescent="0.2">
      <c r="A101" s="60" t="s">
        <v>58</v>
      </c>
      <c r="B101" s="1106" t="s">
        <v>65</v>
      </c>
      <c r="C101" s="76" t="s">
        <v>384</v>
      </c>
      <c r="D101" s="76"/>
      <c r="E101" s="83" t="s">
        <v>385</v>
      </c>
      <c r="F101" s="83" t="s">
        <v>386</v>
      </c>
      <c r="G101" s="60" t="s">
        <v>115</v>
      </c>
      <c r="H101" s="60" t="s">
        <v>387</v>
      </c>
      <c r="I101" s="60" t="s">
        <v>52</v>
      </c>
      <c r="J101" s="59" t="s">
        <v>53</v>
      </c>
      <c r="K101" s="60" t="s">
        <v>82</v>
      </c>
      <c r="L101" s="60" t="s">
        <v>83</v>
      </c>
      <c r="M101" s="124">
        <v>970</v>
      </c>
      <c r="N101" s="124"/>
      <c r="O101" s="60" t="s">
        <v>64</v>
      </c>
      <c r="P101" s="60">
        <v>48</v>
      </c>
      <c r="Q101" s="60">
        <v>48</v>
      </c>
      <c r="R101" s="60">
        <v>48</v>
      </c>
      <c r="S101" s="273">
        <v>48</v>
      </c>
      <c r="T101" s="60">
        <v>50</v>
      </c>
      <c r="U101" s="273">
        <v>50</v>
      </c>
      <c r="V101" s="946">
        <f>IF(J101="Canvas",P101+Border,P101)</f>
        <v>56</v>
      </c>
      <c r="W101" s="946">
        <f>IF(J101="Canvas",Q101+Border,Q101)</f>
        <v>56</v>
      </c>
      <c r="X101" s="60">
        <v>59</v>
      </c>
      <c r="Y101" s="60">
        <v>56</v>
      </c>
      <c r="Z101" s="60">
        <v>56</v>
      </c>
      <c r="AA101" s="717">
        <f t="shared" si="29"/>
        <v>21.777777777777779</v>
      </c>
      <c r="AB101" s="125">
        <f>Table1[[#This Row],[Substrate SF]]*Swiss1</f>
        <v>616.31111111111113</v>
      </c>
      <c r="AC101" s="69">
        <f t="shared" si="31"/>
        <v>14.373333333333335</v>
      </c>
      <c r="AD101" s="448">
        <f>Table1[[#This Row],[Substrate SF]]*Materials!C$37</f>
        <v>60.977777777777774</v>
      </c>
      <c r="AE101" s="540">
        <f>IF(Table1[[#This Row],[Work Center]]="SwissQ",Materials!G$37,IF(Table1[[#This Row],[Work Center]]="Inca",Materials!G$29,IF(Table1[[#This Row],[Work Center]]="Canon",Materials!G$49,Materials!G$45)))</f>
        <v>20</v>
      </c>
      <c r="AF101" s="72">
        <f>'Cali Frames'!D152</f>
        <v>156.16999999999999</v>
      </c>
      <c r="AG101" s="540"/>
      <c r="AH101" s="540">
        <f t="shared" si="37"/>
        <v>48.5</v>
      </c>
      <c r="AI101" s="540"/>
      <c r="AJ101" s="540">
        <f t="shared" si="36"/>
        <v>300.02111111111111</v>
      </c>
      <c r="AK101" s="650">
        <f t="shared" si="35"/>
        <v>0.69069988545246275</v>
      </c>
      <c r="AL101" s="540">
        <f>Table1[[#This Row],[WSP/Dealer]]/Table1[[#This Row],[OD Sq Inch]]</f>
        <v>0.38800000000000001</v>
      </c>
      <c r="AM101" s="95">
        <f>Table1[[#This Row],[OD Wdth]]*Table1[[#This Row],[OD Hgt]]</f>
        <v>2500</v>
      </c>
      <c r="AN101" s="83">
        <f>Table1[[#This Row],[Min VO]]+Table1[[#This Row],[Max VO]]</f>
        <v>96</v>
      </c>
      <c r="AO101" s="83"/>
      <c r="AP101" s="1208"/>
      <c r="AQ101" s="540"/>
      <c r="AR101" s="278"/>
      <c r="AS101" s="1146"/>
      <c r="AT101" s="1147"/>
      <c r="AU101" s="1361" t="str">
        <f t="shared" si="26"/>
        <v>-</v>
      </c>
    </row>
    <row r="102" spans="1:47" s="170" customFormat="1" x14ac:dyDescent="0.2">
      <c r="A102" s="101" t="s">
        <v>58</v>
      </c>
      <c r="B102" s="101" t="s">
        <v>88</v>
      </c>
      <c r="C102" s="100" t="s">
        <v>388</v>
      </c>
      <c r="D102" s="100" t="s">
        <v>389</v>
      </c>
      <c r="E102" s="115" t="s">
        <v>390</v>
      </c>
      <c r="F102" s="115" t="s">
        <v>386</v>
      </c>
      <c r="G102" s="101" t="s">
        <v>391</v>
      </c>
      <c r="H102" s="101" t="s">
        <v>392</v>
      </c>
      <c r="I102" s="60" t="s">
        <v>52</v>
      </c>
      <c r="J102" s="59" t="s">
        <v>53</v>
      </c>
      <c r="K102" s="60" t="s">
        <v>82</v>
      </c>
      <c r="L102" s="101" t="s">
        <v>83</v>
      </c>
      <c r="M102" s="114">
        <v>1320</v>
      </c>
      <c r="N102" s="114">
        <v>1650</v>
      </c>
      <c r="O102" s="101" t="s">
        <v>64</v>
      </c>
      <c r="P102" s="60">
        <v>72</v>
      </c>
      <c r="Q102" s="60">
        <v>72</v>
      </c>
      <c r="R102" s="60">
        <v>72</v>
      </c>
      <c r="S102" s="273">
        <v>72</v>
      </c>
      <c r="T102" s="101">
        <v>74</v>
      </c>
      <c r="U102" s="697" t="str">
        <f>RIGHT(Table1[[#This Row],[OD]],2)</f>
        <v>74</v>
      </c>
      <c r="V102" s="608">
        <f>IF(J102="Canvas",P102+BorderL,P102)</f>
        <v>83</v>
      </c>
      <c r="W102" s="608">
        <f>IF(J102="Canvas",Q102+BorderL,Q102)</f>
        <v>83</v>
      </c>
      <c r="X102" s="101">
        <v>82</v>
      </c>
      <c r="Y102" s="101"/>
      <c r="Z102" s="101"/>
      <c r="AA102" s="649">
        <f t="shared" si="29"/>
        <v>47.840277777777779</v>
      </c>
      <c r="AB102" s="184">
        <f>Table1[[#This Row],[Substrate SF]]*Swiss1</f>
        <v>1353.8798611111113</v>
      </c>
      <c r="AC102" s="104">
        <f t="shared" si="31"/>
        <v>31.574583333333337</v>
      </c>
      <c r="AD102" s="120">
        <f>Table1[[#This Row],[Substrate SF]]*Materials!C$37</f>
        <v>133.95277777777778</v>
      </c>
      <c r="AE102" s="121">
        <f>IF(Table1[[#This Row],[Work Center]]="SwissQ",Materials!G$37,IF(Table1[[#This Row],[Work Center]]="Inca",Materials!G$29,IF(Table1[[#This Row],[Work Center]]="Canon",Materials!G$49,Materials!G$45)))</f>
        <v>20</v>
      </c>
      <c r="AF102" s="102">
        <f>'Cali Frames'!D171</f>
        <v>322.875</v>
      </c>
      <c r="AG102" s="121"/>
      <c r="AH102" s="121">
        <f t="shared" si="37"/>
        <v>66</v>
      </c>
      <c r="AI102" s="121"/>
      <c r="AJ102" s="121">
        <f t="shared" si="36"/>
        <v>574.40236111111108</v>
      </c>
      <c r="AK102" s="830">
        <f t="shared" si="35"/>
        <v>0.56484669612794614</v>
      </c>
      <c r="AL102" s="121">
        <f>Table1[[#This Row],[WSP/Dealer]]/Table1[[#This Row],[OD Sq Inch]]</f>
        <v>0.2410518626734843</v>
      </c>
      <c r="AM102" s="115">
        <f>Table1[[#This Row],[OD Wdth]]*Table1[[#This Row],[OD Hgt]]</f>
        <v>5476</v>
      </c>
      <c r="AN102" s="115">
        <f>Table1[[#This Row],[Min VO]]+Table1[[#This Row],[Max VO]]</f>
        <v>144</v>
      </c>
      <c r="AO102" s="115"/>
      <c r="AP102" s="115"/>
      <c r="AQ102" s="121"/>
      <c r="AR102" s="104"/>
      <c r="AS102" s="104"/>
      <c r="AT102" s="104"/>
      <c r="AU102" s="1359" t="str">
        <f t="shared" si="26"/>
        <v>-</v>
      </c>
    </row>
    <row r="103" spans="1:47" s="170" customFormat="1" hidden="1" x14ac:dyDescent="0.2">
      <c r="A103" s="101" t="s">
        <v>187</v>
      </c>
      <c r="B103" s="1109" t="s">
        <v>261</v>
      </c>
      <c r="C103" s="76" t="s">
        <v>393</v>
      </c>
      <c r="D103" s="168"/>
      <c r="E103" s="83" t="s">
        <v>394</v>
      </c>
      <c r="F103" s="115" t="s">
        <v>386</v>
      </c>
      <c r="G103" s="101" t="s">
        <v>395</v>
      </c>
      <c r="H103" s="101" t="s">
        <v>396</v>
      </c>
      <c r="I103" s="60" t="s">
        <v>108</v>
      </c>
      <c r="J103" s="59" t="s">
        <v>197</v>
      </c>
      <c r="K103" s="60" t="s">
        <v>198</v>
      </c>
      <c r="L103" s="101" t="s">
        <v>199</v>
      </c>
      <c r="M103" s="114">
        <v>120</v>
      </c>
      <c r="N103" s="114"/>
      <c r="O103" s="101" t="s">
        <v>64</v>
      </c>
      <c r="P103" s="60">
        <v>60</v>
      </c>
      <c r="Q103" s="60">
        <v>60</v>
      </c>
      <c r="R103" s="60">
        <v>60</v>
      </c>
      <c r="S103" s="273">
        <v>60</v>
      </c>
      <c r="T103" s="60">
        <v>60</v>
      </c>
      <c r="U103" s="60">
        <v>60</v>
      </c>
      <c r="V103" s="946">
        <f>Table1[[#This Row],[VO Wdth]]+Materials!$C$7</f>
        <v>62</v>
      </c>
      <c r="W103" s="608">
        <f>Table1[[#This Row],[VO Hgt]]+Materials!$C$7</f>
        <v>62</v>
      </c>
      <c r="X103" s="101" t="s">
        <v>197</v>
      </c>
      <c r="Y103" s="101"/>
      <c r="Z103" s="101"/>
      <c r="AA103" s="649">
        <f t="shared" si="29"/>
        <v>26.694444444444443</v>
      </c>
      <c r="AB103" s="184">
        <f>AA103*SWISSRML</f>
        <v>53.388888888888886</v>
      </c>
      <c r="AC103" s="104">
        <f>Table1[[#This Row],[Substrate SF]]*POster</f>
        <v>19.860666666666667</v>
      </c>
      <c r="AD103" s="121">
        <f>Table1[[#This Row],[Substrate SF]]*SWISSRC</f>
        <v>5.8727777777777774</v>
      </c>
      <c r="AE103" s="121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03" s="102">
        <v>0</v>
      </c>
      <c r="AG103" s="121">
        <f>Materials!D$76</f>
        <v>10.82</v>
      </c>
      <c r="AH103" s="121">
        <f t="shared" si="37"/>
        <v>6</v>
      </c>
      <c r="AI103" s="121"/>
      <c r="AJ103" s="121">
        <f t="shared" si="36"/>
        <v>52.553444444444445</v>
      </c>
      <c r="AK103" s="830">
        <f t="shared" si="35"/>
        <v>0.56205462962962971</v>
      </c>
      <c r="AL103" s="121">
        <f>Table1[[#This Row],[WSP/Dealer]]/Table1[[#This Row],[OD Sq Inch]]</f>
        <v>3.3333333333333333E-2</v>
      </c>
      <c r="AM103" s="115">
        <f>Table1[[#This Row],[OD Wdth]]*Table1[[#This Row],[OD Hgt]]</f>
        <v>3600</v>
      </c>
      <c r="AN103" s="115">
        <f>Table1[[#This Row],[Min VO]]+Table1[[#This Row],[Max VO]]</f>
        <v>120</v>
      </c>
      <c r="AO103" s="115"/>
      <c r="AP103" s="115"/>
      <c r="AQ103" s="121"/>
      <c r="AR103" s="104"/>
      <c r="AS103" s="104"/>
      <c r="AT103" s="104"/>
      <c r="AU103" s="1359" t="str">
        <f t="shared" si="26"/>
        <v>-</v>
      </c>
    </row>
    <row r="104" spans="1:47" s="170" customFormat="1" hidden="1" x14ac:dyDescent="0.2">
      <c r="A104" s="101" t="s">
        <v>187</v>
      </c>
      <c r="B104" s="1109" t="s">
        <v>261</v>
      </c>
      <c r="C104" s="78" t="s">
        <v>397</v>
      </c>
      <c r="D104" s="100"/>
      <c r="E104" s="84" t="s">
        <v>398</v>
      </c>
      <c r="F104" s="115" t="s">
        <v>386</v>
      </c>
      <c r="G104" s="101" t="s">
        <v>395</v>
      </c>
      <c r="H104" s="101" t="s">
        <v>396</v>
      </c>
      <c r="I104" s="60" t="s">
        <v>52</v>
      </c>
      <c r="J104" s="59" t="s">
        <v>53</v>
      </c>
      <c r="K104" s="60" t="s">
        <v>69</v>
      </c>
      <c r="L104" s="101" t="s">
        <v>70</v>
      </c>
      <c r="M104" s="114">
        <v>3300</v>
      </c>
      <c r="N104" s="114"/>
      <c r="O104" s="101" t="s">
        <v>64</v>
      </c>
      <c r="P104" s="60">
        <v>60</v>
      </c>
      <c r="Q104" s="60">
        <v>60</v>
      </c>
      <c r="R104" s="60">
        <v>60</v>
      </c>
      <c r="S104" s="273">
        <v>60</v>
      </c>
      <c r="T104" s="68">
        <v>61</v>
      </c>
      <c r="U104" s="623" t="str">
        <f>RIGHT(Table1[[#This Row],[OD]],2)</f>
        <v>61</v>
      </c>
      <c r="V104" s="917">
        <f>IF(J104="Canvas",P104+BorderL,P104)</f>
        <v>71</v>
      </c>
      <c r="W104" s="608">
        <f>IF(J104="Canvas",Q104+BorderL,Q104)</f>
        <v>71</v>
      </c>
      <c r="X104" s="101">
        <v>82</v>
      </c>
      <c r="Y104" s="101"/>
      <c r="Z104" s="101"/>
      <c r="AA104" s="649">
        <f t="shared" si="29"/>
        <v>35.006944444444443</v>
      </c>
      <c r="AB104" s="184">
        <f>Table1[[#This Row],[Substrate SF]]*Swiss1</f>
        <v>990.69652777777776</v>
      </c>
      <c r="AC104" s="104">
        <f t="shared" ref="AC104:AC111" si="38">AA104*Canvas</f>
        <v>23.104583333333334</v>
      </c>
      <c r="AD104" s="120">
        <f>Table1[[#This Row],[Substrate SF]]*Materials!C$37</f>
        <v>98.019444444444431</v>
      </c>
      <c r="AE104" s="121">
        <f>IF(Table1[[#This Row],[Work Center]]="SwissQ",Materials!G$37,IF(Table1[[#This Row],[Work Center]]="Inca",Materials!G$29,IF(Table1[[#This Row],[Work Center]]="Canon",Materials!G$49,Materials!G$45)))</f>
        <v>20</v>
      </c>
      <c r="AF104" s="102">
        <f>'Cali Frames'!D356</f>
        <v>340.48</v>
      </c>
      <c r="AG104" s="121"/>
      <c r="AH104" s="121">
        <f t="shared" si="37"/>
        <v>165</v>
      </c>
      <c r="AI104" s="120"/>
      <c r="AJ104" s="121">
        <f t="shared" si="36"/>
        <v>646.60402777777779</v>
      </c>
      <c r="AK104" s="830">
        <f t="shared" si="35"/>
        <v>0.80405938552188549</v>
      </c>
      <c r="AL104" s="121">
        <f>Table1[[#This Row],[WSP/Dealer]]/Table1[[#This Row],[OD Sq Inch]]</f>
        <v>0.88685837140553614</v>
      </c>
      <c r="AM104" s="113">
        <f>Table1[[#This Row],[OD Wdth]]*Table1[[#This Row],[OD Hgt]]</f>
        <v>3721</v>
      </c>
      <c r="AN104" s="115">
        <f>Table1[[#This Row],[Min VO]]+Table1[[#This Row],[Max VO]]</f>
        <v>120</v>
      </c>
      <c r="AO104" s="115"/>
      <c r="AP104" s="115"/>
      <c r="AQ104" s="121"/>
      <c r="AR104" s="104"/>
      <c r="AS104" s="104"/>
      <c r="AT104" s="104"/>
      <c r="AU104" s="1359" t="str">
        <f t="shared" si="26"/>
        <v>-</v>
      </c>
    </row>
    <row r="105" spans="1:47" s="170" customFormat="1" hidden="1" x14ac:dyDescent="0.2">
      <c r="A105" s="101" t="s">
        <v>187</v>
      </c>
      <c r="B105" s="1109" t="s">
        <v>261</v>
      </c>
      <c r="C105" s="78" t="s">
        <v>399</v>
      </c>
      <c r="D105" s="100"/>
      <c r="E105" s="84" t="s">
        <v>400</v>
      </c>
      <c r="F105" s="115" t="s">
        <v>386</v>
      </c>
      <c r="G105" s="101" t="s">
        <v>395</v>
      </c>
      <c r="H105" s="101" t="s">
        <v>395</v>
      </c>
      <c r="I105" s="60" t="s">
        <v>52</v>
      </c>
      <c r="J105" s="59" t="s">
        <v>53</v>
      </c>
      <c r="K105" s="60" t="s">
        <v>54</v>
      </c>
      <c r="L105" s="101" t="s">
        <v>55</v>
      </c>
      <c r="M105" s="114">
        <v>2850</v>
      </c>
      <c r="N105" s="114"/>
      <c r="O105" s="101" t="s">
        <v>64</v>
      </c>
      <c r="P105" s="60">
        <v>60</v>
      </c>
      <c r="Q105" s="60">
        <v>60</v>
      </c>
      <c r="R105" s="60">
        <v>60</v>
      </c>
      <c r="S105" s="273">
        <v>60</v>
      </c>
      <c r="T105" s="68">
        <v>60</v>
      </c>
      <c r="U105" s="623">
        <v>60</v>
      </c>
      <c r="V105" s="917">
        <f>IF(J105="Canvas",P105+BorderL,P105)</f>
        <v>71</v>
      </c>
      <c r="W105" s="608">
        <f>IF(J105="Canvas",Q105+BorderL,Q105)</f>
        <v>71</v>
      </c>
      <c r="X105" s="101">
        <v>82</v>
      </c>
      <c r="Y105" s="101"/>
      <c r="Z105" s="101"/>
      <c r="AA105" s="649">
        <f t="shared" si="29"/>
        <v>35.006944444444443</v>
      </c>
      <c r="AB105" s="184">
        <f>Table1[[#This Row],[Substrate SF]]*Swiss1</f>
        <v>990.69652777777776</v>
      </c>
      <c r="AC105" s="104">
        <f t="shared" si="38"/>
        <v>23.104583333333334</v>
      </c>
      <c r="AD105" s="121">
        <f>Table1[[#This Row],[Substrate SF]]*Materials!C$37</f>
        <v>98.019444444444431</v>
      </c>
      <c r="AE105" s="121">
        <f>IF(Table1[[#This Row],[Work Center]]="SwissQ",Materials!G$37,IF(Table1[[#This Row],[Work Center]]="Inca",Materials!G$29,IF(Table1[[#This Row],[Work Center]]="Canon",Materials!G$49,Materials!G$45)))</f>
        <v>20</v>
      </c>
      <c r="AF105" s="102">
        <f>'Cali FPS'!C$159</f>
        <v>251.8775</v>
      </c>
      <c r="AG105" s="115"/>
      <c r="AH105" s="121">
        <f t="shared" si="37"/>
        <v>142.5</v>
      </c>
      <c r="AI105" s="121"/>
      <c r="AJ105" s="121">
        <f t="shared" si="36"/>
        <v>535.50152777777771</v>
      </c>
      <c r="AK105" s="830">
        <f t="shared" si="35"/>
        <v>0.81210472709551662</v>
      </c>
      <c r="AL105" s="121">
        <f>Table1[[#This Row],[WSP/Dealer]]/Table1[[#This Row],[OD Sq Inch]]</f>
        <v>0.79166666666666663</v>
      </c>
      <c r="AM105" s="115">
        <f>Table1[[#This Row],[OD Wdth]]*Table1[[#This Row],[OD Hgt]]</f>
        <v>3600</v>
      </c>
      <c r="AN105" s="115">
        <f>Table1[[#This Row],[Min VO]]+Table1[[#This Row],[Max VO]]</f>
        <v>120</v>
      </c>
      <c r="AO105" s="115"/>
      <c r="AP105" s="115"/>
      <c r="AQ105" s="121"/>
      <c r="AR105" s="104"/>
      <c r="AS105" s="104"/>
      <c r="AT105" s="104"/>
      <c r="AU105" s="1359" t="str">
        <f t="shared" si="26"/>
        <v>-</v>
      </c>
    </row>
    <row r="106" spans="1:47" s="170" customFormat="1" hidden="1" x14ac:dyDescent="0.2">
      <c r="A106" s="101" t="s">
        <v>187</v>
      </c>
      <c r="B106" s="1109" t="s">
        <v>261</v>
      </c>
      <c r="C106" s="78" t="s">
        <v>401</v>
      </c>
      <c r="D106" s="100"/>
      <c r="E106" s="84" t="s">
        <v>402</v>
      </c>
      <c r="F106" s="115" t="s">
        <v>386</v>
      </c>
      <c r="G106" s="101" t="s">
        <v>395</v>
      </c>
      <c r="H106" s="101" t="s">
        <v>396</v>
      </c>
      <c r="I106" s="60" t="s">
        <v>52</v>
      </c>
      <c r="J106" s="59" t="s">
        <v>53</v>
      </c>
      <c r="K106" s="60" t="s">
        <v>69</v>
      </c>
      <c r="L106" s="101" t="s">
        <v>73</v>
      </c>
      <c r="M106" s="114">
        <v>3300</v>
      </c>
      <c r="N106" s="114"/>
      <c r="O106" s="101" t="s">
        <v>64</v>
      </c>
      <c r="P106" s="60">
        <v>60</v>
      </c>
      <c r="Q106" s="60">
        <v>60</v>
      </c>
      <c r="R106" s="60">
        <v>60</v>
      </c>
      <c r="S106" s="273">
        <v>60</v>
      </c>
      <c r="T106" s="68">
        <v>61</v>
      </c>
      <c r="U106" s="623" t="str">
        <f>RIGHT(Table1[[#This Row],[OD]],2)</f>
        <v>61</v>
      </c>
      <c r="V106" s="917">
        <f>IF(J106="Canvas",P106+BorderL,P106)</f>
        <v>71</v>
      </c>
      <c r="W106" s="608">
        <f>IF(J106="Canvas",Q106+BorderL,Q106)</f>
        <v>71</v>
      </c>
      <c r="X106" s="101">
        <v>82</v>
      </c>
      <c r="Y106" s="101"/>
      <c r="Z106" s="101"/>
      <c r="AA106" s="649">
        <f t="shared" si="29"/>
        <v>35.006944444444443</v>
      </c>
      <c r="AB106" s="184">
        <f>Table1[[#This Row],[Substrate SF]]*Swiss1</f>
        <v>990.69652777777776</v>
      </c>
      <c r="AC106" s="104">
        <f t="shared" si="38"/>
        <v>23.104583333333334</v>
      </c>
      <c r="AD106" s="121">
        <f>Table1[[#This Row],[Substrate SF]]*Materials!C$37</f>
        <v>98.019444444444431</v>
      </c>
      <c r="AE106" s="121">
        <f>IF(Table1[[#This Row],[Work Center]]="SwissQ",Materials!G$37,IF(Table1[[#This Row],[Work Center]]="Inca",Materials!G$29,IF(Table1[[#This Row],[Work Center]]="Canon",Materials!G$49,Materials!G$45)))</f>
        <v>20</v>
      </c>
      <c r="AF106" s="102">
        <f>'Cali Frames'!D488</f>
        <v>330.435</v>
      </c>
      <c r="AG106" s="121"/>
      <c r="AH106" s="121">
        <f t="shared" si="37"/>
        <v>165</v>
      </c>
      <c r="AI106" s="121"/>
      <c r="AJ106" s="121">
        <f t="shared" si="36"/>
        <v>636.55902777777783</v>
      </c>
      <c r="AK106" s="830">
        <f t="shared" si="35"/>
        <v>0.80710332491582493</v>
      </c>
      <c r="AL106" s="121">
        <f>Table1[[#This Row],[WSP/Dealer]]/Table1[[#This Row],[OD Sq Inch]]</f>
        <v>0.88685837140553614</v>
      </c>
      <c r="AM106" s="115">
        <f>Table1[[#This Row],[OD Wdth]]*Table1[[#This Row],[OD Hgt]]</f>
        <v>3721</v>
      </c>
      <c r="AN106" s="115">
        <f>Table1[[#This Row],[Min VO]]+Table1[[#This Row],[Max VO]]</f>
        <v>120</v>
      </c>
      <c r="AO106" s="115"/>
      <c r="AP106" s="115"/>
      <c r="AQ106" s="121"/>
      <c r="AR106" s="104"/>
      <c r="AS106" s="104"/>
      <c r="AT106" s="104"/>
      <c r="AU106" s="1359" t="str">
        <f t="shared" si="26"/>
        <v>-</v>
      </c>
    </row>
    <row r="107" spans="1:47" s="399" customFormat="1" hidden="1" x14ac:dyDescent="0.2">
      <c r="A107" s="400" t="s">
        <v>110</v>
      </c>
      <c r="B107" s="1653" t="s">
        <v>134</v>
      </c>
      <c r="C107" s="496" t="s">
        <v>403</v>
      </c>
      <c r="D107" s="496"/>
      <c r="E107" s="401" t="s">
        <v>404</v>
      </c>
      <c r="F107" s="401" t="s">
        <v>386</v>
      </c>
      <c r="G107" s="400" t="s">
        <v>115</v>
      </c>
      <c r="H107" s="400" t="s">
        <v>405</v>
      </c>
      <c r="I107" s="400" t="s">
        <v>52</v>
      </c>
      <c r="J107" s="497" t="s">
        <v>53</v>
      </c>
      <c r="K107" s="400" t="s">
        <v>54</v>
      </c>
      <c r="L107" s="400" t="s">
        <v>55</v>
      </c>
      <c r="M107" s="488">
        <v>600</v>
      </c>
      <c r="N107" s="832"/>
      <c r="O107" s="400" t="s">
        <v>56</v>
      </c>
      <c r="P107" s="400">
        <v>48</v>
      </c>
      <c r="Q107" s="400">
        <v>48</v>
      </c>
      <c r="R107" s="400">
        <v>48</v>
      </c>
      <c r="S107" s="1244">
        <v>48</v>
      </c>
      <c r="T107" s="400">
        <v>48</v>
      </c>
      <c r="U107" s="1244">
        <v>48</v>
      </c>
      <c r="V107" s="608">
        <f>IF(J107="Canvas",P107+Border,P107)</f>
        <v>56</v>
      </c>
      <c r="W107" s="608">
        <f>IF(J107="Canvas",Q107+Border,Q107)</f>
        <v>56</v>
      </c>
      <c r="X107" s="525">
        <v>59</v>
      </c>
      <c r="Y107" s="400">
        <v>59</v>
      </c>
      <c r="Z107" s="400">
        <v>59</v>
      </c>
      <c r="AA107" s="649">
        <f t="shared" si="29"/>
        <v>21.777777777777779</v>
      </c>
      <c r="AB107" s="184">
        <f>AA107*IncaG</f>
        <v>458.20444444444445</v>
      </c>
      <c r="AC107" s="104">
        <f t="shared" si="38"/>
        <v>14.373333333333335</v>
      </c>
      <c r="AD107" s="1066">
        <f>Table1[[#This Row],[Substrate SF]]*IncaC</f>
        <v>36.656355555555557</v>
      </c>
      <c r="AE107" s="406">
        <f>IF(Table1[[#This Row],[Work Center]]="SwissQ",Materials!G$37,IF(Table1[[#This Row],[Work Center]]="Inca",Materials!G$29,IF(Table1[[#This Row],[Work Center]]="Canon",Materials!G$49,Materials!G$45)))</f>
        <v>8</v>
      </c>
      <c r="AF107" s="403">
        <f>'Cali FPS'!C117</f>
        <v>119.7</v>
      </c>
      <c r="AG107" s="1000"/>
      <c r="AH107" s="406">
        <f t="shared" si="37"/>
        <v>30</v>
      </c>
      <c r="AI107" s="406">
        <f>IF(A107="Codarus",(M107*0.13))</f>
        <v>78</v>
      </c>
      <c r="AJ107" s="104">
        <f>SUM(AC107:AI107)</f>
        <v>286.72968888888886</v>
      </c>
      <c r="AK107" s="830">
        <f t="shared" si="35"/>
        <v>0.52211718518518524</v>
      </c>
      <c r="AL107" s="660">
        <f>Table1[[#This Row],[WSP/Dealer]]/Table1[[#This Row],[OD Sq Inch]]</f>
        <v>0.26041666666666669</v>
      </c>
      <c r="AM107" s="399">
        <f>Table1[[#This Row],[OD Wdth]]*Table1[[#This Row],[OD Hgt]]</f>
        <v>2304</v>
      </c>
      <c r="AN107" s="266">
        <f>Table1[[#This Row],[Min VO]]+Table1[[#This Row],[Max VO]]</f>
        <v>96</v>
      </c>
      <c r="AO107" s="401"/>
      <c r="AP107" s="1307">
        <f>(M107*2)</f>
        <v>1200</v>
      </c>
      <c r="AQ107" s="121">
        <f>(Table1[[#This Row],[Desgnr/Retail P]]*0.05)</f>
        <v>60</v>
      </c>
      <c r="AR107" s="121">
        <f>IF(A107="Codarus",(AP107*0.13))</f>
        <v>156</v>
      </c>
      <c r="AS107" s="121">
        <f>SUM(Table1[[#This Row],[Substrate $]:[GP FINISH]])+Table1[[#This Row],[Retail Royalty]]+Table1[[#This Row],[Retail$Comm]]</f>
        <v>394.72968888888886</v>
      </c>
      <c r="AT107" s="830">
        <f>IF(AP107=0,"-",(AP107-AS107)/AP107)</f>
        <v>0.6710585925925926</v>
      </c>
      <c r="AU107" s="1366">
        <f t="shared" si="26"/>
        <v>0.98881569012345671</v>
      </c>
    </row>
    <row r="108" spans="1:47" s="170" customFormat="1" x14ac:dyDescent="0.2">
      <c r="A108" s="101" t="s">
        <v>58</v>
      </c>
      <c r="B108" s="101" t="s">
        <v>406</v>
      </c>
      <c r="C108" s="100" t="s">
        <v>407</v>
      </c>
      <c r="D108" s="100" t="s">
        <v>408</v>
      </c>
      <c r="E108" s="115" t="s">
        <v>409</v>
      </c>
      <c r="F108" s="115" t="s">
        <v>150</v>
      </c>
      <c r="G108" s="101" t="s">
        <v>410</v>
      </c>
      <c r="H108" s="101" t="s">
        <v>410</v>
      </c>
      <c r="I108" s="60" t="s">
        <v>52</v>
      </c>
      <c r="J108" s="59" t="s">
        <v>53</v>
      </c>
      <c r="K108" s="60" t="s">
        <v>54</v>
      </c>
      <c r="L108" s="101" t="s">
        <v>55</v>
      </c>
      <c r="M108" s="114">
        <v>1127</v>
      </c>
      <c r="N108" s="114">
        <v>1250</v>
      </c>
      <c r="O108" s="101" t="s">
        <v>64</v>
      </c>
      <c r="P108" s="60">
        <v>54</v>
      </c>
      <c r="Q108" s="60">
        <v>72</v>
      </c>
      <c r="R108" s="60">
        <v>54</v>
      </c>
      <c r="S108" s="273">
        <v>72</v>
      </c>
      <c r="T108" s="697">
        <f>Table1[[#This Row],[VO Wdth]]</f>
        <v>54</v>
      </c>
      <c r="U108" s="697">
        <f>Table1[[#This Row],[VO Hgt]]</f>
        <v>72</v>
      </c>
      <c r="V108" s="608">
        <f>IF(J108="Canvas",P108+BorderGW,P108)</f>
        <v>62</v>
      </c>
      <c r="W108" s="608">
        <f>IF(J108="Canvas",Q108+BorderGW,Q108)</f>
        <v>80</v>
      </c>
      <c r="X108" s="101" t="s">
        <v>152</v>
      </c>
      <c r="Y108" s="101"/>
      <c r="Z108" s="101"/>
      <c r="AA108" s="649">
        <f t="shared" si="29"/>
        <v>34.444444444444443</v>
      </c>
      <c r="AB108" s="184">
        <f>Table1[[#This Row],[Substrate SF]]*Swiss1</f>
        <v>974.77777777777771</v>
      </c>
      <c r="AC108" s="104">
        <f t="shared" si="38"/>
        <v>22.733333333333334</v>
      </c>
      <c r="AD108" s="120">
        <f>Table1[[#This Row],[Substrate SF]]*Materials!C$37</f>
        <v>96.444444444444429</v>
      </c>
      <c r="AE108" s="121">
        <f>IF(Table1[[#This Row],[Work Center]]="SwissQ",Materials!G$37,IF(Table1[[#This Row],[Work Center]]="Inca",Materials!G$29,IF(Table1[[#This Row],[Work Center]]="Canon",Materials!G$49,Materials!G$45)))</f>
        <v>20</v>
      </c>
      <c r="AF108" s="102">
        <f>'Cali FPS'!C$144</f>
        <v>177.92250000000001</v>
      </c>
      <c r="AG108" s="115"/>
      <c r="AH108" s="121">
        <f t="shared" si="37"/>
        <v>56.35</v>
      </c>
      <c r="AI108" s="121"/>
      <c r="AJ108" s="121">
        <f>SUM(AC108:AH108)</f>
        <v>373.45027777777779</v>
      </c>
      <c r="AK108" s="830">
        <f t="shared" si="35"/>
        <v>0.66863329389726911</v>
      </c>
      <c r="AL108" s="121">
        <f>Table1[[#This Row],[WSP/Dealer]]/Table1[[#This Row],[OD Sq Inch]]</f>
        <v>0.28986625514403291</v>
      </c>
      <c r="AM108" s="113">
        <f>Table1[[#This Row],[OD Wdth]]*Table1[[#This Row],[OD Hgt]]</f>
        <v>3888</v>
      </c>
      <c r="AN108" s="115">
        <f>Table1[[#This Row],[Min VO]]+Table1[[#This Row],[Max VO]]</f>
        <v>126</v>
      </c>
      <c r="AO108" s="115"/>
      <c r="AP108" s="115"/>
      <c r="AQ108" s="121"/>
      <c r="AR108" s="104"/>
      <c r="AS108" s="104"/>
      <c r="AT108" s="104"/>
      <c r="AU108" s="1359" t="str">
        <f t="shared" si="26"/>
        <v>-</v>
      </c>
    </row>
    <row r="109" spans="1:47" s="173" customFormat="1" x14ac:dyDescent="0.2">
      <c r="A109" s="101" t="s">
        <v>58</v>
      </c>
      <c r="B109" s="101" t="s">
        <v>88</v>
      </c>
      <c r="C109" s="100" t="s">
        <v>411</v>
      </c>
      <c r="D109" s="100" t="s">
        <v>412</v>
      </c>
      <c r="E109" s="115" t="s">
        <v>409</v>
      </c>
      <c r="F109" s="115" t="s">
        <v>150</v>
      </c>
      <c r="G109" s="101" t="s">
        <v>410</v>
      </c>
      <c r="H109" s="101" t="s">
        <v>413</v>
      </c>
      <c r="I109" s="60" t="s">
        <v>52</v>
      </c>
      <c r="J109" s="59" t="s">
        <v>53</v>
      </c>
      <c r="K109" s="60" t="s">
        <v>82</v>
      </c>
      <c r="L109" s="101" t="s">
        <v>83</v>
      </c>
      <c r="M109" s="114">
        <v>1177</v>
      </c>
      <c r="N109" s="114">
        <v>1400</v>
      </c>
      <c r="O109" s="101" t="s">
        <v>64</v>
      </c>
      <c r="P109" s="60">
        <v>54</v>
      </c>
      <c r="Q109" s="60">
        <v>72</v>
      </c>
      <c r="R109" s="60">
        <v>54</v>
      </c>
      <c r="S109" s="273">
        <v>72</v>
      </c>
      <c r="T109" s="101">
        <v>56</v>
      </c>
      <c r="U109" s="101" t="str">
        <f>RIGHT(H109,2)</f>
        <v>74</v>
      </c>
      <c r="V109" s="608">
        <f>IF(J109="Canvas",P109+Border,P109)</f>
        <v>62</v>
      </c>
      <c r="W109" s="608">
        <f>IF(J109="Canvas",Q109+Border,Q109)</f>
        <v>80</v>
      </c>
      <c r="X109" s="101" t="s">
        <v>152</v>
      </c>
      <c r="Y109" s="101"/>
      <c r="Z109" s="101"/>
      <c r="AA109" s="649">
        <f t="shared" si="29"/>
        <v>34.444444444444443</v>
      </c>
      <c r="AB109" s="184">
        <f>Table1[[#This Row],[Substrate SF]]*Swiss1</f>
        <v>974.77777777777771</v>
      </c>
      <c r="AC109" s="104">
        <f t="shared" si="38"/>
        <v>22.733333333333334</v>
      </c>
      <c r="AD109" s="120">
        <f>Table1[[#This Row],[Substrate SF]]*Materials!C$37</f>
        <v>96.444444444444429</v>
      </c>
      <c r="AE109" s="121">
        <f>IF(Table1[[#This Row],[Work Center]]="SwissQ",Materials!G$37,IF(Table1[[#This Row],[Work Center]]="Inca",Materials!G$29,IF(Table1[[#This Row],[Work Center]]="Canon",Materials!G$49,Materials!G$45)))</f>
        <v>20</v>
      </c>
      <c r="AF109" s="102">
        <f>'Cali Frames'!D162</f>
        <v>313.91499999999996</v>
      </c>
      <c r="AG109" s="121"/>
      <c r="AH109" s="121">
        <f t="shared" si="37"/>
        <v>58.85</v>
      </c>
      <c r="AI109" s="121"/>
      <c r="AJ109" s="121">
        <f>SUM(AC109:AH109)</f>
        <v>511.94277777777774</v>
      </c>
      <c r="AK109" s="830">
        <f t="shared" si="35"/>
        <v>0.56504436892287357</v>
      </c>
      <c r="AL109" s="121">
        <f>Table1[[#This Row],[WSP/Dealer]]/Table1[[#This Row],[OD Sq Inch]]</f>
        <v>0.2840250965250965</v>
      </c>
      <c r="AM109" s="113">
        <f>Table1[[#This Row],[OD Wdth]]*Table1[[#This Row],[OD Hgt]]</f>
        <v>4144</v>
      </c>
      <c r="AN109" s="115">
        <f>Table1[[#This Row],[Min VO]]+Table1[[#This Row],[Max VO]]</f>
        <v>126</v>
      </c>
      <c r="AO109" s="115"/>
      <c r="AP109" s="115"/>
      <c r="AQ109" s="121"/>
      <c r="AR109" s="104"/>
      <c r="AS109" s="104"/>
      <c r="AT109" s="104"/>
      <c r="AU109" s="1359" t="str">
        <f t="shared" si="26"/>
        <v>-</v>
      </c>
    </row>
    <row r="110" spans="1:47" s="170" customFormat="1" x14ac:dyDescent="0.2">
      <c r="A110" s="101" t="s">
        <v>58</v>
      </c>
      <c r="B110" s="101" t="s">
        <v>406</v>
      </c>
      <c r="C110" s="100" t="s">
        <v>414</v>
      </c>
      <c r="D110" s="100" t="s">
        <v>415</v>
      </c>
      <c r="E110" s="115" t="s">
        <v>416</v>
      </c>
      <c r="F110" s="115" t="s">
        <v>150</v>
      </c>
      <c r="G110" s="101" t="s">
        <v>410</v>
      </c>
      <c r="H110" s="101" t="s">
        <v>410</v>
      </c>
      <c r="I110" s="60" t="s">
        <v>52</v>
      </c>
      <c r="J110" s="59" t="s">
        <v>53</v>
      </c>
      <c r="K110" s="60" t="s">
        <v>54</v>
      </c>
      <c r="L110" s="101" t="s">
        <v>55</v>
      </c>
      <c r="M110" s="114">
        <v>1127</v>
      </c>
      <c r="N110" s="114">
        <v>1250</v>
      </c>
      <c r="O110" s="101" t="s">
        <v>64</v>
      </c>
      <c r="P110" s="60">
        <v>54</v>
      </c>
      <c r="Q110" s="60">
        <v>72</v>
      </c>
      <c r="R110" s="60">
        <v>54</v>
      </c>
      <c r="S110" s="273">
        <v>72</v>
      </c>
      <c r="T110" s="697">
        <f>Table1[[#This Row],[VO Wdth]]</f>
        <v>54</v>
      </c>
      <c r="U110" s="697">
        <f>Table1[[#This Row],[VO Hgt]]</f>
        <v>72</v>
      </c>
      <c r="V110" s="608">
        <f>IF(J110="Canvas",P110+BorderGW,P110)</f>
        <v>62</v>
      </c>
      <c r="W110" s="608">
        <f>IF(J110="Canvas",Q110+BorderGW,Q110)</f>
        <v>80</v>
      </c>
      <c r="X110" s="101" t="s">
        <v>152</v>
      </c>
      <c r="Y110" s="101"/>
      <c r="Z110" s="101"/>
      <c r="AA110" s="649">
        <f t="shared" si="29"/>
        <v>34.444444444444443</v>
      </c>
      <c r="AB110" s="184">
        <f>Table1[[#This Row],[Substrate SF]]*Swiss1</f>
        <v>974.77777777777771</v>
      </c>
      <c r="AC110" s="104">
        <f t="shared" si="38"/>
        <v>22.733333333333334</v>
      </c>
      <c r="AD110" s="120">
        <f>Table1[[#This Row],[Substrate SF]]*Materials!C$37</f>
        <v>96.444444444444429</v>
      </c>
      <c r="AE110" s="121">
        <f>IF(Table1[[#This Row],[Work Center]]="SwissQ",Materials!G$37,IF(Table1[[#This Row],[Work Center]]="Inca",Materials!G$29,IF(Table1[[#This Row],[Work Center]]="Canon",Materials!G$49,Materials!G$45)))</f>
        <v>20</v>
      </c>
      <c r="AF110" s="102">
        <f>'Cali FPS'!C$144</f>
        <v>177.92250000000001</v>
      </c>
      <c r="AG110" s="115"/>
      <c r="AH110" s="121">
        <f t="shared" si="37"/>
        <v>56.35</v>
      </c>
      <c r="AI110" s="121"/>
      <c r="AJ110" s="121">
        <f>SUM(AC110:AH110)</f>
        <v>373.45027777777779</v>
      </c>
      <c r="AK110" s="830">
        <f t="shared" si="35"/>
        <v>0.66863329389726911</v>
      </c>
      <c r="AL110" s="121">
        <f>Table1[[#This Row],[WSP/Dealer]]/Table1[[#This Row],[OD Sq Inch]]</f>
        <v>0.28986625514403291</v>
      </c>
      <c r="AM110" s="113">
        <f>Table1[[#This Row],[OD Wdth]]*Table1[[#This Row],[OD Hgt]]</f>
        <v>3888</v>
      </c>
      <c r="AN110" s="115">
        <f>Table1[[#This Row],[Min VO]]+Table1[[#This Row],[Max VO]]</f>
        <v>126</v>
      </c>
      <c r="AO110" s="115"/>
      <c r="AP110" s="115"/>
      <c r="AQ110" s="121"/>
      <c r="AR110" s="104"/>
      <c r="AS110" s="104"/>
      <c r="AT110" s="104"/>
      <c r="AU110" s="1359" t="str">
        <f t="shared" si="26"/>
        <v>-</v>
      </c>
    </row>
    <row r="111" spans="1:47" s="170" customFormat="1" x14ac:dyDescent="0.2">
      <c r="A111" s="101" t="s">
        <v>58</v>
      </c>
      <c r="B111" s="101" t="s">
        <v>88</v>
      </c>
      <c r="C111" s="100" t="s">
        <v>417</v>
      </c>
      <c r="D111" s="100" t="s">
        <v>418</v>
      </c>
      <c r="E111" s="115" t="s">
        <v>416</v>
      </c>
      <c r="F111" s="115" t="s">
        <v>150</v>
      </c>
      <c r="G111" s="101" t="s">
        <v>410</v>
      </c>
      <c r="H111" s="101" t="s">
        <v>413</v>
      </c>
      <c r="I111" s="60" t="s">
        <v>52</v>
      </c>
      <c r="J111" s="59" t="s">
        <v>53</v>
      </c>
      <c r="K111" s="60" t="s">
        <v>82</v>
      </c>
      <c r="L111" s="101" t="s">
        <v>83</v>
      </c>
      <c r="M111" s="114">
        <v>1177</v>
      </c>
      <c r="N111" s="114">
        <v>1400</v>
      </c>
      <c r="O111" s="101" t="s">
        <v>64</v>
      </c>
      <c r="P111" s="60">
        <v>54</v>
      </c>
      <c r="Q111" s="60">
        <v>72</v>
      </c>
      <c r="R111" s="60">
        <v>54</v>
      </c>
      <c r="S111" s="273">
        <v>72</v>
      </c>
      <c r="T111" s="101">
        <v>56</v>
      </c>
      <c r="U111" s="101" t="str">
        <f>RIGHT(H111,2)</f>
        <v>74</v>
      </c>
      <c r="V111" s="106">
        <f>IF(J111="Canvas",P111+Border,P111)</f>
        <v>62</v>
      </c>
      <c r="W111" s="106">
        <f>IF(J111="Canvas",Q111+Border,Q111)</f>
        <v>80</v>
      </c>
      <c r="X111" s="101" t="s">
        <v>152</v>
      </c>
      <c r="Y111" s="101"/>
      <c r="Z111" s="101"/>
      <c r="AA111" s="649">
        <f t="shared" si="29"/>
        <v>34.444444444444443</v>
      </c>
      <c r="AB111" s="184">
        <f>Table1[[#This Row],[Substrate SF]]*Swiss1</f>
        <v>974.77777777777771</v>
      </c>
      <c r="AC111" s="104">
        <f t="shared" si="38"/>
        <v>22.733333333333334</v>
      </c>
      <c r="AD111" s="120">
        <f>Table1[[#This Row],[Substrate SF]]*Materials!C$37</f>
        <v>96.444444444444429</v>
      </c>
      <c r="AE111" s="121">
        <f>IF(Table1[[#This Row],[Work Center]]="SwissQ",Materials!G$37,IF(Table1[[#This Row],[Work Center]]="Inca",Materials!G$29,IF(Table1[[#This Row],[Work Center]]="Canon",Materials!G$49,Materials!G$45)))</f>
        <v>20</v>
      </c>
      <c r="AF111" s="102">
        <f>'Cali Frames'!D162</f>
        <v>313.91499999999996</v>
      </c>
      <c r="AG111" s="121"/>
      <c r="AH111" s="121">
        <f t="shared" si="37"/>
        <v>58.85</v>
      </c>
      <c r="AI111" s="121"/>
      <c r="AJ111" s="121">
        <f>SUM(AC111:AH111)</f>
        <v>511.94277777777774</v>
      </c>
      <c r="AK111" s="830">
        <f t="shared" si="35"/>
        <v>0.56504436892287357</v>
      </c>
      <c r="AL111" s="121">
        <f>Table1[[#This Row],[WSP/Dealer]]/Table1[[#This Row],[OD Sq Inch]]</f>
        <v>0.2840250965250965</v>
      </c>
      <c r="AM111" s="113">
        <f>Table1[[#This Row],[OD Wdth]]*Table1[[#This Row],[OD Hgt]]</f>
        <v>4144</v>
      </c>
      <c r="AN111" s="115">
        <f>Table1[[#This Row],[Min VO]]+Table1[[#This Row],[Max VO]]</f>
        <v>126</v>
      </c>
      <c r="AO111" s="115"/>
      <c r="AP111" s="115"/>
      <c r="AQ111" s="121"/>
      <c r="AR111" s="104"/>
      <c r="AS111" s="104"/>
      <c r="AT111" s="104"/>
      <c r="AU111" s="1359" t="str">
        <f t="shared" si="26"/>
        <v>-</v>
      </c>
    </row>
    <row r="112" spans="1:47" s="173" customFormat="1" hidden="1" x14ac:dyDescent="0.2">
      <c r="A112" s="101" t="s">
        <v>187</v>
      </c>
      <c r="B112" s="101" t="s">
        <v>188</v>
      </c>
      <c r="C112" s="78" t="s">
        <v>419</v>
      </c>
      <c r="D112" s="100"/>
      <c r="E112" s="84" t="s">
        <v>420</v>
      </c>
      <c r="F112" s="115" t="s">
        <v>150</v>
      </c>
      <c r="G112" s="101" t="s">
        <v>191</v>
      </c>
      <c r="H112" s="101"/>
      <c r="I112" s="60"/>
      <c r="J112" s="59"/>
      <c r="K112" s="60"/>
      <c r="L112" s="101"/>
      <c r="M112" s="114">
        <v>2950</v>
      </c>
      <c r="N112" s="114"/>
      <c r="O112" s="101"/>
      <c r="P112" s="60"/>
      <c r="Q112" s="60"/>
      <c r="R112" s="60"/>
      <c r="S112" s="273"/>
      <c r="T112" s="623"/>
      <c r="U112" s="623"/>
      <c r="V112" s="917"/>
      <c r="W112" s="608"/>
      <c r="X112" s="101"/>
      <c r="Y112" s="101"/>
      <c r="Z112" s="101"/>
      <c r="AA112" s="649"/>
      <c r="AB112" s="184"/>
      <c r="AC112" s="104"/>
      <c r="AD112" s="121"/>
      <c r="AE112" s="121"/>
      <c r="AF112" s="102"/>
      <c r="AG112" s="115"/>
      <c r="AH112" s="121">
        <f t="shared" si="37"/>
        <v>147.5</v>
      </c>
      <c r="AI112" s="121"/>
      <c r="AJ112" s="121"/>
      <c r="AK112" s="830">
        <f t="shared" ref="AK112:AK143" si="39">(M112-AJ112)/M112</f>
        <v>1</v>
      </c>
      <c r="AL112" s="121" t="e">
        <f>Table1[[#This Row],[WSP/Dealer]]/Table1[[#This Row],[OD Sq Inch]]</f>
        <v>#DIV/0!</v>
      </c>
      <c r="AM112" s="115"/>
      <c r="AN112" s="115"/>
      <c r="AO112" s="115"/>
      <c r="AP112" s="115"/>
      <c r="AQ112" s="121"/>
      <c r="AR112" s="121"/>
      <c r="AS112" s="121"/>
      <c r="AT112" s="104"/>
      <c r="AU112" s="1359" t="str">
        <f t="shared" si="26"/>
        <v>-</v>
      </c>
    </row>
    <row r="113" spans="1:53" s="173" customFormat="1" hidden="1" x14ac:dyDescent="0.2">
      <c r="A113" s="101" t="s">
        <v>187</v>
      </c>
      <c r="B113" s="101" t="s">
        <v>188</v>
      </c>
      <c r="C113" s="78" t="s">
        <v>421</v>
      </c>
      <c r="D113" s="100"/>
      <c r="E113" s="84" t="s">
        <v>420</v>
      </c>
      <c r="F113" s="115" t="s">
        <v>150</v>
      </c>
      <c r="G113" s="101" t="s">
        <v>191</v>
      </c>
      <c r="H113" s="101"/>
      <c r="I113" s="60"/>
      <c r="J113" s="59"/>
      <c r="K113" s="60"/>
      <c r="L113" s="101"/>
      <c r="M113" s="114">
        <v>2550</v>
      </c>
      <c r="N113" s="114"/>
      <c r="O113" s="101"/>
      <c r="P113" s="60"/>
      <c r="Q113" s="60"/>
      <c r="R113" s="60"/>
      <c r="S113" s="273"/>
      <c r="T113" s="623"/>
      <c r="U113" s="623"/>
      <c r="V113" s="917"/>
      <c r="W113" s="608"/>
      <c r="X113" s="101"/>
      <c r="Y113" s="101"/>
      <c r="Z113" s="101"/>
      <c r="AA113" s="649"/>
      <c r="AB113" s="184"/>
      <c r="AC113" s="104"/>
      <c r="AD113" s="121"/>
      <c r="AE113" s="121"/>
      <c r="AF113" s="102"/>
      <c r="AG113" s="115"/>
      <c r="AH113" s="121">
        <f t="shared" si="37"/>
        <v>127.5</v>
      </c>
      <c r="AI113" s="121"/>
      <c r="AJ113" s="121"/>
      <c r="AK113" s="830">
        <f t="shared" si="39"/>
        <v>1</v>
      </c>
      <c r="AL113" s="121" t="e">
        <f>Table1[[#This Row],[WSP/Dealer]]/Table1[[#This Row],[OD Sq Inch]]</f>
        <v>#DIV/0!</v>
      </c>
      <c r="AM113" s="115"/>
      <c r="AN113" s="115"/>
      <c r="AO113" s="115"/>
      <c r="AP113" s="115"/>
      <c r="AQ113" s="121"/>
      <c r="AR113" s="121"/>
      <c r="AS113" s="121"/>
      <c r="AT113" s="104"/>
      <c r="AU113" s="1359" t="str">
        <f t="shared" si="26"/>
        <v>-</v>
      </c>
    </row>
    <row r="114" spans="1:53" s="63" customFormat="1" hidden="1" x14ac:dyDescent="0.2">
      <c r="A114" s="101" t="s">
        <v>187</v>
      </c>
      <c r="B114" s="101" t="s">
        <v>188</v>
      </c>
      <c r="C114" s="78" t="s">
        <v>422</v>
      </c>
      <c r="D114" s="1745"/>
      <c r="E114" s="84" t="s">
        <v>420</v>
      </c>
      <c r="F114" s="115" t="s">
        <v>150</v>
      </c>
      <c r="G114" s="101" t="s">
        <v>191</v>
      </c>
      <c r="H114" s="101"/>
      <c r="I114" s="60"/>
      <c r="J114" s="59"/>
      <c r="K114" s="60"/>
      <c r="L114" s="101"/>
      <c r="M114" s="114">
        <v>2950</v>
      </c>
      <c r="N114" s="114"/>
      <c r="O114" s="101"/>
      <c r="P114" s="60"/>
      <c r="Q114" s="60"/>
      <c r="R114" s="60"/>
      <c r="S114" s="273"/>
      <c r="T114" s="623"/>
      <c r="U114" s="623"/>
      <c r="V114" s="917"/>
      <c r="W114" s="608"/>
      <c r="X114" s="101"/>
      <c r="Y114" s="101"/>
      <c r="Z114" s="101"/>
      <c r="AA114" s="649"/>
      <c r="AB114" s="184"/>
      <c r="AC114" s="104"/>
      <c r="AD114" s="121"/>
      <c r="AE114" s="121"/>
      <c r="AF114" s="102"/>
      <c r="AG114" s="115"/>
      <c r="AH114" s="121">
        <f t="shared" si="37"/>
        <v>147.5</v>
      </c>
      <c r="AI114" s="121"/>
      <c r="AJ114" s="121"/>
      <c r="AK114" s="830">
        <f t="shared" si="39"/>
        <v>1</v>
      </c>
      <c r="AL114" s="121" t="e">
        <f>Table1[[#This Row],[WSP/Dealer]]/Table1[[#This Row],[OD Sq Inch]]</f>
        <v>#DIV/0!</v>
      </c>
      <c r="AM114" s="115"/>
      <c r="AN114" s="115"/>
      <c r="AO114" s="115"/>
      <c r="AP114" s="115"/>
      <c r="AQ114" s="121"/>
      <c r="AR114" s="121"/>
      <c r="AS114" s="121"/>
      <c r="AT114" s="104"/>
      <c r="AU114" s="1359" t="str">
        <f t="shared" si="26"/>
        <v>-</v>
      </c>
    </row>
    <row r="115" spans="1:53" s="63" customFormat="1" hidden="1" x14ac:dyDescent="0.2">
      <c r="A115" s="101" t="s">
        <v>187</v>
      </c>
      <c r="B115" s="101" t="s">
        <v>188</v>
      </c>
      <c r="C115" s="78" t="s">
        <v>423</v>
      </c>
      <c r="D115" s="100"/>
      <c r="E115" s="84" t="s">
        <v>424</v>
      </c>
      <c r="F115" s="115" t="s">
        <v>150</v>
      </c>
      <c r="G115" s="101" t="s">
        <v>191</v>
      </c>
      <c r="H115" s="407" t="s">
        <v>191</v>
      </c>
      <c r="I115" s="60" t="s">
        <v>108</v>
      </c>
      <c r="J115" s="59" t="s">
        <v>197</v>
      </c>
      <c r="K115" s="60" t="s">
        <v>198</v>
      </c>
      <c r="L115" s="101" t="s">
        <v>199</v>
      </c>
      <c r="M115" s="114">
        <v>120</v>
      </c>
      <c r="N115" s="114"/>
      <c r="O115" s="101" t="s">
        <v>64</v>
      </c>
      <c r="P115" s="60">
        <v>48</v>
      </c>
      <c r="Q115" s="60">
        <v>60</v>
      </c>
      <c r="R115" s="60">
        <v>48</v>
      </c>
      <c r="S115" s="60">
        <v>60</v>
      </c>
      <c r="T115" s="68">
        <v>48</v>
      </c>
      <c r="U115" s="68">
        <v>60</v>
      </c>
      <c r="V115" s="66">
        <f>Table1[[#This Row],[VO Wdth]]+Materials!$C$7</f>
        <v>50</v>
      </c>
      <c r="W115" s="106">
        <f>Table1[[#This Row],[VO Hgt]]+Materials!$C$7</f>
        <v>62</v>
      </c>
      <c r="X115" s="101" t="s">
        <v>197</v>
      </c>
      <c r="Y115" s="101"/>
      <c r="Z115" s="101"/>
      <c r="AA115" s="649">
        <f t="shared" ref="AA115:AA127" si="40">V115*W115/144</f>
        <v>21.527777777777779</v>
      </c>
      <c r="AB115" s="184">
        <f>AA115*SWISSRML</f>
        <v>43.055555555555557</v>
      </c>
      <c r="AC115" s="104">
        <f>Table1[[#This Row],[Substrate SF]]*POster</f>
        <v>16.016666666666666</v>
      </c>
      <c r="AD115" s="120">
        <f>Table1[[#This Row],[Substrate SF]]*SWISSRC</f>
        <v>4.7361111111111116</v>
      </c>
      <c r="AE115" s="121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15" s="102">
        <v>0</v>
      </c>
      <c r="AG115" s="121">
        <f>Materials!D$76</f>
        <v>10.82</v>
      </c>
      <c r="AH115" s="120">
        <f t="shared" si="37"/>
        <v>6</v>
      </c>
      <c r="AI115" s="120"/>
      <c r="AJ115" s="121">
        <f t="shared" ref="AJ115:AJ125" si="41">SUM(AC115:AH115)</f>
        <v>47.572777777777773</v>
      </c>
      <c r="AK115" s="108">
        <f t="shared" si="39"/>
        <v>0.60356018518518517</v>
      </c>
      <c r="AL115" s="121">
        <f>Table1[[#This Row],[WSP/Dealer]]/Table1[[#This Row],[OD Sq Inch]]</f>
        <v>4.1666666666666664E-2</v>
      </c>
      <c r="AM115" s="113">
        <f>Table1[[#This Row],[OD Wdth]]*Table1[[#This Row],[OD Hgt]]</f>
        <v>2880</v>
      </c>
      <c r="AN115" s="115"/>
      <c r="AO115" s="115"/>
      <c r="AP115" s="115"/>
      <c r="AQ115" s="121"/>
      <c r="AR115" s="121"/>
      <c r="AS115" s="121"/>
      <c r="AT115" s="104"/>
      <c r="AU115" s="1359" t="str">
        <f t="shared" si="26"/>
        <v>-</v>
      </c>
    </row>
    <row r="116" spans="1:53" x14ac:dyDescent="0.2">
      <c r="A116" s="101" t="s">
        <v>58</v>
      </c>
      <c r="B116" s="101" t="s">
        <v>406</v>
      </c>
      <c r="C116" s="100" t="s">
        <v>425</v>
      </c>
      <c r="D116" s="100" t="s">
        <v>426</v>
      </c>
      <c r="E116" s="115" t="s">
        <v>427</v>
      </c>
      <c r="F116" s="115" t="s">
        <v>150</v>
      </c>
      <c r="G116" s="101" t="s">
        <v>410</v>
      </c>
      <c r="H116" s="101" t="s">
        <v>410</v>
      </c>
      <c r="I116" s="60" t="s">
        <v>52</v>
      </c>
      <c r="J116" s="59" t="s">
        <v>53</v>
      </c>
      <c r="K116" s="60" t="s">
        <v>54</v>
      </c>
      <c r="L116" s="101" t="s">
        <v>55</v>
      </c>
      <c r="M116" s="114">
        <v>1127</v>
      </c>
      <c r="N116" s="114">
        <v>1250</v>
      </c>
      <c r="O116" s="101" t="s">
        <v>64</v>
      </c>
      <c r="P116" s="60">
        <v>54</v>
      </c>
      <c r="Q116" s="60">
        <v>72</v>
      </c>
      <c r="R116" s="60">
        <v>54</v>
      </c>
      <c r="S116" s="273">
        <v>72</v>
      </c>
      <c r="T116" s="697">
        <f>Table1[[#This Row],[VO Wdth]]</f>
        <v>54</v>
      </c>
      <c r="U116" s="697">
        <f>Table1[[#This Row],[VO Hgt]]</f>
        <v>72</v>
      </c>
      <c r="V116" s="106">
        <f>IF(J116="Canvas",P116+BorderGW,P116)</f>
        <v>62</v>
      </c>
      <c r="W116" s="106">
        <f>IF(J116="Canvas",Q116+BorderGW,Q116)</f>
        <v>80</v>
      </c>
      <c r="X116" s="101" t="s">
        <v>152</v>
      </c>
      <c r="Y116" s="101"/>
      <c r="Z116" s="101"/>
      <c r="AA116" s="649">
        <f t="shared" si="40"/>
        <v>34.444444444444443</v>
      </c>
      <c r="AB116" s="184">
        <f>Table1[[#This Row],[Substrate SF]]*Swiss1</f>
        <v>974.77777777777771</v>
      </c>
      <c r="AC116" s="104">
        <f t="shared" ref="AC116:AC127" si="42">AA116*Canvas</f>
        <v>22.733333333333334</v>
      </c>
      <c r="AD116" s="120">
        <f>Table1[[#This Row],[Substrate SF]]*Materials!C$37</f>
        <v>96.444444444444429</v>
      </c>
      <c r="AE116" s="121">
        <f>IF(Table1[[#This Row],[Work Center]]="SwissQ",Materials!G$37,IF(Table1[[#This Row],[Work Center]]="Inca",Materials!G$29,IF(Table1[[#This Row],[Work Center]]="Canon",Materials!G$49,Materials!G$45)))</f>
        <v>20</v>
      </c>
      <c r="AF116" s="102">
        <f>'Cali FPS'!C$144</f>
        <v>177.92250000000001</v>
      </c>
      <c r="AG116" s="115"/>
      <c r="AH116" s="120">
        <f t="shared" si="37"/>
        <v>56.35</v>
      </c>
      <c r="AI116" s="120"/>
      <c r="AJ116" s="121">
        <f t="shared" si="41"/>
        <v>373.45027777777779</v>
      </c>
      <c r="AK116" s="108">
        <f t="shared" si="39"/>
        <v>0.66863329389726911</v>
      </c>
      <c r="AL116" s="121">
        <f>Table1[[#This Row],[WSP/Dealer]]/Table1[[#This Row],[OD Sq Inch]]</f>
        <v>0.28986625514403291</v>
      </c>
      <c r="AM116" s="113">
        <f>Table1[[#This Row],[OD Wdth]]*Table1[[#This Row],[OD Hgt]]</f>
        <v>3888</v>
      </c>
      <c r="AN116" s="115">
        <f>Table1[[#This Row],[Min VO]]+Table1[[#This Row],[Max VO]]</f>
        <v>126</v>
      </c>
      <c r="AO116" s="113"/>
      <c r="AP116" s="115"/>
      <c r="AQ116" s="121"/>
      <c r="AR116" s="104"/>
      <c r="AS116" s="104"/>
      <c r="AT116" s="104"/>
      <c r="AU116" s="1367" t="str">
        <f t="shared" si="26"/>
        <v>-</v>
      </c>
    </row>
    <row r="117" spans="1:53" s="218" customFormat="1" x14ac:dyDescent="0.2">
      <c r="A117" s="101" t="s">
        <v>58</v>
      </c>
      <c r="B117" s="101" t="s">
        <v>88</v>
      </c>
      <c r="C117" s="100" t="s">
        <v>428</v>
      </c>
      <c r="D117" s="1745" t="s">
        <v>429</v>
      </c>
      <c r="E117" s="115" t="s">
        <v>427</v>
      </c>
      <c r="F117" s="115" t="s">
        <v>150</v>
      </c>
      <c r="G117" s="101" t="s">
        <v>410</v>
      </c>
      <c r="H117" s="101" t="s">
        <v>413</v>
      </c>
      <c r="I117" s="60" t="s">
        <v>52</v>
      </c>
      <c r="J117" s="59" t="s">
        <v>53</v>
      </c>
      <c r="K117" s="60" t="s">
        <v>82</v>
      </c>
      <c r="L117" s="101" t="s">
        <v>83</v>
      </c>
      <c r="M117" s="114">
        <v>1177</v>
      </c>
      <c r="N117" s="114">
        <v>1400</v>
      </c>
      <c r="O117" s="101" t="s">
        <v>64</v>
      </c>
      <c r="P117" s="60">
        <v>54</v>
      </c>
      <c r="Q117" s="60">
        <v>72</v>
      </c>
      <c r="R117" s="60">
        <v>54</v>
      </c>
      <c r="S117" s="273">
        <v>72</v>
      </c>
      <c r="T117" s="101">
        <v>56</v>
      </c>
      <c r="U117" s="101" t="str">
        <f>RIGHT(H117,2)</f>
        <v>74</v>
      </c>
      <c r="V117" s="608">
        <f>IF(J117="Canvas",P117+Border,P117)</f>
        <v>62</v>
      </c>
      <c r="W117" s="608">
        <f>IF(J117="Canvas",Q117+Border,Q117)</f>
        <v>80</v>
      </c>
      <c r="X117" s="101" t="s">
        <v>152</v>
      </c>
      <c r="Y117" s="101"/>
      <c r="Z117" s="101"/>
      <c r="AA117" s="649">
        <f t="shared" si="40"/>
        <v>34.444444444444443</v>
      </c>
      <c r="AB117" s="184">
        <f>Table1[[#This Row],[Substrate SF]]*Swiss1</f>
        <v>974.77777777777771</v>
      </c>
      <c r="AC117" s="104">
        <f t="shared" si="42"/>
        <v>22.733333333333334</v>
      </c>
      <c r="AD117" s="120">
        <f>Table1[[#This Row],[Substrate SF]]*Materials!C$37</f>
        <v>96.444444444444429</v>
      </c>
      <c r="AE117" s="121">
        <f>IF(Table1[[#This Row],[Work Center]]="SwissQ",Materials!G$37,IF(Table1[[#This Row],[Work Center]]="Inca",Materials!G$29,IF(Table1[[#This Row],[Work Center]]="Canon",Materials!G$49,Materials!G$45)))</f>
        <v>20</v>
      </c>
      <c r="AF117" s="102">
        <f>'Cali Frames'!D162</f>
        <v>313.91499999999996</v>
      </c>
      <c r="AG117" s="121"/>
      <c r="AH117" s="121">
        <f t="shared" si="37"/>
        <v>58.85</v>
      </c>
      <c r="AI117" s="121"/>
      <c r="AJ117" s="121">
        <f t="shared" si="41"/>
        <v>511.94277777777774</v>
      </c>
      <c r="AK117" s="830">
        <f t="shared" si="39"/>
        <v>0.56504436892287357</v>
      </c>
      <c r="AL117" s="121">
        <f>Table1[[#This Row],[WSP/Dealer]]/Table1[[#This Row],[OD Sq Inch]]</f>
        <v>0.2840250965250965</v>
      </c>
      <c r="AM117" s="113">
        <f>Table1[[#This Row],[OD Wdth]]*Table1[[#This Row],[OD Hgt]]</f>
        <v>4144</v>
      </c>
      <c r="AN117" s="115">
        <f>Table1[[#This Row],[Min VO]]+Table1[[#This Row],[Max VO]]</f>
        <v>126</v>
      </c>
      <c r="AO117" s="115"/>
      <c r="AP117" s="115"/>
      <c r="AQ117" s="121"/>
      <c r="AR117" s="104"/>
      <c r="AS117" s="104"/>
      <c r="AT117" s="104"/>
      <c r="AU117" s="1359" t="str">
        <f t="shared" si="26"/>
        <v>-</v>
      </c>
    </row>
    <row r="118" spans="1:53" x14ac:dyDescent="0.2">
      <c r="A118" s="101" t="s">
        <v>58</v>
      </c>
      <c r="B118" s="101" t="s">
        <v>88</v>
      </c>
      <c r="C118" s="100" t="s">
        <v>430</v>
      </c>
      <c r="D118" s="1745" t="s">
        <v>431</v>
      </c>
      <c r="E118" s="115" t="s">
        <v>432</v>
      </c>
      <c r="F118" s="115" t="s">
        <v>150</v>
      </c>
      <c r="G118" s="101" t="s">
        <v>433</v>
      </c>
      <c r="H118" s="101" t="s">
        <v>434</v>
      </c>
      <c r="I118" s="60" t="s">
        <v>52</v>
      </c>
      <c r="J118" s="59" t="s">
        <v>53</v>
      </c>
      <c r="K118" s="60" t="s">
        <v>82</v>
      </c>
      <c r="L118" s="101" t="s">
        <v>83</v>
      </c>
      <c r="M118" s="114">
        <v>935</v>
      </c>
      <c r="N118" s="114">
        <v>1100</v>
      </c>
      <c r="O118" s="101" t="s">
        <v>64</v>
      </c>
      <c r="P118" s="60">
        <v>54</v>
      </c>
      <c r="Q118" s="60">
        <v>48</v>
      </c>
      <c r="R118" s="60">
        <v>48</v>
      </c>
      <c r="S118" s="61">
        <v>54</v>
      </c>
      <c r="T118" s="103">
        <v>56</v>
      </c>
      <c r="U118" s="103" t="str">
        <f>RIGHT(H118,2)</f>
        <v>50</v>
      </c>
      <c r="V118" s="106">
        <f>IF(J118="Canvas",P118+Border,P118)</f>
        <v>62</v>
      </c>
      <c r="W118" s="106">
        <f>IF(J118="Canvas",Q118+Border,Q118)</f>
        <v>56</v>
      </c>
      <c r="X118" s="101" t="s">
        <v>152</v>
      </c>
      <c r="Y118" s="101"/>
      <c r="Z118" s="101"/>
      <c r="AA118" s="649">
        <f t="shared" si="40"/>
        <v>24.111111111111111</v>
      </c>
      <c r="AB118" s="184">
        <f>Table1[[#This Row],[Substrate SF]]*Swiss1</f>
        <v>682.34444444444443</v>
      </c>
      <c r="AC118" s="104">
        <f t="shared" si="42"/>
        <v>15.913333333333334</v>
      </c>
      <c r="AD118" s="120">
        <f>Table1[[#This Row],[Substrate SF]]*Materials!C$37</f>
        <v>67.511111111111106</v>
      </c>
      <c r="AE118" s="121">
        <f>IF(Table1[[#This Row],[Work Center]]="SwissQ",Materials!G$37,IF(Table1[[#This Row],[Work Center]]="Inca",Materials!G$29,IF(Table1[[#This Row],[Work Center]]="Canon",Materials!G$49,Materials!G$45)))</f>
        <v>20</v>
      </c>
      <c r="AF118" s="102">
        <f>'Cali Frames'!D153</f>
        <v>230.80749999999998</v>
      </c>
      <c r="AG118" s="121"/>
      <c r="AH118" s="120">
        <f t="shared" si="37"/>
        <v>46.75</v>
      </c>
      <c r="AI118" s="120"/>
      <c r="AJ118" s="120">
        <f t="shared" si="41"/>
        <v>380.98194444444442</v>
      </c>
      <c r="AK118" s="108">
        <f t="shared" si="39"/>
        <v>0.59253267973856205</v>
      </c>
      <c r="AL118" s="121">
        <f>Table1[[#This Row],[WSP/Dealer]]/Table1[[#This Row],[OD Sq Inch]]</f>
        <v>0.33392857142857141</v>
      </c>
      <c r="AM118" s="113">
        <f>Table1[[#This Row],[OD Wdth]]*Table1[[#This Row],[OD Hgt]]</f>
        <v>2800</v>
      </c>
      <c r="AN118" s="115">
        <f>Table1[[#This Row],[Min VO]]+Table1[[#This Row],[Max VO]]</f>
        <v>102</v>
      </c>
      <c r="AO118" s="113"/>
      <c r="AP118" s="115"/>
      <c r="AQ118" s="121"/>
      <c r="AR118" s="104"/>
      <c r="AS118" s="104"/>
      <c r="AT118" s="104"/>
      <c r="AU118" s="1367" t="str">
        <f t="shared" si="26"/>
        <v>-</v>
      </c>
    </row>
    <row r="119" spans="1:53" s="63" customFormat="1" x14ac:dyDescent="0.2">
      <c r="A119" s="101" t="s">
        <v>58</v>
      </c>
      <c r="B119" s="101" t="s">
        <v>406</v>
      </c>
      <c r="C119" s="100" t="s">
        <v>435</v>
      </c>
      <c r="D119" s="1745" t="s">
        <v>436</v>
      </c>
      <c r="E119" s="115" t="s">
        <v>437</v>
      </c>
      <c r="F119" s="115" t="s">
        <v>150</v>
      </c>
      <c r="G119" s="101" t="s">
        <v>433</v>
      </c>
      <c r="H119" s="101" t="s">
        <v>433</v>
      </c>
      <c r="I119" s="60" t="s">
        <v>52</v>
      </c>
      <c r="J119" s="59" t="s">
        <v>53</v>
      </c>
      <c r="K119" s="60" t="s">
        <v>54</v>
      </c>
      <c r="L119" s="101" t="s">
        <v>55</v>
      </c>
      <c r="M119" s="114">
        <v>1127</v>
      </c>
      <c r="N119" s="114">
        <v>890</v>
      </c>
      <c r="O119" s="101" t="s">
        <v>64</v>
      </c>
      <c r="P119" s="60">
        <v>54</v>
      </c>
      <c r="Q119" s="60">
        <v>48</v>
      </c>
      <c r="R119" s="60">
        <v>48</v>
      </c>
      <c r="S119" s="273">
        <v>54</v>
      </c>
      <c r="T119" s="697">
        <f>Table1[[#This Row],[VO Wdth]]</f>
        <v>54</v>
      </c>
      <c r="U119" s="697">
        <f>Table1[[#This Row],[VO Hgt]]</f>
        <v>48</v>
      </c>
      <c r="V119" s="608">
        <f>IF(J119="Canvas",P119+BorderGW,P119)</f>
        <v>62</v>
      </c>
      <c r="W119" s="608">
        <f>IF(J119="Canvas",Q119+BorderGW,Q119)</f>
        <v>56</v>
      </c>
      <c r="X119" s="101" t="s">
        <v>152</v>
      </c>
      <c r="Y119" s="101"/>
      <c r="Z119" s="101"/>
      <c r="AA119" s="649">
        <f t="shared" si="40"/>
        <v>24.111111111111111</v>
      </c>
      <c r="AB119" s="184">
        <f>Table1[[#This Row],[Substrate SF]]*Swiss1</f>
        <v>682.34444444444443</v>
      </c>
      <c r="AC119" s="104">
        <f t="shared" si="42"/>
        <v>15.913333333333334</v>
      </c>
      <c r="AD119" s="120">
        <f>Table1[[#This Row],[Substrate SF]]*Materials!C$37</f>
        <v>67.511111111111106</v>
      </c>
      <c r="AE119" s="121">
        <f>IF(Table1[[#This Row],[Work Center]]="SwissQ",Materials!G$37,IF(Table1[[#This Row],[Work Center]]="Inca",Materials!G$29,IF(Table1[[#This Row],[Work Center]]="Canon",Materials!G$49,Materials!G$45)))</f>
        <v>20</v>
      </c>
      <c r="AF119" s="102">
        <f>'Cali FPS'!C$144</f>
        <v>177.92250000000001</v>
      </c>
      <c r="AG119" s="115"/>
      <c r="AH119" s="121">
        <f t="shared" si="37"/>
        <v>56.35</v>
      </c>
      <c r="AI119" s="121"/>
      <c r="AJ119" s="120">
        <f t="shared" si="41"/>
        <v>337.69694444444451</v>
      </c>
      <c r="AK119" s="830">
        <f t="shared" si="39"/>
        <v>0.7003576358079463</v>
      </c>
      <c r="AL119" s="121">
        <f>Table1[[#This Row],[WSP/Dealer]]/Table1[[#This Row],[OD Sq Inch]]</f>
        <v>0.4347993827160494</v>
      </c>
      <c r="AM119" s="113">
        <f>Table1[[#This Row],[OD Wdth]]*Table1[[#This Row],[OD Hgt]]</f>
        <v>2592</v>
      </c>
      <c r="AN119" s="115">
        <f>Table1[[#This Row],[Min VO]]+Table1[[#This Row],[Max VO]]</f>
        <v>102</v>
      </c>
      <c r="AO119" s="115"/>
      <c r="AP119" s="115"/>
      <c r="AQ119" s="121"/>
      <c r="AR119" s="104"/>
      <c r="AS119" s="104"/>
      <c r="AT119" s="104"/>
      <c r="AU119" s="1359" t="str">
        <f t="shared" si="26"/>
        <v>-</v>
      </c>
    </row>
    <row r="120" spans="1:53" s="228" customFormat="1" x14ac:dyDescent="0.2">
      <c r="A120" s="101" t="s">
        <v>58</v>
      </c>
      <c r="B120" s="101" t="s">
        <v>88</v>
      </c>
      <c r="C120" s="100" t="s">
        <v>438</v>
      </c>
      <c r="D120" s="100" t="s">
        <v>439</v>
      </c>
      <c r="E120" s="115" t="s">
        <v>437</v>
      </c>
      <c r="F120" s="115" t="s">
        <v>150</v>
      </c>
      <c r="G120" s="101" t="s">
        <v>433</v>
      </c>
      <c r="H120" s="101" t="s">
        <v>434</v>
      </c>
      <c r="I120" s="60" t="s">
        <v>52</v>
      </c>
      <c r="J120" s="59" t="s">
        <v>53</v>
      </c>
      <c r="K120" s="60" t="s">
        <v>82</v>
      </c>
      <c r="L120" s="101" t="s">
        <v>83</v>
      </c>
      <c r="M120" s="114">
        <v>935</v>
      </c>
      <c r="N120" s="114">
        <v>1100</v>
      </c>
      <c r="O120" s="101" t="s">
        <v>64</v>
      </c>
      <c r="P120" s="60">
        <v>54</v>
      </c>
      <c r="Q120" s="60">
        <v>48</v>
      </c>
      <c r="R120" s="60">
        <v>48</v>
      </c>
      <c r="S120" s="273">
        <v>54</v>
      </c>
      <c r="T120" s="101">
        <v>56</v>
      </c>
      <c r="U120" s="101" t="str">
        <f>RIGHT(H120,2)</f>
        <v>50</v>
      </c>
      <c r="V120" s="608">
        <f>IF(J120="Canvas",P120+Border,P120)</f>
        <v>62</v>
      </c>
      <c r="W120" s="608">
        <f>IF(J120="Canvas",Q120+Border,Q120)</f>
        <v>56</v>
      </c>
      <c r="X120" s="101" t="s">
        <v>152</v>
      </c>
      <c r="Y120" s="101"/>
      <c r="Z120" s="101"/>
      <c r="AA120" s="649">
        <f t="shared" si="40"/>
        <v>24.111111111111111</v>
      </c>
      <c r="AB120" s="184">
        <f>Table1[[#This Row],[Substrate SF]]*Swiss1</f>
        <v>682.34444444444443</v>
      </c>
      <c r="AC120" s="104">
        <f t="shared" si="42"/>
        <v>15.913333333333334</v>
      </c>
      <c r="AD120" s="120">
        <f>Table1[[#This Row],[Substrate SF]]*Materials!C$37</f>
        <v>67.511111111111106</v>
      </c>
      <c r="AE120" s="121">
        <f>IF(Table1[[#This Row],[Work Center]]="SwissQ",Materials!G$37,IF(Table1[[#This Row],[Work Center]]="Inca",Materials!G$29,IF(Table1[[#This Row],[Work Center]]="Canon",Materials!G$49,Materials!G$45)))</f>
        <v>20</v>
      </c>
      <c r="AF120" s="102">
        <f>'Cali Frames'!D153</f>
        <v>230.80749999999998</v>
      </c>
      <c r="AG120" s="121"/>
      <c r="AH120" s="121">
        <f t="shared" si="37"/>
        <v>46.75</v>
      </c>
      <c r="AI120" s="121"/>
      <c r="AJ120" s="121">
        <f t="shared" si="41"/>
        <v>380.98194444444442</v>
      </c>
      <c r="AK120" s="830">
        <f t="shared" si="39"/>
        <v>0.59253267973856205</v>
      </c>
      <c r="AL120" s="121">
        <f>Table1[[#This Row],[WSP/Dealer]]/Table1[[#This Row],[OD Sq Inch]]</f>
        <v>0.33392857142857141</v>
      </c>
      <c r="AM120" s="113">
        <f>Table1[[#This Row],[OD Wdth]]*Table1[[#This Row],[OD Hgt]]</f>
        <v>2800</v>
      </c>
      <c r="AN120" s="115">
        <f>Table1[[#This Row],[Min VO]]+Table1[[#This Row],[Max VO]]</f>
        <v>102</v>
      </c>
      <c r="AO120" s="115"/>
      <c r="AP120" s="115"/>
      <c r="AQ120" s="121"/>
      <c r="AR120" s="104"/>
      <c r="AS120" s="104"/>
      <c r="AT120" s="104"/>
      <c r="AU120" s="1359" t="str">
        <f t="shared" si="26"/>
        <v>-</v>
      </c>
    </row>
    <row r="121" spans="1:53" s="171" customFormat="1" x14ac:dyDescent="0.2">
      <c r="A121" s="101" t="s">
        <v>58</v>
      </c>
      <c r="B121" s="101" t="s">
        <v>406</v>
      </c>
      <c r="C121" s="100" t="s">
        <v>440</v>
      </c>
      <c r="D121" s="100" t="s">
        <v>441</v>
      </c>
      <c r="E121" s="115" t="s">
        <v>442</v>
      </c>
      <c r="F121" s="115" t="s">
        <v>150</v>
      </c>
      <c r="G121" s="101" t="s">
        <v>433</v>
      </c>
      <c r="H121" s="101" t="s">
        <v>433</v>
      </c>
      <c r="I121" s="60" t="s">
        <v>52</v>
      </c>
      <c r="J121" s="59" t="s">
        <v>53</v>
      </c>
      <c r="K121" s="60" t="s">
        <v>54</v>
      </c>
      <c r="L121" s="101" t="s">
        <v>55</v>
      </c>
      <c r="M121" s="114">
        <v>1127</v>
      </c>
      <c r="N121" s="114">
        <v>890</v>
      </c>
      <c r="O121" s="101" t="s">
        <v>64</v>
      </c>
      <c r="P121" s="60">
        <v>54</v>
      </c>
      <c r="Q121" s="60">
        <v>48</v>
      </c>
      <c r="R121" s="60">
        <v>48</v>
      </c>
      <c r="S121" s="273">
        <v>54</v>
      </c>
      <c r="T121" s="697">
        <f>Table1[[#This Row],[VO Wdth]]</f>
        <v>54</v>
      </c>
      <c r="U121" s="697">
        <f>Table1[[#This Row],[VO Hgt]]</f>
        <v>48</v>
      </c>
      <c r="V121" s="608">
        <f>IF(J121="Canvas",P121+BorderGW,P121)</f>
        <v>62</v>
      </c>
      <c r="W121" s="608">
        <f>IF(J121="Canvas",Q121+BorderGW,Q121)</f>
        <v>56</v>
      </c>
      <c r="X121" s="101" t="s">
        <v>152</v>
      </c>
      <c r="Y121" s="101"/>
      <c r="Z121" s="101"/>
      <c r="AA121" s="649">
        <f t="shared" si="40"/>
        <v>24.111111111111111</v>
      </c>
      <c r="AB121" s="184">
        <f>Table1[[#This Row],[Substrate SF]]*Swiss1</f>
        <v>682.34444444444443</v>
      </c>
      <c r="AC121" s="104">
        <f t="shared" si="42"/>
        <v>15.913333333333334</v>
      </c>
      <c r="AD121" s="120">
        <f>Table1[[#This Row],[Substrate SF]]*Materials!C$37</f>
        <v>67.511111111111106</v>
      </c>
      <c r="AE121" s="121">
        <f>IF(Table1[[#This Row],[Work Center]]="SwissQ",Materials!G$37,IF(Table1[[#This Row],[Work Center]]="Inca",Materials!G$29,IF(Table1[[#This Row],[Work Center]]="Canon",Materials!G$49,Materials!G$45)))</f>
        <v>20</v>
      </c>
      <c r="AF121" s="102">
        <f>'Cali FPS'!C$144</f>
        <v>177.92250000000001</v>
      </c>
      <c r="AG121" s="115"/>
      <c r="AH121" s="121">
        <f t="shared" si="37"/>
        <v>56.35</v>
      </c>
      <c r="AI121" s="120"/>
      <c r="AJ121" s="121">
        <f t="shared" si="41"/>
        <v>337.69694444444451</v>
      </c>
      <c r="AK121" s="830">
        <f t="shared" si="39"/>
        <v>0.7003576358079463</v>
      </c>
      <c r="AL121" s="121">
        <f>Table1[[#This Row],[WSP/Dealer]]/Table1[[#This Row],[OD Sq Inch]]</f>
        <v>0.4347993827160494</v>
      </c>
      <c r="AM121" s="113">
        <f>Table1[[#This Row],[OD Wdth]]*Table1[[#This Row],[OD Hgt]]</f>
        <v>2592</v>
      </c>
      <c r="AN121" s="115">
        <f>Table1[[#This Row],[Min VO]]+Table1[[#This Row],[Max VO]]</f>
        <v>102</v>
      </c>
      <c r="AO121" s="115"/>
      <c r="AP121" s="115"/>
      <c r="AQ121" s="121"/>
      <c r="AR121" s="104"/>
      <c r="AS121" s="104"/>
      <c r="AT121" s="104"/>
      <c r="AU121" s="1359" t="str">
        <f t="shared" si="26"/>
        <v>-</v>
      </c>
    </row>
    <row r="122" spans="1:53" s="103" customFormat="1" x14ac:dyDescent="0.2">
      <c r="A122" s="101" t="s">
        <v>58</v>
      </c>
      <c r="B122" s="101" t="s">
        <v>88</v>
      </c>
      <c r="C122" s="100" t="s">
        <v>443</v>
      </c>
      <c r="D122" s="100" t="s">
        <v>444</v>
      </c>
      <c r="E122" s="115" t="s">
        <v>442</v>
      </c>
      <c r="F122" s="115" t="s">
        <v>150</v>
      </c>
      <c r="G122" s="101" t="s">
        <v>433</v>
      </c>
      <c r="H122" s="101" t="s">
        <v>434</v>
      </c>
      <c r="I122" s="60" t="s">
        <v>52</v>
      </c>
      <c r="J122" s="59" t="s">
        <v>53</v>
      </c>
      <c r="K122" s="60" t="s">
        <v>82</v>
      </c>
      <c r="L122" s="101" t="s">
        <v>83</v>
      </c>
      <c r="M122" s="114">
        <v>935</v>
      </c>
      <c r="N122" s="114">
        <v>1100</v>
      </c>
      <c r="O122" s="101" t="s">
        <v>64</v>
      </c>
      <c r="P122" s="46">
        <v>54</v>
      </c>
      <c r="Q122" s="46">
        <v>48</v>
      </c>
      <c r="R122" s="60">
        <v>48</v>
      </c>
      <c r="S122" s="61">
        <v>54</v>
      </c>
      <c r="T122" s="103">
        <v>56</v>
      </c>
      <c r="U122" s="103" t="str">
        <f>RIGHT(H122,2)</f>
        <v>50</v>
      </c>
      <c r="V122" s="106">
        <f>IF(J122="Canvas",P122+Border,P122)</f>
        <v>62</v>
      </c>
      <c r="W122" s="106">
        <f>IF(J122="Canvas",Q122+Border,Q122)</f>
        <v>56</v>
      </c>
      <c r="X122" s="101" t="s">
        <v>152</v>
      </c>
      <c r="Y122" s="101"/>
      <c r="Z122" s="101"/>
      <c r="AA122" s="649">
        <f t="shared" si="40"/>
        <v>24.111111111111111</v>
      </c>
      <c r="AB122" s="184">
        <f>Table1[[#This Row],[Substrate SF]]*Swiss1</f>
        <v>682.34444444444443</v>
      </c>
      <c r="AC122" s="107">
        <f t="shared" si="42"/>
        <v>15.913333333333334</v>
      </c>
      <c r="AD122" s="120">
        <f>Table1[[#This Row],[Substrate SF]]*Materials!C$37</f>
        <v>67.511111111111106</v>
      </c>
      <c r="AE122" s="121">
        <f>IF(Table1[[#This Row],[Work Center]]="SwissQ",Materials!G$37,IF(Table1[[#This Row],[Work Center]]="Inca",Materials!G$29,IF(Table1[[#This Row],[Work Center]]="Canon",Materials!G$49,Materials!G$45)))</f>
        <v>20</v>
      </c>
      <c r="AF122" s="102">
        <f>'Cali Frames'!D153</f>
        <v>230.80749999999998</v>
      </c>
      <c r="AG122" s="121"/>
      <c r="AH122" s="120">
        <f t="shared" si="37"/>
        <v>46.75</v>
      </c>
      <c r="AI122" s="120"/>
      <c r="AJ122" s="121">
        <f t="shared" si="41"/>
        <v>380.98194444444442</v>
      </c>
      <c r="AK122" s="108">
        <f t="shared" si="39"/>
        <v>0.59253267973856205</v>
      </c>
      <c r="AL122" s="121">
        <f>Table1[[#This Row],[WSP/Dealer]]/Table1[[#This Row],[OD Sq Inch]]</f>
        <v>0.33392857142857141</v>
      </c>
      <c r="AM122" s="113">
        <f>Table1[[#This Row],[OD Wdth]]*Table1[[#This Row],[OD Hgt]]</f>
        <v>2800</v>
      </c>
      <c r="AN122" s="115">
        <f>Table1[[#This Row],[Min VO]]+Table1[[#This Row],[Max VO]]</f>
        <v>102</v>
      </c>
      <c r="AO122" s="113"/>
      <c r="AP122" s="115"/>
      <c r="AQ122" s="121"/>
      <c r="AR122" s="104"/>
      <c r="AS122" s="104"/>
      <c r="AT122" s="104"/>
      <c r="AU122" s="1367" t="str">
        <f t="shared" si="26"/>
        <v>-</v>
      </c>
    </row>
    <row r="123" spans="1:53" s="1164" customFormat="1" x14ac:dyDescent="0.2">
      <c r="A123" s="400" t="s">
        <v>58</v>
      </c>
      <c r="B123" s="1322" t="s">
        <v>445</v>
      </c>
      <c r="C123" s="496" t="s">
        <v>446</v>
      </c>
      <c r="D123" s="496"/>
      <c r="E123" s="401" t="s">
        <v>447</v>
      </c>
      <c r="F123" s="401" t="s">
        <v>448</v>
      </c>
      <c r="G123" s="400" t="s">
        <v>449</v>
      </c>
      <c r="H123" s="400" t="s">
        <v>449</v>
      </c>
      <c r="I123" s="400" t="s">
        <v>52</v>
      </c>
      <c r="J123" s="497" t="s">
        <v>53</v>
      </c>
      <c r="K123" s="400" t="s">
        <v>54</v>
      </c>
      <c r="L123" s="400" t="s">
        <v>55</v>
      </c>
      <c r="M123" s="488">
        <v>525</v>
      </c>
      <c r="N123" s="639">
        <v>580</v>
      </c>
      <c r="O123" s="400" t="s">
        <v>56</v>
      </c>
      <c r="P123" s="400">
        <v>36</v>
      </c>
      <c r="Q123" s="400">
        <v>36</v>
      </c>
      <c r="R123" s="400">
        <v>36</v>
      </c>
      <c r="S123" s="400">
        <v>36</v>
      </c>
      <c r="T123" s="400">
        <v>36</v>
      </c>
      <c r="U123" s="400">
        <v>36</v>
      </c>
      <c r="V123" s="918">
        <f>IF(J123="Canvas",P123+BorderGW,P123)</f>
        <v>44</v>
      </c>
      <c r="W123" s="918">
        <f>IF(J123="Canvas",Q123+BorderGW,Q123)</f>
        <v>44</v>
      </c>
      <c r="X123" s="525">
        <v>53</v>
      </c>
      <c r="Y123" s="400">
        <v>44</v>
      </c>
      <c r="Z123" s="400">
        <v>44</v>
      </c>
      <c r="AA123" s="724">
        <f t="shared" si="40"/>
        <v>13.444444444444445</v>
      </c>
      <c r="AB123" s="633">
        <f>AA123*IncaG</f>
        <v>282.87111111111108</v>
      </c>
      <c r="AC123" s="406">
        <f t="shared" si="42"/>
        <v>8.8733333333333331</v>
      </c>
      <c r="AD123" s="406">
        <f>AA123*IncaC</f>
        <v>22.629688888888889</v>
      </c>
      <c r="AE123" s="406">
        <f>IF(Table1[[#This Row],[Work Center]]="SwissQ",Materials!G$37,IF(Table1[[#This Row],[Work Center]]="Inca",Materials!G$29,IF(Table1[[#This Row],[Work Center]]="Canon",Materials!G$49,Materials!G$45)))</f>
        <v>8</v>
      </c>
      <c r="AF123" s="403">
        <f>'Cali FPS'!C67</f>
        <v>83.46</v>
      </c>
      <c r="AG123" s="401"/>
      <c r="AH123" s="498">
        <f t="shared" si="37"/>
        <v>26.25</v>
      </c>
      <c r="AI123" s="498"/>
      <c r="AJ123" s="406">
        <f t="shared" si="41"/>
        <v>149.21302222222221</v>
      </c>
      <c r="AK123" s="650">
        <f t="shared" si="39"/>
        <v>0.71578471957671963</v>
      </c>
      <c r="AL123" s="225">
        <f>Table1[[#This Row],[WSP/Dealer]]/Table1[[#This Row],[OD Sq Inch]]</f>
        <v>0.40509259259259262</v>
      </c>
      <c r="AM123" s="400">
        <f>Table1[[#This Row],[OD Wdth]]*Table1[[#This Row],[OD Hgt]]</f>
        <v>1296</v>
      </c>
      <c r="AN123" s="400">
        <f>Table1[[#This Row],[Min VO]]+Table1[[#This Row],[Max VO]]</f>
        <v>72</v>
      </c>
      <c r="AO123" s="401"/>
      <c r="AP123" s="401"/>
      <c r="AQ123" s="1000"/>
      <c r="AR123" s="1000"/>
      <c r="AS123" s="1000"/>
      <c r="AT123" s="406"/>
      <c r="AU123" s="1366" t="str">
        <f t="shared" si="26"/>
        <v>-</v>
      </c>
    </row>
    <row r="124" spans="1:53" s="868" customFormat="1" x14ac:dyDescent="0.2">
      <c r="A124" s="101" t="s">
        <v>58</v>
      </c>
      <c r="B124" s="101" t="s">
        <v>450</v>
      </c>
      <c r="C124" s="719" t="s">
        <v>451</v>
      </c>
      <c r="D124" s="719" t="s">
        <v>452</v>
      </c>
      <c r="E124" s="115" t="s">
        <v>453</v>
      </c>
      <c r="F124" s="115" t="s">
        <v>454</v>
      </c>
      <c r="G124" s="530" t="s">
        <v>115</v>
      </c>
      <c r="H124" s="530" t="s">
        <v>115</v>
      </c>
      <c r="I124" s="101" t="s">
        <v>52</v>
      </c>
      <c r="J124" s="487" t="s">
        <v>53</v>
      </c>
      <c r="K124" s="101" t="s">
        <v>54</v>
      </c>
      <c r="L124" s="101" t="s">
        <v>55</v>
      </c>
      <c r="M124" s="102">
        <v>750</v>
      </c>
      <c r="N124" s="639">
        <v>830</v>
      </c>
      <c r="O124" s="101" t="s">
        <v>64</v>
      </c>
      <c r="P124" s="697">
        <v>48</v>
      </c>
      <c r="Q124" s="697">
        <v>48</v>
      </c>
      <c r="R124" s="101">
        <v>48</v>
      </c>
      <c r="S124" s="697">
        <v>48</v>
      </c>
      <c r="T124" s="697">
        <f>Table1[[#This Row],[VO Wdth]]</f>
        <v>48</v>
      </c>
      <c r="U124" s="697">
        <f>Table1[[#This Row],[VO Hgt]]</f>
        <v>48</v>
      </c>
      <c r="V124" s="106">
        <f>IF(J124="Canvas",P124+BorderGW,P124)</f>
        <v>56</v>
      </c>
      <c r="W124" s="106">
        <f>IF(J124="Canvas",Q124+BorderGW,Q124)</f>
        <v>56</v>
      </c>
      <c r="X124" s="137" t="s">
        <v>152</v>
      </c>
      <c r="Y124" s="101"/>
      <c r="Z124" s="101"/>
      <c r="AA124" s="649">
        <f t="shared" si="40"/>
        <v>21.777777777777779</v>
      </c>
      <c r="AB124" s="184">
        <f>Table1[[#This Row],[Substrate SF]]*Swiss1</f>
        <v>616.31111111111113</v>
      </c>
      <c r="AC124" s="104">
        <f t="shared" si="42"/>
        <v>14.373333333333335</v>
      </c>
      <c r="AD124" s="107">
        <f>Table1[[#This Row],[Substrate SF]]*Materials!C$37</f>
        <v>60.977777777777774</v>
      </c>
      <c r="AE124" s="104">
        <f>IF(Table1[[#This Row],[Work Center]]="SwissQ",Materials!G$37,IF(Table1[[#This Row],[Work Center]]="Inca",Materials!G$29,IF(Table1[[#This Row],[Work Center]]="Canon",Materials!G$49,Materials!G$45)))</f>
        <v>20</v>
      </c>
      <c r="AF124" s="104">
        <f>'Cali FPS'!C$117</f>
        <v>119.7</v>
      </c>
      <c r="AG124" s="115"/>
      <c r="AH124" s="112">
        <f t="shared" si="37"/>
        <v>37.5</v>
      </c>
      <c r="AI124" s="112"/>
      <c r="AJ124" s="107">
        <f t="shared" si="41"/>
        <v>252.55111111111111</v>
      </c>
      <c r="AK124" s="62">
        <f t="shared" si="39"/>
        <v>0.66326518518518518</v>
      </c>
      <c r="AL124" s="225">
        <f>Table1[[#This Row],[WSP/Dealer]]/Table1[[#This Row],[OD Sq Inch]]</f>
        <v>0.32552083333333331</v>
      </c>
      <c r="AM124" s="103">
        <f>Table1[[#This Row],[OD Wdth]]*Table1[[#This Row],[OD Hgt]]</f>
        <v>2304</v>
      </c>
      <c r="AN124" s="266">
        <f>Table1[[#This Row],[Min VO]]+Table1[[#This Row],[Max VO]]</f>
        <v>96</v>
      </c>
      <c r="AO124" s="101"/>
      <c r="AP124" s="101"/>
      <c r="AQ124" s="104"/>
      <c r="AR124" s="104"/>
      <c r="AS124" s="104"/>
      <c r="AT124" s="104"/>
      <c r="AU124" s="830" t="str">
        <f t="shared" si="26"/>
        <v>-</v>
      </c>
    </row>
    <row r="125" spans="1:53" hidden="1" x14ac:dyDescent="0.2">
      <c r="A125" s="400" t="s">
        <v>95</v>
      </c>
      <c r="B125" s="1322" t="s">
        <v>96</v>
      </c>
      <c r="C125" s="719" t="s">
        <v>455</v>
      </c>
      <c r="D125" s="719"/>
      <c r="E125" s="115" t="s">
        <v>456</v>
      </c>
      <c r="F125" s="115" t="s">
        <v>131</v>
      </c>
      <c r="G125" s="530" t="s">
        <v>370</v>
      </c>
      <c r="H125" s="530" t="s">
        <v>371</v>
      </c>
      <c r="I125" s="101" t="s">
        <v>52</v>
      </c>
      <c r="J125" s="487" t="s">
        <v>53</v>
      </c>
      <c r="K125" s="101" t="s">
        <v>69</v>
      </c>
      <c r="L125" s="101" t="s">
        <v>70</v>
      </c>
      <c r="M125" s="299">
        <v>650</v>
      </c>
      <c r="N125" s="102"/>
      <c r="O125" s="101" t="s">
        <v>64</v>
      </c>
      <c r="P125" s="697">
        <v>40</v>
      </c>
      <c r="Q125" s="697">
        <v>30</v>
      </c>
      <c r="R125" s="101">
        <v>30</v>
      </c>
      <c r="S125" s="697">
        <v>40</v>
      </c>
      <c r="T125" s="697">
        <v>41</v>
      </c>
      <c r="U125" s="697">
        <v>31</v>
      </c>
      <c r="V125" s="106">
        <f>IF(J125="Canvas",P125+Border,P125)</f>
        <v>48</v>
      </c>
      <c r="W125" s="106">
        <f>IF(J125="Canvas",Q125+Border,Q125)</f>
        <v>38</v>
      </c>
      <c r="X125" s="137">
        <v>40</v>
      </c>
      <c r="Y125" s="101">
        <v>48</v>
      </c>
      <c r="Z125" s="101">
        <v>38</v>
      </c>
      <c r="AA125" s="649">
        <f t="shared" si="40"/>
        <v>12.666666666666666</v>
      </c>
      <c r="AB125" s="184">
        <f>AA125*Swiss1</f>
        <v>358.46666666666664</v>
      </c>
      <c r="AC125" s="104">
        <f t="shared" si="42"/>
        <v>8.36</v>
      </c>
      <c r="AD125" s="107">
        <f>Table1[[#This Row],[Substrate SF]]*Materials!C$37</f>
        <v>35.466666666666661</v>
      </c>
      <c r="AE125" s="104">
        <f>IF(Table1[[#This Row],[Work Center]]="SwissQ",Materials!G$37,IF(Table1[[#This Row],[Work Center]]="Inca",Materials!G$29,IF(Table1[[#This Row],[Work Center]]="Canon",Materials!G$49,Materials!G$45)))</f>
        <v>20</v>
      </c>
      <c r="AF125" s="102">
        <f>'Cali Frames'!D291</f>
        <v>117.0575</v>
      </c>
      <c r="AG125" s="115"/>
      <c r="AH125" s="107">
        <f t="shared" si="37"/>
        <v>32.5</v>
      </c>
      <c r="AI125" s="107"/>
      <c r="AJ125" s="104">
        <f t="shared" si="41"/>
        <v>213.38416666666666</v>
      </c>
      <c r="AK125" s="108">
        <f t="shared" si="39"/>
        <v>0.67171666666666663</v>
      </c>
      <c r="AL125" s="660">
        <f>Table1[[#This Row],[WSP/Dealer]]/Table1[[#This Row],[OD Sq Inch]]</f>
        <v>0.51140833988985046</v>
      </c>
      <c r="AM125" s="229">
        <f>Table1[[#This Row],[OD Wdth]]*Table1[[#This Row],[OD Hgt]]</f>
        <v>1271</v>
      </c>
      <c r="AN125" s="266">
        <f>Table1[[#This Row],[Min VO]]+Table1[[#This Row],[Max VO]]</f>
        <v>70</v>
      </c>
      <c r="AO125" s="115"/>
      <c r="AP125" s="115"/>
      <c r="AQ125" s="121"/>
      <c r="AR125" s="121"/>
      <c r="AS125" s="121"/>
      <c r="AT125" s="104"/>
      <c r="AU125" s="1359" t="str">
        <f t="shared" si="26"/>
        <v>-</v>
      </c>
    </row>
    <row r="126" spans="1:53" hidden="1" x14ac:dyDescent="0.2">
      <c r="A126" s="400" t="s">
        <v>110</v>
      </c>
      <c r="B126" s="1322" t="s">
        <v>134</v>
      </c>
      <c r="C126" s="719" t="s">
        <v>457</v>
      </c>
      <c r="D126" s="719"/>
      <c r="E126" s="115" t="s">
        <v>456</v>
      </c>
      <c r="F126" s="115" t="s">
        <v>131</v>
      </c>
      <c r="G126" s="530" t="s">
        <v>370</v>
      </c>
      <c r="H126" s="530" t="s">
        <v>370</v>
      </c>
      <c r="I126" s="101" t="s">
        <v>52</v>
      </c>
      <c r="J126" s="487" t="s">
        <v>53</v>
      </c>
      <c r="K126" s="101" t="s">
        <v>54</v>
      </c>
      <c r="L126" s="101" t="s">
        <v>55</v>
      </c>
      <c r="M126" s="299">
        <v>800</v>
      </c>
      <c r="N126" s="114"/>
      <c r="O126" s="101" t="s">
        <v>56</v>
      </c>
      <c r="P126" s="116">
        <v>40</v>
      </c>
      <c r="Q126" s="116">
        <v>30</v>
      </c>
      <c r="R126" s="101">
        <v>30</v>
      </c>
      <c r="S126" s="116">
        <v>40</v>
      </c>
      <c r="T126" s="116">
        <v>40</v>
      </c>
      <c r="U126" s="116">
        <v>30</v>
      </c>
      <c r="V126" s="106">
        <f>IF(J126="Canvas",P126+Border,P126)</f>
        <v>48</v>
      </c>
      <c r="W126" s="106">
        <f>IF(J126="Canvas",Q126+Border,Q126)</f>
        <v>38</v>
      </c>
      <c r="X126" s="137">
        <v>53</v>
      </c>
      <c r="Y126" s="101">
        <v>51</v>
      </c>
      <c r="Z126" s="101">
        <v>41</v>
      </c>
      <c r="AA126" s="649">
        <f t="shared" si="40"/>
        <v>12.666666666666666</v>
      </c>
      <c r="AB126" s="184">
        <f>AA126*IncaG</f>
        <v>266.50666666666666</v>
      </c>
      <c r="AC126" s="104">
        <f t="shared" si="42"/>
        <v>8.36</v>
      </c>
      <c r="AD126" s="1066">
        <f>Table1[[#This Row],[Substrate SF]]*IncaC</f>
        <v>21.320533333333334</v>
      </c>
      <c r="AE126" s="406">
        <f>IF(Table1[[#This Row],[Work Center]]="SwissQ",Materials!G$37,IF(Table1[[#This Row],[Work Center]]="Inca",Materials!G$29,IF(Table1[[#This Row],[Work Center]]="Canon",Materials!G$49,Materials!G$45)))</f>
        <v>8</v>
      </c>
      <c r="AF126" s="102">
        <f>'Cali FPS'!C48</f>
        <v>76.3</v>
      </c>
      <c r="AG126" s="115"/>
      <c r="AH126" s="405">
        <f t="shared" si="37"/>
        <v>40</v>
      </c>
      <c r="AI126" s="405">
        <f>IF(A126="Codarus",(M126*0.13))</f>
        <v>104</v>
      </c>
      <c r="AJ126" s="107">
        <f>SUM(AC126:AI126)</f>
        <v>257.98053333333331</v>
      </c>
      <c r="AK126" s="108">
        <f t="shared" si="39"/>
        <v>0.67752433333333328</v>
      </c>
      <c r="AL126" s="660">
        <f>Table1[[#This Row],[WSP/Dealer]]/Table1[[#This Row],[OD Sq Inch]]</f>
        <v>0.66666666666666663</v>
      </c>
      <c r="AM126" s="399">
        <f>Table1[[#This Row],[OD Wdth]]*Table1[[#This Row],[OD Hgt]]</f>
        <v>1200</v>
      </c>
      <c r="AN126" s="400">
        <f>Table1[[#This Row],[Min VO]]+Table1[[#This Row],[Max VO]]</f>
        <v>70</v>
      </c>
      <c r="AO126" s="115"/>
      <c r="AP126" s="121">
        <v>1600</v>
      </c>
      <c r="AQ126" s="121">
        <f>(Table1[[#This Row],[Desgnr/Retail P]]*0.05)</f>
        <v>80</v>
      </c>
      <c r="AR126" s="121">
        <f>IF(A126="Codarus",(AP126*0.13))</f>
        <v>208</v>
      </c>
      <c r="AS126" s="121">
        <f>SUM(Table1[[#This Row],[Substrate $]:[GP FINISH]])+Table1[[#This Row],[Retail Royalty]]+Table1[[#This Row],[Retail$Comm]]</f>
        <v>401.98053333333331</v>
      </c>
      <c r="AT126" s="830">
        <f>IF(AP126=0,"-",(AP126-AS126)/AP126)</f>
        <v>0.74876216666666662</v>
      </c>
      <c r="AU126" s="1359">
        <f t="shared" si="26"/>
        <v>0.99064047291666668</v>
      </c>
      <c r="AV126" s="229"/>
      <c r="AW126" s="229"/>
      <c r="AX126" s="229"/>
      <c r="AY126" s="229"/>
      <c r="AZ126" s="229"/>
      <c r="BA126" s="229"/>
    </row>
    <row r="127" spans="1:53" hidden="1" x14ac:dyDescent="0.2">
      <c r="A127" s="400" t="s">
        <v>110</v>
      </c>
      <c r="B127" s="1322" t="s">
        <v>134</v>
      </c>
      <c r="C127" s="1236" t="s">
        <v>458</v>
      </c>
      <c r="D127" s="1236"/>
      <c r="E127" s="401" t="s">
        <v>459</v>
      </c>
      <c r="F127" s="401" t="s">
        <v>386</v>
      </c>
      <c r="G127" s="1386" t="s">
        <v>132</v>
      </c>
      <c r="H127" s="1386" t="s">
        <v>132</v>
      </c>
      <c r="I127" s="400" t="s">
        <v>52</v>
      </c>
      <c r="J127" s="497" t="s">
        <v>53</v>
      </c>
      <c r="K127" s="400" t="s">
        <v>54</v>
      </c>
      <c r="L127" s="400" t="s">
        <v>55</v>
      </c>
      <c r="M127" s="832"/>
      <c r="N127" s="832"/>
      <c r="O127" s="400" t="s">
        <v>56</v>
      </c>
      <c r="P127" s="1244">
        <v>36</v>
      </c>
      <c r="Q127" s="1244">
        <v>48</v>
      </c>
      <c r="R127" s="400">
        <v>36</v>
      </c>
      <c r="S127" s="1244">
        <v>48</v>
      </c>
      <c r="T127" s="1244">
        <v>36</v>
      </c>
      <c r="U127" s="1244">
        <v>48</v>
      </c>
      <c r="V127" s="106">
        <f>IF(J127="Canvas",P127+Border,P127)</f>
        <v>44</v>
      </c>
      <c r="W127" s="106">
        <f>IF(J127="Canvas",Q127+Border,Q127)</f>
        <v>56</v>
      </c>
      <c r="X127" s="525">
        <v>59</v>
      </c>
      <c r="Y127" s="400">
        <v>47</v>
      </c>
      <c r="Z127" s="400">
        <v>59</v>
      </c>
      <c r="AA127" s="649">
        <f t="shared" si="40"/>
        <v>17.111111111111111</v>
      </c>
      <c r="AB127" s="184">
        <f>AA127*IncaG</f>
        <v>360.01777777777778</v>
      </c>
      <c r="AC127" s="104">
        <f t="shared" si="42"/>
        <v>11.293333333333333</v>
      </c>
      <c r="AD127" s="1066">
        <f>Table1[[#This Row],[Substrate SF]]*IncaC</f>
        <v>28.801422222222222</v>
      </c>
      <c r="AE127" s="406">
        <f>IF(Table1[[#This Row],[Work Center]]="SwissQ",Materials!G$37,IF(Table1[[#This Row],[Work Center]]="Inca",Materials!G$29,IF(Table1[[#This Row],[Work Center]]="Canon",Materials!G$49,Materials!G$45)))</f>
        <v>8</v>
      </c>
      <c r="AF127" s="403">
        <f>'Cali FPS'!C71</f>
        <v>114.31</v>
      </c>
      <c r="AG127" s="401"/>
      <c r="AH127" s="406">
        <f t="shared" si="37"/>
        <v>0</v>
      </c>
      <c r="AI127" s="406">
        <f>IF(A127="Codarus",(M127*0.13))</f>
        <v>0</v>
      </c>
      <c r="AJ127" s="104">
        <f>SUM(AC127:AI127)</f>
        <v>162.40475555555554</v>
      </c>
      <c r="AK127" s="830" t="e">
        <f t="shared" si="39"/>
        <v>#DIV/0!</v>
      </c>
      <c r="AL127" s="660">
        <f>Table1[[#This Row],[WSP/Dealer]]/Table1[[#This Row],[OD Sq Inch]]</f>
        <v>0</v>
      </c>
      <c r="AM127" s="399">
        <f>Table1[[#This Row],[OD Wdth]]*Table1[[#This Row],[OD Hgt]]</f>
        <v>1728</v>
      </c>
      <c r="AN127" s="400">
        <f>Table1[[#This Row],[Min VO]]+Table1[[#This Row],[Max VO]]</f>
        <v>84</v>
      </c>
      <c r="AO127" s="401"/>
      <c r="AP127" s="1000"/>
      <c r="AQ127" s="121">
        <f>(Table1[[#This Row],[Desgnr/Retail P]]*0.05)</f>
        <v>0</v>
      </c>
      <c r="AR127" s="121">
        <f>IF(A127="Codarus",(AP127*0.13))</f>
        <v>0</v>
      </c>
      <c r="AS127" s="121">
        <f>SUM(Table1[[#This Row],[Substrate $]:[GP FINISH]])+Table1[[#This Row],[Retail Royalty]]+Table1[[#This Row],[Retail$Comm]]</f>
        <v>162.40475555555554</v>
      </c>
      <c r="AT127" s="830" t="str">
        <f>IF(AP127=0,"-",(AP127-AS127)/AP127)</f>
        <v>-</v>
      </c>
      <c r="AU127" s="1366" t="str">
        <f t="shared" si="26"/>
        <v>-</v>
      </c>
      <c r="AV127" s="229"/>
      <c r="AW127" s="229"/>
      <c r="AX127" s="229"/>
      <c r="AY127" s="229"/>
      <c r="AZ127" s="229"/>
      <c r="BA127" s="229"/>
    </row>
    <row r="128" spans="1:53" s="235" customFormat="1" hidden="1" x14ac:dyDescent="0.2">
      <c r="A128" s="68"/>
      <c r="B128" s="1473"/>
      <c r="C128" s="94" t="s">
        <v>460</v>
      </c>
      <c r="D128" s="94"/>
      <c r="E128" s="84" t="s">
        <v>461</v>
      </c>
      <c r="F128" s="84" t="s">
        <v>131</v>
      </c>
      <c r="G128" s="68" t="s">
        <v>462</v>
      </c>
      <c r="H128" s="68"/>
      <c r="I128" s="68" t="s">
        <v>52</v>
      </c>
      <c r="J128" s="68" t="s">
        <v>53</v>
      </c>
      <c r="K128" s="68" t="s">
        <v>54</v>
      </c>
      <c r="L128" s="68" t="s">
        <v>55</v>
      </c>
      <c r="M128" s="93"/>
      <c r="N128" s="71"/>
      <c r="O128" s="68"/>
      <c r="P128" s="68"/>
      <c r="Q128" s="68"/>
      <c r="R128" s="68"/>
      <c r="S128" s="68"/>
      <c r="T128" s="623">
        <v>40</v>
      </c>
      <c r="U128" s="623">
        <v>30</v>
      </c>
      <c r="V128" s="917"/>
      <c r="W128" s="917"/>
      <c r="X128" s="189"/>
      <c r="Y128" s="68"/>
      <c r="Z128" s="68"/>
      <c r="AA128" s="699"/>
      <c r="AB128" s="297"/>
      <c r="AC128" s="74"/>
      <c r="AD128" s="126"/>
      <c r="AE128" s="126"/>
      <c r="AF128" s="73"/>
      <c r="AG128" s="126"/>
      <c r="AH128" s="498">
        <f t="shared" si="37"/>
        <v>0</v>
      </c>
      <c r="AI128" s="498"/>
      <c r="AJ128" s="126"/>
      <c r="AK128" s="650" t="e">
        <f t="shared" si="39"/>
        <v>#DIV/0!</v>
      </c>
      <c r="AL128" s="225" t="e">
        <f>Table1[[#This Row],[WSP/Dealer]]/Table1[[#This Row],[OD Sq Inch]]</f>
        <v>#DIV/0!</v>
      </c>
      <c r="AM128" s="84"/>
      <c r="AN128" s="216">
        <f>Table1[[#This Row],[Min VO]]+Table1[[#This Row],[Max VO]]</f>
        <v>0</v>
      </c>
      <c r="AO128" s="84"/>
      <c r="AP128" s="84"/>
      <c r="AQ128" s="126"/>
      <c r="AR128" s="126"/>
      <c r="AS128" s="126"/>
      <c r="AT128" s="74"/>
      <c r="AU128" s="1357" t="str">
        <f t="shared" si="26"/>
        <v>-</v>
      </c>
    </row>
    <row r="129" spans="1:53" s="235" customFormat="1" hidden="1" x14ac:dyDescent="0.2">
      <c r="A129" s="374" t="s">
        <v>187</v>
      </c>
      <c r="B129" s="279" t="s">
        <v>261</v>
      </c>
      <c r="C129" s="323" t="s">
        <v>463</v>
      </c>
      <c r="D129" s="1037"/>
      <c r="E129" s="275" t="s">
        <v>464</v>
      </c>
      <c r="F129" s="275" t="s">
        <v>131</v>
      </c>
      <c r="G129" s="274" t="s">
        <v>465</v>
      </c>
      <c r="H129" s="274" t="s">
        <v>466</v>
      </c>
      <c r="I129" s="274" t="s">
        <v>52</v>
      </c>
      <c r="J129" s="274" t="s">
        <v>53</v>
      </c>
      <c r="K129" s="274" t="s">
        <v>69</v>
      </c>
      <c r="L129" s="274" t="s">
        <v>70</v>
      </c>
      <c r="M129" s="318">
        <v>2450</v>
      </c>
      <c r="N129" s="71"/>
      <c r="O129" s="274" t="s">
        <v>56</v>
      </c>
      <c r="P129" s="274">
        <v>48</v>
      </c>
      <c r="Q129" s="274">
        <v>36</v>
      </c>
      <c r="R129" s="274">
        <v>36</v>
      </c>
      <c r="S129" s="276">
        <v>48</v>
      </c>
      <c r="T129" s="170">
        <f t="shared" ref="T129:U134" si="43">P129</f>
        <v>48</v>
      </c>
      <c r="U129" s="170">
        <f t="shared" si="43"/>
        <v>36</v>
      </c>
      <c r="V129" s="277">
        <f>IF(J129="Canvas",P129+BorderGW,P129)</f>
        <v>56</v>
      </c>
      <c r="W129" s="277">
        <f>IF(J129="Canvas",Q129+BorderGW,Q129)</f>
        <v>44</v>
      </c>
      <c r="X129" s="343">
        <v>59</v>
      </c>
      <c r="Y129" s="274"/>
      <c r="Z129" s="274"/>
      <c r="AA129" s="727">
        <f t="shared" ref="AA129:AA169" si="44">V129*W129/144</f>
        <v>17.111111111111111</v>
      </c>
      <c r="AB129" s="341">
        <f>AA129*IncaG</f>
        <v>360.01777777777778</v>
      </c>
      <c r="AC129" s="278">
        <f>AA129*Canvas</f>
        <v>11.293333333333333</v>
      </c>
      <c r="AD129" s="319">
        <f>Table1[[#This Row],[Ink g/mL]]*Materials!$C$29</f>
        <v>28.801422222222222</v>
      </c>
      <c r="AE129" s="104">
        <f>IF(Table1[[#This Row],[Work Center]]="SwissQ",Materials!G$37,IF(Table1[[#This Row],[Work Center]]="Inca",Materials!G$29,IF(Table1[[#This Row],[Work Center]]="Canon",Materials!G$49,Materials!G$45)))</f>
        <v>8</v>
      </c>
      <c r="AF129" s="278">
        <f>'Cali Frames'!D300</f>
        <v>164.8</v>
      </c>
      <c r="AG129" s="275"/>
      <c r="AH129" s="498">
        <f t="shared" ref="AH129:AH148" si="45">(M129*0.05)</f>
        <v>122.5</v>
      </c>
      <c r="AI129" s="498"/>
      <c r="AJ129" s="278">
        <f t="shared" ref="AJ129:AJ156" si="46">SUM(AC129:AH129)</f>
        <v>335.39475555555555</v>
      </c>
      <c r="AK129" s="650">
        <f t="shared" si="39"/>
        <v>0.86310418140589573</v>
      </c>
      <c r="AL129" s="225">
        <f>Table1[[#This Row],[WSP/Dealer]]/Table1[[#This Row],[OD Sq Inch]]</f>
        <v>1.4178240740740742</v>
      </c>
      <c r="AM129" s="170">
        <f>Table1[[#This Row],[OD Wdth]]*Table1[[#This Row],[OD Hgt]]</f>
        <v>1728</v>
      </c>
      <c r="AN129" s="274">
        <f>Table1[[#This Row],[Min VO]]+Table1[[#This Row],[Max VO]]</f>
        <v>84</v>
      </c>
      <c r="AO129" s="274" t="s">
        <v>467</v>
      </c>
      <c r="AP129" s="1151"/>
      <c r="AQ129" s="321"/>
      <c r="AR129" s="321"/>
      <c r="AS129" s="321"/>
      <c r="AT129" s="321"/>
      <c r="AU129" s="1368" t="str">
        <f t="shared" si="26"/>
        <v>-</v>
      </c>
    </row>
    <row r="130" spans="1:53" s="103" customFormat="1" hidden="1" x14ac:dyDescent="0.2">
      <c r="A130" s="374" t="s">
        <v>187</v>
      </c>
      <c r="B130" s="279" t="s">
        <v>261</v>
      </c>
      <c r="C130" s="323" t="s">
        <v>468</v>
      </c>
      <c r="D130" s="1037"/>
      <c r="E130" s="275" t="s">
        <v>464</v>
      </c>
      <c r="F130" s="275" t="s">
        <v>131</v>
      </c>
      <c r="G130" s="274" t="s">
        <v>465</v>
      </c>
      <c r="H130" s="274" t="s">
        <v>465</v>
      </c>
      <c r="I130" s="274" t="s">
        <v>52</v>
      </c>
      <c r="J130" s="274" t="s">
        <v>53</v>
      </c>
      <c r="K130" s="274" t="s">
        <v>54</v>
      </c>
      <c r="L130" s="274" t="s">
        <v>55</v>
      </c>
      <c r="M130" s="318">
        <v>2095</v>
      </c>
      <c r="N130" s="71"/>
      <c r="O130" s="274" t="s">
        <v>56</v>
      </c>
      <c r="P130" s="274">
        <v>48</v>
      </c>
      <c r="Q130" s="274">
        <v>36</v>
      </c>
      <c r="R130" s="274">
        <v>36</v>
      </c>
      <c r="S130" s="783">
        <v>48</v>
      </c>
      <c r="T130" s="274">
        <f t="shared" si="43"/>
        <v>48</v>
      </c>
      <c r="U130" s="274">
        <f t="shared" si="43"/>
        <v>36</v>
      </c>
      <c r="V130" s="277">
        <f>IF(J130="Canvas",P130+BorderGW,P130)</f>
        <v>56</v>
      </c>
      <c r="W130" s="277">
        <f>IF(J130="Canvas",Q130+BorderGW,Q130)</f>
        <v>44</v>
      </c>
      <c r="X130" s="343">
        <v>59</v>
      </c>
      <c r="Y130" s="274"/>
      <c r="Z130" s="274"/>
      <c r="AA130" s="727">
        <f t="shared" si="44"/>
        <v>17.111111111111111</v>
      </c>
      <c r="AB130" s="341">
        <f>AA130*IncaG</f>
        <v>360.01777777777778</v>
      </c>
      <c r="AC130" s="278">
        <f>AA130*Canvas</f>
        <v>11.293333333333333</v>
      </c>
      <c r="AD130" s="319">
        <f>Table1[[#This Row],[Ink g/mL]]*Materials!$C$29</f>
        <v>28.801422222222222</v>
      </c>
      <c r="AE130" s="104">
        <f>IF(Table1[[#This Row],[Work Center]]="SwissQ",Materials!G$37,IF(Table1[[#This Row],[Work Center]]="Inca",Materials!G$29,IF(Table1[[#This Row],[Work Center]]="Canon",Materials!G$49,Materials!G$45)))</f>
        <v>8</v>
      </c>
      <c r="AF130" s="260"/>
      <c r="AG130" s="126">
        <f>Materials!D$76</f>
        <v>10.82</v>
      </c>
      <c r="AH130" s="112">
        <f t="shared" si="45"/>
        <v>104.75</v>
      </c>
      <c r="AI130" s="112"/>
      <c r="AJ130" s="263">
        <f t="shared" si="46"/>
        <v>163.66475555555556</v>
      </c>
      <c r="AK130" s="62">
        <f t="shared" si="39"/>
        <v>0.92187839830283747</v>
      </c>
      <c r="AL130" s="225">
        <f>Table1[[#This Row],[WSP/Dealer]]/Table1[[#This Row],[OD Sq Inch]]</f>
        <v>1.2123842592592593</v>
      </c>
      <c r="AM130" s="170">
        <f>Table1[[#This Row],[OD Wdth]]*Table1[[#This Row],[OD Hgt]]</f>
        <v>1728</v>
      </c>
      <c r="AN130" s="274">
        <f>Table1[[#This Row],[Min VO]]+Table1[[#This Row],[Max VO]]</f>
        <v>84</v>
      </c>
      <c r="AO130" s="274" t="s">
        <v>467</v>
      </c>
      <c r="AP130" s="1151"/>
      <c r="AQ130" s="321"/>
      <c r="AR130" s="321"/>
      <c r="AS130" s="321"/>
      <c r="AT130" s="321"/>
      <c r="AU130" s="1368" t="str">
        <f t="shared" ref="AU130:AU193" si="47">IF(AQ130=0,"-",(AQ130-AT130)/AQ130)</f>
        <v>-</v>
      </c>
    </row>
    <row r="131" spans="1:53" s="103" customFormat="1" hidden="1" x14ac:dyDescent="0.2">
      <c r="A131" s="374" t="s">
        <v>187</v>
      </c>
      <c r="B131" s="279" t="s">
        <v>261</v>
      </c>
      <c r="C131" s="323" t="s">
        <v>469</v>
      </c>
      <c r="D131" s="1037"/>
      <c r="E131" s="275" t="s">
        <v>464</v>
      </c>
      <c r="F131" s="275" t="s">
        <v>131</v>
      </c>
      <c r="G131" s="274" t="s">
        <v>465</v>
      </c>
      <c r="H131" s="274" t="s">
        <v>466</v>
      </c>
      <c r="I131" s="274" t="s">
        <v>52</v>
      </c>
      <c r="J131" s="274" t="s">
        <v>53</v>
      </c>
      <c r="K131" s="274" t="s">
        <v>69</v>
      </c>
      <c r="L131" s="274" t="s">
        <v>73</v>
      </c>
      <c r="M131" s="318">
        <v>2450</v>
      </c>
      <c r="N131" s="71"/>
      <c r="O131" s="274" t="s">
        <v>56</v>
      </c>
      <c r="P131" s="274">
        <v>48</v>
      </c>
      <c r="Q131" s="274">
        <v>36</v>
      </c>
      <c r="R131" s="274">
        <v>36</v>
      </c>
      <c r="S131" s="783">
        <v>48</v>
      </c>
      <c r="T131" s="274">
        <f t="shared" si="43"/>
        <v>48</v>
      </c>
      <c r="U131" s="274">
        <f t="shared" si="43"/>
        <v>36</v>
      </c>
      <c r="V131" s="686">
        <f>IF(J131="Canvas",P131+BorderGW,P131)</f>
        <v>56</v>
      </c>
      <c r="W131" s="686">
        <f>IF(J131="Canvas",Q131+BorderGW,Q131)</f>
        <v>44</v>
      </c>
      <c r="X131" s="343">
        <v>59</v>
      </c>
      <c r="Y131" s="274"/>
      <c r="Z131" s="274"/>
      <c r="AA131" s="727">
        <f t="shared" si="44"/>
        <v>17.111111111111111</v>
      </c>
      <c r="AB131" s="341">
        <f>AA131*IncaG</f>
        <v>360.01777777777778</v>
      </c>
      <c r="AC131" s="278">
        <f>AA131*Canvas</f>
        <v>11.293333333333333</v>
      </c>
      <c r="AD131" s="319">
        <f>Table1[[#This Row],[Ink g/mL]]*Materials!$C$29</f>
        <v>28.801422222222222</v>
      </c>
      <c r="AE131" s="104">
        <f>IF(Table1[[#This Row],[Work Center]]="SwissQ",Materials!G$37,IF(Table1[[#This Row],[Work Center]]="Inca",Materials!G$29,IF(Table1[[#This Row],[Work Center]]="Canon",Materials!G$49,Materials!G$45)))</f>
        <v>8</v>
      </c>
      <c r="AF131" s="278">
        <f>'Cali Frames'!D436</f>
        <v>145.70500000000001</v>
      </c>
      <c r="AG131" s="275"/>
      <c r="AH131" s="112">
        <f t="shared" si="45"/>
        <v>122.5</v>
      </c>
      <c r="AI131" s="112"/>
      <c r="AJ131" s="278">
        <f t="shared" si="46"/>
        <v>316.29975555555558</v>
      </c>
      <c r="AK131" s="62">
        <f t="shared" si="39"/>
        <v>0.87089805895691597</v>
      </c>
      <c r="AL131" s="225">
        <f>Table1[[#This Row],[WSP/Dealer]]/Table1[[#This Row],[OD Sq Inch]]</f>
        <v>1.4178240740740742</v>
      </c>
      <c r="AM131" s="170">
        <f>Table1[[#This Row],[OD Wdth]]*Table1[[#This Row],[OD Hgt]]</f>
        <v>1728</v>
      </c>
      <c r="AN131" s="274">
        <f>Table1[[#This Row],[Min VO]]+Table1[[#This Row],[Max VO]]</f>
        <v>84</v>
      </c>
      <c r="AO131" s="274" t="s">
        <v>467</v>
      </c>
      <c r="AP131" s="1151"/>
      <c r="AQ131" s="321"/>
      <c r="AR131" s="321"/>
      <c r="AS131" s="321"/>
      <c r="AT131" s="321"/>
      <c r="AU131" s="1368" t="str">
        <f t="shared" si="47"/>
        <v>-</v>
      </c>
    </row>
    <row r="132" spans="1:53" s="228" customFormat="1" hidden="1" x14ac:dyDescent="0.2">
      <c r="A132" s="216" t="s">
        <v>272</v>
      </c>
      <c r="B132" s="216" t="s">
        <v>273</v>
      </c>
      <c r="C132" s="232" t="s">
        <v>470</v>
      </c>
      <c r="D132" s="1157"/>
      <c r="E132" s="217" t="s">
        <v>464</v>
      </c>
      <c r="F132" s="217" t="s">
        <v>131</v>
      </c>
      <c r="G132" s="216" t="s">
        <v>465</v>
      </c>
      <c r="H132" s="216" t="s">
        <v>465</v>
      </c>
      <c r="I132" s="216" t="s">
        <v>52</v>
      </c>
      <c r="J132" s="216" t="s">
        <v>53</v>
      </c>
      <c r="K132" s="216" t="s">
        <v>54</v>
      </c>
      <c r="L132" s="216" t="s">
        <v>55</v>
      </c>
      <c r="M132" s="219">
        <v>400</v>
      </c>
      <c r="N132" s="219"/>
      <c r="O132" s="216" t="s">
        <v>56</v>
      </c>
      <c r="P132" s="216">
        <v>48</v>
      </c>
      <c r="Q132" s="216">
        <v>36</v>
      </c>
      <c r="R132" s="216">
        <v>36</v>
      </c>
      <c r="S132" s="626">
        <v>48</v>
      </c>
      <c r="T132" s="216">
        <f t="shared" si="43"/>
        <v>48</v>
      </c>
      <c r="U132" s="216">
        <f t="shared" si="43"/>
        <v>36</v>
      </c>
      <c r="V132" s="222">
        <f>IF(J132="Canvas",P132+BorderGW,P132)</f>
        <v>56</v>
      </c>
      <c r="W132" s="222">
        <f>IF(J132="Canvas",Q132+BorderGW,Q132)</f>
        <v>44</v>
      </c>
      <c r="X132" s="223">
        <v>59</v>
      </c>
      <c r="Y132" s="216"/>
      <c r="Z132" s="216"/>
      <c r="AA132" s="718">
        <f t="shared" si="44"/>
        <v>17.111111111111111</v>
      </c>
      <c r="AB132" s="233">
        <f>AA132*IncaG</f>
        <v>360.01777777777778</v>
      </c>
      <c r="AC132" s="207">
        <f>AA132*Canvas</f>
        <v>11.293333333333333</v>
      </c>
      <c r="AD132" s="206">
        <f>Table1[[#This Row],[Ink g/mL]]*Materials!$C$29</f>
        <v>28.801422222222222</v>
      </c>
      <c r="AE132" s="104">
        <f>IF(Table1[[#This Row],[Work Center]]="SwissQ",Materials!G$37,IF(Table1[[#This Row],[Work Center]]="Inca",Materials!G$29,IF(Table1[[#This Row],[Work Center]]="Canon",Materials!G$49,Materials!G$45)))</f>
        <v>8</v>
      </c>
      <c r="AF132" s="225">
        <f>'Cali FPS'!C71</f>
        <v>114.31</v>
      </c>
      <c r="AG132" s="115"/>
      <c r="AH132" s="112">
        <f t="shared" si="45"/>
        <v>20</v>
      </c>
      <c r="AI132" s="112"/>
      <c r="AJ132" s="207">
        <f t="shared" si="46"/>
        <v>182.40475555555554</v>
      </c>
      <c r="AK132" s="62">
        <f t="shared" si="39"/>
        <v>0.54398811111111112</v>
      </c>
      <c r="AL132" s="225">
        <f>Table1[[#This Row],[WSP/Dealer]]/Table1[[#This Row],[OD Sq Inch]]</f>
        <v>0.23148148148148148</v>
      </c>
      <c r="AM132" s="218">
        <f>Table1[[#This Row],[OD Wdth]]*Table1[[#This Row],[OD Hgt]]</f>
        <v>1728</v>
      </c>
      <c r="AN132" s="216">
        <f>Table1[[#This Row],[Min VO]]+Table1[[#This Row],[Max VO]]</f>
        <v>84</v>
      </c>
      <c r="AO132" s="216" t="s">
        <v>467</v>
      </c>
      <c r="AP132" s="247"/>
      <c r="AQ132" s="226"/>
      <c r="AR132" s="226"/>
      <c r="AS132" s="226"/>
      <c r="AT132" s="226"/>
      <c r="AU132" s="1365" t="str">
        <f t="shared" si="47"/>
        <v>-</v>
      </c>
    </row>
    <row r="133" spans="1:53" s="103" customFormat="1" hidden="1" x14ac:dyDescent="0.2">
      <c r="A133" s="374" t="s">
        <v>187</v>
      </c>
      <c r="B133" s="279" t="s">
        <v>261</v>
      </c>
      <c r="C133" s="323" t="s">
        <v>471</v>
      </c>
      <c r="D133" s="1037"/>
      <c r="E133" s="275" t="s">
        <v>472</v>
      </c>
      <c r="F133" s="275" t="s">
        <v>131</v>
      </c>
      <c r="G133" s="274" t="s">
        <v>465</v>
      </c>
      <c r="H133" s="274" t="s">
        <v>465</v>
      </c>
      <c r="I133" s="274" t="s">
        <v>108</v>
      </c>
      <c r="J133" s="68" t="s">
        <v>197</v>
      </c>
      <c r="K133" s="274" t="s">
        <v>198</v>
      </c>
      <c r="L133" s="274" t="s">
        <v>199</v>
      </c>
      <c r="M133" s="318">
        <v>90</v>
      </c>
      <c r="N133" s="71"/>
      <c r="O133" s="274" t="s">
        <v>56</v>
      </c>
      <c r="P133" s="170">
        <v>48</v>
      </c>
      <c r="Q133" s="170">
        <v>36</v>
      </c>
      <c r="R133" s="274">
        <v>36</v>
      </c>
      <c r="S133" s="276">
        <v>48</v>
      </c>
      <c r="T133" s="170">
        <f t="shared" si="43"/>
        <v>48</v>
      </c>
      <c r="U133" s="170">
        <f t="shared" si="43"/>
        <v>36</v>
      </c>
      <c r="V133" s="686">
        <f>Table1[[#This Row],[VO Wdth]]+Materials!$C$7</f>
        <v>50</v>
      </c>
      <c r="W133" s="686">
        <f>Table1[[#This Row],[VO Hgt]]+Materials!$C$7</f>
        <v>38</v>
      </c>
      <c r="X133" s="189" t="s">
        <v>197</v>
      </c>
      <c r="Y133" s="274"/>
      <c r="Z133" s="274"/>
      <c r="AA133" s="699">
        <f t="shared" si="44"/>
        <v>13.194444444444445</v>
      </c>
      <c r="AB133" s="297">
        <f>AA133*IncaGR</f>
        <v>13.458333333333334</v>
      </c>
      <c r="AC133" s="74">
        <f>Table1[[#This Row],[Substrate SF]]*POster</f>
        <v>9.8166666666666664</v>
      </c>
      <c r="AD133" s="208">
        <f>Table1[[#This Row],[Ink g/mL]]*IncaCR</f>
        <v>1.0766666666666667</v>
      </c>
      <c r="AE13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33" s="73">
        <v>0</v>
      </c>
      <c r="AG133" s="126">
        <f>Materials!D$76</f>
        <v>10.82</v>
      </c>
      <c r="AH133" s="112">
        <f t="shared" si="45"/>
        <v>4.5</v>
      </c>
      <c r="AI133" s="112"/>
      <c r="AJ133" s="263">
        <f t="shared" si="46"/>
        <v>36.213333333333331</v>
      </c>
      <c r="AK133" s="62">
        <f t="shared" si="39"/>
        <v>0.59762962962962962</v>
      </c>
      <c r="AL133" s="225">
        <f>Table1[[#This Row],[WSP/Dealer]]/Table1[[#This Row],[OD Sq Inch]]</f>
        <v>5.2083333333333336E-2</v>
      </c>
      <c r="AM133" s="170">
        <f>Table1[[#This Row],[OD Wdth]]*Table1[[#This Row],[OD Hgt]]</f>
        <v>1728</v>
      </c>
      <c r="AN133" s="274">
        <f>Table1[[#This Row],[Min VO]]+Table1[[#This Row],[Max VO]]</f>
        <v>84</v>
      </c>
      <c r="AO133" s="274" t="s">
        <v>467</v>
      </c>
      <c r="AP133" s="1151"/>
      <c r="AQ133" s="321"/>
      <c r="AR133" s="321"/>
      <c r="AS133" s="321"/>
      <c r="AT133" s="321"/>
      <c r="AU133" s="1368" t="str">
        <f t="shared" si="47"/>
        <v>-</v>
      </c>
    </row>
    <row r="134" spans="1:53" s="237" customFormat="1" hidden="1" x14ac:dyDescent="0.2">
      <c r="A134" s="216" t="s">
        <v>272</v>
      </c>
      <c r="B134" s="216" t="s">
        <v>273</v>
      </c>
      <c r="C134" s="232" t="s">
        <v>473</v>
      </c>
      <c r="D134" s="386"/>
      <c r="E134" s="217" t="s">
        <v>474</v>
      </c>
      <c r="F134" s="217" t="s">
        <v>131</v>
      </c>
      <c r="G134" s="216" t="s">
        <v>465</v>
      </c>
      <c r="H134" s="216" t="s">
        <v>465</v>
      </c>
      <c r="I134" s="216" t="s">
        <v>108</v>
      </c>
      <c r="J134" s="216" t="s">
        <v>53</v>
      </c>
      <c r="K134" s="216" t="s">
        <v>54</v>
      </c>
      <c r="L134" s="216" t="s">
        <v>55</v>
      </c>
      <c r="M134" s="219">
        <v>350</v>
      </c>
      <c r="N134" s="219"/>
      <c r="O134" s="216" t="s">
        <v>109</v>
      </c>
      <c r="P134" s="216">
        <v>48</v>
      </c>
      <c r="Q134" s="216">
        <v>36</v>
      </c>
      <c r="R134" s="216">
        <v>36</v>
      </c>
      <c r="S134" s="626">
        <v>48</v>
      </c>
      <c r="T134" s="216">
        <f t="shared" si="43"/>
        <v>48</v>
      </c>
      <c r="U134" s="216">
        <f t="shared" si="43"/>
        <v>36</v>
      </c>
      <c r="V134" s="222">
        <f>IF(J134="Canvas",P134+BorderGW,P134)</f>
        <v>56</v>
      </c>
      <c r="W134" s="222">
        <f>IF(J134="Canvas",Q134+BorderGW,Q134)</f>
        <v>44</v>
      </c>
      <c r="X134" s="223">
        <v>59</v>
      </c>
      <c r="Y134" s="216"/>
      <c r="Z134" s="216"/>
      <c r="AA134" s="718">
        <f t="shared" si="44"/>
        <v>17.111111111111111</v>
      </c>
      <c r="AB134" s="233">
        <f>AA134*EPSONM</f>
        <v>77</v>
      </c>
      <c r="AC134" s="225">
        <f t="shared" ref="AC134:AC146" si="48">AA134*Canvas</f>
        <v>11.293333333333333</v>
      </c>
      <c r="AD134" s="207">
        <f>Table1[[#This Row],[Ink g/mL]]*EPSONC</f>
        <v>16.940000000000001</v>
      </c>
      <c r="AE134" s="104">
        <f>IF(Table1[[#This Row],[Work Center]]="SwissQ",Materials!G$37,IF(Table1[[#This Row],[Work Center]]="Inca",Materials!G$29,IF(Table1[[#This Row],[Work Center]]="Canon",Materials!G$49,Materials!G$45)))</f>
        <v>5</v>
      </c>
      <c r="AF134" s="225">
        <f>'Cali FPS'!C71</f>
        <v>114.31</v>
      </c>
      <c r="AG134" s="115"/>
      <c r="AH134" s="498">
        <f t="shared" si="45"/>
        <v>17.5</v>
      </c>
      <c r="AI134" s="498"/>
      <c r="AJ134" s="207">
        <f t="shared" si="46"/>
        <v>165.04333333333335</v>
      </c>
      <c r="AK134" s="650">
        <f t="shared" si="39"/>
        <v>0.52844761904761894</v>
      </c>
      <c r="AL134" s="225">
        <f>Table1[[#This Row],[WSP/Dealer]]/Table1[[#This Row],[OD Sq Inch]]</f>
        <v>0.20254629629629631</v>
      </c>
      <c r="AM134" s="103">
        <f>Table1[[#This Row],[OD Wdth]]*Table1[[#This Row],[OD Hgt]]</f>
        <v>1728</v>
      </c>
      <c r="AN134" s="216">
        <f>Table1[[#This Row],[Min VO]]+Table1[[#This Row],[Max VO]]</f>
        <v>84</v>
      </c>
      <c r="AO134" s="216" t="s">
        <v>467</v>
      </c>
      <c r="AP134" s="247"/>
      <c r="AQ134" s="226"/>
      <c r="AR134" s="226"/>
      <c r="AS134" s="226"/>
      <c r="AT134" s="226"/>
      <c r="AU134" s="1363" t="str">
        <f t="shared" si="47"/>
        <v>-</v>
      </c>
    </row>
    <row r="135" spans="1:53" s="103" customFormat="1" x14ac:dyDescent="0.2">
      <c r="A135" s="400" t="s">
        <v>58</v>
      </c>
      <c r="B135" s="1064" t="s">
        <v>121</v>
      </c>
      <c r="C135" s="100" t="s">
        <v>475</v>
      </c>
      <c r="D135" s="100"/>
      <c r="E135" s="115" t="s">
        <v>476</v>
      </c>
      <c r="F135" s="115" t="s">
        <v>386</v>
      </c>
      <c r="G135" s="101" t="s">
        <v>296</v>
      </c>
      <c r="H135" s="101" t="s">
        <v>296</v>
      </c>
      <c r="I135" s="101" t="s">
        <v>52</v>
      </c>
      <c r="J135" s="487" t="s">
        <v>53</v>
      </c>
      <c r="K135" s="101" t="s">
        <v>54</v>
      </c>
      <c r="L135" s="101" t="s">
        <v>55</v>
      </c>
      <c r="M135" s="299">
        <v>1450</v>
      </c>
      <c r="N135" s="114"/>
      <c r="O135" s="101" t="s">
        <v>64</v>
      </c>
      <c r="P135" s="101">
        <v>80</v>
      </c>
      <c r="Q135" s="101">
        <v>64</v>
      </c>
      <c r="R135" s="101">
        <v>64</v>
      </c>
      <c r="S135" s="697">
        <v>80</v>
      </c>
      <c r="T135" s="101">
        <v>80</v>
      </c>
      <c r="U135" s="101">
        <v>64</v>
      </c>
      <c r="V135" s="106">
        <f t="shared" ref="V135:V146" si="49">IF(J135="Canvas",P135+Border,P135)</f>
        <v>88</v>
      </c>
      <c r="W135" s="106">
        <f t="shared" ref="W135:W146" si="50">IF(J135="Canvas",Q135+Border,Q135)</f>
        <v>72</v>
      </c>
      <c r="X135" s="137">
        <v>82</v>
      </c>
      <c r="Y135" s="101">
        <v>88</v>
      </c>
      <c r="Z135" s="101">
        <v>72</v>
      </c>
      <c r="AA135" s="649">
        <f t="shared" si="44"/>
        <v>44</v>
      </c>
      <c r="AB135" s="1015">
        <f>AA135*Swiss1</f>
        <v>1245.2</v>
      </c>
      <c r="AC135" s="406">
        <f t="shared" si="48"/>
        <v>29.040000000000003</v>
      </c>
      <c r="AD135" s="405">
        <f>Table1[[#This Row],[Substrate SF]]*Materials!C$37</f>
        <v>123.19999999999999</v>
      </c>
      <c r="AE135" s="406">
        <f>IF(Table1[[#This Row],[Work Center]]="SwissQ",Materials!G$37,IF(Table1[[#This Row],[Work Center]]="Inca",Materials!G$29,IF(Table1[[#This Row],[Work Center]]="Canon",Materials!G$49,Materials!G$45)))</f>
        <v>20</v>
      </c>
      <c r="AF135" s="102">
        <f>'Cali FPS'!C164</f>
        <v>254.5025</v>
      </c>
      <c r="AG135" s="115"/>
      <c r="AH135" s="406">
        <f t="shared" si="45"/>
        <v>72.5</v>
      </c>
      <c r="AI135" s="405"/>
      <c r="AJ135" s="406">
        <f t="shared" si="46"/>
        <v>499.24249999999995</v>
      </c>
      <c r="AK135" s="1068">
        <f t="shared" si="39"/>
        <v>0.6556948275862069</v>
      </c>
      <c r="AL135" s="406">
        <f>Table1[[#This Row],[WSP/Dealer]]/Table1[[#This Row],[OD Sq Inch]]</f>
        <v>0.283203125</v>
      </c>
      <c r="AM135" s="399">
        <f>Table1[[#This Row],[OD Wdth]]*Table1[[#This Row],[OD Hgt]]</f>
        <v>5120</v>
      </c>
      <c r="AN135" s="400">
        <f>Table1[[#This Row],[Min VO]]+Table1[[#This Row],[Max VO]]</f>
        <v>144</v>
      </c>
      <c r="AO135" s="115"/>
      <c r="AP135" s="1088">
        <v>2900</v>
      </c>
      <c r="AQ135" s="1088">
        <f>(Table1[[#This Row],[Desgnr/Retail P]]*0.05)</f>
        <v>145</v>
      </c>
      <c r="AR135" s="126" t="b">
        <f>IF(A135="Codarus",(AP135*0.13))</f>
        <v>0</v>
      </c>
      <c r="AS135" s="126">
        <f>SUM(Table1[[#This Row],[Substrate $]:[GP FINISH]])+Table1[[#This Row],[Retail Royalty]]+Table1[[#This Row],[Retail$Comm]]</f>
        <v>571.74249999999995</v>
      </c>
      <c r="AT135" s="1001">
        <f>IF(AP135=0,"-",(AP135-AS135)/AP135)</f>
        <v>0.80284741379310354</v>
      </c>
      <c r="AU135" s="1359">
        <f t="shared" si="47"/>
        <v>0.99446312128418546</v>
      </c>
    </row>
    <row r="136" spans="1:53" s="63" customFormat="1" x14ac:dyDescent="0.2">
      <c r="A136" s="274" t="s">
        <v>58</v>
      </c>
      <c r="B136" s="1152" t="s">
        <v>121</v>
      </c>
      <c r="C136" s="78" t="s">
        <v>477</v>
      </c>
      <c r="D136" s="78"/>
      <c r="E136" s="84" t="s">
        <v>476</v>
      </c>
      <c r="F136" s="84" t="s">
        <v>386</v>
      </c>
      <c r="G136" s="68" t="s">
        <v>296</v>
      </c>
      <c r="H136" s="68" t="s">
        <v>297</v>
      </c>
      <c r="I136" s="68" t="s">
        <v>52</v>
      </c>
      <c r="J136" s="140" t="s">
        <v>53</v>
      </c>
      <c r="K136" s="68" t="s">
        <v>69</v>
      </c>
      <c r="L136" s="68" t="s">
        <v>73</v>
      </c>
      <c r="M136" s="141">
        <v>1600</v>
      </c>
      <c r="N136" s="93"/>
      <c r="O136" s="68" t="s">
        <v>64</v>
      </c>
      <c r="P136" s="68">
        <v>80</v>
      </c>
      <c r="Q136" s="68">
        <v>64</v>
      </c>
      <c r="R136" s="68">
        <v>64</v>
      </c>
      <c r="S136" s="623">
        <v>80</v>
      </c>
      <c r="T136" s="68">
        <v>81</v>
      </c>
      <c r="U136" s="68">
        <v>65</v>
      </c>
      <c r="V136" s="917">
        <f t="shared" si="49"/>
        <v>88</v>
      </c>
      <c r="W136" s="917">
        <f t="shared" si="50"/>
        <v>72</v>
      </c>
      <c r="X136" s="68">
        <v>82</v>
      </c>
      <c r="Y136" s="68">
        <v>88</v>
      </c>
      <c r="Z136" s="68">
        <v>72</v>
      </c>
      <c r="AA136" s="699">
        <f t="shared" si="44"/>
        <v>44</v>
      </c>
      <c r="AB136" s="1130">
        <f>AA136*Swiss1</f>
        <v>1245.2</v>
      </c>
      <c r="AC136" s="278">
        <f t="shared" si="48"/>
        <v>29.040000000000003</v>
      </c>
      <c r="AD136" s="263">
        <f>Table1[[#This Row],[Substrate SF]]*Materials!C$37</f>
        <v>123.19999999999999</v>
      </c>
      <c r="AE136" s="278">
        <f>IF(Table1[[#This Row],[Work Center]]="SwissQ",Materials!G$37,IF(Table1[[#This Row],[Work Center]]="Inca",Materials!G$29,IF(Table1[[#This Row],[Work Center]]="Canon",Materials!G$49,Materials!G$45)))</f>
        <v>20</v>
      </c>
      <c r="AF136" s="73">
        <f>'Cali Frames'!D485</f>
        <v>380</v>
      </c>
      <c r="AG136" s="84"/>
      <c r="AH136" s="74">
        <f t="shared" si="45"/>
        <v>80</v>
      </c>
      <c r="AI136" s="67"/>
      <c r="AJ136" s="74">
        <f t="shared" si="46"/>
        <v>632.24</v>
      </c>
      <c r="AK136" s="661">
        <f t="shared" si="39"/>
        <v>0.60485</v>
      </c>
      <c r="AL136" s="74">
        <f>Table1[[#This Row],[WSP/Dealer]]/Table1[[#This Row],[OD Sq Inch]]</f>
        <v>0.30389363722697055</v>
      </c>
      <c r="AM136" s="63">
        <f>Table1[[#This Row],[OD Wdth]]*Table1[[#This Row],[OD Hgt]]</f>
        <v>5265</v>
      </c>
      <c r="AN136" s="68">
        <f>Table1[[#This Row],[Min VO]]+Table1[[#This Row],[Max VO]]</f>
        <v>144</v>
      </c>
      <c r="AO136" s="84"/>
      <c r="AP136" s="1088">
        <v>3200</v>
      </c>
      <c r="AQ136" s="1088">
        <f>(Table1[[#This Row],[Desgnr/Retail P]]*0.05)</f>
        <v>160</v>
      </c>
      <c r="AR136" s="126" t="b">
        <f>IF(A136="Codarus",(AP136*0.13))</f>
        <v>0</v>
      </c>
      <c r="AS136" s="126">
        <f>SUM(Table1[[#This Row],[Substrate $]:[GP FINISH]])+Table1[[#This Row],[Retail Royalty]]+Table1[[#This Row],[Retail$Comm]]</f>
        <v>712.24</v>
      </c>
      <c r="AT136" s="1001">
        <f>IF(AP136=0,"-",(AP136-AS136)/AP136)</f>
        <v>0.77742500000000003</v>
      </c>
      <c r="AU136" s="1357">
        <f t="shared" si="47"/>
        <v>0.99514109375000004</v>
      </c>
    </row>
    <row r="137" spans="1:53" s="399" customFormat="1" x14ac:dyDescent="0.2">
      <c r="A137" s="400" t="s">
        <v>58</v>
      </c>
      <c r="B137" s="1064" t="s">
        <v>121</v>
      </c>
      <c r="C137" s="100" t="s">
        <v>478</v>
      </c>
      <c r="D137" s="100"/>
      <c r="E137" s="115" t="s">
        <v>476</v>
      </c>
      <c r="F137" s="115" t="s">
        <v>386</v>
      </c>
      <c r="G137" s="101" t="s">
        <v>296</v>
      </c>
      <c r="H137" s="101" t="s">
        <v>297</v>
      </c>
      <c r="I137" s="101" t="s">
        <v>52</v>
      </c>
      <c r="J137" s="487" t="s">
        <v>53</v>
      </c>
      <c r="K137" s="101" t="s">
        <v>69</v>
      </c>
      <c r="L137" s="101" t="s">
        <v>70</v>
      </c>
      <c r="M137" s="299">
        <v>1600</v>
      </c>
      <c r="N137" s="114"/>
      <c r="O137" s="101" t="s">
        <v>64</v>
      </c>
      <c r="P137" s="101">
        <v>80</v>
      </c>
      <c r="Q137" s="101">
        <v>64</v>
      </c>
      <c r="R137" s="101">
        <v>64</v>
      </c>
      <c r="S137" s="697">
        <v>80</v>
      </c>
      <c r="T137" s="101">
        <v>81</v>
      </c>
      <c r="U137" s="101">
        <v>65</v>
      </c>
      <c r="V137" s="608">
        <f t="shared" si="49"/>
        <v>88</v>
      </c>
      <c r="W137" s="608">
        <f t="shared" si="50"/>
        <v>72</v>
      </c>
      <c r="X137" s="101">
        <v>82</v>
      </c>
      <c r="Y137" s="101">
        <v>88</v>
      </c>
      <c r="Z137" s="101">
        <v>72</v>
      </c>
      <c r="AA137" s="649">
        <f t="shared" si="44"/>
        <v>44</v>
      </c>
      <c r="AB137" s="1015">
        <f>AA137*Swiss1</f>
        <v>1245.2</v>
      </c>
      <c r="AC137" s="406">
        <f t="shared" si="48"/>
        <v>29.040000000000003</v>
      </c>
      <c r="AD137" s="405">
        <f>Table1[[#This Row],[Substrate SF]]*Materials!C$37</f>
        <v>123.19999999999999</v>
      </c>
      <c r="AE137" s="406">
        <f>IF(Table1[[#This Row],[Work Center]]="SwissQ",Materials!G$37,IF(Table1[[#This Row],[Work Center]]="Inca",Materials!G$29,IF(Table1[[#This Row],[Work Center]]="Canon",Materials!G$49,Materials!G$45)))</f>
        <v>20</v>
      </c>
      <c r="AF137" s="102">
        <f>'Cali Frames'!D352</f>
        <v>375</v>
      </c>
      <c r="AG137" s="115"/>
      <c r="AH137" s="104">
        <f t="shared" si="45"/>
        <v>80</v>
      </c>
      <c r="AI137" s="104"/>
      <c r="AJ137" s="104">
        <f t="shared" si="46"/>
        <v>627.24</v>
      </c>
      <c r="AK137" s="830">
        <f t="shared" si="39"/>
        <v>0.60797500000000004</v>
      </c>
      <c r="AL137" s="104">
        <f>Table1[[#This Row],[WSP/Dealer]]/Table1[[#This Row],[OD Sq Inch]]</f>
        <v>0.30389363722697055</v>
      </c>
      <c r="AM137" s="101">
        <f>Table1[[#This Row],[OD Wdth]]*Table1[[#This Row],[OD Hgt]]</f>
        <v>5265</v>
      </c>
      <c r="AN137" s="101">
        <f>Table1[[#This Row],[Min VO]]+Table1[[#This Row],[Max VO]]</f>
        <v>144</v>
      </c>
      <c r="AO137" s="115"/>
      <c r="AP137" s="408"/>
      <c r="AQ137" s="408"/>
      <c r="AR137" s="408"/>
      <c r="AS137" s="408"/>
      <c r="AT137" s="102"/>
      <c r="AU137" s="1359" t="str">
        <f t="shared" si="47"/>
        <v>-</v>
      </c>
    </row>
    <row r="138" spans="1:53" s="675" customFormat="1" x14ac:dyDescent="0.2">
      <c r="A138" s="274" t="s">
        <v>58</v>
      </c>
      <c r="B138" s="1152" t="s">
        <v>121</v>
      </c>
      <c r="C138" s="78" t="s">
        <v>479</v>
      </c>
      <c r="D138" s="78"/>
      <c r="E138" s="84" t="s">
        <v>476</v>
      </c>
      <c r="F138" s="84" t="s">
        <v>386</v>
      </c>
      <c r="G138" s="68" t="s">
        <v>296</v>
      </c>
      <c r="H138" s="68" t="s">
        <v>297</v>
      </c>
      <c r="I138" s="68" t="s">
        <v>52</v>
      </c>
      <c r="J138" s="140" t="s">
        <v>53</v>
      </c>
      <c r="K138" s="68" t="s">
        <v>69</v>
      </c>
      <c r="L138" s="68" t="s">
        <v>76</v>
      </c>
      <c r="M138" s="141">
        <v>1650</v>
      </c>
      <c r="N138" s="93"/>
      <c r="O138" s="68" t="s">
        <v>64</v>
      </c>
      <c r="P138" s="68">
        <v>80</v>
      </c>
      <c r="Q138" s="68">
        <v>64</v>
      </c>
      <c r="R138" s="68">
        <v>64</v>
      </c>
      <c r="S138" s="65">
        <v>80</v>
      </c>
      <c r="T138" s="68">
        <v>81</v>
      </c>
      <c r="U138" s="68">
        <v>65</v>
      </c>
      <c r="V138" s="66">
        <f t="shared" si="49"/>
        <v>88</v>
      </c>
      <c r="W138" s="66">
        <f t="shared" si="50"/>
        <v>72</v>
      </c>
      <c r="X138" s="68">
        <v>82</v>
      </c>
      <c r="Y138" s="68">
        <v>88</v>
      </c>
      <c r="Z138" s="68">
        <v>72</v>
      </c>
      <c r="AA138" s="699">
        <f t="shared" si="44"/>
        <v>44</v>
      </c>
      <c r="AB138" s="1130">
        <f>AA138*Swiss1</f>
        <v>1245.2</v>
      </c>
      <c r="AC138" s="278">
        <f t="shared" si="48"/>
        <v>29.040000000000003</v>
      </c>
      <c r="AD138" s="263">
        <f>Table1[[#This Row],[Substrate SF]]*Materials!C$37</f>
        <v>123.19999999999999</v>
      </c>
      <c r="AE138" s="278">
        <f>IF(Table1[[#This Row],[Work Center]]="SwissQ",Materials!G$37,IF(Table1[[#This Row],[Work Center]]="Inca",Materials!G$29,IF(Table1[[#This Row],[Work Center]]="Canon",Materials!G$49,Materials!G$45)))</f>
        <v>20</v>
      </c>
      <c r="AF138" s="73">
        <f>'Cali Frames'!D389</f>
        <v>355.92</v>
      </c>
      <c r="AG138" s="84"/>
      <c r="AH138" s="67">
        <f t="shared" si="45"/>
        <v>82.5</v>
      </c>
      <c r="AI138" s="67"/>
      <c r="AJ138" s="74">
        <f t="shared" si="46"/>
        <v>610.66</v>
      </c>
      <c r="AK138" s="661">
        <f t="shared" si="39"/>
        <v>0.62990303030303041</v>
      </c>
      <c r="AL138" s="74">
        <f>Table1[[#This Row],[WSP/Dealer]]/Table1[[#This Row],[OD Sq Inch]]</f>
        <v>0.31339031339031337</v>
      </c>
      <c r="AM138" s="63">
        <f>Table1[[#This Row],[OD Wdth]]*Table1[[#This Row],[OD Hgt]]</f>
        <v>5265</v>
      </c>
      <c r="AN138" s="68">
        <f>Table1[[#This Row],[Min VO]]+Table1[[#This Row],[Max VO]]</f>
        <v>144</v>
      </c>
      <c r="AO138" s="119"/>
      <c r="AP138" s="535"/>
      <c r="AQ138" s="535"/>
      <c r="AR138" s="535"/>
      <c r="AS138" s="535"/>
      <c r="AT138" s="73"/>
      <c r="AU138" s="1356" t="str">
        <f t="shared" si="47"/>
        <v>-</v>
      </c>
    </row>
    <row r="139" spans="1:53" s="1431" customFormat="1" hidden="1" x14ac:dyDescent="0.2">
      <c r="A139" s="60" t="s">
        <v>318</v>
      </c>
      <c r="B139" s="279" t="s">
        <v>319</v>
      </c>
      <c r="C139" s="76" t="s">
        <v>480</v>
      </c>
      <c r="D139" s="76"/>
      <c r="E139" s="83" t="s">
        <v>481</v>
      </c>
      <c r="F139" s="83" t="s">
        <v>386</v>
      </c>
      <c r="G139" s="60" t="s">
        <v>482</v>
      </c>
      <c r="H139" s="60" t="s">
        <v>483</v>
      </c>
      <c r="I139" s="60" t="s">
        <v>52</v>
      </c>
      <c r="J139" s="59" t="s">
        <v>53</v>
      </c>
      <c r="K139" s="60" t="s">
        <v>54</v>
      </c>
      <c r="L139" s="60" t="s">
        <v>55</v>
      </c>
      <c r="M139" s="1056">
        <v>450</v>
      </c>
      <c r="N139" s="1057"/>
      <c r="O139" s="60" t="s">
        <v>56</v>
      </c>
      <c r="P139" s="60">
        <v>40</v>
      </c>
      <c r="Q139" s="60">
        <v>60</v>
      </c>
      <c r="R139" s="60">
        <v>40</v>
      </c>
      <c r="S139" s="273">
        <v>60</v>
      </c>
      <c r="T139" s="60">
        <v>41</v>
      </c>
      <c r="U139" s="60">
        <v>61</v>
      </c>
      <c r="V139" s="47">
        <f t="shared" si="49"/>
        <v>48</v>
      </c>
      <c r="W139" s="47">
        <f t="shared" si="50"/>
        <v>68</v>
      </c>
      <c r="X139" s="996">
        <v>69</v>
      </c>
      <c r="Y139" s="60">
        <v>48</v>
      </c>
      <c r="Z139" s="60">
        <v>68</v>
      </c>
      <c r="AA139" s="1058">
        <f t="shared" si="44"/>
        <v>22.666666666666668</v>
      </c>
      <c r="AB139" s="723">
        <f t="shared" ref="AB139:AB144" si="51">AA139*IncaG</f>
        <v>476.90666666666669</v>
      </c>
      <c r="AC139" s="69">
        <f t="shared" si="48"/>
        <v>14.96</v>
      </c>
      <c r="AD139" s="48">
        <f t="shared" ref="AD139:AD144" si="52">AA139*IncaC</f>
        <v>38.152533333333338</v>
      </c>
      <c r="AE139" s="69">
        <f>IF(Table1[[#This Row],[Work Center]]="SwissQ",Materials!G$37,IF(Table1[[#This Row],[Work Center]]="Inca",Materials!G$29,IF(Table1[[#This Row],[Work Center]]="Canon",Materials!G$49,Materials!G$45)))</f>
        <v>8</v>
      </c>
      <c r="AF139" s="1059">
        <f>'Cali FPS'!C89</f>
        <v>112.01750000000001</v>
      </c>
      <c r="AG139" s="83"/>
      <c r="AH139" s="48">
        <f t="shared" si="45"/>
        <v>22.5</v>
      </c>
      <c r="AI139" s="48"/>
      <c r="AJ139" s="176">
        <f t="shared" si="46"/>
        <v>195.63003333333336</v>
      </c>
      <c r="AK139" s="62">
        <f t="shared" si="39"/>
        <v>0.56526659259259249</v>
      </c>
      <c r="AL139" s="225">
        <f>Table1[[#This Row],[WSP/Dealer]]/Table1[[#This Row],[OD Sq Inch]]</f>
        <v>0.1799280287884846</v>
      </c>
      <c r="AM139" s="173">
        <f>Table1[[#This Row],[OD Wdth]]*Table1[[#This Row],[OD Hgt]]</f>
        <v>2501</v>
      </c>
      <c r="AN139" s="180">
        <f>Table1[[#This Row],[Min VO]]+Table1[[#This Row],[Max VO]]</f>
        <v>100</v>
      </c>
      <c r="AO139" s="83"/>
      <c r="AP139" s="1119"/>
      <c r="AQ139" s="1119"/>
      <c r="AR139" s="1119"/>
      <c r="AS139" s="1119"/>
      <c r="AT139" s="1059"/>
      <c r="AU139" s="1361" t="str">
        <f t="shared" si="47"/>
        <v>-</v>
      </c>
    </row>
    <row r="140" spans="1:53" s="231" customFormat="1" hidden="1" x14ac:dyDescent="0.2">
      <c r="A140" s="101" t="s">
        <v>110</v>
      </c>
      <c r="B140" s="1062" t="s">
        <v>484</v>
      </c>
      <c r="C140" s="100" t="s">
        <v>485</v>
      </c>
      <c r="D140" s="100"/>
      <c r="E140" s="115" t="s">
        <v>481</v>
      </c>
      <c r="F140" s="115" t="s">
        <v>386</v>
      </c>
      <c r="G140" s="101" t="s">
        <v>482</v>
      </c>
      <c r="H140" s="101" t="s">
        <v>482</v>
      </c>
      <c r="I140" s="101" t="s">
        <v>52</v>
      </c>
      <c r="J140" s="487" t="s">
        <v>53</v>
      </c>
      <c r="K140" s="101" t="s">
        <v>69</v>
      </c>
      <c r="L140" s="101" t="s">
        <v>73</v>
      </c>
      <c r="M140" s="1008">
        <v>950</v>
      </c>
      <c r="N140" s="1009"/>
      <c r="O140" s="101" t="s">
        <v>56</v>
      </c>
      <c r="P140" s="101">
        <v>40</v>
      </c>
      <c r="Q140" s="101">
        <v>60</v>
      </c>
      <c r="R140" s="101">
        <v>40</v>
      </c>
      <c r="S140" s="697">
        <v>60</v>
      </c>
      <c r="T140" s="101">
        <v>41</v>
      </c>
      <c r="U140" s="101">
        <v>61</v>
      </c>
      <c r="V140" s="106">
        <f t="shared" si="49"/>
        <v>48</v>
      </c>
      <c r="W140" s="106">
        <f t="shared" si="50"/>
        <v>68</v>
      </c>
      <c r="X140" s="1010">
        <v>69</v>
      </c>
      <c r="Y140" s="101">
        <v>48</v>
      </c>
      <c r="Z140" s="101">
        <v>68</v>
      </c>
      <c r="AA140" s="1011">
        <f t="shared" si="44"/>
        <v>22.666666666666668</v>
      </c>
      <c r="AB140" s="1162">
        <f t="shared" si="51"/>
        <v>476.90666666666669</v>
      </c>
      <c r="AC140" s="104">
        <f t="shared" si="48"/>
        <v>14.96</v>
      </c>
      <c r="AD140" s="107">
        <f t="shared" si="52"/>
        <v>38.152533333333338</v>
      </c>
      <c r="AE140" s="104">
        <f>IF(Table1[[#This Row],[Work Center]]="SwissQ",Materials!G$37,IF(Table1[[#This Row],[Work Center]]="Inca",Materials!G$29,IF(Table1[[#This Row],[Work Center]]="Canon",Materials!G$49,Materials!G$45)))</f>
        <v>8</v>
      </c>
      <c r="AF140" s="1012">
        <f>'Cali Frames'!D450</f>
        <v>224.10500000000002</v>
      </c>
      <c r="AG140" s="115"/>
      <c r="AH140" s="107">
        <f t="shared" si="45"/>
        <v>47.5</v>
      </c>
      <c r="AI140" s="405">
        <f>IF(A140="Codarus",(M140*0.13))</f>
        <v>123.5</v>
      </c>
      <c r="AJ140" s="406">
        <f t="shared" si="46"/>
        <v>332.71753333333334</v>
      </c>
      <c r="AK140" s="108">
        <f t="shared" si="39"/>
        <v>0.64977101754385969</v>
      </c>
      <c r="AL140" s="660">
        <f>Table1[[#This Row],[WSP/Dealer]]/Table1[[#This Row],[OD Sq Inch]]</f>
        <v>0.37984806077568972</v>
      </c>
      <c r="AM140" s="399">
        <f>Table1[[#This Row],[OD Wdth]]*Table1[[#This Row],[OD Hgt]]</f>
        <v>2501</v>
      </c>
      <c r="AN140" s="400">
        <f>Table1[[#This Row],[Min VO]]+Table1[[#This Row],[Max VO]]</f>
        <v>100</v>
      </c>
      <c r="AO140" s="115"/>
      <c r="AP140" s="1088">
        <v>1900</v>
      </c>
      <c r="AQ140" s="1088">
        <f>(Table1[[#This Row],[Desgnr/Retail P]]*0.05)</f>
        <v>95</v>
      </c>
      <c r="AR140" s="121">
        <f>IF(A140="Codarus",(AP140*0.13))</f>
        <v>247</v>
      </c>
      <c r="AS140" s="121">
        <f>SUM(Table1[[#This Row],[Substrate $]:[GP FINISH]])+Table1[[#This Row],[Retail Royalty]]+Table1[[#This Row],[Retail$Comm]]</f>
        <v>627.21753333333334</v>
      </c>
      <c r="AT140" s="830">
        <f>IF(AP140=0,"-",(AP140-AS140)/AP140)</f>
        <v>0.66988550877192976</v>
      </c>
      <c r="AU140" s="1359">
        <f t="shared" si="47"/>
        <v>0.99294857359187449</v>
      </c>
    </row>
    <row r="141" spans="1:53" s="1385" customFormat="1" hidden="1" x14ac:dyDescent="0.2">
      <c r="A141" s="101" t="s">
        <v>110</v>
      </c>
      <c r="B141" s="1064" t="s">
        <v>486</v>
      </c>
      <c r="C141" s="100" t="s">
        <v>487</v>
      </c>
      <c r="D141" s="100"/>
      <c r="E141" s="115" t="s">
        <v>481</v>
      </c>
      <c r="F141" s="115" t="s">
        <v>386</v>
      </c>
      <c r="G141" s="101" t="s">
        <v>482</v>
      </c>
      <c r="H141" s="101" t="s">
        <v>488</v>
      </c>
      <c r="I141" s="101" t="s">
        <v>52</v>
      </c>
      <c r="J141" s="487" t="s">
        <v>53</v>
      </c>
      <c r="K141" s="101" t="s">
        <v>69</v>
      </c>
      <c r="L141" s="101" t="s">
        <v>70</v>
      </c>
      <c r="M141" s="114">
        <v>950</v>
      </c>
      <c r="N141" s="114"/>
      <c r="O141" s="101" t="s">
        <v>56</v>
      </c>
      <c r="P141" s="101">
        <v>40</v>
      </c>
      <c r="Q141" s="101">
        <v>60</v>
      </c>
      <c r="R141" s="101">
        <v>40</v>
      </c>
      <c r="S141" s="697">
        <v>60</v>
      </c>
      <c r="T141" s="101">
        <v>41</v>
      </c>
      <c r="U141" s="101">
        <v>61</v>
      </c>
      <c r="V141" s="608">
        <f t="shared" si="49"/>
        <v>48</v>
      </c>
      <c r="W141" s="608">
        <f t="shared" si="50"/>
        <v>68</v>
      </c>
      <c r="X141" s="101">
        <v>69</v>
      </c>
      <c r="Y141" s="101">
        <v>48</v>
      </c>
      <c r="Z141" s="101">
        <v>68</v>
      </c>
      <c r="AA141" s="1011">
        <f t="shared" si="44"/>
        <v>22.666666666666668</v>
      </c>
      <c r="AB141" s="1162">
        <f t="shared" si="51"/>
        <v>476.90666666666669</v>
      </c>
      <c r="AC141" s="104">
        <f t="shared" si="48"/>
        <v>14.96</v>
      </c>
      <c r="AD141" s="107">
        <f t="shared" si="52"/>
        <v>38.152533333333338</v>
      </c>
      <c r="AE141" s="104">
        <f>IF(Table1[[#This Row],[Work Center]]="SwissQ",Materials!G$37,IF(Table1[[#This Row],[Work Center]]="Inca",Materials!G$29,IF(Table1[[#This Row],[Work Center]]="Canon",Materials!G$49,Materials!G$45)))</f>
        <v>8</v>
      </c>
      <c r="AF141" s="102">
        <f>'Cali Frames'!D315</f>
        <v>164.9025</v>
      </c>
      <c r="AG141" s="115"/>
      <c r="AH141" s="107">
        <f t="shared" si="45"/>
        <v>47.5</v>
      </c>
      <c r="AI141" s="405">
        <f>IF(A141="Codarus",(M141*0.13))</f>
        <v>123.5</v>
      </c>
      <c r="AJ141" s="406">
        <f t="shared" si="46"/>
        <v>273.51503333333335</v>
      </c>
      <c r="AK141" s="108">
        <f t="shared" si="39"/>
        <v>0.71208943859649121</v>
      </c>
      <c r="AL141" s="660">
        <f>Table1[[#This Row],[WSP/Dealer]]/Table1[[#This Row],[OD Sq Inch]]</f>
        <v>0.37984806077568972</v>
      </c>
      <c r="AM141" s="400">
        <f>Table1[[#This Row],[OD Wdth]]*Table1[[#This Row],[OD Hgt]]</f>
        <v>2501</v>
      </c>
      <c r="AN141" s="400">
        <f>Table1[[#This Row],[Min VO]]+Table1[[#This Row],[Max VO]]</f>
        <v>100</v>
      </c>
      <c r="AO141" s="115"/>
      <c r="AP141" s="1088">
        <v>1900</v>
      </c>
      <c r="AQ141" s="1088">
        <f>(Table1[[#This Row],[Desgnr/Retail P]]*0.05)</f>
        <v>95</v>
      </c>
      <c r="AR141" s="121">
        <f>IF(A141="Codarus",(AP141*0.13))</f>
        <v>247</v>
      </c>
      <c r="AS141" s="121">
        <f>SUM(Table1[[#This Row],[Substrate $]:[GP FINISH]])+Table1[[#This Row],[Retail Royalty]]+Table1[[#This Row],[Retail$Comm]]</f>
        <v>568.01503333333335</v>
      </c>
      <c r="AT141" s="830">
        <f>IF(AP141=0,"-",(AP141-AS141)/AP141)</f>
        <v>0.70104471929824563</v>
      </c>
      <c r="AU141" s="1359">
        <f t="shared" si="47"/>
        <v>0.99262058190212366</v>
      </c>
    </row>
    <row r="142" spans="1:53" s="1433" customFormat="1" hidden="1" x14ac:dyDescent="0.2">
      <c r="A142" s="60" t="s">
        <v>318</v>
      </c>
      <c r="B142" s="279" t="s">
        <v>319</v>
      </c>
      <c r="C142" s="76" t="s">
        <v>489</v>
      </c>
      <c r="D142" s="76"/>
      <c r="E142" s="83" t="s">
        <v>490</v>
      </c>
      <c r="F142" s="83" t="s">
        <v>386</v>
      </c>
      <c r="G142" s="60" t="s">
        <v>482</v>
      </c>
      <c r="H142" s="60" t="s">
        <v>488</v>
      </c>
      <c r="I142" s="60" t="s">
        <v>52</v>
      </c>
      <c r="J142" s="59" t="s">
        <v>53</v>
      </c>
      <c r="K142" s="60" t="s">
        <v>54</v>
      </c>
      <c r="L142" s="60" t="s">
        <v>55</v>
      </c>
      <c r="M142" s="1056">
        <v>450</v>
      </c>
      <c r="N142" s="1057"/>
      <c r="O142" s="60" t="s">
        <v>56</v>
      </c>
      <c r="P142" s="60">
        <v>40</v>
      </c>
      <c r="Q142" s="60">
        <v>60</v>
      </c>
      <c r="R142" s="60">
        <v>40</v>
      </c>
      <c r="S142" s="61">
        <v>60</v>
      </c>
      <c r="T142" s="46">
        <v>41</v>
      </c>
      <c r="U142" s="46">
        <v>61</v>
      </c>
      <c r="V142" s="47">
        <f t="shared" si="49"/>
        <v>48</v>
      </c>
      <c r="W142" s="47">
        <f t="shared" si="50"/>
        <v>68</v>
      </c>
      <c r="X142" s="996">
        <v>69</v>
      </c>
      <c r="Y142" s="60">
        <v>48</v>
      </c>
      <c r="Z142" s="60">
        <v>68</v>
      </c>
      <c r="AA142" s="1058">
        <f t="shared" si="44"/>
        <v>22.666666666666668</v>
      </c>
      <c r="AB142" s="723">
        <f t="shared" si="51"/>
        <v>476.90666666666669</v>
      </c>
      <c r="AC142" s="69">
        <f t="shared" si="48"/>
        <v>14.96</v>
      </c>
      <c r="AD142" s="48">
        <f t="shared" si="52"/>
        <v>38.152533333333338</v>
      </c>
      <c r="AE142" s="69">
        <f>IF(Table1[[#This Row],[Work Center]]="SwissQ",Materials!G$37,IF(Table1[[#This Row],[Work Center]]="Inca",Materials!G$29,IF(Table1[[#This Row],[Work Center]]="Canon",Materials!G$49,Materials!G$45)))</f>
        <v>8</v>
      </c>
      <c r="AF142" s="1060">
        <f>'Cali FPS'!C89</f>
        <v>112.01750000000001</v>
      </c>
      <c r="AG142" s="83"/>
      <c r="AH142" s="48">
        <f t="shared" si="45"/>
        <v>22.5</v>
      </c>
      <c r="AI142" s="48"/>
      <c r="AJ142" s="176">
        <f t="shared" si="46"/>
        <v>195.63003333333336</v>
      </c>
      <c r="AK142" s="62">
        <f t="shared" si="39"/>
        <v>0.56526659259259249</v>
      </c>
      <c r="AL142" s="225">
        <f>Table1[[#This Row],[WSP/Dealer]]/Table1[[#This Row],[OD Sq Inch]]</f>
        <v>0.1799280287884846</v>
      </c>
      <c r="AM142" s="173">
        <f>Table1[[#This Row],[OD Wdth]]*Table1[[#This Row],[OD Hgt]]</f>
        <v>2501</v>
      </c>
      <c r="AN142" s="180">
        <f>Table1[[#This Row],[Min VO]]+Table1[[#This Row],[Max VO]]</f>
        <v>100</v>
      </c>
      <c r="AO142" s="95"/>
      <c r="AP142" s="1119"/>
      <c r="AQ142" s="1119"/>
      <c r="AR142" s="1119"/>
      <c r="AS142" s="1119"/>
      <c r="AT142" s="1059"/>
      <c r="AU142" s="1355" t="str">
        <f t="shared" si="47"/>
        <v>-</v>
      </c>
      <c r="AV142" s="1432"/>
      <c r="AW142" s="1432"/>
      <c r="AX142" s="1432"/>
      <c r="AY142" s="1432"/>
      <c r="AZ142" s="1432"/>
      <c r="BA142" s="1432"/>
    </row>
    <row r="143" spans="1:53" hidden="1" x14ac:dyDescent="0.2">
      <c r="A143" s="101" t="s">
        <v>110</v>
      </c>
      <c r="B143" s="1322" t="s">
        <v>484</v>
      </c>
      <c r="C143" s="100" t="s">
        <v>491</v>
      </c>
      <c r="D143" s="100"/>
      <c r="E143" s="115" t="s">
        <v>490</v>
      </c>
      <c r="F143" s="115" t="s">
        <v>386</v>
      </c>
      <c r="G143" s="101" t="s">
        <v>482</v>
      </c>
      <c r="H143" s="101" t="s">
        <v>488</v>
      </c>
      <c r="I143" s="101" t="s">
        <v>52</v>
      </c>
      <c r="J143" s="487" t="s">
        <v>53</v>
      </c>
      <c r="K143" s="101" t="s">
        <v>69</v>
      </c>
      <c r="L143" s="101" t="s">
        <v>73</v>
      </c>
      <c r="M143" s="1008">
        <v>950</v>
      </c>
      <c r="N143" s="1009"/>
      <c r="O143" s="101" t="s">
        <v>56</v>
      </c>
      <c r="P143" s="101">
        <v>40</v>
      </c>
      <c r="Q143" s="101">
        <v>60</v>
      </c>
      <c r="R143" s="101">
        <v>40</v>
      </c>
      <c r="S143" s="116">
        <v>60</v>
      </c>
      <c r="T143" s="103">
        <v>41</v>
      </c>
      <c r="U143" s="103">
        <v>61</v>
      </c>
      <c r="V143" s="106">
        <f t="shared" si="49"/>
        <v>48</v>
      </c>
      <c r="W143" s="106">
        <f t="shared" si="50"/>
        <v>68</v>
      </c>
      <c r="X143" s="1010">
        <v>69</v>
      </c>
      <c r="Y143" s="103">
        <v>48</v>
      </c>
      <c r="Z143" s="103">
        <v>68</v>
      </c>
      <c r="AA143" s="1011">
        <f t="shared" si="44"/>
        <v>22.666666666666668</v>
      </c>
      <c r="AB143" s="1162">
        <f t="shared" si="51"/>
        <v>476.90666666666669</v>
      </c>
      <c r="AC143" s="104">
        <f t="shared" si="48"/>
        <v>14.96</v>
      </c>
      <c r="AD143" s="107">
        <f t="shared" si="52"/>
        <v>38.152533333333338</v>
      </c>
      <c r="AE143" s="104">
        <f>IF(Table1[[#This Row],[Work Center]]="SwissQ",Materials!G$37,IF(Table1[[#This Row],[Work Center]]="Inca",Materials!G$29,IF(Table1[[#This Row],[Work Center]]="Canon",Materials!G$49,Materials!G$45)))</f>
        <v>8</v>
      </c>
      <c r="AF143" s="1013">
        <f>'Cali Frames'!D450</f>
        <v>224.10500000000002</v>
      </c>
      <c r="AG143" s="115"/>
      <c r="AH143" s="104">
        <f t="shared" si="45"/>
        <v>47.5</v>
      </c>
      <c r="AI143" s="406">
        <f>IF(A143="Codarus",(M143*0.13))</f>
        <v>123.5</v>
      </c>
      <c r="AJ143" s="405">
        <f t="shared" si="46"/>
        <v>332.71753333333334</v>
      </c>
      <c r="AK143" s="830">
        <f t="shared" si="39"/>
        <v>0.64977101754385969</v>
      </c>
      <c r="AL143" s="660">
        <f>Table1[[#This Row],[WSP/Dealer]]/Table1[[#This Row],[OD Sq Inch]]</f>
        <v>0.37984806077568972</v>
      </c>
      <c r="AM143" s="399">
        <f>Table1[[#This Row],[OD Wdth]]*Table1[[#This Row],[OD Hgt]]</f>
        <v>2501</v>
      </c>
      <c r="AN143" s="400">
        <f>Table1[[#This Row],[Min VO]]+Table1[[#This Row],[Max VO]]</f>
        <v>100</v>
      </c>
      <c r="AO143" s="113"/>
      <c r="AP143" s="1088">
        <v>1900</v>
      </c>
      <c r="AQ143" s="1088">
        <f>(Table1[[#This Row],[Desgnr/Retail P]]*0.05)</f>
        <v>95</v>
      </c>
      <c r="AR143" s="121">
        <f>IF(A143="Codarus",(AP143*0.13))</f>
        <v>247</v>
      </c>
      <c r="AS143" s="121">
        <f>SUM(Table1[[#This Row],[Substrate $]:[GP FINISH]])+Table1[[#This Row],[Retail Royalty]]+Table1[[#This Row],[Retail$Comm]]</f>
        <v>627.21753333333334</v>
      </c>
      <c r="AT143" s="830">
        <f>IF(AP143=0,"-",(AP143-AS143)/AP143)</f>
        <v>0.66988550877192976</v>
      </c>
      <c r="AU143" s="1359">
        <f t="shared" si="47"/>
        <v>0.99294857359187449</v>
      </c>
      <c r="AV143" s="229"/>
      <c r="AW143" s="229"/>
      <c r="AX143" s="229"/>
      <c r="AY143" s="229"/>
      <c r="AZ143" s="229"/>
      <c r="BA143" s="229"/>
    </row>
    <row r="144" spans="1:53" hidden="1" x14ac:dyDescent="0.2">
      <c r="A144" s="101" t="s">
        <v>110</v>
      </c>
      <c r="B144" s="1064" t="s">
        <v>486</v>
      </c>
      <c r="C144" s="100" t="s">
        <v>492</v>
      </c>
      <c r="D144" s="100"/>
      <c r="E144" s="115" t="s">
        <v>490</v>
      </c>
      <c r="F144" s="115" t="s">
        <v>386</v>
      </c>
      <c r="G144" s="101" t="s">
        <v>482</v>
      </c>
      <c r="H144" s="101" t="s">
        <v>488</v>
      </c>
      <c r="I144" s="101" t="s">
        <v>52</v>
      </c>
      <c r="J144" s="487" t="s">
        <v>53</v>
      </c>
      <c r="K144" s="101" t="s">
        <v>69</v>
      </c>
      <c r="L144" s="101" t="s">
        <v>70</v>
      </c>
      <c r="M144" s="114">
        <v>950</v>
      </c>
      <c r="N144" s="114"/>
      <c r="O144" s="101" t="s">
        <v>56</v>
      </c>
      <c r="P144" s="101">
        <v>40</v>
      </c>
      <c r="Q144" s="101">
        <v>60</v>
      </c>
      <c r="R144" s="101">
        <v>40</v>
      </c>
      <c r="S144" s="697">
        <v>60</v>
      </c>
      <c r="T144" s="101">
        <v>41</v>
      </c>
      <c r="U144" s="101">
        <v>61</v>
      </c>
      <c r="V144" s="106">
        <f t="shared" si="49"/>
        <v>48</v>
      </c>
      <c r="W144" s="106">
        <f t="shared" si="50"/>
        <v>68</v>
      </c>
      <c r="X144" s="101">
        <v>69</v>
      </c>
      <c r="Y144" s="101">
        <v>48</v>
      </c>
      <c r="Z144" s="101">
        <v>68</v>
      </c>
      <c r="AA144" s="1011">
        <f t="shared" si="44"/>
        <v>22.666666666666668</v>
      </c>
      <c r="AB144" s="1162">
        <f t="shared" si="51"/>
        <v>476.90666666666669</v>
      </c>
      <c r="AC144" s="107">
        <f t="shared" si="48"/>
        <v>14.96</v>
      </c>
      <c r="AD144" s="107">
        <f t="shared" si="52"/>
        <v>38.152533333333338</v>
      </c>
      <c r="AE144" s="104">
        <f>IF(Table1[[#This Row],[Work Center]]="SwissQ",Materials!G$37,IF(Table1[[#This Row],[Work Center]]="Inca",Materials!G$29,IF(Table1[[#This Row],[Work Center]]="Canon",Materials!G$49,Materials!G$45)))</f>
        <v>8</v>
      </c>
      <c r="AF144" s="102">
        <f>'Cali Frames'!D315</f>
        <v>164.9025</v>
      </c>
      <c r="AG144" s="115"/>
      <c r="AH144" s="104">
        <f t="shared" si="45"/>
        <v>47.5</v>
      </c>
      <c r="AI144" s="406">
        <f>IF(A144="Codarus",(M144*0.13))</f>
        <v>123.5</v>
      </c>
      <c r="AJ144" s="405">
        <f t="shared" si="46"/>
        <v>273.51503333333335</v>
      </c>
      <c r="AK144" s="830">
        <f t="shared" ref="AK144:AK175" si="53">(M144-AJ144)/M144</f>
        <v>0.71208943859649121</v>
      </c>
      <c r="AL144" s="660">
        <f>Table1[[#This Row],[WSP/Dealer]]/Table1[[#This Row],[OD Sq Inch]]</f>
        <v>0.37984806077568972</v>
      </c>
      <c r="AM144" s="399">
        <f>Table1[[#This Row],[OD Wdth]]*Table1[[#This Row],[OD Hgt]]</f>
        <v>2501</v>
      </c>
      <c r="AN144" s="400">
        <f>Table1[[#This Row],[Min VO]]+Table1[[#This Row],[Max VO]]</f>
        <v>100</v>
      </c>
      <c r="AO144" s="113"/>
      <c r="AP144" s="1088">
        <v>1900</v>
      </c>
      <c r="AQ144" s="1088">
        <f>(Table1[[#This Row],[Desgnr/Retail P]]*0.05)</f>
        <v>95</v>
      </c>
      <c r="AR144" s="121">
        <f>IF(A144="Codarus",(AP144*0.13))</f>
        <v>247</v>
      </c>
      <c r="AS144" s="121">
        <f>SUM(Table1[[#This Row],[Substrate $]:[GP FINISH]])+Table1[[#This Row],[Retail Royalty]]+Table1[[#This Row],[Retail$Comm]]</f>
        <v>568.01503333333335</v>
      </c>
      <c r="AT144" s="830">
        <f>IF(AP144=0,"-",(AP144-AS144)/AP144)</f>
        <v>0.70104471929824563</v>
      </c>
      <c r="AU144" s="1359">
        <f t="shared" si="47"/>
        <v>0.99262058190212366</v>
      </c>
      <c r="AV144" s="229"/>
      <c r="AW144" s="229"/>
      <c r="AX144" s="229"/>
      <c r="AY144" s="229"/>
      <c r="AZ144" s="229"/>
      <c r="BA144" s="229"/>
    </row>
    <row r="145" spans="1:53" x14ac:dyDescent="0.2">
      <c r="A145" s="68" t="s">
        <v>58</v>
      </c>
      <c r="B145" s="1152"/>
      <c r="C145" s="94" t="s">
        <v>493</v>
      </c>
      <c r="D145" s="78"/>
      <c r="E145" s="627" t="s">
        <v>494</v>
      </c>
      <c r="F145" s="627" t="s">
        <v>386</v>
      </c>
      <c r="G145" s="68" t="s">
        <v>495</v>
      </c>
      <c r="H145" s="68" t="s">
        <v>495</v>
      </c>
      <c r="I145" s="68" t="s">
        <v>52</v>
      </c>
      <c r="J145" s="140" t="s">
        <v>53</v>
      </c>
      <c r="K145" s="68" t="s">
        <v>54</v>
      </c>
      <c r="L145" s="68" t="s">
        <v>55</v>
      </c>
      <c r="M145" s="93">
        <v>1600</v>
      </c>
      <c r="N145" s="93"/>
      <c r="O145" s="68" t="s">
        <v>64</v>
      </c>
      <c r="P145" s="68">
        <v>110</v>
      </c>
      <c r="Q145" s="68">
        <v>72</v>
      </c>
      <c r="R145" s="68">
        <v>72</v>
      </c>
      <c r="S145" s="68">
        <v>110</v>
      </c>
      <c r="T145" s="623">
        <v>110</v>
      </c>
      <c r="U145" s="623">
        <v>72</v>
      </c>
      <c r="V145" s="66">
        <f t="shared" si="49"/>
        <v>118</v>
      </c>
      <c r="W145" s="66">
        <f t="shared" si="50"/>
        <v>80</v>
      </c>
      <c r="X145" s="68">
        <v>82</v>
      </c>
      <c r="Y145" s="68">
        <v>118</v>
      </c>
      <c r="Z145" s="68">
        <v>80</v>
      </c>
      <c r="AA145" s="952">
        <f t="shared" si="44"/>
        <v>65.555555555555557</v>
      </c>
      <c r="AB145" s="1130">
        <f>AA145*Swiss1</f>
        <v>1855.2222222222224</v>
      </c>
      <c r="AC145" s="278">
        <f t="shared" si="48"/>
        <v>43.266666666666673</v>
      </c>
      <c r="AD145" s="263">
        <f>Table1[[#This Row],[Substrate SF]]*Materials!C$37</f>
        <v>183.55555555555554</v>
      </c>
      <c r="AE145" s="278">
        <f>IF(Table1[[#This Row],[Work Center]]="SwissQ",Materials!G$37,IF(Table1[[#This Row],[Work Center]]="Inca",Materials!G$29,IF(Table1[[#This Row],[Work Center]]="Canon",Materials!G$49,Materials!G$45)))</f>
        <v>20</v>
      </c>
      <c r="AF145" s="73">
        <f>'Cali FPS'!C172</f>
        <v>268.20999999999998</v>
      </c>
      <c r="AG145" s="126"/>
      <c r="AH145" s="263">
        <f t="shared" si="45"/>
        <v>80</v>
      </c>
      <c r="AI145" s="263"/>
      <c r="AJ145" s="278">
        <f t="shared" si="46"/>
        <v>595.03222222222223</v>
      </c>
      <c r="AK145" s="688">
        <f t="shared" si="53"/>
        <v>0.62810486111111108</v>
      </c>
      <c r="AL145" s="278">
        <f>Table1[[#This Row],[WSP/Dealer]]/Table1[[#This Row],[OD Sq Inch]]</f>
        <v>0.20202020202020202</v>
      </c>
      <c r="AM145" s="170">
        <f>Table1[[#This Row],[OD Wdth]]*Table1[[#This Row],[OD Hgt]]</f>
        <v>7920</v>
      </c>
      <c r="AN145" s="274">
        <f>Table1[[#This Row],[Min VO]]+Table1[[#This Row],[Max VO]]</f>
        <v>182</v>
      </c>
      <c r="AO145" s="84"/>
      <c r="AP145" s="115"/>
      <c r="AQ145" s="121"/>
      <c r="AR145" s="121"/>
      <c r="AS145" s="121"/>
      <c r="AT145" s="104"/>
      <c r="AU145" s="1357" t="str">
        <f t="shared" si="47"/>
        <v>-</v>
      </c>
      <c r="AV145" s="229"/>
      <c r="AW145" s="229"/>
      <c r="AX145" s="229"/>
      <c r="AY145" s="229"/>
      <c r="AZ145" s="229"/>
      <c r="BA145" s="229"/>
    </row>
    <row r="146" spans="1:53" s="399" customFormat="1" x14ac:dyDescent="0.2">
      <c r="A146" s="101" t="s">
        <v>58</v>
      </c>
      <c r="B146" s="1064" t="s">
        <v>121</v>
      </c>
      <c r="C146" s="168" t="s">
        <v>496</v>
      </c>
      <c r="D146" s="100"/>
      <c r="E146" s="625" t="s">
        <v>494</v>
      </c>
      <c r="F146" s="625" t="s">
        <v>386</v>
      </c>
      <c r="G146" s="101" t="s">
        <v>495</v>
      </c>
      <c r="H146" s="101" t="s">
        <v>497</v>
      </c>
      <c r="I146" s="101" t="s">
        <v>52</v>
      </c>
      <c r="J146" s="487" t="s">
        <v>53</v>
      </c>
      <c r="K146" s="101" t="s">
        <v>69</v>
      </c>
      <c r="L146" s="101" t="s">
        <v>76</v>
      </c>
      <c r="M146" s="299">
        <v>1750</v>
      </c>
      <c r="N146" s="1070"/>
      <c r="O146" s="400" t="s">
        <v>64</v>
      </c>
      <c r="P146" s="101">
        <v>110</v>
      </c>
      <c r="Q146" s="101">
        <v>72</v>
      </c>
      <c r="R146" s="101">
        <v>72</v>
      </c>
      <c r="S146" s="101">
        <v>110</v>
      </c>
      <c r="T146" s="697">
        <v>111</v>
      </c>
      <c r="U146" s="697">
        <v>73</v>
      </c>
      <c r="V146" s="608">
        <f t="shared" si="49"/>
        <v>118</v>
      </c>
      <c r="W146" s="608">
        <f t="shared" si="50"/>
        <v>80</v>
      </c>
      <c r="X146" s="137">
        <v>82</v>
      </c>
      <c r="Y146" s="101">
        <v>118</v>
      </c>
      <c r="Z146" s="101">
        <v>80</v>
      </c>
      <c r="AA146" s="1069">
        <f t="shared" si="44"/>
        <v>65.555555555555557</v>
      </c>
      <c r="AB146" s="1015">
        <f>AA146*Swiss1</f>
        <v>1855.2222222222224</v>
      </c>
      <c r="AC146" s="406">
        <f t="shared" si="48"/>
        <v>43.266666666666673</v>
      </c>
      <c r="AD146" s="406">
        <f>Table1[[#This Row],[Substrate SF]]*Materials!C$37</f>
        <v>183.55555555555554</v>
      </c>
      <c r="AE146" s="406">
        <f>IF(Table1[[#This Row],[Work Center]]="SwissQ",Materials!G$37,IF(Table1[[#This Row],[Work Center]]="Inca",Materials!G$29,IF(Table1[[#This Row],[Work Center]]="Canon",Materials!G$49,Materials!G$45)))</f>
        <v>20</v>
      </c>
      <c r="AF146" s="794">
        <f>'Cali Frames'!D391</f>
        <v>376.6</v>
      </c>
      <c r="AG146" s="121"/>
      <c r="AH146" s="406">
        <f t="shared" si="45"/>
        <v>87.5</v>
      </c>
      <c r="AI146" s="406"/>
      <c r="AJ146" s="406">
        <f t="shared" si="46"/>
        <v>710.92222222222222</v>
      </c>
      <c r="AK146" s="1065">
        <f t="shared" si="53"/>
        <v>0.59375873015873015</v>
      </c>
      <c r="AL146" s="406">
        <f>Table1[[#This Row],[WSP/Dealer]]/Table1[[#This Row],[OD Sq Inch]]</f>
        <v>0.21596939405158583</v>
      </c>
      <c r="AM146" s="400">
        <f>Table1[[#This Row],[OD Wdth]]*Table1[[#This Row],[OD Hgt]]</f>
        <v>8103</v>
      </c>
      <c r="AN146" s="400">
        <f>Table1[[#This Row],[Min VO]]+Table1[[#This Row],[Max VO]]</f>
        <v>182</v>
      </c>
      <c r="AO146" s="115"/>
      <c r="AP146" s="115"/>
      <c r="AQ146" s="121"/>
      <c r="AR146" s="121"/>
      <c r="AS146" s="121"/>
      <c r="AT146" s="104"/>
      <c r="AU146" s="1359" t="str">
        <f t="shared" si="47"/>
        <v>-</v>
      </c>
    </row>
    <row r="147" spans="1:53" s="399" customFormat="1" hidden="1" x14ac:dyDescent="0.2">
      <c r="A147" s="101"/>
      <c r="B147" s="279"/>
      <c r="C147" s="77" t="s">
        <v>498</v>
      </c>
      <c r="D147" s="168"/>
      <c r="E147" s="115" t="s">
        <v>499</v>
      </c>
      <c r="F147" s="115" t="s">
        <v>301</v>
      </c>
      <c r="G147" s="101" t="s">
        <v>500</v>
      </c>
      <c r="H147" s="101"/>
      <c r="I147" s="60" t="s">
        <v>108</v>
      </c>
      <c r="J147" s="59" t="s">
        <v>257</v>
      </c>
      <c r="K147" s="101" t="s">
        <v>258</v>
      </c>
      <c r="L147" s="101" t="s">
        <v>259</v>
      </c>
      <c r="M147" s="299">
        <v>225</v>
      </c>
      <c r="N147" s="71"/>
      <c r="O147" s="101" t="s">
        <v>260</v>
      </c>
      <c r="P147" s="60">
        <v>16</v>
      </c>
      <c r="Q147" s="60">
        <v>20</v>
      </c>
      <c r="R147" s="60">
        <v>16</v>
      </c>
      <c r="S147" s="60">
        <v>20</v>
      </c>
      <c r="T147" s="101">
        <v>18</v>
      </c>
      <c r="U147" s="101">
        <v>22</v>
      </c>
      <c r="V147" s="946">
        <f>Table1[[#This Row],[VO Wdth]]+Materials!$C$50</f>
        <v>18</v>
      </c>
      <c r="W147" s="946">
        <f>Table1[[#This Row],[VO Hgt]]+Materials!$C$50</f>
        <v>22</v>
      </c>
      <c r="X147" s="137" t="s">
        <v>257</v>
      </c>
      <c r="Y147" s="101"/>
      <c r="Z147" s="101"/>
      <c r="AA147" s="717">
        <f t="shared" si="44"/>
        <v>2.75</v>
      </c>
      <c r="AB147" s="125">
        <f t="shared" ref="AB147:AB154" si="54">AA147*canonML</f>
        <v>13.2</v>
      </c>
      <c r="AC147" s="69">
        <f>Table1[[#This Row],[Print Wth]]*paper60</f>
        <v>6.12</v>
      </c>
      <c r="AD147" s="69">
        <f>Table1[[#This Row],[Ink g/mL]]*CanonC</f>
        <v>3.5640000000000001</v>
      </c>
      <c r="AE147" s="104">
        <f>IF(Table1[[#This Row],[Work Center]]="SwissQ",Materials!G$37,IF(Table1[[#This Row],[Work Center]]="Inca",Materials!G$29,IF(Table1[[#This Row],[Work Center]]="Canon",Materials!G$49,Materials!G$45)))</f>
        <v>7</v>
      </c>
      <c r="AF147" s="102">
        <f>'Cali Frames'!D22</f>
        <v>82.44</v>
      </c>
      <c r="AG147" s="121"/>
      <c r="AH147" s="498">
        <f t="shared" si="45"/>
        <v>11.25</v>
      </c>
      <c r="AI147" s="498"/>
      <c r="AJ147" s="104">
        <f t="shared" si="46"/>
        <v>110.374</v>
      </c>
      <c r="AK147" s="650">
        <f t="shared" si="53"/>
        <v>0.50944888888888895</v>
      </c>
      <c r="AL147" s="225" t="e">
        <f>Table1[[#This Row],[WSP/Dealer]]/Table1[[#This Row],[OD Sq Inch]]</f>
        <v>#DIV/0!</v>
      </c>
      <c r="AM147" s="115"/>
      <c r="AN147" s="216">
        <f>Table1[[#This Row],[Min VO]]+Table1[[#This Row],[Max VO]]</f>
        <v>36</v>
      </c>
      <c r="AO147" s="115"/>
      <c r="AP147" s="115"/>
      <c r="AQ147" s="121"/>
      <c r="AR147" s="121"/>
      <c r="AS147" s="121"/>
      <c r="AT147" s="104"/>
      <c r="AU147" s="1359" t="str">
        <f t="shared" si="47"/>
        <v>-</v>
      </c>
    </row>
    <row r="148" spans="1:53" s="399" customFormat="1" hidden="1" x14ac:dyDescent="0.2">
      <c r="A148" s="101"/>
      <c r="B148" s="279"/>
      <c r="C148" s="77" t="s">
        <v>501</v>
      </c>
      <c r="D148" s="168"/>
      <c r="E148" s="115" t="s">
        <v>499</v>
      </c>
      <c r="F148" s="115" t="s">
        <v>301</v>
      </c>
      <c r="G148" s="101" t="s">
        <v>500</v>
      </c>
      <c r="H148" s="101"/>
      <c r="I148" s="60" t="s">
        <v>108</v>
      </c>
      <c r="J148" s="59" t="s">
        <v>257</v>
      </c>
      <c r="K148" s="101" t="s">
        <v>258</v>
      </c>
      <c r="L148" s="101" t="s">
        <v>269</v>
      </c>
      <c r="M148" s="299">
        <v>250</v>
      </c>
      <c r="N148" s="71"/>
      <c r="O148" s="101" t="s">
        <v>260</v>
      </c>
      <c r="P148" s="60">
        <v>16</v>
      </c>
      <c r="Q148" s="60">
        <v>20</v>
      </c>
      <c r="R148" s="60">
        <v>16</v>
      </c>
      <c r="S148" s="60">
        <v>20</v>
      </c>
      <c r="T148" s="103">
        <v>18</v>
      </c>
      <c r="U148" s="103">
        <v>22</v>
      </c>
      <c r="V148" s="47">
        <f>Table1[[#This Row],[VO Wdth]]+Materials!$C$50</f>
        <v>18</v>
      </c>
      <c r="W148" s="47">
        <f>Table1[[#This Row],[VO Hgt]]+Materials!$C$50</f>
        <v>22</v>
      </c>
      <c r="X148" s="137" t="s">
        <v>257</v>
      </c>
      <c r="Y148" s="101"/>
      <c r="Z148" s="101"/>
      <c r="AA148" s="717">
        <f t="shared" si="44"/>
        <v>2.75</v>
      </c>
      <c r="AB148" s="125">
        <f t="shared" si="54"/>
        <v>13.2</v>
      </c>
      <c r="AC148" s="69">
        <f>Table1[[#This Row],[Print Wth]]*paper60</f>
        <v>6.12</v>
      </c>
      <c r="AD148" s="48">
        <f>Table1[[#This Row],[Ink g/mL]]*CanonC</f>
        <v>3.5640000000000001</v>
      </c>
      <c r="AE148" s="104">
        <f>IF(Table1[[#This Row],[Work Center]]="SwissQ",Materials!G$37,IF(Table1[[#This Row],[Work Center]]="Inca",Materials!G$29,IF(Table1[[#This Row],[Work Center]]="Canon",Materials!G$49,Materials!G$45)))</f>
        <v>7</v>
      </c>
      <c r="AF148" s="102">
        <v>60</v>
      </c>
      <c r="AG148" s="121"/>
      <c r="AH148" s="112">
        <f t="shared" si="45"/>
        <v>12.5</v>
      </c>
      <c r="AI148" s="112"/>
      <c r="AJ148" s="104">
        <f t="shared" si="46"/>
        <v>89.183999999999997</v>
      </c>
      <c r="AK148" s="62">
        <f t="shared" si="53"/>
        <v>0.64326400000000006</v>
      </c>
      <c r="AL148" s="225" t="e">
        <f>Table1[[#This Row],[WSP/Dealer]]/Table1[[#This Row],[OD Sq Inch]]</f>
        <v>#DIV/0!</v>
      </c>
      <c r="AM148" s="113"/>
      <c r="AN148" s="216">
        <f>Table1[[#This Row],[Min VO]]+Table1[[#This Row],[Max VO]]</f>
        <v>36</v>
      </c>
      <c r="AO148" s="113"/>
      <c r="AP148" s="115"/>
      <c r="AQ148" s="121"/>
      <c r="AR148" s="121"/>
      <c r="AS148" s="121"/>
      <c r="AT148" s="104"/>
      <c r="AU148" s="1359" t="str">
        <f t="shared" si="47"/>
        <v>-</v>
      </c>
    </row>
    <row r="149" spans="1:53" s="1427" customFormat="1" hidden="1" x14ac:dyDescent="0.2">
      <c r="A149" s="551" t="s">
        <v>318</v>
      </c>
      <c r="B149" s="1107" t="s">
        <v>111</v>
      </c>
      <c r="C149" s="77" t="s">
        <v>502</v>
      </c>
      <c r="D149" s="805"/>
      <c r="E149" s="878" t="s">
        <v>503</v>
      </c>
      <c r="F149" s="878" t="s">
        <v>105</v>
      </c>
      <c r="G149" s="551" t="s">
        <v>504</v>
      </c>
      <c r="H149" s="551" t="s">
        <v>505</v>
      </c>
      <c r="I149" s="551" t="s">
        <v>256</v>
      </c>
      <c r="J149" s="856" t="s">
        <v>257</v>
      </c>
      <c r="K149" s="551" t="s">
        <v>258</v>
      </c>
      <c r="L149" s="551" t="s">
        <v>506</v>
      </c>
      <c r="M149" s="857">
        <v>190</v>
      </c>
      <c r="N149" s="1167"/>
      <c r="O149" s="551" t="s">
        <v>260</v>
      </c>
      <c r="P149" s="551">
        <v>10</v>
      </c>
      <c r="Q149" s="551">
        <v>12</v>
      </c>
      <c r="R149" s="551">
        <v>10</v>
      </c>
      <c r="S149" s="551">
        <v>12</v>
      </c>
      <c r="T149" s="984">
        <v>12</v>
      </c>
      <c r="U149" s="984">
        <v>14</v>
      </c>
      <c r="V149" s="881">
        <f t="shared" ref="V149:V155" si="55">IF(J149="Canvas",P149+BorderGW,P149)</f>
        <v>10</v>
      </c>
      <c r="W149" s="881">
        <f t="shared" ref="W149:W155" si="56">IF(J149="Canvas",Q149+BorderGW,Q149)</f>
        <v>12</v>
      </c>
      <c r="X149" s="551" t="s">
        <v>257</v>
      </c>
      <c r="Y149" s="551">
        <v>10</v>
      </c>
      <c r="Z149" s="551">
        <v>12</v>
      </c>
      <c r="AA149" s="892">
        <f t="shared" si="44"/>
        <v>0.83333333333333337</v>
      </c>
      <c r="AB149" s="1168">
        <f t="shared" si="54"/>
        <v>4</v>
      </c>
      <c r="AC149" s="863">
        <f>Table1[[#This Row],[Print Wth]]*paper60</f>
        <v>3.4000000000000004</v>
      </c>
      <c r="AD149" s="863">
        <f>Table1[[#This Row],[Ink g/mL]]*CanonC</f>
        <v>1.08</v>
      </c>
      <c r="AE149" s="863">
        <f>IF(Table1[[#This Row],[Work Center]]="SwissQ",Materials!G$37,IF(Table1[[#This Row],[Work Center]]="Inca",Materials!G$29,IF(Table1[[#This Row],[Work Center]]="Canon",Materials!G$49,Materials!G$45)))</f>
        <v>7</v>
      </c>
      <c r="AF149" s="902">
        <f>'Cali Frames'!D73</f>
        <v>65.290000000000006</v>
      </c>
      <c r="AG149" s="864"/>
      <c r="AH149" s="867">
        <v>0</v>
      </c>
      <c r="AI149" s="867"/>
      <c r="AJ149" s="867">
        <f t="shared" si="46"/>
        <v>76.77000000000001</v>
      </c>
      <c r="AK149" s="1087">
        <f t="shared" si="53"/>
        <v>0.59594736842105256</v>
      </c>
      <c r="AL149" s="867">
        <f>Table1[[#This Row],[WSP/Dealer]]/Table1[[#This Row],[OD Sq Inch]]</f>
        <v>1.1309523809523809</v>
      </c>
      <c r="AM149" s="869">
        <f>Table1[[#This Row],[OD Wdth]]*Table1[[#This Row],[OD Hgt]]</f>
        <v>168</v>
      </c>
      <c r="AN149" s="869">
        <f>Table1[[#This Row],[Min VO]]+Table1[[#This Row],[Max VO]]</f>
        <v>22</v>
      </c>
      <c r="AO149" s="653"/>
      <c r="AP149" s="653"/>
      <c r="AQ149" s="864"/>
      <c r="AR149" s="864"/>
      <c r="AS149" s="864"/>
      <c r="AT149" s="863"/>
      <c r="AU149" s="1364" t="str">
        <f t="shared" si="47"/>
        <v>-</v>
      </c>
    </row>
    <row r="150" spans="1:53" s="399" customFormat="1" hidden="1" x14ac:dyDescent="0.2">
      <c r="A150" s="60" t="s">
        <v>318</v>
      </c>
      <c r="B150" s="1106" t="s">
        <v>111</v>
      </c>
      <c r="C150" s="79" t="s">
        <v>507</v>
      </c>
      <c r="D150" s="76"/>
      <c r="E150" s="434" t="s">
        <v>503</v>
      </c>
      <c r="F150" s="434" t="s">
        <v>105</v>
      </c>
      <c r="G150" s="60" t="s">
        <v>504</v>
      </c>
      <c r="H150" s="60" t="s">
        <v>505</v>
      </c>
      <c r="I150" s="60" t="s">
        <v>256</v>
      </c>
      <c r="J150" s="59" t="s">
        <v>257</v>
      </c>
      <c r="K150" s="60" t="s">
        <v>258</v>
      </c>
      <c r="L150" s="60" t="s">
        <v>508</v>
      </c>
      <c r="M150" s="179">
        <v>190</v>
      </c>
      <c r="N150" s="1189"/>
      <c r="O150" s="60" t="s">
        <v>260</v>
      </c>
      <c r="P150" s="60">
        <v>10</v>
      </c>
      <c r="Q150" s="60">
        <v>12</v>
      </c>
      <c r="R150" s="60">
        <v>10</v>
      </c>
      <c r="S150" s="60">
        <v>12</v>
      </c>
      <c r="T150" s="273">
        <v>12</v>
      </c>
      <c r="U150" s="273">
        <v>14</v>
      </c>
      <c r="V150" s="946">
        <f t="shared" si="55"/>
        <v>10</v>
      </c>
      <c r="W150" s="946">
        <f t="shared" si="56"/>
        <v>12</v>
      </c>
      <c r="X150" s="60" t="s">
        <v>257</v>
      </c>
      <c r="Y150" s="60">
        <v>10</v>
      </c>
      <c r="Z150" s="60">
        <v>12</v>
      </c>
      <c r="AA150" s="826">
        <f t="shared" si="44"/>
        <v>0.83333333333333337</v>
      </c>
      <c r="AB150" s="723">
        <f t="shared" si="54"/>
        <v>4</v>
      </c>
      <c r="AC150" s="69">
        <f>Table1[[#This Row],[Print Wth]]*paper60</f>
        <v>3.4000000000000004</v>
      </c>
      <c r="AD150" s="69">
        <f>Table1[[#This Row],[Ink g/mL]]*CanonC</f>
        <v>1.08</v>
      </c>
      <c r="AE150" s="69">
        <f>IF(Table1[[#This Row],[Work Center]]="SwissQ",Materials!G$37,IF(Table1[[#This Row],[Work Center]]="Inca",Materials!G$29,IF(Table1[[#This Row],[Work Center]]="Canon",Materials!G$49,Materials!G$45)))</f>
        <v>7</v>
      </c>
      <c r="AF150" s="548">
        <f>'Cali Frames'!D79</f>
        <v>79.12</v>
      </c>
      <c r="AG150" s="540"/>
      <c r="AH150" s="176">
        <v>0</v>
      </c>
      <c r="AI150" s="176"/>
      <c r="AJ150" s="176">
        <f t="shared" si="46"/>
        <v>90.600000000000009</v>
      </c>
      <c r="AK150" s="1201">
        <f t="shared" si="53"/>
        <v>0.52315789473684204</v>
      </c>
      <c r="AL150" s="176">
        <f>Table1[[#This Row],[WSP/Dealer]]/Table1[[#This Row],[OD Sq Inch]]</f>
        <v>1.1309523809523809</v>
      </c>
      <c r="AM150" s="173">
        <f>Table1[[#This Row],[OD Wdth]]*Table1[[#This Row],[OD Hgt]]</f>
        <v>168</v>
      </c>
      <c r="AN150" s="180">
        <f>Table1[[#This Row],[Min VO]]+Table1[[#This Row],[Max VO]]</f>
        <v>22</v>
      </c>
      <c r="AO150" s="95"/>
      <c r="AP150" s="83"/>
      <c r="AQ150" s="540"/>
      <c r="AR150" s="540"/>
      <c r="AS150" s="540"/>
      <c r="AT150" s="69"/>
      <c r="AU150" s="1355" t="str">
        <f t="shared" si="47"/>
        <v>-</v>
      </c>
    </row>
    <row r="151" spans="1:53" s="170" customFormat="1" hidden="1" x14ac:dyDescent="0.2">
      <c r="A151" s="274" t="s">
        <v>318</v>
      </c>
      <c r="B151" s="1061" t="s">
        <v>65</v>
      </c>
      <c r="C151" s="317" t="s">
        <v>509</v>
      </c>
      <c r="D151" s="78"/>
      <c r="E151" s="316" t="s">
        <v>510</v>
      </c>
      <c r="F151" s="316" t="s">
        <v>105</v>
      </c>
      <c r="G151" s="68" t="s">
        <v>500</v>
      </c>
      <c r="H151" s="68" t="s">
        <v>511</v>
      </c>
      <c r="I151" s="274" t="s">
        <v>256</v>
      </c>
      <c r="J151" s="344" t="s">
        <v>257</v>
      </c>
      <c r="K151" s="68" t="s">
        <v>512</v>
      </c>
      <c r="L151" s="68" t="s">
        <v>513</v>
      </c>
      <c r="M151" s="93">
        <v>320</v>
      </c>
      <c r="N151" s="93"/>
      <c r="O151" s="274" t="s">
        <v>260</v>
      </c>
      <c r="P151" s="274">
        <v>16</v>
      </c>
      <c r="Q151" s="274">
        <v>20</v>
      </c>
      <c r="R151" s="274">
        <v>16</v>
      </c>
      <c r="S151" s="274">
        <v>20</v>
      </c>
      <c r="T151" s="623">
        <v>19</v>
      </c>
      <c r="U151" s="623">
        <v>23</v>
      </c>
      <c r="V151" s="66">
        <f t="shared" si="55"/>
        <v>16</v>
      </c>
      <c r="W151" s="66">
        <f t="shared" si="56"/>
        <v>20</v>
      </c>
      <c r="X151" s="68" t="s">
        <v>257</v>
      </c>
      <c r="Y151" s="68">
        <v>20</v>
      </c>
      <c r="Z151" s="68">
        <v>24</v>
      </c>
      <c r="AA151" s="952">
        <f t="shared" si="44"/>
        <v>2.2222222222222223</v>
      </c>
      <c r="AB151" s="690">
        <f t="shared" si="54"/>
        <v>10.666666666666666</v>
      </c>
      <c r="AC151" s="74">
        <f>Table1[[#This Row],[Print Wth]]*paper60</f>
        <v>5.44</v>
      </c>
      <c r="AD151" s="67">
        <f>Table1[[#This Row],[Ink g/mL]]*CanonC</f>
        <v>2.88</v>
      </c>
      <c r="AE151" s="74">
        <f>IF(Table1[[#This Row],[Work Center]]="SwissQ",Materials!G$37,IF(Table1[[#This Row],[Work Center]]="Inca",Materials!G$29,IF(Table1[[#This Row],[Work Center]]="Canon",Materials!G$49,Materials!G$45)))</f>
        <v>7</v>
      </c>
      <c r="AF151" s="73">
        <f>'Cali Frames'!D558</f>
        <v>130</v>
      </c>
      <c r="AG151" s="126"/>
      <c r="AH151" s="263">
        <v>0</v>
      </c>
      <c r="AI151" s="263"/>
      <c r="AJ151" s="263">
        <f t="shared" si="46"/>
        <v>145.32</v>
      </c>
      <c r="AK151" s="688">
        <f t="shared" si="53"/>
        <v>0.545875</v>
      </c>
      <c r="AL151" s="278">
        <f>Table1[[#This Row],[WSP/Dealer]]/Table1[[#This Row],[OD Sq Inch]]</f>
        <v>0.73226544622425627</v>
      </c>
      <c r="AM151" s="170">
        <f>Table1[[#This Row],[OD Wdth]]*Table1[[#This Row],[OD Hgt]]</f>
        <v>437</v>
      </c>
      <c r="AN151" s="274">
        <f>Table1[[#This Row],[Min VO]]+Table1[[#This Row],[Max VO]]</f>
        <v>36</v>
      </c>
      <c r="AO151" s="84"/>
      <c r="AP151" s="84"/>
      <c r="AQ151" s="126"/>
      <c r="AR151" s="126"/>
      <c r="AS151" s="126"/>
      <c r="AT151" s="74"/>
      <c r="AU151" s="1357" t="str">
        <f t="shared" si="47"/>
        <v>-</v>
      </c>
    </row>
    <row r="152" spans="1:53" s="170" customFormat="1" hidden="1" x14ac:dyDescent="0.2">
      <c r="A152" s="274" t="s">
        <v>318</v>
      </c>
      <c r="B152" s="279" t="s">
        <v>65</v>
      </c>
      <c r="C152" s="317" t="s">
        <v>514</v>
      </c>
      <c r="D152" s="78"/>
      <c r="E152" s="316" t="s">
        <v>510</v>
      </c>
      <c r="F152" s="316" t="s">
        <v>105</v>
      </c>
      <c r="G152" s="68" t="s">
        <v>500</v>
      </c>
      <c r="H152" s="68" t="s">
        <v>511</v>
      </c>
      <c r="I152" s="274" t="s">
        <v>256</v>
      </c>
      <c r="J152" s="344" t="s">
        <v>257</v>
      </c>
      <c r="K152" s="68" t="s">
        <v>515</v>
      </c>
      <c r="L152" s="68" t="s">
        <v>513</v>
      </c>
      <c r="M152" s="93">
        <v>350</v>
      </c>
      <c r="N152" s="93"/>
      <c r="O152" s="274" t="s">
        <v>260</v>
      </c>
      <c r="P152" s="274">
        <v>16</v>
      </c>
      <c r="Q152" s="274">
        <v>20</v>
      </c>
      <c r="R152" s="274">
        <v>16</v>
      </c>
      <c r="S152" s="170">
        <v>20</v>
      </c>
      <c r="T152" s="65">
        <v>19</v>
      </c>
      <c r="U152" s="65">
        <v>23</v>
      </c>
      <c r="V152" s="66">
        <f t="shared" si="55"/>
        <v>16</v>
      </c>
      <c r="W152" s="66">
        <f t="shared" si="56"/>
        <v>20</v>
      </c>
      <c r="X152" s="68" t="s">
        <v>257</v>
      </c>
      <c r="Y152" s="68">
        <v>20</v>
      </c>
      <c r="Z152" s="68">
        <v>24</v>
      </c>
      <c r="AA152" s="952">
        <f t="shared" si="44"/>
        <v>2.2222222222222223</v>
      </c>
      <c r="AB152" s="690">
        <f t="shared" si="54"/>
        <v>10.666666666666666</v>
      </c>
      <c r="AC152" s="74">
        <f>Table1[[#This Row],[Print Wth]]*paper60</f>
        <v>5.44</v>
      </c>
      <c r="AD152" s="67">
        <f>Table1[[#This Row],[Ink g/mL]]*CanonC</f>
        <v>2.88</v>
      </c>
      <c r="AE152" s="74">
        <f>IF(Table1[[#This Row],[Work Center]]="SwissQ",Materials!G$37,IF(Table1[[#This Row],[Work Center]]="Inca",Materials!G$29,IF(Table1[[#This Row],[Work Center]]="Canon",Materials!G$49,Materials!G$45)))</f>
        <v>7</v>
      </c>
      <c r="AF152" s="73">
        <f>'Cali Frames'!D558</f>
        <v>130</v>
      </c>
      <c r="AG152" s="126"/>
      <c r="AH152" s="263">
        <v>0</v>
      </c>
      <c r="AI152" s="263"/>
      <c r="AJ152" s="263">
        <f t="shared" si="46"/>
        <v>145.32</v>
      </c>
      <c r="AK152" s="688">
        <f t="shared" si="53"/>
        <v>0.58479999999999999</v>
      </c>
      <c r="AL152" s="278">
        <f>Table1[[#This Row],[WSP/Dealer]]/Table1[[#This Row],[OD Sq Inch]]</f>
        <v>0.8009153318077803</v>
      </c>
      <c r="AM152" s="170">
        <f>Table1[[#This Row],[OD Wdth]]*Table1[[#This Row],[OD Hgt]]</f>
        <v>437</v>
      </c>
      <c r="AN152" s="274">
        <f>Table1[[#This Row],[Min VO]]+Table1[[#This Row],[Max VO]]</f>
        <v>36</v>
      </c>
      <c r="AO152" s="84"/>
      <c r="AP152" s="84"/>
      <c r="AQ152" s="126"/>
      <c r="AR152" s="126"/>
      <c r="AS152" s="126"/>
      <c r="AT152" s="74"/>
      <c r="AU152" s="1357" t="str">
        <f t="shared" si="47"/>
        <v>-</v>
      </c>
    </row>
    <row r="153" spans="1:53" s="170" customFormat="1" hidden="1" x14ac:dyDescent="0.2">
      <c r="A153" s="274" t="s">
        <v>318</v>
      </c>
      <c r="B153" s="1061" t="s">
        <v>102</v>
      </c>
      <c r="C153" s="317" t="s">
        <v>516</v>
      </c>
      <c r="D153" s="78"/>
      <c r="E153" s="316" t="s">
        <v>510</v>
      </c>
      <c r="F153" s="316" t="s">
        <v>105</v>
      </c>
      <c r="G153" s="68" t="s">
        <v>500</v>
      </c>
      <c r="H153" s="68" t="s">
        <v>517</v>
      </c>
      <c r="I153" s="68" t="s">
        <v>256</v>
      </c>
      <c r="J153" s="140" t="s">
        <v>257</v>
      </c>
      <c r="K153" s="68" t="s">
        <v>258</v>
      </c>
      <c r="L153" s="68" t="s">
        <v>506</v>
      </c>
      <c r="M153" s="93">
        <v>200</v>
      </c>
      <c r="N153" s="93"/>
      <c r="O153" s="68" t="s">
        <v>260</v>
      </c>
      <c r="P153" s="274">
        <v>16</v>
      </c>
      <c r="Q153" s="274">
        <v>20</v>
      </c>
      <c r="R153" s="274">
        <v>16</v>
      </c>
      <c r="S153" s="170">
        <v>20</v>
      </c>
      <c r="T153" s="65">
        <v>19</v>
      </c>
      <c r="U153" s="65">
        <v>23</v>
      </c>
      <c r="V153" s="66">
        <f t="shared" si="55"/>
        <v>16</v>
      </c>
      <c r="W153" s="66">
        <f t="shared" si="56"/>
        <v>20</v>
      </c>
      <c r="X153" s="68" t="s">
        <v>257</v>
      </c>
      <c r="Y153" s="68">
        <v>20</v>
      </c>
      <c r="Z153" s="68">
        <v>24</v>
      </c>
      <c r="AA153" s="952">
        <f t="shared" si="44"/>
        <v>2.2222222222222223</v>
      </c>
      <c r="AB153" s="690">
        <f t="shared" si="54"/>
        <v>10.666666666666666</v>
      </c>
      <c r="AC153" s="74">
        <f>Table1[[#This Row],[Print Wth]]*paper60</f>
        <v>5.44</v>
      </c>
      <c r="AD153" s="67">
        <f>Table1[[#This Row],[Ink g/mL]]*CanonC</f>
        <v>2.88</v>
      </c>
      <c r="AE153" s="74">
        <f>IF(Table1[[#This Row],[Work Center]]="SwissQ",Materials!G$37,IF(Table1[[#This Row],[Work Center]]="Inca",Materials!G$29,IF(Table1[[#This Row],[Work Center]]="Canon",Materials!G$49,Materials!G$45)))</f>
        <v>7</v>
      </c>
      <c r="AF153" s="73">
        <f>'Cali Frames'!D75</f>
        <v>78.19</v>
      </c>
      <c r="AG153" s="126"/>
      <c r="AH153" s="263">
        <v>0</v>
      </c>
      <c r="AI153" s="263"/>
      <c r="AJ153" s="278">
        <f t="shared" si="46"/>
        <v>93.509999999999991</v>
      </c>
      <c r="AK153" s="688">
        <f t="shared" si="53"/>
        <v>0.53245000000000009</v>
      </c>
      <c r="AL153" s="278">
        <f>Table1[[#This Row],[WSP/Dealer]]/Table1[[#This Row],[OD Sq Inch]]</f>
        <v>0.45766590389016021</v>
      </c>
      <c r="AM153" s="170">
        <f>Table1[[#This Row],[OD Wdth]]*Table1[[#This Row],[OD Hgt]]</f>
        <v>437</v>
      </c>
      <c r="AN153" s="274">
        <f>Table1[[#This Row],[Min VO]]+Table1[[#This Row],[Max VO]]</f>
        <v>36</v>
      </c>
      <c r="AO153" s="119"/>
      <c r="AP153" s="84"/>
      <c r="AQ153" s="126">
        <f>(Table1[[#This Row],[Desgnr/Retail P]]*0.05)</f>
        <v>0</v>
      </c>
      <c r="AR153" s="126" t="b">
        <f>IF(A153="Codarus",(AP153*0.13))</f>
        <v>0</v>
      </c>
      <c r="AS153" s="126" t="e" cm="1">
        <f t="array" ref="AS153">SUM(AC153:AG153+AQ+AR)</f>
        <v>#NAME?</v>
      </c>
      <c r="AT153" s="74" t="e">
        <f>(AP153-AS153)/AP153</f>
        <v>#NAME?</v>
      </c>
      <c r="AU153" s="1356" t="str">
        <f t="shared" si="47"/>
        <v>-</v>
      </c>
    </row>
    <row r="154" spans="1:53" s="170" customFormat="1" hidden="1" x14ac:dyDescent="0.2">
      <c r="A154" s="274" t="s">
        <v>318</v>
      </c>
      <c r="B154" s="279" t="s">
        <v>65</v>
      </c>
      <c r="C154" s="317" t="s">
        <v>518</v>
      </c>
      <c r="D154" s="323"/>
      <c r="E154" s="316" t="s">
        <v>510</v>
      </c>
      <c r="F154" s="316" t="s">
        <v>105</v>
      </c>
      <c r="G154" s="274" t="s">
        <v>519</v>
      </c>
      <c r="H154" s="274" t="s">
        <v>520</v>
      </c>
      <c r="I154" s="274" t="s">
        <v>256</v>
      </c>
      <c r="J154" s="344" t="s">
        <v>257</v>
      </c>
      <c r="K154" s="274" t="s">
        <v>258</v>
      </c>
      <c r="L154" s="274" t="s">
        <v>508</v>
      </c>
      <c r="M154" s="178">
        <v>200</v>
      </c>
      <c r="N154" s="318"/>
      <c r="O154" s="274" t="s">
        <v>260</v>
      </c>
      <c r="P154" s="274">
        <v>16</v>
      </c>
      <c r="Q154" s="274">
        <v>20</v>
      </c>
      <c r="R154" s="274">
        <v>16</v>
      </c>
      <c r="S154" s="274">
        <v>20</v>
      </c>
      <c r="T154" s="783">
        <v>18</v>
      </c>
      <c r="U154" s="783">
        <v>22</v>
      </c>
      <c r="V154" s="66">
        <f t="shared" si="55"/>
        <v>16</v>
      </c>
      <c r="W154" s="66">
        <f t="shared" si="56"/>
        <v>20</v>
      </c>
      <c r="X154" s="68" t="s">
        <v>257</v>
      </c>
      <c r="Y154" s="274">
        <v>16</v>
      </c>
      <c r="Z154" s="274">
        <v>20</v>
      </c>
      <c r="AA154" s="952">
        <f t="shared" si="44"/>
        <v>2.2222222222222223</v>
      </c>
      <c r="AB154" s="690">
        <f t="shared" si="54"/>
        <v>10.666666666666666</v>
      </c>
      <c r="AC154" s="74">
        <f>Table1[[#This Row],[Print Wth]]*paper60</f>
        <v>5.44</v>
      </c>
      <c r="AD154" s="67">
        <f>Table1[[#This Row],[Ink g/mL]]*CanonC</f>
        <v>2.88</v>
      </c>
      <c r="AE154" s="74">
        <f>IF(Table1[[#This Row],[Work Center]]="SwissQ",Materials!G$37,IF(Table1[[#This Row],[Work Center]]="Inca",Materials!G$29,IF(Table1[[#This Row],[Work Center]]="Canon",Materials!G$49,Materials!G$45)))</f>
        <v>7</v>
      </c>
      <c r="AF154" s="321">
        <f>'Cali Frames'!D80</f>
        <v>90</v>
      </c>
      <c r="AG154" s="320"/>
      <c r="AH154" s="278">
        <v>0</v>
      </c>
      <c r="AI154" s="278"/>
      <c r="AJ154" s="278">
        <f t="shared" si="46"/>
        <v>105.32</v>
      </c>
      <c r="AK154" s="1192">
        <f t="shared" si="53"/>
        <v>0.47340000000000004</v>
      </c>
      <c r="AL154" s="278">
        <f>Table1[[#This Row],[WSP/Dealer]]/Table1[[#This Row],[OD Sq Inch]]</f>
        <v>0.50505050505050508</v>
      </c>
      <c r="AM154" s="170">
        <f>Table1[[#This Row],[OD Wdth]]*Table1[[#This Row],[OD Hgt]]</f>
        <v>396</v>
      </c>
      <c r="AN154" s="274">
        <f>Table1[[#This Row],[Min VO]]+Table1[[#This Row],[Max VO]]</f>
        <v>36</v>
      </c>
      <c r="AO154" s="84"/>
      <c r="AP154" s="275"/>
      <c r="AQ154" s="320"/>
      <c r="AR154" s="320"/>
      <c r="AS154" s="320"/>
      <c r="AT154" s="278"/>
      <c r="AU154" s="1368" t="str">
        <f t="shared" si="47"/>
        <v>-</v>
      </c>
    </row>
    <row r="155" spans="1:53" s="173" customFormat="1" x14ac:dyDescent="0.2">
      <c r="A155" s="86" t="s">
        <v>58</v>
      </c>
      <c r="B155" s="279" t="s">
        <v>406</v>
      </c>
      <c r="C155" s="100" t="s">
        <v>521</v>
      </c>
      <c r="D155" s="100" t="s">
        <v>522</v>
      </c>
      <c r="E155" s="85" t="s">
        <v>523</v>
      </c>
      <c r="F155" s="85" t="s">
        <v>386</v>
      </c>
      <c r="G155" s="86" t="s">
        <v>191</v>
      </c>
      <c r="H155" s="86" t="s">
        <v>191</v>
      </c>
      <c r="I155" s="86" t="s">
        <v>52</v>
      </c>
      <c r="J155" s="86" t="s">
        <v>53</v>
      </c>
      <c r="K155" s="86" t="s">
        <v>54</v>
      </c>
      <c r="L155" s="86" t="s">
        <v>55</v>
      </c>
      <c r="M155" s="87">
        <v>935</v>
      </c>
      <c r="N155" s="639">
        <v>950</v>
      </c>
      <c r="O155" s="551" t="s">
        <v>56</v>
      </c>
      <c r="P155" s="101">
        <v>48</v>
      </c>
      <c r="Q155" s="101">
        <v>60</v>
      </c>
      <c r="R155" s="60">
        <v>48</v>
      </c>
      <c r="S155" s="273">
        <v>60</v>
      </c>
      <c r="T155" s="273">
        <f>Table1[[#This Row],[VO Wdth]]</f>
        <v>48</v>
      </c>
      <c r="U155" s="273">
        <f>Table1[[#This Row],[VO Hgt]]</f>
        <v>60</v>
      </c>
      <c r="V155" s="608">
        <f t="shared" si="55"/>
        <v>56</v>
      </c>
      <c r="W155" s="608">
        <f t="shared" si="56"/>
        <v>68</v>
      </c>
      <c r="X155" s="137">
        <v>69</v>
      </c>
      <c r="Y155" s="101"/>
      <c r="Z155" s="101"/>
      <c r="AA155" s="649">
        <f t="shared" si="44"/>
        <v>26.444444444444443</v>
      </c>
      <c r="AB155" s="184">
        <f>Table1[[#This Row],[Substrate SF]]*IncaG</f>
        <v>556.39111111111106</v>
      </c>
      <c r="AC155" s="104">
        <f t="shared" ref="AC155:AC169" si="57">AA155*Canvas</f>
        <v>17.453333333333333</v>
      </c>
      <c r="AD155" s="104">
        <f>Table1[[#This Row],[Substrate SF]]*IncaC</f>
        <v>44.511288888888885</v>
      </c>
      <c r="AE155" s="104">
        <f>IF(Table1[[#This Row],[Work Center]]="SwissQ",Materials!G$37,IF(Table1[[#This Row],[Work Center]]="Inca",Materials!G$29,IF(Table1[[#This Row],[Work Center]]="Canon",Materials!G$49,Materials!G$45)))</f>
        <v>8</v>
      </c>
      <c r="AF155" s="104">
        <f>'Cali FPS'!C$121</f>
        <v>188.18</v>
      </c>
      <c r="AG155" s="115"/>
      <c r="AH155" s="498">
        <f t="shared" ref="AH155:AH169" si="58">(M155*0.05)</f>
        <v>46.75</v>
      </c>
      <c r="AI155" s="498"/>
      <c r="AJ155" s="104">
        <f t="shared" si="46"/>
        <v>304.89462222222221</v>
      </c>
      <c r="AK155" s="650">
        <f t="shared" si="53"/>
        <v>0.67390949494949492</v>
      </c>
      <c r="AL155" s="225">
        <f>Table1[[#This Row],[WSP/Dealer]]/Table1[[#This Row],[OD Sq Inch]]</f>
        <v>0.32465277777777779</v>
      </c>
      <c r="AM155" s="101">
        <f>Table1[[#This Row],[OD Wdth]]*Table1[[#This Row],[OD Hgt]]</f>
        <v>2880</v>
      </c>
      <c r="AN155" s="216">
        <f>Table1[[#This Row],[Min VO]]+Table1[[#This Row],[Max VO]]</f>
        <v>108</v>
      </c>
      <c r="AO155" s="101"/>
      <c r="AP155" s="101"/>
      <c r="AQ155" s="104"/>
      <c r="AR155" s="104"/>
      <c r="AS155" s="104"/>
      <c r="AT155" s="104"/>
      <c r="AU155" s="830" t="str">
        <f t="shared" si="47"/>
        <v>-</v>
      </c>
    </row>
    <row r="156" spans="1:53" s="868" customFormat="1" hidden="1" x14ac:dyDescent="0.2">
      <c r="A156" s="400" t="s">
        <v>95</v>
      </c>
      <c r="B156" s="279" t="s">
        <v>96</v>
      </c>
      <c r="C156" s="100" t="s">
        <v>524</v>
      </c>
      <c r="D156" s="100"/>
      <c r="E156" s="115" t="s">
        <v>525</v>
      </c>
      <c r="F156" s="115" t="s">
        <v>322</v>
      </c>
      <c r="G156" s="101" t="s">
        <v>370</v>
      </c>
      <c r="H156" s="101" t="s">
        <v>370</v>
      </c>
      <c r="I156" s="101" t="s">
        <v>52</v>
      </c>
      <c r="J156" s="487" t="s">
        <v>53</v>
      </c>
      <c r="K156" s="101" t="s">
        <v>54</v>
      </c>
      <c r="L156" s="101" t="s">
        <v>55</v>
      </c>
      <c r="M156" s="299">
        <v>605</v>
      </c>
      <c r="N156" s="102"/>
      <c r="O156" s="101" t="s">
        <v>64</v>
      </c>
      <c r="P156" s="697">
        <v>40</v>
      </c>
      <c r="Q156" s="697">
        <v>30</v>
      </c>
      <c r="R156" s="101">
        <v>30</v>
      </c>
      <c r="S156" s="697">
        <v>40</v>
      </c>
      <c r="T156" s="697">
        <v>40</v>
      </c>
      <c r="U156" s="697">
        <v>30</v>
      </c>
      <c r="V156" s="106">
        <f t="shared" ref="V156:V161" si="59">IF(J156="Canvas",P156+Border,P156)</f>
        <v>48</v>
      </c>
      <c r="W156" s="106">
        <f t="shared" ref="W156:W161" si="60">IF(J156="Canvas",Q156+Border,Q156)</f>
        <v>38</v>
      </c>
      <c r="X156" s="137">
        <v>40</v>
      </c>
      <c r="Y156" s="101">
        <v>48</v>
      </c>
      <c r="Z156" s="101">
        <v>38</v>
      </c>
      <c r="AA156" s="649">
        <f t="shared" si="44"/>
        <v>12.666666666666666</v>
      </c>
      <c r="AB156" s="184">
        <f>AA156*Swiss1</f>
        <v>358.46666666666664</v>
      </c>
      <c r="AC156" s="104">
        <f t="shared" si="57"/>
        <v>8.36</v>
      </c>
      <c r="AD156" s="107">
        <f>Table1[[#This Row],[Substrate SF]]*SWISSC1</f>
        <v>35.466666666666661</v>
      </c>
      <c r="AE156" s="104">
        <f>IF(Table1[[#This Row],[Work Center]]="SwissQ",Materials!G$37,IF(Table1[[#This Row],[Work Center]]="Inca",Materials!G$29,IF(Table1[[#This Row],[Work Center]]="Canon",Materials!G$49,Materials!G$45)))</f>
        <v>20</v>
      </c>
      <c r="AF156" s="102">
        <f>'Cali FPS'!C48</f>
        <v>76.3</v>
      </c>
      <c r="AG156" s="115"/>
      <c r="AH156" s="107">
        <f t="shared" si="58"/>
        <v>30.25</v>
      </c>
      <c r="AI156" s="107"/>
      <c r="AJ156" s="104">
        <f t="shared" si="46"/>
        <v>170.37666666666667</v>
      </c>
      <c r="AK156" s="108">
        <f t="shared" si="53"/>
        <v>0.71838567493112948</v>
      </c>
      <c r="AL156" s="660">
        <f>Table1[[#This Row],[WSP/Dealer]]/Table1[[#This Row],[OD Sq Inch]]</f>
        <v>0.50416666666666665</v>
      </c>
      <c r="AM156" s="229">
        <f>Table1[[#This Row],[OD Wdth]]*Table1[[#This Row],[OD Hgt]]</f>
        <v>1200</v>
      </c>
      <c r="AN156" s="266">
        <f>Table1[[#This Row],[Min VO]]+Table1[[#This Row],[Max VO]]</f>
        <v>70</v>
      </c>
      <c r="AO156" s="115"/>
      <c r="AP156" s="115"/>
      <c r="AQ156" s="121"/>
      <c r="AR156" s="121"/>
      <c r="AS156" s="121"/>
      <c r="AT156" s="104"/>
      <c r="AU156" s="1359" t="str">
        <f t="shared" si="47"/>
        <v>-</v>
      </c>
    </row>
    <row r="157" spans="1:53" s="399" customFormat="1" hidden="1" x14ac:dyDescent="0.2">
      <c r="A157" s="400" t="s">
        <v>110</v>
      </c>
      <c r="B157" s="1062" t="s">
        <v>134</v>
      </c>
      <c r="C157" s="100" t="s">
        <v>526</v>
      </c>
      <c r="D157" s="100"/>
      <c r="E157" s="115" t="s">
        <v>525</v>
      </c>
      <c r="F157" s="115" t="s">
        <v>322</v>
      </c>
      <c r="G157" s="101" t="s">
        <v>370</v>
      </c>
      <c r="H157" s="101" t="s">
        <v>370</v>
      </c>
      <c r="I157" s="101" t="s">
        <v>52</v>
      </c>
      <c r="J157" s="487" t="s">
        <v>53</v>
      </c>
      <c r="K157" s="101" t="s">
        <v>54</v>
      </c>
      <c r="L157" s="101" t="s">
        <v>55</v>
      </c>
      <c r="M157" s="1070"/>
      <c r="N157" s="114"/>
      <c r="O157" s="101" t="s">
        <v>56</v>
      </c>
      <c r="P157" s="116">
        <v>40</v>
      </c>
      <c r="Q157" s="116">
        <v>30</v>
      </c>
      <c r="R157" s="101">
        <v>30</v>
      </c>
      <c r="S157" s="116">
        <v>40</v>
      </c>
      <c r="T157" s="697">
        <v>40</v>
      </c>
      <c r="U157" s="697">
        <v>30</v>
      </c>
      <c r="V157" s="106">
        <f t="shared" si="59"/>
        <v>48</v>
      </c>
      <c r="W157" s="106">
        <f t="shared" si="60"/>
        <v>38</v>
      </c>
      <c r="X157" s="137">
        <v>53</v>
      </c>
      <c r="Y157" s="101">
        <v>51</v>
      </c>
      <c r="Z157" s="101">
        <v>41</v>
      </c>
      <c r="AA157" s="649">
        <f t="shared" si="44"/>
        <v>12.666666666666666</v>
      </c>
      <c r="AB157" s="184">
        <f>AA157*IncaG</f>
        <v>266.50666666666666</v>
      </c>
      <c r="AC157" s="107">
        <f t="shared" si="57"/>
        <v>8.36</v>
      </c>
      <c r="AD157" s="1066">
        <f>Table1[[#This Row],[Substrate SF]]*IncaC</f>
        <v>21.320533333333334</v>
      </c>
      <c r="AE157" s="406">
        <f>IF(Table1[[#This Row],[Work Center]]="SwissQ",Materials!G$37,IF(Table1[[#This Row],[Work Center]]="Inca",Materials!G$29,IF(Table1[[#This Row],[Work Center]]="Canon",Materials!G$49,Materials!G$45)))</f>
        <v>8</v>
      </c>
      <c r="AF157" s="102">
        <f>'Cali FPS'!C48</f>
        <v>76.3</v>
      </c>
      <c r="AG157" s="115"/>
      <c r="AH157" s="405">
        <f t="shared" si="58"/>
        <v>0</v>
      </c>
      <c r="AI157" s="405">
        <f>IF(A157="Codarus",(M157*0.13))</f>
        <v>0</v>
      </c>
      <c r="AJ157" s="104">
        <f>SUM(AC157:AI157)</f>
        <v>113.98053333333333</v>
      </c>
      <c r="AK157" s="108" t="e">
        <f t="shared" si="53"/>
        <v>#DIV/0!</v>
      </c>
      <c r="AL157" s="660">
        <f>Table1[[#This Row],[WSP/Dealer]]/Table1[[#This Row],[OD Sq Inch]]</f>
        <v>0</v>
      </c>
      <c r="AM157" s="399">
        <f>Table1[[#This Row],[OD Wdth]]*Table1[[#This Row],[OD Hgt]]</f>
        <v>1200</v>
      </c>
      <c r="AN157" s="400">
        <f>Table1[[#This Row],[Min VO]]+Table1[[#This Row],[Max VO]]</f>
        <v>70</v>
      </c>
      <c r="AO157" s="113"/>
      <c r="AP157" s="121"/>
      <c r="AQ157" s="121">
        <f>(Table1[[#This Row],[Desgnr/Retail P]]*0.05)</f>
        <v>0</v>
      </c>
      <c r="AR157" s="121">
        <f>IF(A157="Codarus",(AP157*0.13))</f>
        <v>0</v>
      </c>
      <c r="AS157" s="121">
        <f>SUM(Table1[[#This Row],[Substrate $]:[GP FINISH]])+Table1[[#This Row],[Retail Royalty]]+Table1[[#This Row],[Retail$Comm]]</f>
        <v>113.98053333333333</v>
      </c>
      <c r="AT157" s="830" t="str">
        <f>IF(AP157=0,"-",(AP157-AS157)/AP157)</f>
        <v>-</v>
      </c>
      <c r="AU157" s="1367" t="str">
        <f t="shared" si="47"/>
        <v>-</v>
      </c>
    </row>
    <row r="158" spans="1:53" x14ac:dyDescent="0.2">
      <c r="A158" s="86" t="s">
        <v>58</v>
      </c>
      <c r="B158" s="1061" t="s">
        <v>527</v>
      </c>
      <c r="C158" s="77" t="s">
        <v>528</v>
      </c>
      <c r="D158" s="100" t="s">
        <v>529</v>
      </c>
      <c r="E158" s="85" t="s">
        <v>530</v>
      </c>
      <c r="F158" s="85" t="s">
        <v>531</v>
      </c>
      <c r="G158" s="86" t="s">
        <v>532</v>
      </c>
      <c r="H158" s="86" t="s">
        <v>532</v>
      </c>
      <c r="I158" s="86" t="s">
        <v>52</v>
      </c>
      <c r="J158" s="86" t="s">
        <v>53</v>
      </c>
      <c r="K158" s="86" t="s">
        <v>54</v>
      </c>
      <c r="L158" s="86" t="s">
        <v>55</v>
      </c>
      <c r="M158" s="87">
        <v>650</v>
      </c>
      <c r="N158" s="639">
        <v>720</v>
      </c>
      <c r="O158" s="551" t="s">
        <v>56</v>
      </c>
      <c r="P158" s="101">
        <v>48</v>
      </c>
      <c r="Q158" s="101">
        <v>35</v>
      </c>
      <c r="R158" s="101">
        <v>35</v>
      </c>
      <c r="S158" s="101">
        <v>48</v>
      </c>
      <c r="T158" s="783">
        <v>36</v>
      </c>
      <c r="U158" s="783">
        <v>48</v>
      </c>
      <c r="V158" s="106">
        <f t="shared" si="59"/>
        <v>56</v>
      </c>
      <c r="W158" s="106">
        <f t="shared" si="60"/>
        <v>43</v>
      </c>
      <c r="X158" s="137">
        <v>55</v>
      </c>
      <c r="Y158" s="101"/>
      <c r="Z158" s="101"/>
      <c r="AA158" s="649">
        <f t="shared" si="44"/>
        <v>16.722222222222221</v>
      </c>
      <c r="AB158" s="184">
        <f>AA158*IncaG</f>
        <v>351.83555555555552</v>
      </c>
      <c r="AC158" s="104">
        <f t="shared" si="57"/>
        <v>11.036666666666667</v>
      </c>
      <c r="AD158" s="107">
        <f>Table1[[#This Row],[Substrate SF]]*IncaC</f>
        <v>28.146844444444444</v>
      </c>
      <c r="AE158" s="104">
        <f>IF(Table1[[#This Row],[Work Center]]="SwissQ",Materials!G$37,IF(Table1[[#This Row],[Work Center]]="Inca",Materials!G$29,IF(Table1[[#This Row],[Work Center]]="Canon",Materials!G$49,Materials!G$45)))</f>
        <v>8</v>
      </c>
      <c r="AF158" s="74">
        <f>'Cali FPS'!C65</f>
        <v>106.61</v>
      </c>
      <c r="AG158" s="115"/>
      <c r="AH158" s="498">
        <f t="shared" si="58"/>
        <v>32.5</v>
      </c>
      <c r="AI158" s="498"/>
      <c r="AJ158" s="104">
        <f t="shared" ref="AJ158:AJ169" si="61">SUM(AC158:AH158)</f>
        <v>186.29351111111112</v>
      </c>
      <c r="AK158" s="650">
        <f t="shared" si="53"/>
        <v>0.71339459829059826</v>
      </c>
      <c r="AL158" s="225">
        <f>Table1[[#This Row],[WSP/Dealer]]/Table1[[#This Row],[OD Sq Inch]]</f>
        <v>0.37615740740740738</v>
      </c>
      <c r="AM158" s="218">
        <f>Table1[[#This Row],[OD Wdth]]*Table1[[#This Row],[OD Hgt]]</f>
        <v>1728</v>
      </c>
      <c r="AN158" s="216">
        <f>Table1[[#This Row],[Min VO]]+Table1[[#This Row],[Max VO]]</f>
        <v>83</v>
      </c>
      <c r="AO158" s="101"/>
      <c r="AP158" s="101"/>
      <c r="AQ158" s="104"/>
      <c r="AR158" s="104"/>
      <c r="AS158" s="104"/>
      <c r="AT158" s="104"/>
      <c r="AU158" s="830" t="str">
        <f t="shared" si="47"/>
        <v>-</v>
      </c>
    </row>
    <row r="159" spans="1:53" s="170" customFormat="1" hidden="1" x14ac:dyDescent="0.2">
      <c r="A159" s="216" t="s">
        <v>272</v>
      </c>
      <c r="B159" s="1061" t="s">
        <v>533</v>
      </c>
      <c r="C159" s="234" t="s">
        <v>534</v>
      </c>
      <c r="D159" s="232" t="s">
        <v>535</v>
      </c>
      <c r="E159" s="217" t="s">
        <v>530</v>
      </c>
      <c r="F159" s="217" t="s">
        <v>531</v>
      </c>
      <c r="G159" s="216" t="s">
        <v>532</v>
      </c>
      <c r="H159" s="216" t="s">
        <v>532</v>
      </c>
      <c r="I159" s="216" t="s">
        <v>52</v>
      </c>
      <c r="J159" s="216" t="s">
        <v>53</v>
      </c>
      <c r="K159" s="216" t="s">
        <v>54</v>
      </c>
      <c r="L159" s="216" t="s">
        <v>55</v>
      </c>
      <c r="M159" s="219">
        <v>400</v>
      </c>
      <c r="N159" s="219"/>
      <c r="O159" s="216" t="s">
        <v>56</v>
      </c>
      <c r="P159" s="218">
        <v>48</v>
      </c>
      <c r="Q159" s="218">
        <v>35</v>
      </c>
      <c r="R159" s="216">
        <v>35</v>
      </c>
      <c r="S159" s="218">
        <v>48</v>
      </c>
      <c r="T159" s="65">
        <v>40</v>
      </c>
      <c r="U159" s="65">
        <v>30</v>
      </c>
      <c r="V159" s="907">
        <f t="shared" si="59"/>
        <v>56</v>
      </c>
      <c r="W159" s="907">
        <f t="shared" si="60"/>
        <v>43</v>
      </c>
      <c r="X159" s="223">
        <v>55</v>
      </c>
      <c r="Y159" s="216"/>
      <c r="Z159" s="216"/>
      <c r="AA159" s="718">
        <f t="shared" si="44"/>
        <v>16.722222222222221</v>
      </c>
      <c r="AB159" s="233">
        <f>AA159*IncaG</f>
        <v>351.83555555555552</v>
      </c>
      <c r="AC159" s="225">
        <f t="shared" si="57"/>
        <v>11.036666666666667</v>
      </c>
      <c r="AD159" s="207">
        <f>Table1[[#This Row],[Substrate SF]]*IncaC</f>
        <v>28.146844444444444</v>
      </c>
      <c r="AE159" s="104">
        <f>IF(Table1[[#This Row],[Work Center]]="SwissQ",Materials!G$37,IF(Table1[[#This Row],[Work Center]]="Inca",Materials!G$29,IF(Table1[[#This Row],[Work Center]]="Canon",Materials!G$49,Materials!G$45)))</f>
        <v>8</v>
      </c>
      <c r="AF159" s="225"/>
      <c r="AG159" s="115"/>
      <c r="AH159" s="112">
        <f t="shared" si="58"/>
        <v>20</v>
      </c>
      <c r="AI159" s="112"/>
      <c r="AJ159" s="225">
        <f t="shared" si="61"/>
        <v>67.183511111111102</v>
      </c>
      <c r="AK159" s="62">
        <f t="shared" si="53"/>
        <v>0.83204122222222221</v>
      </c>
      <c r="AL159" s="225">
        <f>Table1[[#This Row],[WSP/Dealer]]/Table1[[#This Row],[OD Sq Inch]]</f>
        <v>0.33333333333333331</v>
      </c>
      <c r="AM159" s="97">
        <f>Table1[[#This Row],[OD Wdth]]*Table1[[#This Row],[OD Hgt]]</f>
        <v>1200</v>
      </c>
      <c r="AN159" s="216">
        <f>Table1[[#This Row],[Min VO]]+Table1[[#This Row],[Max VO]]</f>
        <v>83</v>
      </c>
      <c r="AO159" s="218"/>
      <c r="AP159" s="216"/>
      <c r="AQ159" s="225"/>
      <c r="AR159" s="225"/>
      <c r="AS159" s="225"/>
      <c r="AT159" s="225"/>
      <c r="AU159" s="1363" t="str">
        <f t="shared" si="47"/>
        <v>-</v>
      </c>
    </row>
    <row r="160" spans="1:53" s="170" customFormat="1" x14ac:dyDescent="0.2">
      <c r="A160" s="86" t="s">
        <v>58</v>
      </c>
      <c r="B160" s="1061" t="s">
        <v>527</v>
      </c>
      <c r="C160" s="77" t="s">
        <v>536</v>
      </c>
      <c r="D160" s="100" t="s">
        <v>537</v>
      </c>
      <c r="E160" s="85" t="s">
        <v>538</v>
      </c>
      <c r="F160" s="85" t="s">
        <v>531</v>
      </c>
      <c r="G160" s="86" t="s">
        <v>539</v>
      </c>
      <c r="H160" s="86" t="s">
        <v>539</v>
      </c>
      <c r="I160" s="86" t="s">
        <v>52</v>
      </c>
      <c r="J160" s="86" t="s">
        <v>53</v>
      </c>
      <c r="K160" s="86" t="s">
        <v>54</v>
      </c>
      <c r="L160" s="86" t="s">
        <v>55</v>
      </c>
      <c r="M160" s="87">
        <v>1100</v>
      </c>
      <c r="N160" s="639">
        <v>1000</v>
      </c>
      <c r="O160" s="551" t="s">
        <v>56</v>
      </c>
      <c r="P160" s="103">
        <v>64</v>
      </c>
      <c r="Q160" s="103">
        <v>46</v>
      </c>
      <c r="R160" s="101">
        <v>46</v>
      </c>
      <c r="S160" s="103">
        <v>64</v>
      </c>
      <c r="T160" s="61">
        <f>Table1[[#This Row],[VO Wdth]]</f>
        <v>64</v>
      </c>
      <c r="U160" s="61">
        <f>Table1[[#This Row],[VO Hgt]]</f>
        <v>46</v>
      </c>
      <c r="V160" s="608">
        <f t="shared" si="59"/>
        <v>72</v>
      </c>
      <c r="W160" s="608">
        <f t="shared" si="60"/>
        <v>54</v>
      </c>
      <c r="X160" s="137">
        <v>55</v>
      </c>
      <c r="Y160" s="101"/>
      <c r="Z160" s="101"/>
      <c r="AA160" s="649">
        <f t="shared" si="44"/>
        <v>27</v>
      </c>
      <c r="AB160" s="184">
        <f>AA160*IncaG</f>
        <v>568.07999999999993</v>
      </c>
      <c r="AC160" s="104">
        <f t="shared" si="57"/>
        <v>17.82</v>
      </c>
      <c r="AD160" s="107">
        <f>Table1[[#This Row],[Substrate SF]]*IncaC</f>
        <v>45.446400000000004</v>
      </c>
      <c r="AE160" s="104">
        <f>IF(Table1[[#This Row],[Work Center]]="SwissQ",Materials!G$37,IF(Table1[[#This Row],[Work Center]]="Inca",Materials!G$29,IF(Table1[[#This Row],[Work Center]]="Canon",Materials!G$49,Materials!G$45)))</f>
        <v>8</v>
      </c>
      <c r="AF160" s="74">
        <f>'Cali FPS'!C108</f>
        <v>175.1925</v>
      </c>
      <c r="AG160" s="115"/>
      <c r="AH160" s="498">
        <f t="shared" si="58"/>
        <v>55</v>
      </c>
      <c r="AI160" s="498"/>
      <c r="AJ160" s="104">
        <f t="shared" si="61"/>
        <v>301.45889999999997</v>
      </c>
      <c r="AK160" s="650">
        <f t="shared" si="53"/>
        <v>0.72594645454545459</v>
      </c>
      <c r="AL160" s="225">
        <f>Table1[[#This Row],[WSP/Dealer]]/Table1[[#This Row],[OD Sq Inch]]</f>
        <v>0.37364130434782611</v>
      </c>
      <c r="AM160" s="97">
        <f>Table1[[#This Row],[OD Wdth]]*Table1[[#This Row],[OD Hgt]]</f>
        <v>2944</v>
      </c>
      <c r="AN160" s="216">
        <f>Table1[[#This Row],[Min VO]]+Table1[[#This Row],[Max VO]]</f>
        <v>110</v>
      </c>
      <c r="AO160" s="103"/>
      <c r="AP160" s="101"/>
      <c r="AQ160" s="104"/>
      <c r="AR160" s="104"/>
      <c r="AS160" s="104"/>
      <c r="AT160" s="104"/>
      <c r="AU160" s="108" t="str">
        <f t="shared" si="47"/>
        <v>-</v>
      </c>
    </row>
    <row r="161" spans="1:47" s="170" customFormat="1" hidden="1" x14ac:dyDescent="0.2">
      <c r="A161" s="216" t="s">
        <v>272</v>
      </c>
      <c r="B161" s="1061" t="s">
        <v>533</v>
      </c>
      <c r="C161" s="234" t="s">
        <v>540</v>
      </c>
      <c r="D161" s="232" t="s">
        <v>541</v>
      </c>
      <c r="E161" s="217" t="s">
        <v>538</v>
      </c>
      <c r="F161" s="217" t="s">
        <v>531</v>
      </c>
      <c r="G161" s="216" t="s">
        <v>539</v>
      </c>
      <c r="H161" s="216" t="s">
        <v>539</v>
      </c>
      <c r="I161" s="216" t="s">
        <v>52</v>
      </c>
      <c r="J161" s="216" t="s">
        <v>53</v>
      </c>
      <c r="K161" s="216" t="s">
        <v>54</v>
      </c>
      <c r="L161" s="216" t="s">
        <v>55</v>
      </c>
      <c r="M161" s="219">
        <v>450</v>
      </c>
      <c r="N161" s="219"/>
      <c r="O161" s="216" t="s">
        <v>56</v>
      </c>
      <c r="P161" s="216">
        <v>64</v>
      </c>
      <c r="Q161" s="216">
        <v>46</v>
      </c>
      <c r="R161" s="216">
        <v>46</v>
      </c>
      <c r="S161" s="216">
        <v>64</v>
      </c>
      <c r="T161" s="626">
        <f>Table1[[#This Row],[VO Wdth]]</f>
        <v>64</v>
      </c>
      <c r="U161" s="626">
        <f>Table1[[#This Row],[VO Hgt]]</f>
        <v>46</v>
      </c>
      <c r="V161" s="222">
        <f t="shared" si="59"/>
        <v>72</v>
      </c>
      <c r="W161" s="222">
        <f t="shared" si="60"/>
        <v>54</v>
      </c>
      <c r="X161" s="223">
        <v>55</v>
      </c>
      <c r="Y161" s="216"/>
      <c r="Z161" s="216"/>
      <c r="AA161" s="718">
        <f t="shared" si="44"/>
        <v>27</v>
      </c>
      <c r="AB161" s="233">
        <f>AA161*IncaG</f>
        <v>568.07999999999993</v>
      </c>
      <c r="AC161" s="225">
        <f t="shared" si="57"/>
        <v>17.82</v>
      </c>
      <c r="AD161" s="207">
        <f>Table1[[#This Row],[Substrate SF]]*IncaC</f>
        <v>45.446400000000004</v>
      </c>
      <c r="AE161" s="104">
        <f>IF(Table1[[#This Row],[Work Center]]="SwissQ",Materials!G$37,IF(Table1[[#This Row],[Work Center]]="Inca",Materials!G$29,IF(Table1[[#This Row],[Work Center]]="Canon",Materials!G$49,Materials!G$45)))</f>
        <v>8</v>
      </c>
      <c r="AF161" s="226">
        <f>'CALI_SONDER '!H28</f>
        <v>143.32</v>
      </c>
      <c r="AG161" s="225"/>
      <c r="AH161" s="112">
        <f t="shared" si="58"/>
        <v>22.5</v>
      </c>
      <c r="AI161" s="112"/>
      <c r="AJ161" s="225">
        <f t="shared" si="61"/>
        <v>237.0864</v>
      </c>
      <c r="AK161" s="62">
        <f t="shared" si="53"/>
        <v>0.47314133333333336</v>
      </c>
      <c r="AL161" s="225">
        <f>Table1[[#This Row],[WSP/Dealer]]/Table1[[#This Row],[OD Sq Inch]]</f>
        <v>0.15285326086956522</v>
      </c>
      <c r="AM161" s="218">
        <f>Table1[[#This Row],[OD Wdth]]*Table1[[#This Row],[OD Hgt]]</f>
        <v>2944</v>
      </c>
      <c r="AN161" s="216">
        <f>Table1[[#This Row],[Min VO]]+Table1[[#This Row],[Max VO]]</f>
        <v>110</v>
      </c>
      <c r="AO161" s="216"/>
      <c r="AP161" s="216"/>
      <c r="AQ161" s="225"/>
      <c r="AR161" s="225"/>
      <c r="AS161" s="225"/>
      <c r="AT161" s="225"/>
      <c r="AU161" s="1363" t="str">
        <f t="shared" si="47"/>
        <v>-</v>
      </c>
    </row>
    <row r="162" spans="1:47" s="399" customFormat="1" hidden="1" x14ac:dyDescent="0.2">
      <c r="A162" s="101" t="s">
        <v>110</v>
      </c>
      <c r="C162" s="719" t="s">
        <v>542</v>
      </c>
      <c r="D162" s="719" t="s">
        <v>543</v>
      </c>
      <c r="E162" s="115" t="s">
        <v>544</v>
      </c>
      <c r="F162" s="115" t="s">
        <v>301</v>
      </c>
      <c r="G162" s="101" t="s">
        <v>545</v>
      </c>
      <c r="H162" s="101" t="s">
        <v>545</v>
      </c>
      <c r="I162" s="101" t="s">
        <v>52</v>
      </c>
      <c r="J162" s="101" t="s">
        <v>53</v>
      </c>
      <c r="K162" s="101" t="s">
        <v>54</v>
      </c>
      <c r="L162" s="101" t="s">
        <v>55</v>
      </c>
      <c r="M162" s="114">
        <v>700</v>
      </c>
      <c r="N162" s="829">
        <v>825</v>
      </c>
      <c r="O162" s="101" t="s">
        <v>64</v>
      </c>
      <c r="P162" s="116">
        <v>40</v>
      </c>
      <c r="Q162" s="116">
        <v>54</v>
      </c>
      <c r="R162" s="101">
        <v>40</v>
      </c>
      <c r="S162" s="116">
        <v>54</v>
      </c>
      <c r="T162" s="116">
        <f>Table1[[#This Row],[VO Wdth]]</f>
        <v>40</v>
      </c>
      <c r="U162" s="116">
        <f>Table1[[#This Row],[VO Hgt]]</f>
        <v>54</v>
      </c>
      <c r="V162" s="106">
        <f>IF(J162="Canvas",P162+BorderGW,P162)</f>
        <v>48</v>
      </c>
      <c r="W162" s="106">
        <f>IF(J162="Canvas",Q162+BorderGW,Q162)</f>
        <v>62</v>
      </c>
      <c r="X162" s="137" t="s">
        <v>152</v>
      </c>
      <c r="Y162" s="103"/>
      <c r="Z162" s="103"/>
      <c r="AA162" s="649">
        <f t="shared" si="44"/>
        <v>20.666666666666668</v>
      </c>
      <c r="AB162" s="184">
        <f>Table1[[#This Row],[Substrate SF]]*Swiss1</f>
        <v>584.86666666666667</v>
      </c>
      <c r="AC162" s="107">
        <f t="shared" si="57"/>
        <v>13.64</v>
      </c>
      <c r="AD162" s="107">
        <f>Table1[[#This Row],[Substrate SF]]*Materials!C$37</f>
        <v>57.866666666666667</v>
      </c>
      <c r="AE162" s="104">
        <f>IF(Table1[[#This Row],[Work Center]]="SwissQ",Materials!G$37,IF(Table1[[#This Row],[Work Center]]="Inca",Materials!G$29,IF(Table1[[#This Row],[Work Center]]="Canon",Materials!G$49,Materials!G$45)))</f>
        <v>20</v>
      </c>
      <c r="AF162" s="104">
        <f>'Cali FPS'!C$88</f>
        <v>108.325</v>
      </c>
      <c r="AG162" s="115"/>
      <c r="AH162" s="107">
        <f t="shared" si="58"/>
        <v>35</v>
      </c>
      <c r="AI162" s="405">
        <f>IF(A162="Codarus",(M162*0.13))</f>
        <v>91</v>
      </c>
      <c r="AJ162" s="104">
        <f t="shared" si="61"/>
        <v>234.83166666666665</v>
      </c>
      <c r="AK162" s="108">
        <f t="shared" si="53"/>
        <v>0.66452619047619055</v>
      </c>
      <c r="AL162" s="660">
        <f>Table1[[#This Row],[WSP/Dealer]]/Table1[[#This Row],[OD Sq Inch]]</f>
        <v>0.32407407407407407</v>
      </c>
      <c r="AM162" s="229">
        <f>Table1[[#This Row],[OD Wdth]]*Table1[[#This Row],[OD Hgt]]</f>
        <v>2160</v>
      </c>
      <c r="AN162" s="266">
        <f>Table1[[#This Row],[Min VO]]+Table1[[#This Row],[Max VO]]</f>
        <v>94</v>
      </c>
      <c r="AO162" s="103"/>
      <c r="AP162" s="104">
        <v>1650</v>
      </c>
      <c r="AQ162" s="121">
        <f>(Table1[[#This Row],[Desgnr/Retail P]]*0.05)</f>
        <v>82.5</v>
      </c>
      <c r="AR162" s="121">
        <f>IF(A162="Codarus",(AP162*0.13))</f>
        <v>214.5</v>
      </c>
      <c r="AS162" s="121">
        <f>SUM(Table1[[#This Row],[Substrate $]:[GP FINISH]])+Table1[[#This Row],[Retail Royalty]]+Table1[[#This Row],[Retail$Comm]]</f>
        <v>496.83166666666665</v>
      </c>
      <c r="AT162" s="830">
        <f>IF(AP162=0,"-",(AP162-AS162)/AP162)</f>
        <v>0.69888989898989895</v>
      </c>
      <c r="AU162" s="108">
        <f t="shared" si="47"/>
        <v>0.99152860728497083</v>
      </c>
    </row>
    <row r="163" spans="1:47" s="103" customFormat="1" x14ac:dyDescent="0.2">
      <c r="A163" s="60" t="s">
        <v>58</v>
      </c>
      <c r="B163" s="279" t="s">
        <v>533</v>
      </c>
      <c r="C163" s="79" t="s">
        <v>546</v>
      </c>
      <c r="D163" s="79" t="s">
        <v>547</v>
      </c>
      <c r="E163" s="79" t="s">
        <v>548</v>
      </c>
      <c r="F163" s="99" t="s">
        <v>301</v>
      </c>
      <c r="G163" s="60" t="s">
        <v>549</v>
      </c>
      <c r="H163" s="60" t="s">
        <v>550</v>
      </c>
      <c r="I163" s="60" t="s">
        <v>52</v>
      </c>
      <c r="J163" s="60" t="s">
        <v>53</v>
      </c>
      <c r="K163" s="60" t="s">
        <v>69</v>
      </c>
      <c r="L163" s="60" t="s">
        <v>70</v>
      </c>
      <c r="M163" s="124">
        <v>870</v>
      </c>
      <c r="N163" s="639">
        <v>950</v>
      </c>
      <c r="O163" s="60" t="s">
        <v>64</v>
      </c>
      <c r="P163" s="60">
        <v>40</v>
      </c>
      <c r="Q163" s="60">
        <v>54</v>
      </c>
      <c r="R163" s="60">
        <v>40</v>
      </c>
      <c r="S163" s="60">
        <v>54</v>
      </c>
      <c r="T163" s="60">
        <v>41</v>
      </c>
      <c r="U163" s="60">
        <v>55</v>
      </c>
      <c r="V163" s="946">
        <f t="shared" ref="V163:V169" si="62">IF(J163="Canvas",P163+Border,P163)</f>
        <v>48</v>
      </c>
      <c r="W163" s="946">
        <f t="shared" ref="W163:W169" si="63">IF(J163="Canvas",Q163+Border,Q163)</f>
        <v>62</v>
      </c>
      <c r="X163" s="138" t="s">
        <v>152</v>
      </c>
      <c r="Y163" s="60"/>
      <c r="Z163" s="60"/>
      <c r="AA163" s="717">
        <f t="shared" si="44"/>
        <v>20.666666666666668</v>
      </c>
      <c r="AB163" s="125">
        <f>Table1[[#This Row],[Substrate SF]]*Swiss1</f>
        <v>584.86666666666667</v>
      </c>
      <c r="AC163" s="104">
        <f t="shared" si="57"/>
        <v>13.64</v>
      </c>
      <c r="AD163" s="69">
        <f>Table1[[#This Row],[Substrate SF]]*Materials!C$37</f>
        <v>57.866666666666667</v>
      </c>
      <c r="AE163" s="104">
        <f>IF(Table1[[#This Row],[Work Center]]="SwissQ",Materials!G$37,IF(Table1[[#This Row],[Work Center]]="Inca",Materials!G$29,IF(Table1[[#This Row],[Work Center]]="Canon",Materials!G$49,Materials!G$45)))</f>
        <v>20</v>
      </c>
      <c r="AF163" s="72">
        <f>'Cali Frames'!D$314</f>
        <v>160.26499999999999</v>
      </c>
      <c r="AG163" s="69"/>
      <c r="AH163" s="112">
        <f t="shared" si="58"/>
        <v>43.5</v>
      </c>
      <c r="AI163" s="112"/>
      <c r="AJ163" s="69">
        <f t="shared" si="61"/>
        <v>295.27166666666665</v>
      </c>
      <c r="AK163" s="62">
        <f t="shared" si="53"/>
        <v>0.66060727969348665</v>
      </c>
      <c r="AL163" s="225">
        <f>Table1[[#This Row],[WSP/Dealer]]/Table1[[#This Row],[OD Sq Inch]]</f>
        <v>0.38580931263858093</v>
      </c>
      <c r="AM163" s="110">
        <f>Table1[[#This Row],[OD Wdth]]*Table1[[#This Row],[OD Hgt]]</f>
        <v>2255</v>
      </c>
      <c r="AN163" s="216">
        <f>Table1[[#This Row],[Min VO]]+Table1[[#This Row],[Max VO]]</f>
        <v>94</v>
      </c>
      <c r="AO163" s="83"/>
      <c r="AP163" s="83"/>
      <c r="AQ163" s="540"/>
      <c r="AR163" s="540"/>
      <c r="AS163" s="540"/>
      <c r="AT163" s="69"/>
      <c r="AU163" s="1361" t="str">
        <f t="shared" si="47"/>
        <v>-</v>
      </c>
    </row>
    <row r="164" spans="1:47" s="46" customFormat="1" hidden="1" x14ac:dyDescent="0.2">
      <c r="A164" s="60"/>
      <c r="B164" s="1061" t="s">
        <v>551</v>
      </c>
      <c r="C164" s="79" t="s">
        <v>552</v>
      </c>
      <c r="D164" s="79"/>
      <c r="E164" s="79" t="s">
        <v>553</v>
      </c>
      <c r="F164" s="99" t="s">
        <v>301</v>
      </c>
      <c r="G164" s="60" t="s">
        <v>549</v>
      </c>
      <c r="H164" s="60" t="s">
        <v>550</v>
      </c>
      <c r="I164" s="60" t="s">
        <v>52</v>
      </c>
      <c r="J164" s="60" t="s">
        <v>53</v>
      </c>
      <c r="K164" s="60" t="s">
        <v>69</v>
      </c>
      <c r="L164" s="60" t="s">
        <v>70</v>
      </c>
      <c r="M164" s="124">
        <v>870</v>
      </c>
      <c r="N164" s="71"/>
      <c r="O164" s="60" t="s">
        <v>64</v>
      </c>
      <c r="P164" s="60">
        <v>40</v>
      </c>
      <c r="Q164" s="60">
        <v>54</v>
      </c>
      <c r="R164" s="60">
        <v>40</v>
      </c>
      <c r="S164" s="46">
        <v>54</v>
      </c>
      <c r="T164" s="46">
        <v>41</v>
      </c>
      <c r="U164" s="46">
        <v>55</v>
      </c>
      <c r="V164" s="946">
        <f t="shared" si="62"/>
        <v>48</v>
      </c>
      <c r="W164" s="946">
        <f t="shared" si="63"/>
        <v>62</v>
      </c>
      <c r="X164" s="138" t="s">
        <v>152</v>
      </c>
      <c r="Y164" s="60"/>
      <c r="Z164" s="60"/>
      <c r="AA164" s="717">
        <f t="shared" si="44"/>
        <v>20.666666666666668</v>
      </c>
      <c r="AB164" s="125">
        <f>Table1[[#This Row],[Substrate SF]]*Swiss1</f>
        <v>584.86666666666667</v>
      </c>
      <c r="AC164" s="104">
        <f t="shared" si="57"/>
        <v>13.64</v>
      </c>
      <c r="AD164" s="48">
        <f>Table1[[#This Row],[Substrate SF]]*Materials!C$37</f>
        <v>57.866666666666667</v>
      </c>
      <c r="AE164" s="104">
        <f>IF(Table1[[#This Row],[Work Center]]="SwissQ",Materials!G$37,IF(Table1[[#This Row],[Work Center]]="Inca",Materials!G$29,IF(Table1[[#This Row],[Work Center]]="Canon",Materials!G$49,Materials!G$45)))</f>
        <v>20</v>
      </c>
      <c r="AF164" s="72">
        <f>'Cali Frames'!D$314</f>
        <v>160.26499999999999</v>
      </c>
      <c r="AG164" s="69"/>
      <c r="AH164" s="112">
        <f t="shared" si="58"/>
        <v>43.5</v>
      </c>
      <c r="AI164" s="112"/>
      <c r="AJ164" s="69">
        <f t="shared" si="61"/>
        <v>295.27166666666665</v>
      </c>
      <c r="AK164" s="62">
        <f t="shared" si="53"/>
        <v>0.66060727969348665</v>
      </c>
      <c r="AL164" s="225">
        <f>Table1[[#This Row],[WSP/Dealer]]/Table1[[#This Row],[OD Sq Inch]]</f>
        <v>0.38580931263858093</v>
      </c>
      <c r="AM164" s="97">
        <f>Table1[[#This Row],[OD Wdth]]*Table1[[#This Row],[OD Hgt]]</f>
        <v>2255</v>
      </c>
      <c r="AN164" s="216">
        <f>Table1[[#This Row],[Min VO]]+Table1[[#This Row],[Max VO]]</f>
        <v>94</v>
      </c>
      <c r="AO164" s="95"/>
      <c r="AP164" s="83"/>
      <c r="AQ164" s="540"/>
      <c r="AR164" s="540"/>
      <c r="AS164" s="540"/>
      <c r="AT164" s="69"/>
      <c r="AU164" s="1355" t="str">
        <f t="shared" si="47"/>
        <v>-</v>
      </c>
    </row>
    <row r="165" spans="1:47" s="63" customFormat="1" x14ac:dyDescent="0.2">
      <c r="A165" s="60" t="s">
        <v>58</v>
      </c>
      <c r="B165" s="279" t="s">
        <v>533</v>
      </c>
      <c r="C165" s="79" t="s">
        <v>554</v>
      </c>
      <c r="D165" s="75" t="s">
        <v>555</v>
      </c>
      <c r="E165" s="79" t="s">
        <v>556</v>
      </c>
      <c r="F165" s="99" t="s">
        <v>301</v>
      </c>
      <c r="G165" s="60" t="s">
        <v>549</v>
      </c>
      <c r="H165" s="60" t="s">
        <v>550</v>
      </c>
      <c r="I165" s="60" t="s">
        <v>52</v>
      </c>
      <c r="J165" s="60" t="s">
        <v>53</v>
      </c>
      <c r="K165" s="60" t="s">
        <v>69</v>
      </c>
      <c r="L165" s="60" t="s">
        <v>73</v>
      </c>
      <c r="M165" s="72">
        <v>890</v>
      </c>
      <c r="N165" s="639">
        <v>950</v>
      </c>
      <c r="O165" s="68" t="s">
        <v>64</v>
      </c>
      <c r="P165" s="60">
        <v>40</v>
      </c>
      <c r="Q165" s="60">
        <v>54</v>
      </c>
      <c r="R165" s="60">
        <v>40</v>
      </c>
      <c r="S165" s="60">
        <v>54</v>
      </c>
      <c r="T165" s="60">
        <v>41</v>
      </c>
      <c r="U165" s="60">
        <v>55</v>
      </c>
      <c r="V165" s="47">
        <f t="shared" si="62"/>
        <v>48</v>
      </c>
      <c r="W165" s="47">
        <f t="shared" si="63"/>
        <v>62</v>
      </c>
      <c r="X165" s="138" t="s">
        <v>152</v>
      </c>
      <c r="Y165" s="60"/>
      <c r="Z165" s="60"/>
      <c r="AA165" s="717">
        <f t="shared" si="44"/>
        <v>20.666666666666668</v>
      </c>
      <c r="AB165" s="184">
        <f>Table1[[#This Row],[Substrate SF]]*Swiss1</f>
        <v>584.86666666666667</v>
      </c>
      <c r="AC165" s="107">
        <f t="shared" si="57"/>
        <v>13.64</v>
      </c>
      <c r="AD165" s="107">
        <f>Table1[[#This Row],[Substrate SF]]*Materials!C$37</f>
        <v>57.866666666666667</v>
      </c>
      <c r="AE165" s="104">
        <f>IF(Table1[[#This Row],[Work Center]]="SwissQ",Materials!G$37,IF(Table1[[#This Row],[Work Center]]="Inca",Materials!G$29,IF(Table1[[#This Row],[Work Center]]="Canon",Materials!G$49,Materials!G$45)))</f>
        <v>20</v>
      </c>
      <c r="AF165" s="71">
        <f>'Cali Frames'!D449</f>
        <v>149.66</v>
      </c>
      <c r="AG165" s="69"/>
      <c r="AH165" s="112">
        <f t="shared" si="58"/>
        <v>44.5</v>
      </c>
      <c r="AI165" s="112"/>
      <c r="AJ165" s="69">
        <f t="shared" si="61"/>
        <v>285.66666666666663</v>
      </c>
      <c r="AK165" s="62">
        <f t="shared" si="53"/>
        <v>0.67902621722846446</v>
      </c>
      <c r="AL165" s="225">
        <f>Table1[[#This Row],[WSP/Dealer]]/Table1[[#This Row],[OD Sq Inch]]</f>
        <v>0.39467849223946783</v>
      </c>
      <c r="AM165" s="97">
        <f>Table1[[#This Row],[OD Wdth]]*Table1[[#This Row],[OD Hgt]]</f>
        <v>2255</v>
      </c>
      <c r="AN165" s="216">
        <f>Table1[[#This Row],[Min VO]]+Table1[[#This Row],[Max VO]]</f>
        <v>94</v>
      </c>
      <c r="AO165" s="60"/>
      <c r="AP165" s="60"/>
      <c r="AQ165" s="69"/>
      <c r="AR165" s="69"/>
      <c r="AS165" s="69"/>
      <c r="AT165" s="69"/>
      <c r="AU165" s="650" t="str">
        <f t="shared" si="47"/>
        <v>-</v>
      </c>
    </row>
    <row r="166" spans="1:47" s="103" customFormat="1" hidden="1" x14ac:dyDescent="0.2">
      <c r="A166" s="400" t="s">
        <v>110</v>
      </c>
      <c r="B166" s="1322" t="s">
        <v>65</v>
      </c>
      <c r="C166" s="168" t="s">
        <v>557</v>
      </c>
      <c r="D166" s="1236"/>
      <c r="E166" s="536" t="s">
        <v>558</v>
      </c>
      <c r="F166" s="536" t="s">
        <v>386</v>
      </c>
      <c r="G166" s="400" t="s">
        <v>51</v>
      </c>
      <c r="H166" s="400" t="s">
        <v>51</v>
      </c>
      <c r="I166" s="400" t="s">
        <v>52</v>
      </c>
      <c r="J166" s="497" t="s">
        <v>53</v>
      </c>
      <c r="K166" s="400" t="s">
        <v>54</v>
      </c>
      <c r="L166" s="400" t="s">
        <v>55</v>
      </c>
      <c r="M166" s="488">
        <v>400</v>
      </c>
      <c r="N166" s="832"/>
      <c r="O166" s="400" t="s">
        <v>56</v>
      </c>
      <c r="P166" s="400">
        <v>30</v>
      </c>
      <c r="Q166" s="400">
        <v>40</v>
      </c>
      <c r="R166" s="400">
        <v>30</v>
      </c>
      <c r="S166" s="399">
        <v>40</v>
      </c>
      <c r="T166" s="400">
        <v>30</v>
      </c>
      <c r="U166" s="400">
        <v>40</v>
      </c>
      <c r="V166" s="608">
        <f t="shared" si="62"/>
        <v>38</v>
      </c>
      <c r="W166" s="608">
        <f t="shared" si="63"/>
        <v>48</v>
      </c>
      <c r="X166" s="400">
        <v>40</v>
      </c>
      <c r="Y166" s="400">
        <v>38</v>
      </c>
      <c r="Z166" s="400">
        <v>48</v>
      </c>
      <c r="AA166" s="649">
        <f t="shared" si="44"/>
        <v>12.666666666666666</v>
      </c>
      <c r="AB166" s="184">
        <f>AA166*IncaG</f>
        <v>266.50666666666666</v>
      </c>
      <c r="AC166" s="104">
        <f t="shared" si="57"/>
        <v>8.36</v>
      </c>
      <c r="AD166" s="107">
        <f>AA166*IncaC</f>
        <v>21.320533333333334</v>
      </c>
      <c r="AE166" s="104">
        <f>IF(Table1[[#This Row],[Work Center]]="SwissQ",Materials!G$37,IF(Table1[[#This Row],[Work Center]]="Inca",Materials!G$29,IF(Table1[[#This Row],[Work Center]]="Canon",Materials!G$49,Materials!G$45)))</f>
        <v>8</v>
      </c>
      <c r="AF166" s="403">
        <f>'Cali FPS'!C48</f>
        <v>76.3</v>
      </c>
      <c r="AG166" s="1000"/>
      <c r="AH166" s="405">
        <f t="shared" si="58"/>
        <v>20</v>
      </c>
      <c r="AI166" s="405"/>
      <c r="AJ166" s="405">
        <f t="shared" si="61"/>
        <v>133.98053333333331</v>
      </c>
      <c r="AK166" s="1065">
        <f t="shared" si="53"/>
        <v>0.66504866666666673</v>
      </c>
      <c r="AL166" s="406">
        <f>Table1[[#This Row],[WSP/Dealer]]/Table1[[#This Row],[OD Sq Inch]]</f>
        <v>0.33333333333333331</v>
      </c>
      <c r="AM166" s="399">
        <f>Table1[[#This Row],[OD Wdth]]*Table1[[#This Row],[OD Hgt]]</f>
        <v>1200</v>
      </c>
      <c r="AN166" s="400">
        <f>Table1[[#This Row],[Min VO]]+Table1[[#This Row],[Max VO]]</f>
        <v>70</v>
      </c>
      <c r="AO166" s="401"/>
      <c r="AP166" s="912">
        <v>800</v>
      </c>
      <c r="AQ166" s="121">
        <f>(Table1[[#This Row],[Desgnr/Retail P]]*0.05)</f>
        <v>40</v>
      </c>
      <c r="AR166" s="121">
        <f>IF(A166="Codarus",(AP166*0.13))</f>
        <v>104</v>
      </c>
      <c r="AS166" s="121">
        <f>SUM(Table1[[#This Row],[Substrate $]:[GP FINISH]])+Table1[[#This Row],[Retail Royalty]]+Table1[[#This Row],[Retail$Comm]]</f>
        <v>257.98053333333331</v>
      </c>
      <c r="AT166" s="830">
        <f>IF(AP166=0,"-",(AP166-AS166)/AP166)</f>
        <v>0.67752433333333328</v>
      </c>
      <c r="AU166" s="1366">
        <f t="shared" si="47"/>
        <v>0.98306189166666669</v>
      </c>
    </row>
    <row r="167" spans="1:47" s="103" customFormat="1" hidden="1" x14ac:dyDescent="0.2">
      <c r="A167" s="60" t="s">
        <v>318</v>
      </c>
      <c r="B167" s="1071" t="s">
        <v>305</v>
      </c>
      <c r="C167" s="76" t="s">
        <v>559</v>
      </c>
      <c r="D167" s="76"/>
      <c r="E167" s="83" t="s">
        <v>560</v>
      </c>
      <c r="F167" s="83" t="s">
        <v>561</v>
      </c>
      <c r="G167" s="60" t="s">
        <v>132</v>
      </c>
      <c r="H167" s="60" t="s">
        <v>133</v>
      </c>
      <c r="I167" s="60" t="s">
        <v>52</v>
      </c>
      <c r="J167" s="59" t="s">
        <v>53</v>
      </c>
      <c r="K167" s="60" t="s">
        <v>69</v>
      </c>
      <c r="L167" s="60" t="s">
        <v>70</v>
      </c>
      <c r="M167" s="124">
        <v>450</v>
      </c>
      <c r="N167" s="124"/>
      <c r="O167" s="60" t="s">
        <v>64</v>
      </c>
      <c r="P167" s="60">
        <v>36</v>
      </c>
      <c r="Q167" s="60">
        <v>48</v>
      </c>
      <c r="R167" s="60">
        <v>36</v>
      </c>
      <c r="S167" s="273">
        <v>48</v>
      </c>
      <c r="T167" s="60">
        <v>37</v>
      </c>
      <c r="U167" s="60">
        <v>49</v>
      </c>
      <c r="V167" s="47">
        <f t="shared" si="62"/>
        <v>44</v>
      </c>
      <c r="W167" s="47">
        <f t="shared" si="63"/>
        <v>56</v>
      </c>
      <c r="X167" s="60">
        <v>59</v>
      </c>
      <c r="Y167" s="60">
        <v>44</v>
      </c>
      <c r="Z167" s="60">
        <v>56</v>
      </c>
      <c r="AA167" s="678">
        <f t="shared" si="44"/>
        <v>17.111111111111111</v>
      </c>
      <c r="AB167" s="329">
        <f>Table1[[#This Row],[Substrate SF]]*Swiss1</f>
        <v>484.24444444444447</v>
      </c>
      <c r="AC167" s="176">
        <f t="shared" si="57"/>
        <v>11.293333333333333</v>
      </c>
      <c r="AD167" s="175">
        <f>Table1[[#This Row],[Substrate SF]]*SWISSC1</f>
        <v>47.911111111111104</v>
      </c>
      <c r="AE167" s="69">
        <f>IF(Table1[[#This Row],[Work Center]]="SwissQ",Materials!G$37,IF(Table1[[#This Row],[Work Center]]="Inca",Materials!G$29,IF(Table1[[#This Row],[Work Center]]="Canon",Materials!G$49,Materials!G$45)))</f>
        <v>20</v>
      </c>
      <c r="AF167" s="72">
        <f>'Cali Frames'!D300</f>
        <v>164.8</v>
      </c>
      <c r="AG167" s="540"/>
      <c r="AH167" s="48">
        <f t="shared" si="58"/>
        <v>22.5</v>
      </c>
      <c r="AI167" s="48"/>
      <c r="AJ167" s="176">
        <f t="shared" si="61"/>
        <v>266.50444444444446</v>
      </c>
      <c r="AK167" s="62">
        <f t="shared" si="53"/>
        <v>0.40776790123456785</v>
      </c>
      <c r="AL167" s="225">
        <f>Table1[[#This Row],[WSP/Dealer]]/Table1[[#This Row],[OD Sq Inch]]</f>
        <v>0.24820739106453393</v>
      </c>
      <c r="AM167" s="173">
        <f>Table1[[#This Row],[OD Wdth]]*Table1[[#This Row],[OD Hgt]]</f>
        <v>1813</v>
      </c>
      <c r="AN167" s="180" t="str">
        <f>Table1[[#This Row],[Color]]</f>
        <v>BF</v>
      </c>
      <c r="AO167" s="83" t="str">
        <f>Table1[[#This Row],[Print Type]]</f>
        <v>Synograph</v>
      </c>
      <c r="AP167" s="83"/>
      <c r="AQ167" s="69">
        <f>(Table1[[#This Row],[Desgnr/Retail P]]*0.05)</f>
        <v>0</v>
      </c>
      <c r="AR167" s="69" t="b">
        <f>IF(A167="Codarus",(AP167*0.13))</f>
        <v>0</v>
      </c>
      <c r="AS167" s="69" t="e" cm="1">
        <f t="array" ref="AS167">SUM(AC167:AG167+AQ+AR)</f>
        <v>#NAME?</v>
      </c>
      <c r="AT167" s="69" t="e">
        <f>(AP167-AS167)/AP167</f>
        <v>#NAME?</v>
      </c>
      <c r="AU167" s="1361" t="str">
        <f t="shared" si="47"/>
        <v>-</v>
      </c>
    </row>
    <row r="168" spans="1:47" s="46" customFormat="1" hidden="1" x14ac:dyDescent="0.2">
      <c r="A168" s="86"/>
      <c r="B168" s="1061" t="s">
        <v>562</v>
      </c>
      <c r="C168" s="100" t="s">
        <v>563</v>
      </c>
      <c r="D168" s="100" t="s">
        <v>564</v>
      </c>
      <c r="E168" s="85" t="s">
        <v>560</v>
      </c>
      <c r="F168" s="85" t="s">
        <v>561</v>
      </c>
      <c r="G168" s="86" t="s">
        <v>132</v>
      </c>
      <c r="H168" s="86" t="s">
        <v>264</v>
      </c>
      <c r="I168" s="86" t="s">
        <v>52</v>
      </c>
      <c r="J168" s="86" t="s">
        <v>53</v>
      </c>
      <c r="K168" s="86" t="s">
        <v>82</v>
      </c>
      <c r="L168" s="86" t="s">
        <v>83</v>
      </c>
      <c r="M168" s="87">
        <v>654.5</v>
      </c>
      <c r="N168" s="71"/>
      <c r="O168" s="551" t="s">
        <v>56</v>
      </c>
      <c r="P168" s="101">
        <v>36</v>
      </c>
      <c r="Q168" s="101">
        <v>48</v>
      </c>
      <c r="R168" s="60">
        <v>36</v>
      </c>
      <c r="S168" s="273">
        <v>48</v>
      </c>
      <c r="T168" s="101">
        <v>38</v>
      </c>
      <c r="U168" s="101" t="str">
        <f>RIGHT(H168,2)</f>
        <v>50</v>
      </c>
      <c r="V168" s="106">
        <f t="shared" si="62"/>
        <v>44</v>
      </c>
      <c r="W168" s="106">
        <f t="shared" si="63"/>
        <v>56</v>
      </c>
      <c r="X168" s="311">
        <v>122</v>
      </c>
      <c r="Y168" s="551"/>
      <c r="Z168" s="551"/>
      <c r="AA168" s="649">
        <f t="shared" si="44"/>
        <v>17.111111111111111</v>
      </c>
      <c r="AB168" s="184">
        <f>AA168*IncaG</f>
        <v>360.01777777777778</v>
      </c>
      <c r="AC168" s="104">
        <f t="shared" si="57"/>
        <v>11.293333333333333</v>
      </c>
      <c r="AD168" s="107">
        <f>AA168*IncaC</f>
        <v>28.801422222222222</v>
      </c>
      <c r="AE168" s="104">
        <f>IF(Table1[[#This Row],[Work Center]]="SwissQ",Materials!G$37,IF(Table1[[#This Row],[Work Center]]="Inca",Materials!G$29,IF(Table1[[#This Row],[Work Center]]="Canon",Materials!G$49,Materials!G$45)))</f>
        <v>8</v>
      </c>
      <c r="AF168" s="71">
        <f>'Cali Frames'!D133</f>
        <v>148.8725</v>
      </c>
      <c r="AG168" s="104"/>
      <c r="AH168" s="498">
        <f t="shared" si="58"/>
        <v>32.725000000000001</v>
      </c>
      <c r="AI168" s="498"/>
      <c r="AJ168" s="104">
        <f t="shared" si="61"/>
        <v>229.69225555555553</v>
      </c>
      <c r="AK168" s="650">
        <f t="shared" si="53"/>
        <v>0.64905690518631698</v>
      </c>
      <c r="AL168" s="225">
        <f>Table1[[#This Row],[WSP/Dealer]]/Table1[[#This Row],[OD Sq Inch]]</f>
        <v>0.34447368421052632</v>
      </c>
      <c r="AM168" s="97">
        <f>Table1[[#This Row],[OD Wdth]]*Table1[[#This Row],[OD Hgt]]</f>
        <v>1900</v>
      </c>
      <c r="AN168" s="216">
        <f>Table1[[#This Row],[Min VO]]+Table1[[#This Row],[Max VO]]</f>
        <v>84</v>
      </c>
      <c r="AO168" s="101"/>
      <c r="AP168" s="101"/>
      <c r="AQ168" s="104"/>
      <c r="AR168" s="104"/>
      <c r="AS168" s="104"/>
      <c r="AT168" s="104"/>
      <c r="AU168" s="830" t="str">
        <f t="shared" si="47"/>
        <v>-</v>
      </c>
    </row>
    <row r="169" spans="1:47" s="173" customFormat="1" hidden="1" x14ac:dyDescent="0.2">
      <c r="A169" s="469" t="s">
        <v>318</v>
      </c>
      <c r="B169" s="1061" t="s">
        <v>96</v>
      </c>
      <c r="C169" s="302" t="s">
        <v>565</v>
      </c>
      <c r="D169" s="302">
        <v>196076</v>
      </c>
      <c r="E169" s="284" t="s">
        <v>566</v>
      </c>
      <c r="F169" s="284" t="s">
        <v>567</v>
      </c>
      <c r="G169" s="180" t="s">
        <v>115</v>
      </c>
      <c r="H169" s="180" t="s">
        <v>145</v>
      </c>
      <c r="I169" s="180" t="s">
        <v>52</v>
      </c>
      <c r="J169" s="310" t="s">
        <v>53</v>
      </c>
      <c r="K169" s="180" t="s">
        <v>69</v>
      </c>
      <c r="L169" s="180" t="s">
        <v>70</v>
      </c>
      <c r="M169" s="542">
        <v>500</v>
      </c>
      <c r="N169" s="786">
        <v>1100</v>
      </c>
      <c r="O169" s="180" t="s">
        <v>56</v>
      </c>
      <c r="P169" s="173">
        <v>48</v>
      </c>
      <c r="Q169" s="173">
        <v>48</v>
      </c>
      <c r="R169" s="180">
        <v>48</v>
      </c>
      <c r="S169" s="1692">
        <v>48</v>
      </c>
      <c r="T169" s="180">
        <v>49</v>
      </c>
      <c r="U169" s="180">
        <v>49</v>
      </c>
      <c r="V169" s="47">
        <f t="shared" si="62"/>
        <v>56</v>
      </c>
      <c r="W169" s="47">
        <f t="shared" si="63"/>
        <v>56</v>
      </c>
      <c r="X169" s="289">
        <v>59</v>
      </c>
      <c r="Y169" s="180">
        <v>56</v>
      </c>
      <c r="Z169" s="180">
        <v>56</v>
      </c>
      <c r="AA169" s="678">
        <f t="shared" si="44"/>
        <v>21.777777777777779</v>
      </c>
      <c r="AB169" s="125">
        <f>AA169*IncaG</f>
        <v>458.20444444444445</v>
      </c>
      <c r="AC169" s="69">
        <f t="shared" si="57"/>
        <v>14.373333333333335</v>
      </c>
      <c r="AD169" s="175">
        <f>Table1[[#This Row],[Substrate SF]]*IncaC</f>
        <v>36.656355555555557</v>
      </c>
      <c r="AE169" s="69">
        <f>IF(Table1[[#This Row],[Work Center]]="SwissQ",Materials!G$37,IF(Table1[[#This Row],[Work Center]]="Inca",Materials!G$29,IF(Table1[[#This Row],[Work Center]]="Canon",Materials!G$49,Materials!G$45)))</f>
        <v>8</v>
      </c>
      <c r="AF169" s="176">
        <f>'Cali Frames'!D331</f>
        <v>171.26</v>
      </c>
      <c r="AG169" s="540"/>
      <c r="AH169" s="112">
        <f t="shared" si="58"/>
        <v>25</v>
      </c>
      <c r="AI169" s="112"/>
      <c r="AJ169" s="920">
        <f t="shared" si="61"/>
        <v>255.28968888888889</v>
      </c>
      <c r="AK169" s="62">
        <f t="shared" si="53"/>
        <v>0.48942062222222221</v>
      </c>
      <c r="AL169" s="225">
        <f>Table1[[#This Row],[WSP/Dealer]]/Table1[[#This Row],[OD Sq Inch]]</f>
        <v>0.20824656393169513</v>
      </c>
      <c r="AM169" s="173">
        <f>Table1[[#This Row],[OD Wdth]]*Table1[[#This Row],[OD Hgt]]</f>
        <v>2401</v>
      </c>
      <c r="AN169" s="180" t="str">
        <f>Table1[[#This Row],[Color]]</f>
        <v>BF</v>
      </c>
      <c r="AO169" s="95" t="str">
        <f>Table1[[#This Row],[Print Type]]</f>
        <v>Synograph</v>
      </c>
      <c r="AP169" s="121"/>
      <c r="AQ169" s="121"/>
      <c r="AR169" s="121"/>
      <c r="AS169" s="121"/>
      <c r="AT169" s="104"/>
      <c r="AU169" s="1362" t="str">
        <f t="shared" si="47"/>
        <v>-</v>
      </c>
    </row>
    <row r="170" spans="1:47" s="170" customFormat="1" hidden="1" x14ac:dyDescent="0.2">
      <c r="A170" s="68" t="s">
        <v>318</v>
      </c>
      <c r="B170" s="1072" t="s">
        <v>568</v>
      </c>
      <c r="C170" s="78" t="s">
        <v>565</v>
      </c>
      <c r="D170" s="78">
        <v>196076</v>
      </c>
      <c r="E170" s="84" t="s">
        <v>566</v>
      </c>
      <c r="F170" s="84" t="s">
        <v>567</v>
      </c>
      <c r="G170" s="68" t="s">
        <v>115</v>
      </c>
      <c r="H170" s="68" t="s">
        <v>145</v>
      </c>
      <c r="I170" s="68" t="s">
        <v>52</v>
      </c>
      <c r="J170" s="140" t="s">
        <v>53</v>
      </c>
      <c r="K170" s="68"/>
      <c r="L170" s="68"/>
      <c r="M170" s="93">
        <v>500</v>
      </c>
      <c r="N170" s="93"/>
      <c r="O170" s="68"/>
      <c r="P170" s="68"/>
      <c r="Q170" s="68"/>
      <c r="R170" s="68"/>
      <c r="S170" s="65"/>
      <c r="T170" s="68"/>
      <c r="U170" s="68"/>
      <c r="V170" s="66"/>
      <c r="W170" s="66"/>
      <c r="X170" s="68"/>
      <c r="Y170" s="68"/>
      <c r="Z170" s="68"/>
      <c r="AA170" s="699"/>
      <c r="AB170" s="297"/>
      <c r="AC170" s="74"/>
      <c r="AD170" s="118"/>
      <c r="AE170" s="126"/>
      <c r="AF170" s="73"/>
      <c r="AG170" s="126"/>
      <c r="AH170" s="118"/>
      <c r="AI170" s="118"/>
      <c r="AJ170" s="126"/>
      <c r="AK170" s="661"/>
      <c r="AL170" s="126"/>
      <c r="AM170" s="119"/>
      <c r="AN170" s="84"/>
      <c r="AO170" s="119"/>
      <c r="AP170" s="126"/>
      <c r="AQ170" s="126">
        <f>(Table1[[#This Row],[Desgnr/Retail P]]*0.05)</f>
        <v>0</v>
      </c>
      <c r="AR170" s="126" t="b">
        <f>IF(A170="Codarus",(AP170*0.13))</f>
        <v>0</v>
      </c>
      <c r="AS170" s="126" t="e" cm="1">
        <f t="array" ref="AS170">SUM(AC170:AG170+AQ+AR)</f>
        <v>#NAME?</v>
      </c>
      <c r="AT170" s="74" t="e">
        <f>(AP170-AS170)/AP170</f>
        <v>#NAME?</v>
      </c>
      <c r="AU170" s="1356" t="str">
        <f t="shared" si="47"/>
        <v>-</v>
      </c>
    </row>
    <row r="171" spans="1:47" s="235" customFormat="1" hidden="1" x14ac:dyDescent="0.2">
      <c r="A171" s="470"/>
      <c r="B171" s="1061"/>
      <c r="C171" s="79" t="s">
        <v>569</v>
      </c>
      <c r="D171" s="79"/>
      <c r="E171" s="83" t="s">
        <v>570</v>
      </c>
      <c r="F171" s="83" t="s">
        <v>571</v>
      </c>
      <c r="G171" s="60" t="s">
        <v>572</v>
      </c>
      <c r="H171" s="60" t="s">
        <v>573</v>
      </c>
      <c r="I171" s="60" t="s">
        <v>574</v>
      </c>
      <c r="J171" s="60" t="s">
        <v>53</v>
      </c>
      <c r="K171" s="60" t="s">
        <v>69</v>
      </c>
      <c r="L171" s="60" t="s">
        <v>70</v>
      </c>
      <c r="M171" s="542">
        <v>460</v>
      </c>
      <c r="N171" s="71"/>
      <c r="O171" s="145" t="s">
        <v>575</v>
      </c>
      <c r="P171" s="60">
        <v>60</v>
      </c>
      <c r="Q171" s="60">
        <v>40</v>
      </c>
      <c r="R171" s="60">
        <v>40</v>
      </c>
      <c r="S171" s="60">
        <v>60</v>
      </c>
      <c r="T171" s="46">
        <v>61</v>
      </c>
      <c r="U171" s="46">
        <v>41</v>
      </c>
      <c r="V171" s="946">
        <f>IF(J171="Canvas",P171+Border,P171)</f>
        <v>68</v>
      </c>
      <c r="W171" s="946">
        <f>IF(J171="Canvas",Q171+Border,Q171)</f>
        <v>48</v>
      </c>
      <c r="X171" s="138">
        <v>69</v>
      </c>
      <c r="Y171" s="60">
        <v>68</v>
      </c>
      <c r="Z171" s="60">
        <v>48</v>
      </c>
      <c r="AA171" s="678">
        <f t="shared" ref="AA171:AA202" si="64">V171*W171/144</f>
        <v>22.666666666666668</v>
      </c>
      <c r="AB171" s="329">
        <f>Table1[[#This Row],[Substrate SF]]*SWISSMLR*3</f>
        <v>136</v>
      </c>
      <c r="AC171" s="176">
        <f>AA171*Canvas</f>
        <v>14.96</v>
      </c>
      <c r="AD171" s="175">
        <f>Table1[[#This Row],[Substrate SF]]*SWISSCR*3</f>
        <v>14.96</v>
      </c>
      <c r="AE171" s="69">
        <f>Materials!I$41</f>
        <v>8</v>
      </c>
      <c r="AF171" s="72">
        <f>'Cali Frames'!D315</f>
        <v>164.9025</v>
      </c>
      <c r="AG171" s="540"/>
      <c r="AH171" s="112">
        <f t="shared" ref="AH171:AH213" si="65">(M171*0.05)</f>
        <v>23</v>
      </c>
      <c r="AI171" s="112"/>
      <c r="AJ171" s="175">
        <f t="shared" ref="AJ171:AJ195" si="66">SUM(AC171:AH171)</f>
        <v>225.82249999999999</v>
      </c>
      <c r="AK171" s="62">
        <f t="shared" ref="AK171:AK213" si="67">(M171-AJ171)/M171</f>
        <v>0.50908152173913046</v>
      </c>
      <c r="AL171" s="225">
        <f>Table1[[#This Row],[WSP/Dealer]]/Table1[[#This Row],[OD Sq Inch]]</f>
        <v>0.1839264294282287</v>
      </c>
      <c r="AM171" s="173">
        <f>Table1[[#This Row],[OD Wdth]]*Table1[[#This Row],[OD Hgt]]</f>
        <v>2501</v>
      </c>
      <c r="AN171" s="180" t="str">
        <f>Table1[[#This Row],[Color]]</f>
        <v>BF</v>
      </c>
      <c r="AO171" s="95" t="str">
        <f>Table1[[#This Row],[Print Type]]</f>
        <v>Reductive+</v>
      </c>
      <c r="AP171" s="83"/>
      <c r="AQ171" s="540"/>
      <c r="AR171" s="540"/>
      <c r="AS171" s="540"/>
      <c r="AT171" s="69"/>
      <c r="AU171" s="1361" t="str">
        <f t="shared" si="47"/>
        <v>-</v>
      </c>
    </row>
    <row r="172" spans="1:47" hidden="1" x14ac:dyDescent="0.2">
      <c r="A172" s="470"/>
      <c r="B172" s="1061"/>
      <c r="C172" s="79" t="s">
        <v>569</v>
      </c>
      <c r="D172" s="79" t="s">
        <v>576</v>
      </c>
      <c r="E172" s="83" t="s">
        <v>570</v>
      </c>
      <c r="F172" s="83" t="s">
        <v>571</v>
      </c>
      <c r="G172" s="60" t="s">
        <v>572</v>
      </c>
      <c r="H172" s="60" t="s">
        <v>573</v>
      </c>
      <c r="I172" s="60" t="s">
        <v>574</v>
      </c>
      <c r="J172" s="60" t="s">
        <v>53</v>
      </c>
      <c r="K172" s="60" t="s">
        <v>69</v>
      </c>
      <c r="L172" s="60" t="s">
        <v>70</v>
      </c>
      <c r="M172" s="542">
        <v>460</v>
      </c>
      <c r="N172" s="71"/>
      <c r="O172" s="145" t="s">
        <v>575</v>
      </c>
      <c r="P172" s="46">
        <v>60</v>
      </c>
      <c r="Q172" s="46">
        <v>40</v>
      </c>
      <c r="R172" s="60">
        <v>40</v>
      </c>
      <c r="S172" s="46">
        <v>60</v>
      </c>
      <c r="T172" s="46">
        <v>61</v>
      </c>
      <c r="U172" s="46">
        <v>41</v>
      </c>
      <c r="V172" s="47">
        <f>IF(J172="Canvas",P172+Border,P172)</f>
        <v>68</v>
      </c>
      <c r="W172" s="47">
        <f>IF(J172="Canvas",Q172+Border,Q172)</f>
        <v>48</v>
      </c>
      <c r="X172" s="138">
        <v>69</v>
      </c>
      <c r="Y172" s="60">
        <v>68</v>
      </c>
      <c r="Z172" s="60">
        <v>48</v>
      </c>
      <c r="AA172" s="678">
        <f t="shared" si="64"/>
        <v>22.666666666666668</v>
      </c>
      <c r="AB172" s="329">
        <f>Table1[[#This Row],[Substrate SF]]*SWISSMLR*3</f>
        <v>136</v>
      </c>
      <c r="AC172" s="176">
        <f>AA172*Canvas</f>
        <v>14.96</v>
      </c>
      <c r="AD172" s="175">
        <f>Table1[[#This Row],[Substrate SF]]*SWISSCR*3</f>
        <v>14.96</v>
      </c>
      <c r="AE172" s="69">
        <f>Materials!I$41</f>
        <v>8</v>
      </c>
      <c r="AF172" s="72">
        <f>'PL CB2'!D12</f>
        <v>105.6825</v>
      </c>
      <c r="AG172" s="540"/>
      <c r="AH172" s="112">
        <f t="shared" si="65"/>
        <v>23</v>
      </c>
      <c r="AI172" s="112"/>
      <c r="AJ172" s="175">
        <f t="shared" si="66"/>
        <v>166.60250000000002</v>
      </c>
      <c r="AK172" s="62">
        <f t="shared" si="67"/>
        <v>0.63782065217391304</v>
      </c>
      <c r="AL172" s="225">
        <f>Table1[[#This Row],[WSP/Dealer]]/Table1[[#This Row],[OD Sq Inch]]</f>
        <v>0.1839264294282287</v>
      </c>
      <c r="AM172" s="173">
        <f>Table1[[#This Row],[OD Wdth]]*Table1[[#This Row],[OD Hgt]]</f>
        <v>2501</v>
      </c>
      <c r="AN172" s="180" t="str">
        <f>Table1[[#This Row],[Color]]</f>
        <v>BF</v>
      </c>
      <c r="AO172" s="95" t="str">
        <f>Table1[[#This Row],[Print Type]]</f>
        <v>Reductive+</v>
      </c>
      <c r="AP172" s="83"/>
      <c r="AQ172" s="540"/>
      <c r="AR172" s="540"/>
      <c r="AS172" s="540"/>
      <c r="AT172" s="69"/>
      <c r="AU172" s="1355" t="str">
        <f t="shared" si="47"/>
        <v>-</v>
      </c>
    </row>
    <row r="173" spans="1:47" s="235" customFormat="1" x14ac:dyDescent="0.2">
      <c r="A173" s="180" t="s">
        <v>58</v>
      </c>
      <c r="B173" s="1061" t="s">
        <v>292</v>
      </c>
      <c r="C173" s="79" t="s">
        <v>577</v>
      </c>
      <c r="D173" s="76" t="s">
        <v>578</v>
      </c>
      <c r="E173" s="284" t="s">
        <v>579</v>
      </c>
      <c r="F173" s="284" t="s">
        <v>580</v>
      </c>
      <c r="G173" s="180" t="s">
        <v>191</v>
      </c>
      <c r="H173" s="180" t="s">
        <v>193</v>
      </c>
      <c r="I173" s="180" t="s">
        <v>52</v>
      </c>
      <c r="J173" s="310" t="s">
        <v>53</v>
      </c>
      <c r="K173" s="180" t="s">
        <v>82</v>
      </c>
      <c r="L173" s="180" t="s">
        <v>298</v>
      </c>
      <c r="M173" s="292">
        <v>1250</v>
      </c>
      <c r="N173" s="285"/>
      <c r="O173" s="180" t="s">
        <v>64</v>
      </c>
      <c r="P173" s="180">
        <v>48</v>
      </c>
      <c r="Q173" s="180">
        <v>60</v>
      </c>
      <c r="R173" s="180">
        <v>48</v>
      </c>
      <c r="S173" s="180">
        <v>60</v>
      </c>
      <c r="T173" s="180">
        <v>49</v>
      </c>
      <c r="U173" s="180">
        <v>61</v>
      </c>
      <c r="V173" s="913">
        <f>IF(J173="Canvas",P173+Border,P173)</f>
        <v>56</v>
      </c>
      <c r="W173" s="913">
        <f>IF(J173="Canvas",Q173+Border,Q173)</f>
        <v>68</v>
      </c>
      <c r="X173" s="180">
        <v>69</v>
      </c>
      <c r="Y173" s="180">
        <v>56</v>
      </c>
      <c r="Z173" s="180">
        <v>68</v>
      </c>
      <c r="AA173" s="678">
        <f t="shared" si="64"/>
        <v>26.444444444444443</v>
      </c>
      <c r="AB173" s="125">
        <f>AA173*Swiss1</f>
        <v>748.37777777777774</v>
      </c>
      <c r="AC173" s="175">
        <f>AA173*Canvas</f>
        <v>17.453333333333333</v>
      </c>
      <c r="AD173" s="175">
        <f>Table1[[#This Row],[Substrate SF]]*Materials!C$37</f>
        <v>74.044444444444437</v>
      </c>
      <c r="AE173" s="176">
        <f>IF(Table1[[#This Row],[Work Center]]="SwissQ",Materials!G$37,IF(Table1[[#This Row],[Work Center]]="Inca",Materials!G$29,IF(Table1[[#This Row],[Work Center]]="Canon",Materials!G$49,Materials!G$45)))</f>
        <v>20</v>
      </c>
      <c r="AF173" s="290">
        <f>'Cali Frames'!D238</f>
        <v>262.55</v>
      </c>
      <c r="AG173" s="540"/>
      <c r="AH173" s="48">
        <f t="shared" si="65"/>
        <v>62.5</v>
      </c>
      <c r="AI173" s="48"/>
      <c r="AJ173" s="176">
        <f t="shared" si="66"/>
        <v>436.54777777777781</v>
      </c>
      <c r="AK173" s="62">
        <f t="shared" si="67"/>
        <v>0.65076177777777777</v>
      </c>
      <c r="AL173" s="225">
        <f>Table1[[#This Row],[WSP/Dealer]]/Table1[[#This Row],[OD Sq Inch]]</f>
        <v>0.41820006691201073</v>
      </c>
      <c r="AM173" s="173">
        <f>Table1[[#This Row],[OD Wdth]]*Table1[[#This Row],[OD Hgt]]</f>
        <v>2989</v>
      </c>
      <c r="AN173" s="180">
        <f>Table1[[#This Row],[Min VO]]+Table1[[#This Row],[Max VO]]</f>
        <v>108</v>
      </c>
      <c r="AO173" s="284"/>
      <c r="AP173" s="284"/>
      <c r="AQ173" s="296"/>
      <c r="AR173" s="296"/>
      <c r="AS173" s="296"/>
      <c r="AT173" s="176"/>
      <c r="AU173" s="1358" t="str">
        <f t="shared" si="47"/>
        <v>-</v>
      </c>
    </row>
    <row r="174" spans="1:47" s="228" customFormat="1" x14ac:dyDescent="0.2">
      <c r="A174" s="180" t="s">
        <v>581</v>
      </c>
      <c r="B174" s="1061" t="s">
        <v>292</v>
      </c>
      <c r="C174" s="79" t="s">
        <v>582</v>
      </c>
      <c r="D174" s="76"/>
      <c r="E174" s="284" t="s">
        <v>579</v>
      </c>
      <c r="F174" s="284" t="s">
        <v>580</v>
      </c>
      <c r="G174" s="180" t="s">
        <v>191</v>
      </c>
      <c r="H174" s="180" t="s">
        <v>193</v>
      </c>
      <c r="I174" s="180" t="s">
        <v>52</v>
      </c>
      <c r="J174" s="310" t="s">
        <v>53</v>
      </c>
      <c r="K174" s="180" t="s">
        <v>54</v>
      </c>
      <c r="L174" s="180" t="s">
        <v>55</v>
      </c>
      <c r="M174" s="292">
        <v>1050</v>
      </c>
      <c r="N174" s="285"/>
      <c r="O174" s="180" t="s">
        <v>64</v>
      </c>
      <c r="P174" s="180">
        <v>48</v>
      </c>
      <c r="Q174" s="180">
        <v>60</v>
      </c>
      <c r="R174" s="180">
        <v>48</v>
      </c>
      <c r="S174" s="180">
        <v>60</v>
      </c>
      <c r="T174" s="180">
        <v>49</v>
      </c>
      <c r="U174" s="180">
        <v>61</v>
      </c>
      <c r="V174" s="913">
        <f>IF(J174="Canvas",P174+Border,P174)</f>
        <v>56</v>
      </c>
      <c r="W174" s="913">
        <f>IF(J174="Canvas",Q174+Border,Q174)</f>
        <v>68</v>
      </c>
      <c r="X174" s="180">
        <v>69</v>
      </c>
      <c r="Y174" s="180">
        <v>56</v>
      </c>
      <c r="Z174" s="180">
        <v>68</v>
      </c>
      <c r="AA174" s="678">
        <f t="shared" si="64"/>
        <v>26.444444444444443</v>
      </c>
      <c r="AB174" s="125">
        <f>AA174*Swiss1</f>
        <v>748.37777777777774</v>
      </c>
      <c r="AC174" s="176">
        <f>AA174*Canvas</f>
        <v>17.453333333333333</v>
      </c>
      <c r="AD174" s="175">
        <f>Table1[[#This Row],[Substrate SF]]*Materials!C$37</f>
        <v>74.044444444444437</v>
      </c>
      <c r="AE174" s="176">
        <f>IF(Table1[[#This Row],[Work Center]]="SwissQ",Materials!G$37,IF(Table1[[#This Row],[Work Center]]="Inca",Materials!G$29,IF(Table1[[#This Row],[Work Center]]="Canon",Materials!G$49,Materials!G$45)))</f>
        <v>20</v>
      </c>
      <c r="AF174" s="290">
        <f>'Cali FPS'!C121</f>
        <v>188.18</v>
      </c>
      <c r="AG174" s="540"/>
      <c r="AH174" s="69">
        <f t="shared" si="65"/>
        <v>52.5</v>
      </c>
      <c r="AI174" s="69"/>
      <c r="AJ174" s="176">
        <f t="shared" si="66"/>
        <v>352.17777777777781</v>
      </c>
      <c r="AK174" s="650">
        <f t="shared" si="67"/>
        <v>0.66459259259259251</v>
      </c>
      <c r="AL174" s="225">
        <f>Table1[[#This Row],[WSP/Dealer]]/Table1[[#This Row],[OD Sq Inch]]</f>
        <v>0.35128805620608899</v>
      </c>
      <c r="AM174" s="173">
        <f>Table1[[#This Row],[OD Wdth]]*Table1[[#This Row],[OD Hgt]]</f>
        <v>2989</v>
      </c>
      <c r="AN174" s="180">
        <f>Table1[[#This Row],[Min VO]]+Table1[[#This Row],[Max VO]]</f>
        <v>108</v>
      </c>
      <c r="AO174" s="284"/>
      <c r="AP174" s="284"/>
      <c r="AQ174" s="296"/>
      <c r="AR174" s="296"/>
      <c r="AS174" s="296"/>
      <c r="AT174" s="176"/>
      <c r="AU174" s="1358" t="str">
        <f t="shared" si="47"/>
        <v>-</v>
      </c>
    </row>
    <row r="175" spans="1:47" s="1164" customFormat="1" hidden="1" x14ac:dyDescent="0.2">
      <c r="A175" s="374" t="s">
        <v>187</v>
      </c>
      <c r="B175" s="1061" t="s">
        <v>261</v>
      </c>
      <c r="C175" s="317" t="s">
        <v>583</v>
      </c>
      <c r="D175" s="317"/>
      <c r="E175" s="375" t="s">
        <v>584</v>
      </c>
      <c r="F175" s="375" t="s">
        <v>585</v>
      </c>
      <c r="G175" s="274" t="s">
        <v>586</v>
      </c>
      <c r="H175" s="274" t="s">
        <v>586</v>
      </c>
      <c r="I175" s="274" t="s">
        <v>52</v>
      </c>
      <c r="J175" s="344" t="s">
        <v>280</v>
      </c>
      <c r="K175" s="274" t="s">
        <v>281</v>
      </c>
      <c r="L175" s="274" t="s">
        <v>282</v>
      </c>
      <c r="M175" s="318">
        <v>1530</v>
      </c>
      <c r="N175" s="71"/>
      <c r="O175" s="274" t="s">
        <v>64</v>
      </c>
      <c r="P175" s="274">
        <v>24</v>
      </c>
      <c r="Q175" s="274">
        <v>30</v>
      </c>
      <c r="R175" s="274">
        <v>24</v>
      </c>
      <c r="S175" s="274">
        <v>30</v>
      </c>
      <c r="T175" s="274">
        <v>24</v>
      </c>
      <c r="U175" s="274">
        <v>30</v>
      </c>
      <c r="V175" s="686">
        <v>24</v>
      </c>
      <c r="W175" s="686">
        <v>30</v>
      </c>
      <c r="X175" s="343" t="s">
        <v>283</v>
      </c>
      <c r="Y175" s="274"/>
      <c r="Z175" s="274"/>
      <c r="AA175" s="727">
        <f t="shared" si="64"/>
        <v>5</v>
      </c>
      <c r="AB175" s="341">
        <f>AA175*Swiss1</f>
        <v>141.5</v>
      </c>
      <c r="AC175" s="278">
        <f>MDFSHEET*0.25</f>
        <v>6.0875000000000004</v>
      </c>
      <c r="AD175" s="263">
        <f>Table1[[#This Row],[Substrate SF]]*Materials!C$37</f>
        <v>14</v>
      </c>
      <c r="AE175" s="104">
        <f>IF(Table1[[#This Row],[Work Center]]="SwissQ",Materials!G$37,IF(Table1[[#This Row],[Work Center]]="Inca",Materials!G$29,IF(Table1[[#This Row],[Work Center]]="Canon",Materials!G$49,Materials!G$45)))</f>
        <v>20</v>
      </c>
      <c r="AF175" s="321">
        <f>'Cali Frames'!D540</f>
        <v>104.7375</v>
      </c>
      <c r="AG175" s="320"/>
      <c r="AH175" s="498">
        <f t="shared" si="65"/>
        <v>76.5</v>
      </c>
      <c r="AI175" s="498"/>
      <c r="AJ175" s="278">
        <f t="shared" si="66"/>
        <v>221.32499999999999</v>
      </c>
      <c r="AK175" s="650">
        <f t="shared" si="67"/>
        <v>0.85534313725490196</v>
      </c>
      <c r="AL175" s="225">
        <f>Table1[[#This Row],[WSP/Dealer]]/Table1[[#This Row],[OD Sq Inch]]</f>
        <v>2.125</v>
      </c>
      <c r="AM175" s="170">
        <f>Table1[[#This Row],[OD Wdth]]*Table1[[#This Row],[OD Hgt]]</f>
        <v>720</v>
      </c>
      <c r="AN175" s="238">
        <f>Table1[[#This Row],[Min VO]]+Table1[[#This Row],[Max VO]]</f>
        <v>54</v>
      </c>
      <c r="AO175" s="275"/>
      <c r="AP175" s="275"/>
      <c r="AQ175" s="320"/>
      <c r="AR175" s="320"/>
      <c r="AS175" s="320"/>
      <c r="AT175" s="278"/>
      <c r="AU175" s="1368" t="str">
        <f t="shared" si="47"/>
        <v>-</v>
      </c>
    </row>
    <row r="176" spans="1:47" s="286" customFormat="1" x14ac:dyDescent="0.2">
      <c r="A176" s="180" t="s">
        <v>58</v>
      </c>
      <c r="B176" s="1061" t="s">
        <v>587</v>
      </c>
      <c r="C176" s="281" t="s">
        <v>588</v>
      </c>
      <c r="D176" s="281"/>
      <c r="E176" s="291" t="s">
        <v>584</v>
      </c>
      <c r="F176" s="291" t="s">
        <v>585</v>
      </c>
      <c r="G176" s="180" t="s">
        <v>586</v>
      </c>
      <c r="H176" s="180" t="s">
        <v>586</v>
      </c>
      <c r="I176" s="180" t="s">
        <v>52</v>
      </c>
      <c r="J176" s="310" t="s">
        <v>280</v>
      </c>
      <c r="K176" s="180" t="s">
        <v>281</v>
      </c>
      <c r="L176" s="180" t="s">
        <v>282</v>
      </c>
      <c r="M176" s="292">
        <v>450</v>
      </c>
      <c r="N176" s="639">
        <v>450</v>
      </c>
      <c r="O176" s="180" t="s">
        <v>64</v>
      </c>
      <c r="P176" s="180">
        <v>24</v>
      </c>
      <c r="Q176" s="180">
        <v>30</v>
      </c>
      <c r="R176" s="180">
        <v>24</v>
      </c>
      <c r="S176" s="180">
        <v>30</v>
      </c>
      <c r="T176" s="180">
        <v>24</v>
      </c>
      <c r="U176" s="180">
        <v>30</v>
      </c>
      <c r="V176" s="947">
        <v>24</v>
      </c>
      <c r="W176" s="947">
        <v>30</v>
      </c>
      <c r="X176" s="289" t="s">
        <v>283</v>
      </c>
      <c r="Y176" s="180"/>
      <c r="Z176" s="180"/>
      <c r="AA176" s="678">
        <f t="shared" si="64"/>
        <v>5</v>
      </c>
      <c r="AB176" s="329">
        <f>AA176*Swiss1</f>
        <v>141.5</v>
      </c>
      <c r="AC176" s="176">
        <f>MDFSHEET*0.25</f>
        <v>6.0875000000000004</v>
      </c>
      <c r="AD176" s="175">
        <f>Table1[[#This Row],[Substrate SF]]*Materials!C$37</f>
        <v>14</v>
      </c>
      <c r="AE176" s="104">
        <f>IF(Table1[[#This Row],[Work Center]]="SwissQ",Materials!G$37,IF(Table1[[#This Row],[Work Center]]="Inca",Materials!G$29,IF(Table1[[#This Row],[Work Center]]="Canon",Materials!G$49,Materials!G$45)))</f>
        <v>20</v>
      </c>
      <c r="AF176" s="290">
        <f>'Cali Frames'!D539</f>
        <v>101.955</v>
      </c>
      <c r="AG176" s="296"/>
      <c r="AH176" s="112">
        <f t="shared" si="65"/>
        <v>22.5</v>
      </c>
      <c r="AI176" s="112"/>
      <c r="AJ176" s="175">
        <f t="shared" si="66"/>
        <v>164.54249999999999</v>
      </c>
      <c r="AK176" s="62">
        <f t="shared" si="67"/>
        <v>0.63434999999999997</v>
      </c>
      <c r="AL176" s="225">
        <f>Table1[[#This Row],[WSP/Dealer]]/Table1[[#This Row],[OD Sq Inch]]</f>
        <v>0.625</v>
      </c>
      <c r="AM176" s="173">
        <f>Table1[[#This Row],[OD Wdth]]*Table1[[#This Row],[OD Hgt]]</f>
        <v>720</v>
      </c>
      <c r="AN176" s="216">
        <f>Table1[[#This Row],[Min VO]]+Table1[[#This Row],[Max VO]]</f>
        <v>54</v>
      </c>
      <c r="AO176" s="284"/>
      <c r="AP176" s="284"/>
      <c r="AQ176" s="296"/>
      <c r="AR176" s="296"/>
      <c r="AS176" s="296"/>
      <c r="AT176" s="176"/>
      <c r="AU176" s="1358" t="str">
        <f t="shared" si="47"/>
        <v>-</v>
      </c>
    </row>
    <row r="177" spans="1:53" s="63" customFormat="1" hidden="1" x14ac:dyDescent="0.2">
      <c r="A177" s="373" t="s">
        <v>187</v>
      </c>
      <c r="B177" s="1061" t="s">
        <v>261</v>
      </c>
      <c r="C177" s="436" t="s">
        <v>589</v>
      </c>
      <c r="D177" s="94"/>
      <c r="E177" s="436" t="s">
        <v>590</v>
      </c>
      <c r="F177" s="375" t="s">
        <v>585</v>
      </c>
      <c r="G177" s="258" t="s">
        <v>354</v>
      </c>
      <c r="H177" s="68" t="s">
        <v>354</v>
      </c>
      <c r="I177" s="274" t="s">
        <v>108</v>
      </c>
      <c r="J177" s="68" t="s">
        <v>197</v>
      </c>
      <c r="K177" s="274" t="s">
        <v>198</v>
      </c>
      <c r="L177" s="274" t="s">
        <v>199</v>
      </c>
      <c r="M177" s="771">
        <v>60</v>
      </c>
      <c r="N177" s="71"/>
      <c r="O177" s="274" t="s">
        <v>64</v>
      </c>
      <c r="P177" s="274">
        <v>24</v>
      </c>
      <c r="Q177" s="274">
        <v>30</v>
      </c>
      <c r="R177" s="274">
        <v>24</v>
      </c>
      <c r="S177" s="274">
        <v>30</v>
      </c>
      <c r="T177" s="274">
        <v>24</v>
      </c>
      <c r="U177" s="274">
        <v>30</v>
      </c>
      <c r="V177" s="686">
        <f>Table1[[#This Row],[VO Wdth]]+Materials!$C$7</f>
        <v>26</v>
      </c>
      <c r="W177" s="686">
        <f>Table1[[#This Row],[VO Hgt]]+Materials!$C$7</f>
        <v>32</v>
      </c>
      <c r="X177" s="343" t="s">
        <v>197</v>
      </c>
      <c r="Y177" s="68"/>
      <c r="Z177" s="68"/>
      <c r="AA177" s="699">
        <f t="shared" si="64"/>
        <v>5.7777777777777777</v>
      </c>
      <c r="AB177" s="341">
        <f>AA177*SWISSRML</f>
        <v>11.555555555555555</v>
      </c>
      <c r="AC177" s="74">
        <f>Table1[[#This Row],[Substrate SF]]*POster</f>
        <v>4.2986666666666666</v>
      </c>
      <c r="AD177" s="278">
        <f>Table1[[#This Row],[Substrate SF]]*SWISSRC</f>
        <v>1.2711111111111111</v>
      </c>
      <c r="AE17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77" s="73">
        <v>0</v>
      </c>
      <c r="AG177" s="126">
        <f>Materials!D$76</f>
        <v>10.82</v>
      </c>
      <c r="AH177" s="112">
        <f t="shared" si="65"/>
        <v>3</v>
      </c>
      <c r="AI177" s="112"/>
      <c r="AJ177" s="278">
        <f t="shared" si="66"/>
        <v>29.389777777777777</v>
      </c>
      <c r="AK177" s="62">
        <f t="shared" si="67"/>
        <v>0.51017037037037039</v>
      </c>
      <c r="AL177" s="225">
        <f>Table1[[#This Row],[WSP/Dealer]]/Table1[[#This Row],[OD Sq Inch]]</f>
        <v>8.3333333333333329E-2</v>
      </c>
      <c r="AM177" s="274">
        <f>Table1[[#This Row],[OD Wdth]]*Table1[[#This Row],[OD Hgt]]</f>
        <v>720</v>
      </c>
      <c r="AN177" s="238">
        <f>Table1[[#This Row],[Min VO]]+Table1[[#This Row],[Max VO]]</f>
        <v>54</v>
      </c>
      <c r="AO177" s="84"/>
      <c r="AP177" s="84"/>
      <c r="AQ177" s="126"/>
      <c r="AR177" s="126"/>
      <c r="AS177" s="126"/>
      <c r="AT177" s="74"/>
      <c r="AU177" s="1357" t="str">
        <f t="shared" si="47"/>
        <v>-</v>
      </c>
    </row>
    <row r="178" spans="1:53" s="63" customFormat="1" x14ac:dyDescent="0.2">
      <c r="A178" s="86" t="s">
        <v>58</v>
      </c>
      <c r="B178" s="279" t="s">
        <v>591</v>
      </c>
      <c r="C178" s="75" t="s">
        <v>592</v>
      </c>
      <c r="D178" s="257" t="s">
        <v>593</v>
      </c>
      <c r="E178" s="85" t="s">
        <v>594</v>
      </c>
      <c r="F178" s="85" t="s">
        <v>301</v>
      </c>
      <c r="G178" s="86" t="s">
        <v>51</v>
      </c>
      <c r="H178" s="86" t="s">
        <v>51</v>
      </c>
      <c r="I178" s="86" t="s">
        <v>52</v>
      </c>
      <c r="J178" s="86" t="s">
        <v>53</v>
      </c>
      <c r="K178" s="86" t="s">
        <v>54</v>
      </c>
      <c r="L178" s="86" t="s">
        <v>55</v>
      </c>
      <c r="M178" s="87">
        <v>560</v>
      </c>
      <c r="N178" s="639">
        <v>560</v>
      </c>
      <c r="O178" s="101" t="s">
        <v>56</v>
      </c>
      <c r="P178" s="273">
        <v>30</v>
      </c>
      <c r="Q178" s="273">
        <v>40</v>
      </c>
      <c r="R178" s="60">
        <v>30</v>
      </c>
      <c r="S178" s="273">
        <v>40</v>
      </c>
      <c r="T178" s="273">
        <f>Table1[[#This Row],[VO Wdth]]</f>
        <v>30</v>
      </c>
      <c r="U178" s="273">
        <f>Table1[[#This Row],[VO Hgt]]</f>
        <v>40</v>
      </c>
      <c r="V178" s="608">
        <f>IF(J178="Canvas",P178+BorderGW,P178)</f>
        <v>38</v>
      </c>
      <c r="W178" s="608">
        <f>IF(J178="Canvas",Q178+BorderGW,Q178)</f>
        <v>48</v>
      </c>
      <c r="X178" s="157" t="s">
        <v>57</v>
      </c>
      <c r="Y178" s="60">
        <v>38</v>
      </c>
      <c r="Z178" s="60">
        <v>96</v>
      </c>
      <c r="AA178" s="649">
        <f t="shared" si="64"/>
        <v>12.666666666666666</v>
      </c>
      <c r="AB178" s="184">
        <f t="shared" ref="AB178:AB184" si="68">AA178*IncaG</f>
        <v>266.50666666666666</v>
      </c>
      <c r="AC178" s="104">
        <f t="shared" ref="AC178:AC187" si="69">AA178*Canvas</f>
        <v>8.36</v>
      </c>
      <c r="AD178" s="104">
        <f t="shared" ref="AD178:AD184" si="70">AA178*IncaC</f>
        <v>21.320533333333334</v>
      </c>
      <c r="AE178" s="104">
        <f>IF(Table1[[#This Row],[Work Center]]="SwissQ",Materials!G$37,IF(Table1[[#This Row],[Work Center]]="Inca",Materials!G$29,IF(Table1[[#This Row],[Work Center]]="Canon",Materials!G$49,Materials!G$45)))</f>
        <v>8</v>
      </c>
      <c r="AF178" s="69">
        <f>'Cali FPS'!C$48</f>
        <v>76.3</v>
      </c>
      <c r="AG178" s="115"/>
      <c r="AH178" s="498">
        <f t="shared" si="65"/>
        <v>28</v>
      </c>
      <c r="AI178" s="498"/>
      <c r="AJ178" s="104">
        <f t="shared" si="66"/>
        <v>141.98053333333331</v>
      </c>
      <c r="AK178" s="650">
        <f t="shared" si="67"/>
        <v>0.74646333333333337</v>
      </c>
      <c r="AL178" s="225">
        <f>Table1[[#This Row],[WSP/Dealer]]/Table1[[#This Row],[OD Sq Inch]]</f>
        <v>0.46666666666666667</v>
      </c>
      <c r="AM178" s="101">
        <f>Table1[[#This Row],[OD Wdth]]*Table1[[#This Row],[OD Hgt]]</f>
        <v>1200</v>
      </c>
      <c r="AN178" s="216">
        <f>Table1[[#This Row],[Min VO]]+Table1[[#This Row],[Max VO]]</f>
        <v>70</v>
      </c>
      <c r="AO178" s="101"/>
      <c r="AP178" s="101"/>
      <c r="AQ178" s="104"/>
      <c r="AR178" s="104"/>
      <c r="AS178" s="104"/>
      <c r="AT178" s="104"/>
      <c r="AU178" s="830" t="str">
        <f t="shared" si="47"/>
        <v>-</v>
      </c>
    </row>
    <row r="179" spans="1:53" s="231" customFormat="1" hidden="1" x14ac:dyDescent="0.2">
      <c r="A179" s="241" t="s">
        <v>272</v>
      </c>
      <c r="B179" s="279" t="s">
        <v>595</v>
      </c>
      <c r="C179" s="641" t="s">
        <v>596</v>
      </c>
      <c r="D179" s="641"/>
      <c r="E179" s="242" t="s">
        <v>597</v>
      </c>
      <c r="F179" s="242" t="s">
        <v>301</v>
      </c>
      <c r="G179" s="241" t="s">
        <v>598</v>
      </c>
      <c r="H179" s="241" t="s">
        <v>598</v>
      </c>
      <c r="I179" s="241" t="s">
        <v>52</v>
      </c>
      <c r="J179" s="993" t="s">
        <v>53</v>
      </c>
      <c r="K179" s="241" t="s">
        <v>54</v>
      </c>
      <c r="L179" s="241" t="s">
        <v>55</v>
      </c>
      <c r="M179" s="1039">
        <v>450</v>
      </c>
      <c r="N179" s="219"/>
      <c r="O179" s="241" t="s">
        <v>56</v>
      </c>
      <c r="P179" s="1314">
        <v>45</v>
      </c>
      <c r="Q179" s="1314">
        <v>60</v>
      </c>
      <c r="R179" s="241">
        <v>45</v>
      </c>
      <c r="S179" s="1314">
        <v>60</v>
      </c>
      <c r="T179" s="1314">
        <v>45</v>
      </c>
      <c r="U179" s="1314">
        <v>60</v>
      </c>
      <c r="V179" s="1698">
        <f>IF(J179="Canvas",P179+BorderGW,P179)</f>
        <v>53</v>
      </c>
      <c r="W179" s="1698">
        <f>IF(J179="Canvas",Q179+BorderGW,Q179)</f>
        <v>68</v>
      </c>
      <c r="X179" s="223">
        <v>69</v>
      </c>
      <c r="Y179" s="216"/>
      <c r="Z179" s="216"/>
      <c r="AA179" s="911">
        <f t="shared" si="64"/>
        <v>25.027777777777779</v>
      </c>
      <c r="AB179" s="233">
        <f t="shared" si="68"/>
        <v>526.58444444444444</v>
      </c>
      <c r="AC179" s="923">
        <f t="shared" si="69"/>
        <v>16.518333333333334</v>
      </c>
      <c r="AD179" s="209">
        <f t="shared" si="70"/>
        <v>42.126755555555555</v>
      </c>
      <c r="AE179" s="104">
        <f>IF(Table1[[#This Row],[Work Center]]="SwissQ",Materials!G$37,IF(Table1[[#This Row],[Work Center]]="Inca",Materials!G$29,IF(Table1[[#This Row],[Work Center]]="Canon",Materials!G$49,Materials!G$45)))</f>
        <v>8</v>
      </c>
      <c r="AF179" s="247">
        <f>'CALI_SONDER '!H27</f>
        <v>141.07</v>
      </c>
      <c r="AG179" s="923"/>
      <c r="AH179" s="498">
        <f t="shared" si="65"/>
        <v>22.5</v>
      </c>
      <c r="AI179" s="498"/>
      <c r="AJ179" s="923">
        <f t="shared" si="66"/>
        <v>230.21508888888889</v>
      </c>
      <c r="AK179" s="650">
        <f t="shared" si="67"/>
        <v>0.48841091358024691</v>
      </c>
      <c r="AL179" s="225">
        <f>Table1[[#This Row],[WSP/Dealer]]/Table1[[#This Row],[OD Sq Inch]]</f>
        <v>0.16666666666666666</v>
      </c>
      <c r="AM179" s="46">
        <f>Table1[[#This Row],[OD Wdth]]*Table1[[#This Row],[OD Hgt]]</f>
        <v>2700</v>
      </c>
      <c r="AN179" s="216">
        <f>Table1[[#This Row],[Min VO]]+Table1[[#This Row],[Max VO]]</f>
        <v>105</v>
      </c>
      <c r="AO179" s="242"/>
      <c r="AP179" s="242"/>
      <c r="AQ179" s="1421"/>
      <c r="AR179" s="1421"/>
      <c r="AS179" s="1421"/>
      <c r="AT179" s="923"/>
      <c r="AU179" s="1463" t="str">
        <f t="shared" si="47"/>
        <v>-</v>
      </c>
    </row>
    <row r="180" spans="1:53" s="367" customFormat="1" x14ac:dyDescent="0.2">
      <c r="A180" s="400" t="s">
        <v>58</v>
      </c>
      <c r="B180" s="1062" t="s">
        <v>599</v>
      </c>
      <c r="C180" s="719" t="s">
        <v>600</v>
      </c>
      <c r="D180" s="1236"/>
      <c r="E180" s="401" t="s">
        <v>601</v>
      </c>
      <c r="F180" s="401" t="s">
        <v>144</v>
      </c>
      <c r="G180" s="400" t="s">
        <v>602</v>
      </c>
      <c r="H180" s="400" t="s">
        <v>602</v>
      </c>
      <c r="I180" s="400" t="s">
        <v>52</v>
      </c>
      <c r="J180" s="497" t="s">
        <v>53</v>
      </c>
      <c r="K180" s="400" t="s">
        <v>54</v>
      </c>
      <c r="L180" s="400" t="s">
        <v>55</v>
      </c>
      <c r="M180" s="832">
        <v>425</v>
      </c>
      <c r="N180" s="832"/>
      <c r="O180" s="400" t="s">
        <v>56</v>
      </c>
      <c r="P180" s="1244">
        <v>25</v>
      </c>
      <c r="Q180" s="1244">
        <v>31</v>
      </c>
      <c r="R180" s="400">
        <v>25</v>
      </c>
      <c r="S180" s="1244">
        <v>31</v>
      </c>
      <c r="T180" s="1329">
        <v>25</v>
      </c>
      <c r="U180" s="1329">
        <v>31</v>
      </c>
      <c r="V180" s="608">
        <f t="shared" ref="V180:V195" si="71">IF(J180="Canvas",P180+BorderL,P180)</f>
        <v>36</v>
      </c>
      <c r="W180" s="608">
        <f t="shared" ref="W180:W195" si="72">IF(J180="Canvas",Q180+BorderL,Q180)</f>
        <v>42</v>
      </c>
      <c r="X180" s="400">
        <v>40</v>
      </c>
      <c r="Y180" s="400">
        <v>36</v>
      </c>
      <c r="Z180" s="400">
        <v>42</v>
      </c>
      <c r="AA180" s="649">
        <f t="shared" si="64"/>
        <v>10.5</v>
      </c>
      <c r="AB180" s="184">
        <f t="shared" si="68"/>
        <v>220.92</v>
      </c>
      <c r="AC180" s="104">
        <f t="shared" si="69"/>
        <v>6.9300000000000006</v>
      </c>
      <c r="AD180" s="107">
        <f t="shared" si="70"/>
        <v>17.6736</v>
      </c>
      <c r="AE180" s="104">
        <f>IF(Table1[[#This Row],[Work Center]]="SwissQ",Materials!G$37,IF(Table1[[#This Row],[Work Center]]="Inca",Materials!G$29,IF(Table1[[#This Row],[Work Center]]="Canon",Materials!G$49,Materials!G$45)))</f>
        <v>8</v>
      </c>
      <c r="AF180" s="403">
        <f>'Cali FPS'!C40</f>
        <v>79.239999999999995</v>
      </c>
      <c r="AG180" s="1000"/>
      <c r="AH180" s="406">
        <f t="shared" si="65"/>
        <v>21.25</v>
      </c>
      <c r="AI180" s="406"/>
      <c r="AJ180" s="406">
        <f t="shared" si="66"/>
        <v>133.09359999999998</v>
      </c>
      <c r="AK180" s="1065">
        <f t="shared" si="67"/>
        <v>0.6868385882352942</v>
      </c>
      <c r="AL180" s="406">
        <f>Table1[[#This Row],[WSP/Dealer]]/Table1[[#This Row],[OD Sq Inch]]</f>
        <v>0.54838709677419351</v>
      </c>
      <c r="AM180" s="399">
        <f>Table1[[#This Row],[OD Wdth]]*Table1[[#This Row],[OD Hgt]]</f>
        <v>775</v>
      </c>
      <c r="AN180" s="400">
        <f>Table1[[#This Row],[Min VO]]+Table1[[#This Row],[Max VO]]</f>
        <v>56</v>
      </c>
      <c r="AO180" s="401"/>
      <c r="AP180" s="401"/>
      <c r="AQ180" s="1330"/>
      <c r="AR180" s="1330"/>
      <c r="AS180" s="1330"/>
      <c r="AT180" s="1332"/>
      <c r="AU180" s="1366" t="str">
        <f t="shared" si="47"/>
        <v>-</v>
      </c>
    </row>
    <row r="181" spans="1:53" s="245" customFormat="1" ht="16" x14ac:dyDescent="0.2">
      <c r="A181" s="274" t="s">
        <v>58</v>
      </c>
      <c r="B181" s="1061" t="s">
        <v>599</v>
      </c>
      <c r="C181" s="1037" t="s">
        <v>603</v>
      </c>
      <c r="D181" s="1476" t="s">
        <v>604</v>
      </c>
      <c r="E181" s="275" t="s">
        <v>605</v>
      </c>
      <c r="F181" s="275" t="s">
        <v>144</v>
      </c>
      <c r="G181" s="68" t="s">
        <v>191</v>
      </c>
      <c r="H181" s="68" t="s">
        <v>191</v>
      </c>
      <c r="I181" s="68" t="s">
        <v>52</v>
      </c>
      <c r="J181" s="140" t="s">
        <v>53</v>
      </c>
      <c r="K181" s="68" t="s">
        <v>54</v>
      </c>
      <c r="L181" s="68" t="s">
        <v>55</v>
      </c>
      <c r="M181" s="93">
        <v>950</v>
      </c>
      <c r="N181" s="93"/>
      <c r="O181" s="68" t="s">
        <v>56</v>
      </c>
      <c r="P181" s="623">
        <v>48</v>
      </c>
      <c r="Q181" s="623">
        <v>60</v>
      </c>
      <c r="R181" s="68">
        <v>48</v>
      </c>
      <c r="S181" s="623">
        <v>60</v>
      </c>
      <c r="T181" s="1486">
        <v>48</v>
      </c>
      <c r="U181" s="1486">
        <v>60</v>
      </c>
      <c r="V181" s="917">
        <f t="shared" si="71"/>
        <v>59</v>
      </c>
      <c r="W181" s="917">
        <f t="shared" si="72"/>
        <v>71</v>
      </c>
      <c r="X181" s="68">
        <v>59</v>
      </c>
      <c r="Y181" s="68">
        <v>59</v>
      </c>
      <c r="Z181" s="68">
        <v>71</v>
      </c>
      <c r="AA181" s="699">
        <f t="shared" si="64"/>
        <v>29.090277777777779</v>
      </c>
      <c r="AB181" s="297">
        <f t="shared" si="68"/>
        <v>612.05944444444447</v>
      </c>
      <c r="AC181" s="74">
        <f t="shared" si="69"/>
        <v>19.199583333333333</v>
      </c>
      <c r="AD181" s="67">
        <f t="shared" si="70"/>
        <v>48.964755555555556</v>
      </c>
      <c r="AE181" s="74">
        <f>IF(Table1[[#This Row],[Work Center]]="SwissQ",Materials!G$37,IF(Table1[[#This Row],[Work Center]]="Inca",Materials!G$29,IF(Table1[[#This Row],[Work Center]]="Canon",Materials!G$49,Materials!G$45)))</f>
        <v>8</v>
      </c>
      <c r="AF181" s="73">
        <f>'Cali FPS'!C112</f>
        <v>175.035</v>
      </c>
      <c r="AG181" s="126"/>
      <c r="AH181" s="278">
        <f t="shared" si="65"/>
        <v>47.5</v>
      </c>
      <c r="AI181" s="278"/>
      <c r="AJ181" s="278">
        <f t="shared" si="66"/>
        <v>298.69933888888886</v>
      </c>
      <c r="AK181" s="1192">
        <f t="shared" si="67"/>
        <v>0.68557964327485388</v>
      </c>
      <c r="AL181" s="278">
        <f>Table1[[#This Row],[WSP/Dealer]]/Table1[[#This Row],[OD Sq Inch]]</f>
        <v>0.3298611111111111</v>
      </c>
      <c r="AM181" s="170">
        <f>Table1[[#This Row],[OD Wdth]]*Table1[[#This Row],[OD Hgt]]</f>
        <v>2880</v>
      </c>
      <c r="AN181" s="274">
        <f>Table1[[#This Row],[Min VO]]+Table1[[#This Row],[Max VO]]</f>
        <v>108</v>
      </c>
      <c r="AO181" s="84"/>
      <c r="AP181" s="84"/>
      <c r="AQ181" s="1029"/>
      <c r="AR181" s="1029"/>
      <c r="AS181" s="1029"/>
      <c r="AT181" s="819"/>
      <c r="AU181" s="1357" t="str">
        <f t="shared" si="47"/>
        <v>-</v>
      </c>
    </row>
    <row r="182" spans="1:53" s="1426" customFormat="1" x14ac:dyDescent="0.2">
      <c r="A182" s="274" t="s">
        <v>58</v>
      </c>
      <c r="B182" s="1085" t="s">
        <v>250</v>
      </c>
      <c r="C182" s="75" t="s">
        <v>606</v>
      </c>
      <c r="D182" s="1037"/>
      <c r="E182" s="275" t="s">
        <v>605</v>
      </c>
      <c r="F182" s="275" t="s">
        <v>144</v>
      </c>
      <c r="G182" s="274" t="s">
        <v>191</v>
      </c>
      <c r="H182" s="274" t="s">
        <v>607</v>
      </c>
      <c r="I182" s="274" t="s">
        <v>52</v>
      </c>
      <c r="J182" s="344" t="s">
        <v>53</v>
      </c>
      <c r="K182" s="274" t="s">
        <v>82</v>
      </c>
      <c r="L182" s="274" t="s">
        <v>83</v>
      </c>
      <c r="M182" s="318">
        <v>1150</v>
      </c>
      <c r="N182" s="318"/>
      <c r="O182" s="274" t="s">
        <v>56</v>
      </c>
      <c r="P182" s="623">
        <v>48</v>
      </c>
      <c r="Q182" s="623">
        <v>60</v>
      </c>
      <c r="R182" s="68">
        <v>48</v>
      </c>
      <c r="S182" s="623">
        <v>60</v>
      </c>
      <c r="T182" s="1569">
        <v>50</v>
      </c>
      <c r="U182" s="1569">
        <v>62</v>
      </c>
      <c r="V182" s="917">
        <f t="shared" si="71"/>
        <v>59</v>
      </c>
      <c r="W182" s="917">
        <f t="shared" si="72"/>
        <v>71</v>
      </c>
      <c r="X182" s="274">
        <v>59</v>
      </c>
      <c r="Y182" s="274">
        <v>59</v>
      </c>
      <c r="Z182" s="274">
        <v>71</v>
      </c>
      <c r="AA182" s="699">
        <f t="shared" si="64"/>
        <v>29.090277777777779</v>
      </c>
      <c r="AB182" s="297">
        <f t="shared" si="68"/>
        <v>612.05944444444447</v>
      </c>
      <c r="AC182" s="74">
        <f t="shared" si="69"/>
        <v>19.199583333333333</v>
      </c>
      <c r="AD182" s="67">
        <f t="shared" si="70"/>
        <v>48.964755555555556</v>
      </c>
      <c r="AE182" s="74">
        <f>IF(Table1[[#This Row],[Work Center]]="SwissQ",Materials!G$37,IF(Table1[[#This Row],[Work Center]]="Inca",Materials!G$29,IF(Table1[[#This Row],[Work Center]]="Canon",Materials!G$49,Materials!G$45)))</f>
        <v>8</v>
      </c>
      <c r="AF182" s="321">
        <f>'Cali Frames'!D155</f>
        <v>265.04000000000002</v>
      </c>
      <c r="AG182" s="320"/>
      <c r="AH182" s="278">
        <f t="shared" si="65"/>
        <v>57.5</v>
      </c>
      <c r="AI182" s="278"/>
      <c r="AJ182" s="278">
        <f t="shared" si="66"/>
        <v>398.70433888888891</v>
      </c>
      <c r="AK182" s="1192">
        <f t="shared" si="67"/>
        <v>0.65330057487922699</v>
      </c>
      <c r="AL182" s="278">
        <f>Table1[[#This Row],[WSP/Dealer]]/Table1[[#This Row],[OD Sq Inch]]</f>
        <v>0.37096774193548387</v>
      </c>
      <c r="AM182" s="170">
        <f>Table1[[#This Row],[OD Wdth]]*Table1[[#This Row],[OD Hgt]]</f>
        <v>3100</v>
      </c>
      <c r="AN182" s="274">
        <f>Table1[[#This Row],[Min VO]]+Table1[[#This Row],[Max VO]]</f>
        <v>108</v>
      </c>
      <c r="AO182" s="275"/>
      <c r="AP182" s="275"/>
      <c r="AQ182" s="1424">
        <f>(Table1[[#This Row],[Desgnr/Retail P]]*0.05)</f>
        <v>0</v>
      </c>
      <c r="AR182" s="1424" t="b">
        <f>IF(A182="Codarus",(AP182*0.13))</f>
        <v>0</v>
      </c>
      <c r="AS182" s="1424" t="e" cm="1">
        <f t="array" ref="AS182">SUM(AC182:AG182+AQ+AR)</f>
        <v>#NAME?</v>
      </c>
      <c r="AT182" s="1425" t="e">
        <f>(AP182-AS182)/AP182</f>
        <v>#NAME?</v>
      </c>
      <c r="AU182" s="1368" t="str">
        <f t="shared" si="47"/>
        <v>-</v>
      </c>
    </row>
    <row r="183" spans="1:53" s="1494" customFormat="1" x14ac:dyDescent="0.2">
      <c r="A183" s="180" t="s">
        <v>58</v>
      </c>
      <c r="B183" s="1674" t="s">
        <v>305</v>
      </c>
      <c r="C183" s="75" t="s">
        <v>608</v>
      </c>
      <c r="D183" s="607" t="s">
        <v>609</v>
      </c>
      <c r="E183" s="284" t="s">
        <v>605</v>
      </c>
      <c r="F183" s="284" t="s">
        <v>144</v>
      </c>
      <c r="G183" s="180" t="s">
        <v>191</v>
      </c>
      <c r="H183" s="180" t="s">
        <v>607</v>
      </c>
      <c r="I183" s="180" t="s">
        <v>52</v>
      </c>
      <c r="J183" s="310" t="s">
        <v>53</v>
      </c>
      <c r="K183" s="180" t="s">
        <v>82</v>
      </c>
      <c r="L183" s="180" t="s">
        <v>83</v>
      </c>
      <c r="M183" s="285">
        <v>1150</v>
      </c>
      <c r="N183" s="285"/>
      <c r="O183" s="180" t="s">
        <v>56</v>
      </c>
      <c r="P183" s="273">
        <v>48</v>
      </c>
      <c r="Q183" s="273">
        <v>60</v>
      </c>
      <c r="R183" s="60">
        <v>48</v>
      </c>
      <c r="S183" s="273">
        <v>60</v>
      </c>
      <c r="T183" s="1659">
        <v>50</v>
      </c>
      <c r="U183" s="1659">
        <v>62</v>
      </c>
      <c r="V183" s="946">
        <f t="shared" si="71"/>
        <v>59</v>
      </c>
      <c r="W183" s="946">
        <f t="shared" si="72"/>
        <v>71</v>
      </c>
      <c r="X183" s="180">
        <v>59</v>
      </c>
      <c r="Y183" s="180">
        <v>59</v>
      </c>
      <c r="Z183" s="180">
        <v>71</v>
      </c>
      <c r="AA183" s="717">
        <f t="shared" si="64"/>
        <v>29.090277777777779</v>
      </c>
      <c r="AB183" s="125">
        <f t="shared" si="68"/>
        <v>612.05944444444447</v>
      </c>
      <c r="AC183" s="69">
        <f t="shared" si="69"/>
        <v>19.199583333333333</v>
      </c>
      <c r="AD183" s="48">
        <f t="shared" si="70"/>
        <v>48.964755555555556</v>
      </c>
      <c r="AE183" s="69">
        <f>IF(Table1[[#This Row],[Work Center]]="SwissQ",Materials!G$37,IF(Table1[[#This Row],[Work Center]]="Inca",Materials!G$29,IF(Table1[[#This Row],[Work Center]]="Canon",Materials!G$49,Materials!G$45)))</f>
        <v>8</v>
      </c>
      <c r="AF183" s="290">
        <f>'Cali Frames'!D238</f>
        <v>262.55</v>
      </c>
      <c r="AG183" s="296"/>
      <c r="AH183" s="176">
        <f t="shared" si="65"/>
        <v>57.5</v>
      </c>
      <c r="AI183" s="176"/>
      <c r="AJ183" s="176">
        <f t="shared" si="66"/>
        <v>396.2143388888889</v>
      </c>
      <c r="AK183" s="1201">
        <f t="shared" si="67"/>
        <v>0.65546579227053137</v>
      </c>
      <c r="AL183" s="176">
        <f>Table1[[#This Row],[WSP/Dealer]]/Table1[[#This Row],[OD Sq Inch]]</f>
        <v>0.37096774193548387</v>
      </c>
      <c r="AM183" s="180">
        <f>Table1[[#This Row],[OD Wdth]]*Table1[[#This Row],[OD Hgt]]</f>
        <v>3100</v>
      </c>
      <c r="AN183" s="180">
        <f>Table1[[#This Row],[Min VO]]+Table1[[#This Row],[Max VO]]</f>
        <v>108</v>
      </c>
      <c r="AO183" s="284"/>
      <c r="AP183" s="284"/>
      <c r="AQ183" s="1331">
        <f>(Table1[[#This Row],[Desgnr/Retail P]]*0.05)</f>
        <v>0</v>
      </c>
      <c r="AR183" s="1331" t="b">
        <f>IF(A183="Codarus",(AP183*0.13))</f>
        <v>0</v>
      </c>
      <c r="AS183" s="1331" t="e" cm="1">
        <f t="array" ref="AS183">SUM(AC183:AG183+AQ+AR)</f>
        <v>#NAME?</v>
      </c>
      <c r="AT183" s="1333" t="e">
        <f>(AP183-AS183)/AP183</f>
        <v>#NAME?</v>
      </c>
      <c r="AU183" s="1358" t="str">
        <f t="shared" si="47"/>
        <v>-</v>
      </c>
    </row>
    <row r="184" spans="1:53" s="889" customFormat="1" x14ac:dyDescent="0.2">
      <c r="A184" s="180" t="s">
        <v>58</v>
      </c>
      <c r="B184" s="1194" t="s">
        <v>599</v>
      </c>
      <c r="C184" s="75" t="s">
        <v>610</v>
      </c>
      <c r="D184" s="607"/>
      <c r="E184" s="284" t="s">
        <v>611</v>
      </c>
      <c r="F184" s="284" t="s">
        <v>144</v>
      </c>
      <c r="G184" s="180" t="s">
        <v>602</v>
      </c>
      <c r="H184" s="180" t="s">
        <v>602</v>
      </c>
      <c r="I184" s="180" t="s">
        <v>52</v>
      </c>
      <c r="J184" s="310" t="s">
        <v>53</v>
      </c>
      <c r="K184" s="180" t="s">
        <v>54</v>
      </c>
      <c r="L184" s="180" t="s">
        <v>55</v>
      </c>
      <c r="M184" s="285">
        <v>425</v>
      </c>
      <c r="N184" s="285"/>
      <c r="O184" s="180" t="s">
        <v>56</v>
      </c>
      <c r="P184" s="813">
        <v>25</v>
      </c>
      <c r="Q184" s="813">
        <v>31</v>
      </c>
      <c r="R184" s="180">
        <v>25</v>
      </c>
      <c r="S184" s="813">
        <v>31</v>
      </c>
      <c r="T184" s="1659">
        <v>25</v>
      </c>
      <c r="U184" s="1659">
        <v>31</v>
      </c>
      <c r="V184" s="946">
        <f t="shared" si="71"/>
        <v>36</v>
      </c>
      <c r="W184" s="946">
        <f t="shared" si="72"/>
        <v>42</v>
      </c>
      <c r="X184" s="180">
        <v>40</v>
      </c>
      <c r="Y184" s="180">
        <v>36</v>
      </c>
      <c r="Z184" s="180">
        <v>42</v>
      </c>
      <c r="AA184" s="717">
        <f t="shared" si="64"/>
        <v>10.5</v>
      </c>
      <c r="AB184" s="125">
        <f t="shared" si="68"/>
        <v>220.92</v>
      </c>
      <c r="AC184" s="69">
        <f t="shared" si="69"/>
        <v>6.9300000000000006</v>
      </c>
      <c r="AD184" s="48">
        <f t="shared" si="70"/>
        <v>17.6736</v>
      </c>
      <c r="AE184" s="69">
        <f>IF(Table1[[#This Row],[Work Center]]="SwissQ",Materials!G$37,IF(Table1[[#This Row],[Work Center]]="Inca",Materials!G$29,IF(Table1[[#This Row],[Work Center]]="Canon",Materials!G$49,Materials!G$45)))</f>
        <v>8</v>
      </c>
      <c r="AF184" s="290">
        <f>'Cali FPS'!C40</f>
        <v>79.239999999999995</v>
      </c>
      <c r="AG184" s="296"/>
      <c r="AH184" s="176">
        <f t="shared" si="65"/>
        <v>21.25</v>
      </c>
      <c r="AI184" s="176"/>
      <c r="AJ184" s="176">
        <f t="shared" si="66"/>
        <v>133.09359999999998</v>
      </c>
      <c r="AK184" s="1201">
        <f t="shared" si="67"/>
        <v>0.6868385882352942</v>
      </c>
      <c r="AL184" s="176">
        <f>Table1[[#This Row],[WSP/Dealer]]/Table1[[#This Row],[OD Sq Inch]]</f>
        <v>0.54838709677419351</v>
      </c>
      <c r="AM184" s="180">
        <f>Table1[[#This Row],[OD Wdth]]*Table1[[#This Row],[OD Hgt]]</f>
        <v>775</v>
      </c>
      <c r="AN184" s="180">
        <f>Table1[[#This Row],[Min VO]]+Table1[[#This Row],[Max VO]]</f>
        <v>56</v>
      </c>
      <c r="AO184" s="284"/>
      <c r="AP184" s="284"/>
      <c r="AQ184" s="1331"/>
      <c r="AR184" s="1331"/>
      <c r="AS184" s="1331"/>
      <c r="AT184" s="1333"/>
      <c r="AU184" s="1358" t="str">
        <f t="shared" si="47"/>
        <v>-</v>
      </c>
    </row>
    <row r="185" spans="1:53" s="218" customFormat="1" hidden="1" x14ac:dyDescent="0.2">
      <c r="A185" s="373" t="s">
        <v>187</v>
      </c>
      <c r="B185" s="1061" t="s">
        <v>261</v>
      </c>
      <c r="C185" s="257" t="s">
        <v>612</v>
      </c>
      <c r="D185" s="78"/>
      <c r="E185" s="84" t="s">
        <v>613</v>
      </c>
      <c r="F185" s="84" t="s">
        <v>614</v>
      </c>
      <c r="G185" s="68" t="s">
        <v>191</v>
      </c>
      <c r="H185" s="68" t="s">
        <v>607</v>
      </c>
      <c r="I185" s="68" t="s">
        <v>52</v>
      </c>
      <c r="J185" s="68" t="s">
        <v>53</v>
      </c>
      <c r="K185" s="68" t="s">
        <v>69</v>
      </c>
      <c r="L185" s="68" t="s">
        <v>70</v>
      </c>
      <c r="M185" s="93">
        <v>2950</v>
      </c>
      <c r="N185" s="71"/>
      <c r="O185" s="68" t="s">
        <v>64</v>
      </c>
      <c r="P185" s="623">
        <v>48</v>
      </c>
      <c r="Q185" s="623">
        <v>60</v>
      </c>
      <c r="R185" s="623">
        <v>48</v>
      </c>
      <c r="S185" s="623">
        <v>60</v>
      </c>
      <c r="T185" s="623">
        <f>Table1[[#This Row],[VO Wdth]]</f>
        <v>48</v>
      </c>
      <c r="U185" s="623">
        <f>Table1[[#This Row],[VO Hgt]]</f>
        <v>60</v>
      </c>
      <c r="V185" s="66">
        <f t="shared" si="71"/>
        <v>59</v>
      </c>
      <c r="W185" s="66">
        <f t="shared" si="72"/>
        <v>71</v>
      </c>
      <c r="X185" s="189">
        <v>59</v>
      </c>
      <c r="Y185" s="68"/>
      <c r="Z185" s="68"/>
      <c r="AA185" s="699">
        <f t="shared" si="64"/>
        <v>29.090277777777779</v>
      </c>
      <c r="AB185" s="297">
        <f>Table1[[#This Row],[Substrate SF]]*Swiss1</f>
        <v>823.25486111111115</v>
      </c>
      <c r="AC185" s="74">
        <f t="shared" si="69"/>
        <v>19.199583333333333</v>
      </c>
      <c r="AD185" s="67">
        <f>Table1[[#This Row],[Substrate SF]]*Materials!C$37</f>
        <v>81.452777777777769</v>
      </c>
      <c r="AE185" s="104">
        <f>IF(Table1[[#This Row],[Work Center]]="SwissQ",Materials!G$37,IF(Table1[[#This Row],[Work Center]]="Inca",Materials!G$29,IF(Table1[[#This Row],[Work Center]]="Canon",Materials!G$49,Materials!G$45)))</f>
        <v>20</v>
      </c>
      <c r="AF185" s="73">
        <f>'Cali Frames'!D350</f>
        <v>324.01249999999999</v>
      </c>
      <c r="AG185" s="74"/>
      <c r="AH185" s="498">
        <f t="shared" si="65"/>
        <v>147.5</v>
      </c>
      <c r="AI185" s="498"/>
      <c r="AJ185" s="74">
        <f t="shared" si="66"/>
        <v>592.16486111111112</v>
      </c>
      <c r="AK185" s="650">
        <f t="shared" si="67"/>
        <v>0.79926614877589441</v>
      </c>
      <c r="AL185" s="225">
        <f>Table1[[#This Row],[WSP/Dealer]]/Table1[[#This Row],[OD Sq Inch]]</f>
        <v>1.0243055555555556</v>
      </c>
      <c r="AM185" s="218">
        <f>Table1[[#This Row],[OD Wdth]]*Table1[[#This Row],[OD Hgt]]</f>
        <v>2880</v>
      </c>
      <c r="AN185" s="216">
        <f>Table1[[#This Row],[Min VO]]+Table1[[#This Row],[Max VO]]</f>
        <v>108</v>
      </c>
      <c r="AO185" s="68"/>
      <c r="AP185" s="68"/>
      <c r="AQ185" s="74"/>
      <c r="AR185" s="74"/>
      <c r="AS185" s="74"/>
      <c r="AT185" s="74"/>
      <c r="AU185" s="1001" t="str">
        <f t="shared" si="47"/>
        <v>-</v>
      </c>
    </row>
    <row r="186" spans="1:53" s="218" customFormat="1" hidden="1" x14ac:dyDescent="0.2">
      <c r="A186" s="373" t="s">
        <v>187</v>
      </c>
      <c r="B186" s="1061" t="s">
        <v>261</v>
      </c>
      <c r="C186" s="257" t="s">
        <v>615</v>
      </c>
      <c r="D186" s="78"/>
      <c r="E186" s="84" t="s">
        <v>613</v>
      </c>
      <c r="F186" s="84" t="s">
        <v>614</v>
      </c>
      <c r="G186" s="68" t="s">
        <v>191</v>
      </c>
      <c r="H186" s="68" t="s">
        <v>191</v>
      </c>
      <c r="I186" s="68" t="s">
        <v>52</v>
      </c>
      <c r="J186" s="68" t="s">
        <v>53</v>
      </c>
      <c r="K186" s="68" t="s">
        <v>54</v>
      </c>
      <c r="L186" s="68" t="s">
        <v>55</v>
      </c>
      <c r="M186" s="93">
        <v>2550</v>
      </c>
      <c r="N186" s="71"/>
      <c r="O186" s="68" t="s">
        <v>64</v>
      </c>
      <c r="P186" s="623">
        <v>48</v>
      </c>
      <c r="Q186" s="623">
        <v>60</v>
      </c>
      <c r="R186" s="623">
        <v>48</v>
      </c>
      <c r="S186" s="623">
        <v>60</v>
      </c>
      <c r="T186" s="623">
        <f>Table1[[#This Row],[VO Wdth]]</f>
        <v>48</v>
      </c>
      <c r="U186" s="623">
        <f>Table1[[#This Row],[VO Hgt]]</f>
        <v>60</v>
      </c>
      <c r="V186" s="917">
        <f t="shared" si="71"/>
        <v>59</v>
      </c>
      <c r="W186" s="917">
        <f t="shared" si="72"/>
        <v>71</v>
      </c>
      <c r="X186" s="189">
        <v>59</v>
      </c>
      <c r="Y186" s="68"/>
      <c r="Z186" s="68"/>
      <c r="AA186" s="699">
        <f t="shared" si="64"/>
        <v>29.090277777777779</v>
      </c>
      <c r="AB186" s="297">
        <f>Table1[[#This Row],[Substrate SF]]*Swiss1</f>
        <v>823.25486111111115</v>
      </c>
      <c r="AC186" s="74">
        <f t="shared" si="69"/>
        <v>19.199583333333333</v>
      </c>
      <c r="AD186" s="67">
        <f>Table1[[#This Row],[Substrate SF]]*Materials!C$37</f>
        <v>81.452777777777769</v>
      </c>
      <c r="AE186" s="104">
        <f>IF(Table1[[#This Row],[Work Center]]="SwissQ",Materials!G$37,IF(Table1[[#This Row],[Work Center]]="Inca",Materials!G$29,IF(Table1[[#This Row],[Work Center]]="Canon",Materials!G$49,Materials!G$45)))</f>
        <v>20</v>
      </c>
      <c r="AF186" s="74">
        <f>'Cali FPS'!C$160</f>
        <v>253.32999999999998</v>
      </c>
      <c r="AG186" s="115"/>
      <c r="AH186" s="112">
        <f t="shared" si="65"/>
        <v>127.5</v>
      </c>
      <c r="AI186" s="112"/>
      <c r="AJ186" s="67">
        <f t="shared" si="66"/>
        <v>501.48236111111112</v>
      </c>
      <c r="AK186" s="62">
        <f t="shared" si="67"/>
        <v>0.8033402505446624</v>
      </c>
      <c r="AL186" s="225">
        <f>Table1[[#This Row],[WSP/Dealer]]/Table1[[#This Row],[OD Sq Inch]]</f>
        <v>0.88541666666666663</v>
      </c>
      <c r="AM186" s="103">
        <f>Table1[[#This Row],[OD Wdth]]*Table1[[#This Row],[OD Hgt]]</f>
        <v>2880</v>
      </c>
      <c r="AN186" s="216">
        <f>Table1[[#This Row],[Min VO]]+Table1[[#This Row],[Max VO]]</f>
        <v>108</v>
      </c>
      <c r="AO186" s="68"/>
      <c r="AP186" s="68"/>
      <c r="AQ186" s="74"/>
      <c r="AR186" s="74"/>
      <c r="AS186" s="74"/>
      <c r="AT186" s="74"/>
      <c r="AU186" s="1001" t="str">
        <f t="shared" si="47"/>
        <v>-</v>
      </c>
    </row>
    <row r="187" spans="1:53" s="173" customFormat="1" hidden="1" x14ac:dyDescent="0.2">
      <c r="A187" s="373" t="s">
        <v>187</v>
      </c>
      <c r="B187" s="1061" t="s">
        <v>261</v>
      </c>
      <c r="C187" s="257" t="s">
        <v>616</v>
      </c>
      <c r="D187" s="78"/>
      <c r="E187" s="84" t="s">
        <v>613</v>
      </c>
      <c r="F187" s="84" t="s">
        <v>614</v>
      </c>
      <c r="G187" s="68" t="s">
        <v>191</v>
      </c>
      <c r="H187" s="68" t="s">
        <v>607</v>
      </c>
      <c r="I187" s="68" t="s">
        <v>52</v>
      </c>
      <c r="J187" s="68" t="s">
        <v>53</v>
      </c>
      <c r="K187" s="68" t="s">
        <v>69</v>
      </c>
      <c r="L187" s="68" t="s">
        <v>73</v>
      </c>
      <c r="M187" s="93">
        <v>2950</v>
      </c>
      <c r="N187" s="71"/>
      <c r="O187" s="68" t="s">
        <v>64</v>
      </c>
      <c r="P187" s="623">
        <v>48</v>
      </c>
      <c r="Q187" s="623">
        <v>60</v>
      </c>
      <c r="R187" s="623">
        <v>48</v>
      </c>
      <c r="S187" s="623">
        <v>60</v>
      </c>
      <c r="T187" s="623">
        <f>Table1[[#This Row],[VO Wdth]]</f>
        <v>48</v>
      </c>
      <c r="U187" s="623">
        <f>Table1[[#This Row],[VO Hgt]]</f>
        <v>60</v>
      </c>
      <c r="V187" s="66">
        <f t="shared" si="71"/>
        <v>59</v>
      </c>
      <c r="W187" s="66">
        <f t="shared" si="72"/>
        <v>71</v>
      </c>
      <c r="X187" s="189">
        <v>59</v>
      </c>
      <c r="Y187" s="68"/>
      <c r="Z187" s="68"/>
      <c r="AA187" s="699">
        <f t="shared" si="64"/>
        <v>29.090277777777779</v>
      </c>
      <c r="AB187" s="297">
        <f>Table1[[#This Row],[Substrate SF]]*Swiss1</f>
        <v>823.25486111111115</v>
      </c>
      <c r="AC187" s="74">
        <f t="shared" si="69"/>
        <v>19.199583333333333</v>
      </c>
      <c r="AD187" s="67">
        <f>Table1[[#This Row],[Substrate SF]]*Materials!C$37</f>
        <v>81.452777777777769</v>
      </c>
      <c r="AE187" s="104">
        <f>IF(Table1[[#This Row],[Work Center]]="SwissQ",Materials!G$37,IF(Table1[[#This Row],[Work Center]]="Inca",Materials!G$29,IF(Table1[[#This Row],[Work Center]]="Canon",Materials!G$49,Materials!G$45)))</f>
        <v>20</v>
      </c>
      <c r="AF187" s="73">
        <f>'Cali Frames'!D482</f>
        <v>309.66249999999997</v>
      </c>
      <c r="AG187" s="74"/>
      <c r="AH187" s="112">
        <f t="shared" si="65"/>
        <v>147.5</v>
      </c>
      <c r="AI187" s="112"/>
      <c r="AJ187" s="67">
        <f t="shared" si="66"/>
        <v>577.8148611111111</v>
      </c>
      <c r="AK187" s="62">
        <f t="shared" si="67"/>
        <v>0.80413055555555557</v>
      </c>
      <c r="AL187" s="225">
        <f>Table1[[#This Row],[WSP/Dealer]]/Table1[[#This Row],[OD Sq Inch]]</f>
        <v>1.0243055555555556</v>
      </c>
      <c r="AM187" s="103">
        <f>Table1[[#This Row],[OD Wdth]]*Table1[[#This Row],[OD Hgt]]</f>
        <v>2880</v>
      </c>
      <c r="AN187" s="216">
        <f>Table1[[#This Row],[Min VO]]+Table1[[#This Row],[Max VO]]</f>
        <v>108</v>
      </c>
      <c r="AO187" s="68"/>
      <c r="AP187" s="68"/>
      <c r="AQ187" s="74"/>
      <c r="AR187" s="74"/>
      <c r="AS187" s="74"/>
      <c r="AT187" s="74"/>
      <c r="AU187" s="1001" t="str">
        <f t="shared" si="47"/>
        <v>-</v>
      </c>
    </row>
    <row r="188" spans="1:53" s="173" customFormat="1" hidden="1" x14ac:dyDescent="0.2">
      <c r="A188" s="373" t="s">
        <v>187</v>
      </c>
      <c r="B188" s="1061" t="s">
        <v>261</v>
      </c>
      <c r="C188" s="257" t="s">
        <v>617</v>
      </c>
      <c r="D188" s="78"/>
      <c r="E188" s="84" t="s">
        <v>618</v>
      </c>
      <c r="F188" s="84" t="s">
        <v>614</v>
      </c>
      <c r="G188" s="68" t="s">
        <v>191</v>
      </c>
      <c r="H188" s="68" t="s">
        <v>191</v>
      </c>
      <c r="I188" s="68" t="s">
        <v>108</v>
      </c>
      <c r="J188" s="949" t="s">
        <v>197</v>
      </c>
      <c r="K188" s="238" t="s">
        <v>198</v>
      </c>
      <c r="L188" s="238" t="s">
        <v>199</v>
      </c>
      <c r="M188" s="550">
        <v>120</v>
      </c>
      <c r="N188" s="71"/>
      <c r="O188" s="68" t="s">
        <v>64</v>
      </c>
      <c r="P188" s="623">
        <v>48</v>
      </c>
      <c r="Q188" s="623">
        <v>60</v>
      </c>
      <c r="R188" s="623">
        <v>48</v>
      </c>
      <c r="S188" s="623">
        <v>60</v>
      </c>
      <c r="T188" s="623">
        <f>Table1[[#This Row],[VO Wdth]]</f>
        <v>48</v>
      </c>
      <c r="U188" s="623">
        <f>Table1[[#This Row],[VO Hgt]]</f>
        <v>60</v>
      </c>
      <c r="V188" s="66">
        <f t="shared" si="71"/>
        <v>48</v>
      </c>
      <c r="W188" s="66">
        <f t="shared" si="72"/>
        <v>60</v>
      </c>
      <c r="X188" s="343" t="s">
        <v>197</v>
      </c>
      <c r="Y188" s="68"/>
      <c r="Z188" s="68"/>
      <c r="AA188" s="699">
        <f t="shared" si="64"/>
        <v>20</v>
      </c>
      <c r="AB188" s="341">
        <f>AA188*SWISSRML</f>
        <v>40</v>
      </c>
      <c r="AC188" s="74">
        <f>Table1[[#This Row],[Substrate SF]]*POster</f>
        <v>14.879999999999999</v>
      </c>
      <c r="AD188" s="263">
        <f>Table1[[#This Row],[Substrate SF]]*SWISSRC</f>
        <v>4.4000000000000004</v>
      </c>
      <c r="AE18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88" s="73">
        <v>0</v>
      </c>
      <c r="AG188" s="126">
        <f>Materials!D$76</f>
        <v>10.82</v>
      </c>
      <c r="AH188" s="112">
        <f t="shared" si="65"/>
        <v>6</v>
      </c>
      <c r="AI188" s="112"/>
      <c r="AJ188" s="67">
        <f t="shared" si="66"/>
        <v>46.1</v>
      </c>
      <c r="AK188" s="62">
        <f t="shared" si="67"/>
        <v>0.61583333333333334</v>
      </c>
      <c r="AL188" s="225">
        <f>Table1[[#This Row],[WSP/Dealer]]/Table1[[#This Row],[OD Sq Inch]]</f>
        <v>4.1666666666666664E-2</v>
      </c>
      <c r="AM188" s="103">
        <f>Table1[[#This Row],[OD Wdth]]*Table1[[#This Row],[OD Hgt]]</f>
        <v>2880</v>
      </c>
      <c r="AN188" s="216">
        <f>Table1[[#This Row],[Min VO]]+Table1[[#This Row],[Max VO]]</f>
        <v>108</v>
      </c>
      <c r="AO188" s="68"/>
      <c r="AP188" s="68"/>
      <c r="AQ188" s="74"/>
      <c r="AR188" s="74"/>
      <c r="AS188" s="74"/>
      <c r="AT188" s="74"/>
      <c r="AU188" s="1001" t="str">
        <f t="shared" si="47"/>
        <v>-</v>
      </c>
    </row>
    <row r="189" spans="1:53" s="218" customFormat="1" x14ac:dyDescent="0.2">
      <c r="A189" s="86" t="s">
        <v>58</v>
      </c>
      <c r="B189" s="1061" t="s">
        <v>619</v>
      </c>
      <c r="C189" s="75" t="s">
        <v>620</v>
      </c>
      <c r="D189" s="76" t="s">
        <v>621</v>
      </c>
      <c r="E189" s="85" t="s">
        <v>622</v>
      </c>
      <c r="F189" s="85" t="s">
        <v>614</v>
      </c>
      <c r="G189" s="86" t="s">
        <v>623</v>
      </c>
      <c r="H189" s="86" t="s">
        <v>623</v>
      </c>
      <c r="I189" s="86" t="s">
        <v>52</v>
      </c>
      <c r="J189" s="86" t="s">
        <v>53</v>
      </c>
      <c r="K189" s="86" t="s">
        <v>54</v>
      </c>
      <c r="L189" s="86" t="s">
        <v>55</v>
      </c>
      <c r="M189" s="87">
        <v>1300</v>
      </c>
      <c r="N189" s="639">
        <v>1300</v>
      </c>
      <c r="O189" s="101" t="s">
        <v>64</v>
      </c>
      <c r="P189" s="273">
        <v>60</v>
      </c>
      <c r="Q189" s="273">
        <v>72</v>
      </c>
      <c r="R189" s="60">
        <v>60</v>
      </c>
      <c r="S189" s="273">
        <v>72</v>
      </c>
      <c r="T189" s="273">
        <f>Table1[[#This Row],[VO Wdth]]</f>
        <v>60</v>
      </c>
      <c r="U189" s="273">
        <f>Table1[[#This Row],[VO Hgt]]</f>
        <v>72</v>
      </c>
      <c r="V189" s="608">
        <f t="shared" si="71"/>
        <v>71</v>
      </c>
      <c r="W189" s="608">
        <f t="shared" si="72"/>
        <v>83</v>
      </c>
      <c r="X189" s="137">
        <v>82</v>
      </c>
      <c r="Y189" s="101"/>
      <c r="Z189" s="101"/>
      <c r="AA189" s="649">
        <f t="shared" si="64"/>
        <v>40.923611111111114</v>
      </c>
      <c r="AB189" s="184">
        <f>Table1[[#This Row],[Substrate SF]]*Swiss1</f>
        <v>1158.1381944444445</v>
      </c>
      <c r="AC189" s="104">
        <f>AA189*Canvas</f>
        <v>27.009583333333335</v>
      </c>
      <c r="AD189" s="107">
        <f>Table1[[#This Row],[Substrate SF]]*Materials!C$37</f>
        <v>114.58611111111111</v>
      </c>
      <c r="AE189" s="104">
        <f>IF(Table1[[#This Row],[Work Center]]="SwissQ",Materials!G$37,IF(Table1[[#This Row],[Work Center]]="Inca",Materials!G$29,IF(Table1[[#This Row],[Work Center]]="Canon",Materials!G$49,Materials!G$45)))</f>
        <v>20</v>
      </c>
      <c r="AF189" s="104">
        <f>'Cali FPS'!C$160</f>
        <v>253.32999999999998</v>
      </c>
      <c r="AG189" s="115"/>
      <c r="AH189" s="498">
        <f t="shared" si="65"/>
        <v>65</v>
      </c>
      <c r="AI189" s="498"/>
      <c r="AJ189" s="107">
        <f t="shared" si="66"/>
        <v>479.92569444444439</v>
      </c>
      <c r="AK189" s="650">
        <f t="shared" si="67"/>
        <v>0.63082638888888898</v>
      </c>
      <c r="AL189" s="225">
        <f>Table1[[#This Row],[WSP/Dealer]]/Table1[[#This Row],[OD Sq Inch]]</f>
        <v>0.30092592592592593</v>
      </c>
      <c r="AM189" s="218">
        <f>Table1[[#This Row],[OD Wdth]]*Table1[[#This Row],[OD Hgt]]</f>
        <v>4320</v>
      </c>
      <c r="AN189" s="216">
        <f>Table1[[#This Row],[Min VO]]+Table1[[#This Row],[Max VO]]</f>
        <v>132</v>
      </c>
      <c r="AO189" s="101"/>
      <c r="AP189" s="101"/>
      <c r="AQ189" s="104"/>
      <c r="AR189" s="104"/>
      <c r="AS189" s="104"/>
      <c r="AT189" s="104"/>
      <c r="AU189" s="830" t="str">
        <f t="shared" si="47"/>
        <v>-</v>
      </c>
    </row>
    <row r="190" spans="1:53" hidden="1" x14ac:dyDescent="0.2">
      <c r="A190" s="373" t="s">
        <v>187</v>
      </c>
      <c r="B190" s="1061" t="s">
        <v>261</v>
      </c>
      <c r="C190" s="257" t="s">
        <v>624</v>
      </c>
      <c r="D190" s="78"/>
      <c r="E190" s="84" t="s">
        <v>625</v>
      </c>
      <c r="F190" s="84" t="s">
        <v>614</v>
      </c>
      <c r="G190" s="68" t="s">
        <v>191</v>
      </c>
      <c r="H190" s="68" t="s">
        <v>607</v>
      </c>
      <c r="I190" s="68" t="s">
        <v>52</v>
      </c>
      <c r="J190" s="68" t="s">
        <v>53</v>
      </c>
      <c r="K190" s="68" t="s">
        <v>69</v>
      </c>
      <c r="L190" s="68" t="s">
        <v>70</v>
      </c>
      <c r="M190" s="93">
        <v>2950</v>
      </c>
      <c r="N190" s="71"/>
      <c r="O190" s="68" t="s">
        <v>64</v>
      </c>
      <c r="P190" s="623">
        <v>48</v>
      </c>
      <c r="Q190" s="623">
        <v>60</v>
      </c>
      <c r="R190" s="623">
        <v>48</v>
      </c>
      <c r="S190" s="623">
        <v>60</v>
      </c>
      <c r="T190" s="623">
        <f>Table1[[#This Row],[VO Wdth]]</f>
        <v>48</v>
      </c>
      <c r="U190" s="623">
        <f>Table1[[#This Row],[VO Hgt]]</f>
        <v>60</v>
      </c>
      <c r="V190" s="917">
        <f t="shared" si="71"/>
        <v>59</v>
      </c>
      <c r="W190" s="917">
        <f t="shared" si="72"/>
        <v>71</v>
      </c>
      <c r="X190" s="189">
        <v>59</v>
      </c>
      <c r="Y190" s="68"/>
      <c r="Z190" s="68"/>
      <c r="AA190" s="699">
        <f t="shared" si="64"/>
        <v>29.090277777777779</v>
      </c>
      <c r="AB190" s="297">
        <f>Table1[[#This Row],[Substrate SF]]*Swiss1</f>
        <v>823.25486111111115</v>
      </c>
      <c r="AC190" s="74">
        <f>AA190*Canvas</f>
        <v>19.199583333333333</v>
      </c>
      <c r="AD190" s="74">
        <f>Table1[[#This Row],[Substrate SF]]*Materials!C$37</f>
        <v>81.452777777777769</v>
      </c>
      <c r="AE190" s="104">
        <f>IF(Table1[[#This Row],[Work Center]]="SwissQ",Materials!G$37,IF(Table1[[#This Row],[Work Center]]="Inca",Materials!G$29,IF(Table1[[#This Row],[Work Center]]="Canon",Materials!G$49,Materials!G$45)))</f>
        <v>20</v>
      </c>
      <c r="AF190" s="73">
        <f>'Cali Frames'!D350</f>
        <v>324.01249999999999</v>
      </c>
      <c r="AG190" s="74"/>
      <c r="AH190" s="112">
        <f t="shared" si="65"/>
        <v>147.5</v>
      </c>
      <c r="AI190" s="112"/>
      <c r="AJ190" s="74">
        <f t="shared" si="66"/>
        <v>592.16486111111112</v>
      </c>
      <c r="AK190" s="62">
        <f t="shared" si="67"/>
        <v>0.79926614877589441</v>
      </c>
      <c r="AL190" s="225">
        <f>Table1[[#This Row],[WSP/Dealer]]/Table1[[#This Row],[OD Sq Inch]]</f>
        <v>1.0243055555555556</v>
      </c>
      <c r="AM190" s="101">
        <f>Table1[[#This Row],[OD Wdth]]*Table1[[#This Row],[OD Hgt]]</f>
        <v>2880</v>
      </c>
      <c r="AN190" s="216">
        <f>Table1[[#This Row],[Min VO]]+Table1[[#This Row],[Max VO]]</f>
        <v>108</v>
      </c>
      <c r="AO190" s="68"/>
      <c r="AP190" s="68"/>
      <c r="AQ190" s="74"/>
      <c r="AR190" s="74"/>
      <c r="AS190" s="74"/>
      <c r="AT190" s="74"/>
      <c r="AU190" s="1001" t="str">
        <f t="shared" si="47"/>
        <v>-</v>
      </c>
      <c r="AV190" s="229"/>
      <c r="AW190" s="229"/>
      <c r="AX190" s="229"/>
      <c r="AY190" s="229"/>
      <c r="AZ190" s="229"/>
      <c r="BA190" s="229"/>
    </row>
    <row r="191" spans="1:53" s="235" customFormat="1" hidden="1" x14ac:dyDescent="0.2">
      <c r="A191" s="373" t="s">
        <v>187</v>
      </c>
      <c r="B191" s="1061" t="s">
        <v>261</v>
      </c>
      <c r="C191" s="257" t="s">
        <v>626</v>
      </c>
      <c r="D191" s="78"/>
      <c r="E191" s="84" t="s">
        <v>625</v>
      </c>
      <c r="F191" s="84" t="s">
        <v>614</v>
      </c>
      <c r="G191" s="68" t="s">
        <v>191</v>
      </c>
      <c r="H191" s="68" t="s">
        <v>191</v>
      </c>
      <c r="I191" s="68" t="s">
        <v>52</v>
      </c>
      <c r="J191" s="68" t="s">
        <v>53</v>
      </c>
      <c r="K191" s="68" t="s">
        <v>54</v>
      </c>
      <c r="L191" s="68" t="s">
        <v>55</v>
      </c>
      <c r="M191" s="93">
        <v>2550</v>
      </c>
      <c r="N191" s="71">
        <v>1300</v>
      </c>
      <c r="O191" s="68" t="s">
        <v>64</v>
      </c>
      <c r="P191" s="623">
        <v>48</v>
      </c>
      <c r="Q191" s="623">
        <v>60</v>
      </c>
      <c r="R191" s="623">
        <v>48</v>
      </c>
      <c r="S191" s="623">
        <v>60</v>
      </c>
      <c r="T191" s="623">
        <f>Table1[[#This Row],[VO Wdth]]</f>
        <v>48</v>
      </c>
      <c r="U191" s="623">
        <f>Table1[[#This Row],[VO Hgt]]</f>
        <v>60</v>
      </c>
      <c r="V191" s="917">
        <f t="shared" si="71"/>
        <v>59</v>
      </c>
      <c r="W191" s="917">
        <f t="shared" si="72"/>
        <v>71</v>
      </c>
      <c r="X191" s="189">
        <v>59</v>
      </c>
      <c r="Y191" s="101"/>
      <c r="Z191" s="101"/>
      <c r="AA191" s="952">
        <f t="shared" si="64"/>
        <v>29.090277777777779</v>
      </c>
      <c r="AB191" s="690">
        <f>Table1[[#This Row],[Substrate SF]]*Swiss1</f>
        <v>823.25486111111115</v>
      </c>
      <c r="AC191" s="74">
        <f>AA191*Canvas</f>
        <v>19.199583333333333</v>
      </c>
      <c r="AD191" s="74">
        <f>Table1[[#This Row],[Substrate SF]]*Materials!C$37</f>
        <v>81.452777777777769</v>
      </c>
      <c r="AE191" s="104">
        <f>IF(Table1[[#This Row],[Work Center]]="SwissQ",Materials!G$37,IF(Table1[[#This Row],[Work Center]]="Inca",Materials!G$29,IF(Table1[[#This Row],[Work Center]]="Canon",Materials!G$49,Materials!G$45)))</f>
        <v>20</v>
      </c>
      <c r="AF191" s="102">
        <f>'Cali FPS'!C121</f>
        <v>188.18</v>
      </c>
      <c r="AG191" s="115"/>
      <c r="AH191" s="498">
        <f t="shared" si="65"/>
        <v>127.5</v>
      </c>
      <c r="AI191" s="498"/>
      <c r="AJ191" s="74">
        <f t="shared" si="66"/>
        <v>436.33236111111114</v>
      </c>
      <c r="AK191" s="650">
        <f t="shared" si="67"/>
        <v>0.82888927015250558</v>
      </c>
      <c r="AL191" s="225">
        <f>Table1[[#This Row],[WSP/Dealer]]/Table1[[#This Row],[OD Sq Inch]]</f>
        <v>0.88541666666666663</v>
      </c>
      <c r="AM191" s="101">
        <f>Table1[[#This Row],[OD Wdth]]*Table1[[#This Row],[OD Hgt]]</f>
        <v>2880</v>
      </c>
      <c r="AN191" s="216">
        <f>Table1[[#This Row],[Min VO]]+Table1[[#This Row],[Max VO]]</f>
        <v>108</v>
      </c>
      <c r="AO191" s="115"/>
      <c r="AP191" s="115"/>
      <c r="AQ191" s="121"/>
      <c r="AR191" s="121"/>
      <c r="AS191" s="121"/>
      <c r="AT191" s="104"/>
      <c r="AU191" s="1359" t="str">
        <f t="shared" si="47"/>
        <v>-</v>
      </c>
    </row>
    <row r="192" spans="1:53" s="218" customFormat="1" hidden="1" x14ac:dyDescent="0.2">
      <c r="A192" s="373" t="s">
        <v>187</v>
      </c>
      <c r="B192" s="1061" t="s">
        <v>261</v>
      </c>
      <c r="C192" s="257" t="s">
        <v>627</v>
      </c>
      <c r="D192" s="78"/>
      <c r="E192" s="84" t="s">
        <v>625</v>
      </c>
      <c r="F192" s="84" t="s">
        <v>614</v>
      </c>
      <c r="G192" s="68" t="s">
        <v>191</v>
      </c>
      <c r="H192" s="68" t="s">
        <v>607</v>
      </c>
      <c r="I192" s="68" t="s">
        <v>52</v>
      </c>
      <c r="J192" s="68" t="s">
        <v>53</v>
      </c>
      <c r="K192" s="68" t="s">
        <v>69</v>
      </c>
      <c r="L192" s="68" t="s">
        <v>73</v>
      </c>
      <c r="M192" s="93">
        <v>2950</v>
      </c>
      <c r="N192" s="71"/>
      <c r="O192" s="68" t="s">
        <v>64</v>
      </c>
      <c r="P192" s="623">
        <v>48</v>
      </c>
      <c r="Q192" s="623">
        <v>60</v>
      </c>
      <c r="R192" s="623">
        <v>48</v>
      </c>
      <c r="S192" s="623">
        <v>60</v>
      </c>
      <c r="T192" s="623">
        <f>Table1[[#This Row],[VO Wdth]]</f>
        <v>48</v>
      </c>
      <c r="U192" s="623">
        <f>Table1[[#This Row],[VO Hgt]]</f>
        <v>60</v>
      </c>
      <c r="V192" s="917">
        <f t="shared" si="71"/>
        <v>59</v>
      </c>
      <c r="W192" s="917">
        <f t="shared" si="72"/>
        <v>71</v>
      </c>
      <c r="X192" s="189">
        <v>59</v>
      </c>
      <c r="Y192" s="68"/>
      <c r="Z192" s="68"/>
      <c r="AA192" s="699">
        <f t="shared" si="64"/>
        <v>29.090277777777779</v>
      </c>
      <c r="AB192" s="297">
        <f>Table1[[#This Row],[Substrate SF]]*Swiss1</f>
        <v>823.25486111111115</v>
      </c>
      <c r="AC192" s="74">
        <f>AA192*Canvas</f>
        <v>19.199583333333333</v>
      </c>
      <c r="AD192" s="74">
        <f>Table1[[#This Row],[Substrate SF]]*Materials!C$37</f>
        <v>81.452777777777769</v>
      </c>
      <c r="AE192" s="104">
        <f>IF(Table1[[#This Row],[Work Center]]="SwissQ",Materials!G$37,IF(Table1[[#This Row],[Work Center]]="Inca",Materials!G$29,IF(Table1[[#This Row],[Work Center]]="Canon",Materials!G$49,Materials!G$45)))</f>
        <v>20</v>
      </c>
      <c r="AF192" s="73">
        <f>'Cali Frames'!D482</f>
        <v>309.66249999999997</v>
      </c>
      <c r="AG192" s="74"/>
      <c r="AH192" s="498">
        <f t="shared" si="65"/>
        <v>147.5</v>
      </c>
      <c r="AI192" s="498"/>
      <c r="AJ192" s="74">
        <f t="shared" si="66"/>
        <v>577.8148611111111</v>
      </c>
      <c r="AK192" s="650">
        <f t="shared" si="67"/>
        <v>0.80413055555555557</v>
      </c>
      <c r="AL192" s="225">
        <f>Table1[[#This Row],[WSP/Dealer]]/Table1[[#This Row],[OD Sq Inch]]</f>
        <v>1.0243055555555556</v>
      </c>
      <c r="AM192" s="216">
        <f>Table1[[#This Row],[OD Wdth]]*Table1[[#This Row],[OD Hgt]]</f>
        <v>2880</v>
      </c>
      <c r="AN192" s="216">
        <f>Table1[[#This Row],[Min VO]]+Table1[[#This Row],[Max VO]]</f>
        <v>108</v>
      </c>
      <c r="AO192" s="68"/>
      <c r="AP192" s="68"/>
      <c r="AQ192" s="74"/>
      <c r="AR192" s="74"/>
      <c r="AS192" s="74"/>
      <c r="AT192" s="74"/>
      <c r="AU192" s="1001" t="str">
        <f t="shared" si="47"/>
        <v>-</v>
      </c>
    </row>
    <row r="193" spans="1:53" s="218" customFormat="1" hidden="1" x14ac:dyDescent="0.2">
      <c r="A193" s="373" t="s">
        <v>187</v>
      </c>
      <c r="B193" s="279" t="s">
        <v>261</v>
      </c>
      <c r="C193" s="257" t="s">
        <v>628</v>
      </c>
      <c r="D193" s="78"/>
      <c r="E193" s="84" t="s">
        <v>629</v>
      </c>
      <c r="F193" s="84" t="s">
        <v>614</v>
      </c>
      <c r="G193" s="68" t="s">
        <v>191</v>
      </c>
      <c r="H193" s="68" t="s">
        <v>191</v>
      </c>
      <c r="I193" s="68" t="s">
        <v>108</v>
      </c>
      <c r="J193" s="68" t="s">
        <v>197</v>
      </c>
      <c r="K193" s="238" t="s">
        <v>198</v>
      </c>
      <c r="L193" s="238" t="s">
        <v>199</v>
      </c>
      <c r="M193" s="550">
        <v>120</v>
      </c>
      <c r="N193" s="71"/>
      <c r="O193" s="68" t="s">
        <v>64</v>
      </c>
      <c r="P193" s="623">
        <v>48</v>
      </c>
      <c r="Q193" s="623">
        <v>60</v>
      </c>
      <c r="R193" s="623">
        <v>48</v>
      </c>
      <c r="S193" s="623">
        <v>60</v>
      </c>
      <c r="T193" s="623">
        <f>Table1[[#This Row],[VO Wdth]]</f>
        <v>48</v>
      </c>
      <c r="U193" s="623">
        <f>Table1[[#This Row],[VO Hgt]]</f>
        <v>60</v>
      </c>
      <c r="V193" s="66">
        <f t="shared" si="71"/>
        <v>48</v>
      </c>
      <c r="W193" s="66">
        <f t="shared" si="72"/>
        <v>60</v>
      </c>
      <c r="X193" s="343" t="s">
        <v>197</v>
      </c>
      <c r="Y193" s="68"/>
      <c r="Z193" s="68"/>
      <c r="AA193" s="699">
        <f t="shared" si="64"/>
        <v>20</v>
      </c>
      <c r="AB193" s="341">
        <f>AA193*SWISSRML</f>
        <v>40</v>
      </c>
      <c r="AC193" s="74">
        <f>Table1[[#This Row],[Substrate SF]]*POster</f>
        <v>14.879999999999999</v>
      </c>
      <c r="AD193" s="263">
        <f>Table1[[#This Row],[Substrate SF]]*SWISSRC</f>
        <v>4.4000000000000004</v>
      </c>
      <c r="AE19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93" s="73">
        <v>0</v>
      </c>
      <c r="AG193" s="126">
        <f>Materials!D$76</f>
        <v>10.82</v>
      </c>
      <c r="AH193" s="498">
        <f t="shared" si="65"/>
        <v>6</v>
      </c>
      <c r="AI193" s="498"/>
      <c r="AJ193" s="74">
        <f t="shared" si="66"/>
        <v>46.1</v>
      </c>
      <c r="AK193" s="650">
        <f t="shared" si="67"/>
        <v>0.61583333333333334</v>
      </c>
      <c r="AL193" s="225">
        <f>Table1[[#This Row],[WSP/Dealer]]/Table1[[#This Row],[OD Sq Inch]]</f>
        <v>4.1666666666666664E-2</v>
      </c>
      <c r="AM193" s="46">
        <f>Table1[[#This Row],[OD Wdth]]*Table1[[#This Row],[OD Hgt]]</f>
        <v>2880</v>
      </c>
      <c r="AN193" s="216">
        <f>Table1[[#This Row],[Min VO]]+Table1[[#This Row],[Max VO]]</f>
        <v>108</v>
      </c>
      <c r="AO193" s="68"/>
      <c r="AP193" s="68"/>
      <c r="AQ193" s="74"/>
      <c r="AR193" s="74"/>
      <c r="AS193" s="74"/>
      <c r="AT193" s="74"/>
      <c r="AU193" s="1001" t="str">
        <f t="shared" si="47"/>
        <v>-</v>
      </c>
    </row>
    <row r="194" spans="1:53" s="170" customFormat="1" x14ac:dyDescent="0.2">
      <c r="A194" s="86" t="s">
        <v>58</v>
      </c>
      <c r="B194" s="279" t="s">
        <v>619</v>
      </c>
      <c r="C194" s="75" t="s">
        <v>626</v>
      </c>
      <c r="D194" s="76" t="s">
        <v>630</v>
      </c>
      <c r="E194" s="85" t="s">
        <v>631</v>
      </c>
      <c r="F194" s="85" t="s">
        <v>614</v>
      </c>
      <c r="G194" s="86" t="s">
        <v>623</v>
      </c>
      <c r="H194" s="86" t="s">
        <v>623</v>
      </c>
      <c r="I194" s="86" t="s">
        <v>52</v>
      </c>
      <c r="J194" s="86" t="s">
        <v>53</v>
      </c>
      <c r="K194" s="86" t="s">
        <v>54</v>
      </c>
      <c r="L194" s="86" t="s">
        <v>55</v>
      </c>
      <c r="M194" s="87">
        <v>1300</v>
      </c>
      <c r="N194" s="639">
        <v>1300</v>
      </c>
      <c r="O194" s="101" t="s">
        <v>64</v>
      </c>
      <c r="P194" s="273">
        <v>60</v>
      </c>
      <c r="Q194" s="273">
        <v>72</v>
      </c>
      <c r="R194" s="60">
        <v>60</v>
      </c>
      <c r="S194" s="273">
        <v>72</v>
      </c>
      <c r="T194" s="273">
        <f>Table1[[#This Row],[VO Wdth]]</f>
        <v>60</v>
      </c>
      <c r="U194" s="273">
        <f>Table1[[#This Row],[VO Hgt]]</f>
        <v>72</v>
      </c>
      <c r="V194" s="608">
        <f t="shared" si="71"/>
        <v>71</v>
      </c>
      <c r="W194" s="608">
        <f t="shared" si="72"/>
        <v>83</v>
      </c>
      <c r="X194" s="137">
        <v>82</v>
      </c>
      <c r="Y194" s="101"/>
      <c r="Z194" s="101"/>
      <c r="AA194" s="649">
        <f t="shared" si="64"/>
        <v>40.923611111111114</v>
      </c>
      <c r="AB194" s="184">
        <f>Table1[[#This Row],[Substrate SF]]*Swiss1</f>
        <v>1158.1381944444445</v>
      </c>
      <c r="AC194" s="104">
        <f t="shared" ref="AC194:AC206" si="73">AA194*Canvas</f>
        <v>27.009583333333335</v>
      </c>
      <c r="AD194" s="107">
        <f>Table1[[#This Row],[Substrate SF]]*Materials!C$37</f>
        <v>114.58611111111111</v>
      </c>
      <c r="AE194" s="104">
        <f>IF(Table1[[#This Row],[Work Center]]="SwissQ",Materials!G$37,IF(Table1[[#This Row],[Work Center]]="Inca",Materials!G$29,IF(Table1[[#This Row],[Work Center]]="Canon",Materials!G$49,Materials!G$45)))</f>
        <v>20</v>
      </c>
      <c r="AF194" s="104">
        <f>'Cali FPS'!C$160</f>
        <v>253.32999999999998</v>
      </c>
      <c r="AG194" s="115"/>
      <c r="AH194" s="498">
        <f t="shared" si="65"/>
        <v>65</v>
      </c>
      <c r="AI194" s="112"/>
      <c r="AJ194" s="104">
        <f t="shared" si="66"/>
        <v>479.92569444444439</v>
      </c>
      <c r="AK194" s="650">
        <f t="shared" si="67"/>
        <v>0.63082638888888898</v>
      </c>
      <c r="AL194" s="225">
        <f>Table1[[#This Row],[WSP/Dealer]]/Table1[[#This Row],[OD Sq Inch]]</f>
        <v>0.30092592592592593</v>
      </c>
      <c r="AM194" s="60">
        <f>Table1[[#This Row],[OD Wdth]]*Table1[[#This Row],[OD Hgt]]</f>
        <v>4320</v>
      </c>
      <c r="AN194" s="216">
        <f>Table1[[#This Row],[Min VO]]+Table1[[#This Row],[Max VO]]</f>
        <v>132</v>
      </c>
      <c r="AO194" s="101"/>
      <c r="AP194" s="101"/>
      <c r="AQ194" s="104"/>
      <c r="AR194" s="104"/>
      <c r="AS194" s="104"/>
      <c r="AT194" s="104"/>
      <c r="AU194" s="830" t="str">
        <f t="shared" ref="AU194:AU257" si="74">IF(AQ194=0,"-",(AQ194-AT194)/AQ194)</f>
        <v>-</v>
      </c>
    </row>
    <row r="195" spans="1:53" s="399" customFormat="1" hidden="1" x14ac:dyDescent="0.2">
      <c r="A195" s="101" t="s">
        <v>110</v>
      </c>
      <c r="B195" s="1064" t="s">
        <v>111</v>
      </c>
      <c r="C195" s="100" t="s">
        <v>632</v>
      </c>
      <c r="D195" s="100"/>
      <c r="E195" s="115" t="s">
        <v>633</v>
      </c>
      <c r="F195" s="115" t="s">
        <v>634</v>
      </c>
      <c r="G195" s="101" t="s">
        <v>370</v>
      </c>
      <c r="H195" s="101" t="s">
        <v>370</v>
      </c>
      <c r="I195" s="101" t="s">
        <v>52</v>
      </c>
      <c r="J195" s="487" t="s">
        <v>53</v>
      </c>
      <c r="K195" s="101" t="s">
        <v>54</v>
      </c>
      <c r="L195" s="101" t="s">
        <v>55</v>
      </c>
      <c r="M195" s="114">
        <v>495</v>
      </c>
      <c r="N195" s="114"/>
      <c r="O195" s="101" t="s">
        <v>56</v>
      </c>
      <c r="P195" s="101">
        <v>40</v>
      </c>
      <c r="Q195" s="101">
        <v>30</v>
      </c>
      <c r="R195" s="101">
        <v>30</v>
      </c>
      <c r="S195" s="697">
        <v>40</v>
      </c>
      <c r="T195" s="101">
        <v>40</v>
      </c>
      <c r="U195" s="101">
        <v>30</v>
      </c>
      <c r="V195" s="404">
        <f t="shared" si="71"/>
        <v>51</v>
      </c>
      <c r="W195" s="404">
        <f t="shared" si="72"/>
        <v>41</v>
      </c>
      <c r="X195" s="101">
        <v>53</v>
      </c>
      <c r="Y195" s="101">
        <v>51</v>
      </c>
      <c r="Z195" s="101">
        <v>41</v>
      </c>
      <c r="AA195" s="649">
        <f t="shared" si="64"/>
        <v>14.520833333333334</v>
      </c>
      <c r="AB195" s="184">
        <f>AA195*IncaG</f>
        <v>305.51833333333332</v>
      </c>
      <c r="AC195" s="104">
        <f t="shared" si="73"/>
        <v>9.5837500000000002</v>
      </c>
      <c r="AD195" s="107">
        <f>AA195*IncaC</f>
        <v>24.441466666666667</v>
      </c>
      <c r="AE195" s="104">
        <f>IF(Table1[[#This Row],[Work Center]]="SwissQ",Materials!G$37,IF(Table1[[#This Row],[Work Center]]="Inca",Materials!G$29,IF(Table1[[#This Row],[Work Center]]="Canon",Materials!G$49,Materials!G$45)))</f>
        <v>8</v>
      </c>
      <c r="AF195" s="102">
        <f>'Cali FPS'!C48</f>
        <v>76.3</v>
      </c>
      <c r="AG195" s="121"/>
      <c r="AH195" s="104">
        <f t="shared" si="65"/>
        <v>24.75</v>
      </c>
      <c r="AI195" s="406">
        <f>IF(A195="Codarus",(M195*0.13))</f>
        <v>64.350000000000009</v>
      </c>
      <c r="AJ195" s="406">
        <f t="shared" si="66"/>
        <v>143.07521666666668</v>
      </c>
      <c r="AK195" s="830">
        <f t="shared" si="67"/>
        <v>0.71095915824915823</v>
      </c>
      <c r="AL195" s="660">
        <f>Table1[[#This Row],[WSP/Dealer]]/Table1[[#This Row],[OD Sq Inch]]</f>
        <v>0.41249999999999998</v>
      </c>
      <c r="AM195" s="399">
        <f>Table1[[#This Row],[OD Wdth]]*Table1[[#This Row],[OD Hgt]]</f>
        <v>1200</v>
      </c>
      <c r="AN195" s="400">
        <f>Table1[[#This Row],[Min VO]]+Table1[[#This Row],[Max VO]]</f>
        <v>70</v>
      </c>
      <c r="AO195" s="115"/>
      <c r="AP195" s="121">
        <v>990</v>
      </c>
      <c r="AQ195" s="121">
        <f>(Table1[[#This Row],[Desgnr/Retail P]]*0.05)</f>
        <v>49.5</v>
      </c>
      <c r="AR195" s="121">
        <f>IF(A195="Codarus",(AP195*0.13))</f>
        <v>128.70000000000002</v>
      </c>
      <c r="AS195" s="121">
        <f>SUM(Table1[[#This Row],[Substrate $]:[GP FINISH]])+Table1[[#This Row],[Retail Royalty]]+Table1[[#This Row],[Retail$Comm]]</f>
        <v>296.52521666666667</v>
      </c>
      <c r="AT195" s="830">
        <f>IF(AP195=0,"-",(AP195-AS195)/AP195)</f>
        <v>0.70047957912457914</v>
      </c>
      <c r="AU195" s="1359">
        <f t="shared" si="74"/>
        <v>0.98584889739142256</v>
      </c>
    </row>
    <row r="196" spans="1:53" hidden="1" x14ac:dyDescent="0.2">
      <c r="A196" s="101" t="s">
        <v>110</v>
      </c>
      <c r="B196" s="1067" t="s">
        <v>134</v>
      </c>
      <c r="C196" s="100" t="s">
        <v>635</v>
      </c>
      <c r="D196" s="100"/>
      <c r="E196" s="115" t="s">
        <v>636</v>
      </c>
      <c r="F196" s="115" t="s">
        <v>634</v>
      </c>
      <c r="G196" s="101" t="s">
        <v>637</v>
      </c>
      <c r="H196" s="101" t="s">
        <v>637</v>
      </c>
      <c r="I196" s="101" t="s">
        <v>52</v>
      </c>
      <c r="J196" s="487" t="s">
        <v>53</v>
      </c>
      <c r="K196" s="101" t="s">
        <v>54</v>
      </c>
      <c r="L196" s="101" t="s">
        <v>55</v>
      </c>
      <c r="M196" s="299">
        <v>900</v>
      </c>
      <c r="N196" s="114"/>
      <c r="O196" s="101" t="s">
        <v>56</v>
      </c>
      <c r="P196" s="101">
        <v>60</v>
      </c>
      <c r="Q196" s="101">
        <v>48</v>
      </c>
      <c r="R196" s="101">
        <v>48</v>
      </c>
      <c r="S196" s="697">
        <v>60</v>
      </c>
      <c r="T196" s="101">
        <v>60</v>
      </c>
      <c r="U196" s="101">
        <v>48</v>
      </c>
      <c r="V196" s="608">
        <f>IF(J196="Canvas",P196+Border,P196)</f>
        <v>68</v>
      </c>
      <c r="W196" s="608">
        <f>IF(J196="Canvas",Q196+Border,Q196)</f>
        <v>56</v>
      </c>
      <c r="X196" s="137">
        <v>59</v>
      </c>
      <c r="Y196" s="101">
        <v>71</v>
      </c>
      <c r="Z196" s="101">
        <v>59</v>
      </c>
      <c r="AA196" s="649">
        <f t="shared" si="64"/>
        <v>26.444444444444443</v>
      </c>
      <c r="AB196" s="184">
        <f>AA196*IncaG</f>
        <v>556.39111111111106</v>
      </c>
      <c r="AC196" s="104">
        <f t="shared" si="73"/>
        <v>17.453333333333333</v>
      </c>
      <c r="AD196" s="107">
        <f>AA196*IncaC</f>
        <v>44.511288888888885</v>
      </c>
      <c r="AE196" s="104">
        <f>IF(Table1[[#This Row],[Work Center]]="SwissQ",Materials!G$37,IF(Table1[[#This Row],[Work Center]]="Inca",Materials!G$29,IF(Table1[[#This Row],[Work Center]]="Canon",Materials!G$49,Materials!G$45)))</f>
        <v>8</v>
      </c>
      <c r="AF196" s="102">
        <f>'Cali FPS'!C121</f>
        <v>188.18</v>
      </c>
      <c r="AG196" s="121"/>
      <c r="AH196" s="104">
        <f t="shared" si="65"/>
        <v>45</v>
      </c>
      <c r="AI196" s="405">
        <f>IF(A196="Codarus",(M196*0.13))</f>
        <v>117</v>
      </c>
      <c r="AJ196" s="104">
        <f>SUM(AC196:AI196)</f>
        <v>420.14462222222221</v>
      </c>
      <c r="AK196" s="830">
        <f t="shared" si="67"/>
        <v>0.53317264197530867</v>
      </c>
      <c r="AL196" s="660">
        <f>Table1[[#This Row],[WSP/Dealer]]/Table1[[#This Row],[OD Sq Inch]]</f>
        <v>0.3125</v>
      </c>
      <c r="AM196" s="399">
        <f>Table1[[#This Row],[OD Wdth]]*Table1[[#This Row],[OD Hgt]]</f>
        <v>2880</v>
      </c>
      <c r="AN196" s="400">
        <f>Table1[[#This Row],[Min VO]]+Table1[[#This Row],[Max VO]]</f>
        <v>108</v>
      </c>
      <c r="AO196" s="115"/>
      <c r="AP196" s="1307">
        <f>(M196*2)</f>
        <v>1800</v>
      </c>
      <c r="AQ196" s="121">
        <f>(Table1[[#This Row],[Desgnr/Retail P]]*0.05)</f>
        <v>90</v>
      </c>
      <c r="AR196" s="121">
        <f>IF(A196="Codarus",(AP196*0.13))</f>
        <v>234</v>
      </c>
      <c r="AS196" s="121">
        <f>SUM(Table1[[#This Row],[Substrate $]:[GP FINISH]])+Table1[[#This Row],[Retail Royalty]]+Table1[[#This Row],[Retail$Comm]]</f>
        <v>582.14462222222221</v>
      </c>
      <c r="AT196" s="830">
        <f>IF(AP196=0,"-",(AP196-AS196)/AP196)</f>
        <v>0.67658632098765437</v>
      </c>
      <c r="AU196" s="1359">
        <f t="shared" si="74"/>
        <v>0.9924823742112483</v>
      </c>
      <c r="AV196" s="229"/>
      <c r="AW196" s="229"/>
      <c r="AX196" s="229"/>
      <c r="AY196" s="229"/>
      <c r="AZ196" s="229"/>
      <c r="BA196" s="229"/>
    </row>
    <row r="197" spans="1:53" s="423" customFormat="1" x14ac:dyDescent="0.2">
      <c r="A197" s="86" t="s">
        <v>58</v>
      </c>
      <c r="B197" s="279" t="s">
        <v>88</v>
      </c>
      <c r="C197" s="76" t="s">
        <v>638</v>
      </c>
      <c r="D197" s="76" t="s">
        <v>639</v>
      </c>
      <c r="E197" s="85" t="s">
        <v>636</v>
      </c>
      <c r="F197" s="85" t="s">
        <v>634</v>
      </c>
      <c r="G197" s="86" t="s">
        <v>637</v>
      </c>
      <c r="H197" s="86" t="s">
        <v>640</v>
      </c>
      <c r="I197" s="86" t="s">
        <v>52</v>
      </c>
      <c r="J197" s="86" t="s">
        <v>53</v>
      </c>
      <c r="K197" s="86" t="s">
        <v>82</v>
      </c>
      <c r="L197" s="86" t="s">
        <v>83</v>
      </c>
      <c r="M197" s="87">
        <v>1072.5</v>
      </c>
      <c r="N197" s="639">
        <v>1250</v>
      </c>
      <c r="O197" s="551" t="s">
        <v>56</v>
      </c>
      <c r="P197" s="101">
        <v>60</v>
      </c>
      <c r="Q197" s="101">
        <v>48</v>
      </c>
      <c r="R197" s="60">
        <v>48</v>
      </c>
      <c r="S197" s="273">
        <v>60</v>
      </c>
      <c r="T197" s="101">
        <v>62</v>
      </c>
      <c r="U197" s="101" t="str">
        <f>RIGHT(H197,2)</f>
        <v>50</v>
      </c>
      <c r="V197" s="106">
        <f>IF(J197="Canvas",P197+Border,P197)</f>
        <v>68</v>
      </c>
      <c r="W197" s="106">
        <f>IF(J197="Canvas",Q197+Border,Q197)</f>
        <v>56</v>
      </c>
      <c r="X197" s="311">
        <v>122</v>
      </c>
      <c r="Y197" s="551"/>
      <c r="Z197" s="551"/>
      <c r="AA197" s="649">
        <f t="shared" si="64"/>
        <v>26.444444444444443</v>
      </c>
      <c r="AB197" s="184">
        <f>AA197*IncaG</f>
        <v>556.39111111111106</v>
      </c>
      <c r="AC197" s="104">
        <f t="shared" si="73"/>
        <v>17.453333333333333</v>
      </c>
      <c r="AD197" s="107">
        <f>AA197*IncaC</f>
        <v>44.511288888888885</v>
      </c>
      <c r="AE197" s="104">
        <f>IF(Table1[[#This Row],[Work Center]]="SwissQ",Materials!G$37,IF(Table1[[#This Row],[Work Center]]="Inca",Materials!G$29,IF(Table1[[#This Row],[Work Center]]="Canon",Materials!G$49,Materials!G$45)))</f>
        <v>8</v>
      </c>
      <c r="AF197" s="102">
        <f>'Cali Frames'!D155</f>
        <v>265.04000000000002</v>
      </c>
      <c r="AG197" s="104"/>
      <c r="AH197" s="112">
        <f t="shared" si="65"/>
        <v>53.625</v>
      </c>
      <c r="AI197" s="112"/>
      <c r="AJ197" s="107">
        <f t="shared" ref="AJ197:AJ213" si="75">SUM(AC197:AH197)</f>
        <v>388.62962222222222</v>
      </c>
      <c r="AK197" s="62">
        <f t="shared" si="67"/>
        <v>0.63764137788137787</v>
      </c>
      <c r="AL197" s="225">
        <f>Table1[[#This Row],[WSP/Dealer]]/Table1[[#This Row],[OD Sq Inch]]</f>
        <v>0.34596774193548385</v>
      </c>
      <c r="AM197" s="103">
        <f>Table1[[#This Row],[OD Wdth]]*Table1[[#This Row],[OD Hgt]]</f>
        <v>3100</v>
      </c>
      <c r="AN197" s="216">
        <f>Table1[[#This Row],[Min VO]]+Table1[[#This Row],[Max VO]]</f>
        <v>108</v>
      </c>
      <c r="AO197" s="103"/>
      <c r="AP197" s="101"/>
      <c r="AQ197" s="104"/>
      <c r="AR197" s="104"/>
      <c r="AS197" s="104"/>
      <c r="AT197" s="104"/>
      <c r="AU197" s="108" t="str">
        <f t="shared" si="74"/>
        <v>-</v>
      </c>
    </row>
    <row r="198" spans="1:53" s="103" customFormat="1" hidden="1" x14ac:dyDescent="0.2">
      <c r="A198" s="101" t="s">
        <v>110</v>
      </c>
      <c r="B198" s="1322" t="s">
        <v>250</v>
      </c>
      <c r="C198" s="100" t="s">
        <v>641</v>
      </c>
      <c r="D198" s="100"/>
      <c r="E198" s="115" t="s">
        <v>642</v>
      </c>
      <c r="F198" s="115" t="s">
        <v>634</v>
      </c>
      <c r="G198" s="101" t="s">
        <v>643</v>
      </c>
      <c r="H198" s="101" t="s">
        <v>643</v>
      </c>
      <c r="I198" s="101" t="s">
        <v>108</v>
      </c>
      <c r="J198" s="487" t="s">
        <v>53</v>
      </c>
      <c r="K198" s="101" t="s">
        <v>54</v>
      </c>
      <c r="L198" s="101" t="s">
        <v>55</v>
      </c>
      <c r="M198" s="299">
        <v>175</v>
      </c>
      <c r="N198" s="114"/>
      <c r="O198" s="101" t="s">
        <v>109</v>
      </c>
      <c r="P198" s="101">
        <v>20</v>
      </c>
      <c r="Q198" s="101">
        <v>16</v>
      </c>
      <c r="R198" s="101">
        <v>16</v>
      </c>
      <c r="S198" s="697">
        <v>20</v>
      </c>
      <c r="T198" s="101">
        <v>20</v>
      </c>
      <c r="U198" s="101">
        <v>16</v>
      </c>
      <c r="V198" s="404">
        <f>IF(J198="Canvas",P198+BorderL,P198)</f>
        <v>31</v>
      </c>
      <c r="W198" s="404">
        <f>IF(J198="Canvas",Q198+BorderL,Q198)</f>
        <v>27</v>
      </c>
      <c r="X198" s="137">
        <v>40</v>
      </c>
      <c r="Y198" s="101">
        <v>31</v>
      </c>
      <c r="Z198" s="101">
        <v>27</v>
      </c>
      <c r="AA198" s="724">
        <f t="shared" si="64"/>
        <v>5.8125</v>
      </c>
      <c r="AB198" s="633">
        <f>AA198*EPSONM</f>
        <v>26.15625</v>
      </c>
      <c r="AC198" s="406">
        <f t="shared" si="73"/>
        <v>3.8362500000000002</v>
      </c>
      <c r="AD198" s="405">
        <f>Table1[[#This Row],[Ink g/mL]]*EPSONC</f>
        <v>5.7543750000000005</v>
      </c>
      <c r="AE198" s="406">
        <f>IF(Table1[[#This Row],[Work Center]]="SwissQ",Materials!G$37,IF(Table1[[#This Row],[Work Center]]="Inca",Materials!G$29,IF(Table1[[#This Row],[Work Center]]="Canon",Materials!G$49,Materials!G$45)))</f>
        <v>5</v>
      </c>
      <c r="AF198" s="102">
        <f>'Cali FPS'!C18</f>
        <v>61.15</v>
      </c>
      <c r="AG198" s="121"/>
      <c r="AH198" s="104">
        <f t="shared" si="65"/>
        <v>8.75</v>
      </c>
      <c r="AI198" s="405">
        <f>IF(A198="Codarus",(M198*0.13))</f>
        <v>22.75</v>
      </c>
      <c r="AJ198" s="406">
        <f t="shared" si="75"/>
        <v>84.490624999999994</v>
      </c>
      <c r="AK198" s="830">
        <f t="shared" si="67"/>
        <v>0.51719642857142856</v>
      </c>
      <c r="AL198" s="660">
        <f>Table1[[#This Row],[WSP/Dealer]]/Table1[[#This Row],[OD Sq Inch]]</f>
        <v>0.546875</v>
      </c>
      <c r="AM198" s="399">
        <f>Table1[[#This Row],[OD Wdth]]*Table1[[#This Row],[OD Hgt]]</f>
        <v>320</v>
      </c>
      <c r="AN198" s="400">
        <f>Table1[[#This Row],[Min VO]]+Table1[[#This Row],[Max VO]]</f>
        <v>36</v>
      </c>
      <c r="AO198" s="113"/>
      <c r="AP198" s="1307">
        <f>(M198*2)</f>
        <v>350</v>
      </c>
      <c r="AQ198" s="121">
        <f>(Table1[[#This Row],[Desgnr/Retail P]]*0.05)</f>
        <v>17.5</v>
      </c>
      <c r="AR198" s="121">
        <f>IF(A198="Codarus",(AP198*0.13))</f>
        <v>45.5</v>
      </c>
      <c r="AS198" s="121">
        <f>SUM(Table1[[#This Row],[Substrate $]:[GP FINISH]])+Table1[[#This Row],[Retail Royalty]]+Table1[[#This Row],[Retail$Comm]]</f>
        <v>138.74062499999999</v>
      </c>
      <c r="AT198" s="830">
        <f>IF(AP198=0,"-",(AP198-AS198)/AP198)</f>
        <v>0.60359821428571425</v>
      </c>
      <c r="AU198" s="1367">
        <f t="shared" si="74"/>
        <v>0.96550867346938773</v>
      </c>
    </row>
    <row r="199" spans="1:53" s="218" customFormat="1" hidden="1" x14ac:dyDescent="0.2">
      <c r="A199" s="274" t="s">
        <v>644</v>
      </c>
      <c r="B199" s="279" t="s">
        <v>96</v>
      </c>
      <c r="C199" s="323" t="s">
        <v>645</v>
      </c>
      <c r="D199" s="323"/>
      <c r="E199" s="275" t="s">
        <v>646</v>
      </c>
      <c r="F199" s="275" t="s">
        <v>634</v>
      </c>
      <c r="G199" s="274" t="s">
        <v>647</v>
      </c>
      <c r="H199" s="274" t="s">
        <v>647</v>
      </c>
      <c r="I199" s="274" t="s">
        <v>108</v>
      </c>
      <c r="J199" s="344" t="s">
        <v>53</v>
      </c>
      <c r="K199" s="274" t="s">
        <v>54</v>
      </c>
      <c r="L199" s="274" t="s">
        <v>55</v>
      </c>
      <c r="M199" s="178">
        <v>240</v>
      </c>
      <c r="N199" s="318"/>
      <c r="O199" s="274" t="s">
        <v>109</v>
      </c>
      <c r="P199" s="274">
        <v>20</v>
      </c>
      <c r="Q199" s="274">
        <v>24</v>
      </c>
      <c r="R199" s="274">
        <v>20</v>
      </c>
      <c r="S199" s="783">
        <v>24</v>
      </c>
      <c r="T199" s="274">
        <v>20</v>
      </c>
      <c r="U199" s="274">
        <v>24</v>
      </c>
      <c r="V199" s="686">
        <f>IF(J199="Canvas",P199+BorderL,P199)</f>
        <v>31</v>
      </c>
      <c r="W199" s="686">
        <f>IF(J199="Canvas",Q199+BorderL,Q199)</f>
        <v>35</v>
      </c>
      <c r="X199" s="343">
        <v>40</v>
      </c>
      <c r="Y199" s="274">
        <v>31</v>
      </c>
      <c r="Z199" s="274">
        <v>35</v>
      </c>
      <c r="AA199" s="727">
        <f t="shared" si="64"/>
        <v>7.5347222222222223</v>
      </c>
      <c r="AB199" s="341">
        <f>AA199*EPSONM</f>
        <v>33.90625</v>
      </c>
      <c r="AC199" s="278">
        <f t="shared" si="73"/>
        <v>4.9729166666666673</v>
      </c>
      <c r="AD199" s="263">
        <f>Table1[[#This Row],[Ink g/mL]]*EPSONC</f>
        <v>7.4593749999999996</v>
      </c>
      <c r="AE199" s="278">
        <f>IF(Table1[[#This Row],[Work Center]]="SwissQ",Materials!G$37,IF(Table1[[#This Row],[Work Center]]="Inca",Materials!G$29,IF(Table1[[#This Row],[Work Center]]="Canon",Materials!G$49,Materials!G$45)))</f>
        <v>5</v>
      </c>
      <c r="AF199" s="321">
        <f>'Cali FPS'!C26</f>
        <v>62.16</v>
      </c>
      <c r="AG199" s="320"/>
      <c r="AH199" s="74">
        <f t="shared" si="65"/>
        <v>12</v>
      </c>
      <c r="AI199" s="67"/>
      <c r="AJ199" s="278">
        <f t="shared" si="75"/>
        <v>91.592291666666668</v>
      </c>
      <c r="AK199" s="1001">
        <f t="shared" si="67"/>
        <v>0.61836545138888899</v>
      </c>
      <c r="AL199" s="240">
        <f>Table1[[#This Row],[WSP/Dealer]]/Table1[[#This Row],[OD Sq Inch]]</f>
        <v>0.5</v>
      </c>
      <c r="AM199" s="170">
        <f>Table1[[#This Row],[OD Wdth]]*Table1[[#This Row],[OD Hgt]]</f>
        <v>480</v>
      </c>
      <c r="AN199" s="274">
        <f>Table1[[#This Row],[Min VO]]+Table1[[#This Row],[Max VO]]</f>
        <v>44</v>
      </c>
      <c r="AO199" s="275"/>
      <c r="AP199" s="320"/>
      <c r="AQ199" s="320"/>
      <c r="AR199" s="320"/>
      <c r="AS199" s="320"/>
      <c r="AT199" s="278"/>
      <c r="AU199" s="1368" t="str">
        <f t="shared" si="74"/>
        <v>-</v>
      </c>
    </row>
    <row r="200" spans="1:53" s="235" customFormat="1" hidden="1" x14ac:dyDescent="0.2">
      <c r="A200" s="180" t="s">
        <v>272</v>
      </c>
      <c r="B200" s="279" t="s">
        <v>261</v>
      </c>
      <c r="C200" s="607" t="s">
        <v>648</v>
      </c>
      <c r="D200" s="302"/>
      <c r="E200" s="284" t="s">
        <v>649</v>
      </c>
      <c r="F200" s="284" t="s">
        <v>650</v>
      </c>
      <c r="G200" s="180" t="s">
        <v>651</v>
      </c>
      <c r="H200" s="180" t="s">
        <v>651</v>
      </c>
      <c r="I200" s="180" t="s">
        <v>52</v>
      </c>
      <c r="J200" s="180" t="s">
        <v>53</v>
      </c>
      <c r="K200" s="180" t="s">
        <v>54</v>
      </c>
      <c r="L200" s="180" t="s">
        <v>55</v>
      </c>
      <c r="M200" s="285">
        <v>270</v>
      </c>
      <c r="N200" s="285"/>
      <c r="O200" s="180" t="s">
        <v>56</v>
      </c>
      <c r="P200" s="813">
        <v>36</v>
      </c>
      <c r="Q200" s="813">
        <v>30</v>
      </c>
      <c r="R200" s="180">
        <v>30</v>
      </c>
      <c r="S200" s="813">
        <v>36</v>
      </c>
      <c r="T200" s="813">
        <f>Table1[[#This Row],[VO Wdth]]</f>
        <v>36</v>
      </c>
      <c r="U200" s="813">
        <f>Table1[[#This Row],[VO Hgt]]</f>
        <v>30</v>
      </c>
      <c r="V200" s="947">
        <f>IF(J200="Canvas",P200+BorderL,P200)</f>
        <v>47</v>
      </c>
      <c r="W200" s="947">
        <f>IF(J200="Canvas",Q200+BorderL,Q200)</f>
        <v>41</v>
      </c>
      <c r="X200" s="289">
        <v>82</v>
      </c>
      <c r="Y200" s="180"/>
      <c r="Z200" s="180"/>
      <c r="AA200" s="678">
        <f t="shared" si="64"/>
        <v>13.381944444444445</v>
      </c>
      <c r="AB200" s="329">
        <f>AA200*IncaG</f>
        <v>281.55611111111108</v>
      </c>
      <c r="AC200" s="176">
        <f t="shared" si="73"/>
        <v>8.8320833333333333</v>
      </c>
      <c r="AD200" s="175">
        <f>AA200*IncaC</f>
        <v>22.524488888888889</v>
      </c>
      <c r="AE200" s="104">
        <f>IF(Table1[[#This Row],[Work Center]]="SwissQ",Materials!G$37,IF(Table1[[#This Row],[Work Center]]="Inca",Materials!G$29,IF(Table1[[#This Row],[Work Center]]="Canon",Materials!G$49,Materials!G$45)))</f>
        <v>8</v>
      </c>
      <c r="AF200" s="176">
        <f>'Cali FPS'!C47</f>
        <v>76.125</v>
      </c>
      <c r="AG200" s="284"/>
      <c r="AH200" s="498">
        <f t="shared" si="65"/>
        <v>13.5</v>
      </c>
      <c r="AI200" s="498"/>
      <c r="AJ200" s="176">
        <f t="shared" si="75"/>
        <v>128.98157222222221</v>
      </c>
      <c r="AK200" s="650">
        <f t="shared" si="67"/>
        <v>0.52229047325102884</v>
      </c>
      <c r="AL200" s="225">
        <f>Table1[[#This Row],[WSP/Dealer]]/Table1[[#This Row],[OD Sq Inch]]</f>
        <v>0.25</v>
      </c>
      <c r="AM200" s="173">
        <f>Table1[[#This Row],[OD Wdth]]*Table1[[#This Row],[OD Hgt]]</f>
        <v>1080</v>
      </c>
      <c r="AN200" s="180">
        <f>Table1[[#This Row],[Min VO]]+Table1[[#This Row],[Max VO]]</f>
        <v>66</v>
      </c>
      <c r="AO200" s="180"/>
      <c r="AP200" s="1029"/>
      <c r="AQ200" s="126"/>
      <c r="AR200" s="126"/>
      <c r="AS200" s="126"/>
      <c r="AT200" s="1001"/>
      <c r="AU200" s="1201" t="str">
        <f t="shared" si="74"/>
        <v>-</v>
      </c>
    </row>
    <row r="201" spans="1:53" s="103" customFormat="1" x14ac:dyDescent="0.2">
      <c r="A201" s="180" t="s">
        <v>58</v>
      </c>
      <c r="B201" s="279" t="s">
        <v>619</v>
      </c>
      <c r="C201" s="607" t="s">
        <v>652</v>
      </c>
      <c r="D201" s="302" t="s">
        <v>653</v>
      </c>
      <c r="E201" s="284" t="s">
        <v>654</v>
      </c>
      <c r="F201" s="284" t="s">
        <v>650</v>
      </c>
      <c r="G201" s="180" t="s">
        <v>655</v>
      </c>
      <c r="H201" s="180" t="s">
        <v>655</v>
      </c>
      <c r="I201" s="180" t="s">
        <v>52</v>
      </c>
      <c r="J201" s="180" t="s">
        <v>53</v>
      </c>
      <c r="K201" s="180" t="s">
        <v>54</v>
      </c>
      <c r="L201" s="180" t="s">
        <v>55</v>
      </c>
      <c r="M201" s="285">
        <v>1300</v>
      </c>
      <c r="N201" s="639">
        <v>1300</v>
      </c>
      <c r="O201" s="180" t="s">
        <v>64</v>
      </c>
      <c r="P201" s="813">
        <v>72</v>
      </c>
      <c r="Q201" s="813">
        <v>60</v>
      </c>
      <c r="R201" s="180">
        <v>60</v>
      </c>
      <c r="S201" s="813">
        <v>72</v>
      </c>
      <c r="T201" s="813">
        <f>Table1[[#This Row],[VO Wdth]]</f>
        <v>72</v>
      </c>
      <c r="U201" s="813">
        <f>Table1[[#This Row],[VO Hgt]]</f>
        <v>60</v>
      </c>
      <c r="V201" s="947">
        <f>IF(J201="Canvas",P201+BorderL,P201)</f>
        <v>83</v>
      </c>
      <c r="W201" s="947">
        <f>IF(J201="Canvas",Q201+BorderL,Q201)</f>
        <v>71</v>
      </c>
      <c r="X201" s="289">
        <v>82</v>
      </c>
      <c r="Y201" s="180"/>
      <c r="Z201" s="180"/>
      <c r="AA201" s="678">
        <f t="shared" si="64"/>
        <v>40.923611111111114</v>
      </c>
      <c r="AB201" s="329">
        <f>Table1[[#This Row],[Substrate SF]]*Swiss1</f>
        <v>1158.1381944444445</v>
      </c>
      <c r="AC201" s="176">
        <f t="shared" si="73"/>
        <v>27.009583333333335</v>
      </c>
      <c r="AD201" s="176">
        <f>Table1[[#This Row],[Substrate SF]]*Materials!C$37</f>
        <v>114.58611111111111</v>
      </c>
      <c r="AE201" s="104">
        <f>IF(Table1[[#This Row],[Work Center]]="SwissQ",Materials!G$37,IF(Table1[[#This Row],[Work Center]]="Inca",Materials!G$29,IF(Table1[[#This Row],[Work Center]]="Canon",Materials!G$49,Materials!G$45)))</f>
        <v>20</v>
      </c>
      <c r="AF201" s="176">
        <f>'Cali FPS'!C$160</f>
        <v>253.32999999999998</v>
      </c>
      <c r="AG201" s="284"/>
      <c r="AH201" s="112">
        <f t="shared" si="65"/>
        <v>65</v>
      </c>
      <c r="AI201" s="112"/>
      <c r="AJ201" s="176">
        <f t="shared" si="75"/>
        <v>479.92569444444439</v>
      </c>
      <c r="AK201" s="62">
        <f t="shared" si="67"/>
        <v>0.63082638888888898</v>
      </c>
      <c r="AL201" s="225">
        <f>Table1[[#This Row],[WSP/Dealer]]/Table1[[#This Row],[OD Sq Inch]]</f>
        <v>0.30092592592592593</v>
      </c>
      <c r="AM201" s="180">
        <f>Table1[[#This Row],[OD Wdth]]*Table1[[#This Row],[OD Hgt]]</f>
        <v>4320</v>
      </c>
      <c r="AN201" s="180">
        <f>Table1[[#This Row],[Min VO]]+Table1[[#This Row],[Max VO]]</f>
        <v>132</v>
      </c>
      <c r="AO201" s="180"/>
      <c r="AP201" s="180"/>
      <c r="AQ201" s="176"/>
      <c r="AR201" s="176"/>
      <c r="AS201" s="176"/>
      <c r="AT201" s="176"/>
      <c r="AU201" s="1201" t="str">
        <f t="shared" si="74"/>
        <v>-</v>
      </c>
    </row>
    <row r="202" spans="1:53" s="218" customFormat="1" x14ac:dyDescent="0.2">
      <c r="A202" s="274" t="s">
        <v>581</v>
      </c>
      <c r="B202" s="279" t="s">
        <v>292</v>
      </c>
      <c r="C202" s="75" t="s">
        <v>656</v>
      </c>
      <c r="D202" s="323"/>
      <c r="E202" s="275" t="s">
        <v>654</v>
      </c>
      <c r="F202" s="275" t="s">
        <v>650</v>
      </c>
      <c r="G202" s="274" t="s">
        <v>655</v>
      </c>
      <c r="H202" s="274" t="s">
        <v>657</v>
      </c>
      <c r="I202" s="274" t="s">
        <v>52</v>
      </c>
      <c r="J202" s="274" t="s">
        <v>53</v>
      </c>
      <c r="K202" s="274" t="s">
        <v>82</v>
      </c>
      <c r="L202" s="274" t="s">
        <v>298</v>
      </c>
      <c r="M202" s="178">
        <v>1450</v>
      </c>
      <c r="N202" s="73">
        <v>1400</v>
      </c>
      <c r="O202" s="274" t="s">
        <v>64</v>
      </c>
      <c r="P202" s="783">
        <v>72</v>
      </c>
      <c r="Q202" s="783">
        <v>60</v>
      </c>
      <c r="R202" s="274">
        <v>60</v>
      </c>
      <c r="S202" s="783">
        <v>72</v>
      </c>
      <c r="T202" s="783">
        <f>Table1[[#This Row],[VO Wdth]]</f>
        <v>72</v>
      </c>
      <c r="U202" s="783">
        <f>Table1[[#This Row],[VO Hgt]]</f>
        <v>60</v>
      </c>
      <c r="V202" s="686">
        <f>IF(J202="Canvas",P202+BorderL,P202)</f>
        <v>83</v>
      </c>
      <c r="W202" s="686">
        <f>IF(J202="Canvas",Q202+BorderL,Q202)</f>
        <v>71</v>
      </c>
      <c r="X202" s="343">
        <v>82</v>
      </c>
      <c r="Y202" s="274">
        <v>83</v>
      </c>
      <c r="Z202" s="274">
        <v>71</v>
      </c>
      <c r="AA202" s="727">
        <f t="shared" si="64"/>
        <v>40.923611111111114</v>
      </c>
      <c r="AB202" s="341">
        <f>Table1[[#This Row],[Substrate SF]]*Swiss1</f>
        <v>1158.1381944444445</v>
      </c>
      <c r="AC202" s="278">
        <f t="shared" si="73"/>
        <v>27.009583333333335</v>
      </c>
      <c r="AD202" s="263">
        <f>Table1[[#This Row],[Substrate SF]]*Materials!C$37</f>
        <v>114.58611111111111</v>
      </c>
      <c r="AE202" s="74">
        <f>IF(Table1[[#This Row],[Work Center]]="SwissQ",Materials!G$37,IF(Table1[[#This Row],[Work Center]]="Inca",Materials!G$29,IF(Table1[[#This Row],[Work Center]]="Canon",Materials!G$49,Materials!G$45)))</f>
        <v>20</v>
      </c>
      <c r="AF202" s="278">
        <f>'Cali Frames'!D242</f>
        <v>329.08749999999998</v>
      </c>
      <c r="AG202" s="540"/>
      <c r="AH202" s="74">
        <f t="shared" si="65"/>
        <v>72.5</v>
      </c>
      <c r="AI202" s="74"/>
      <c r="AJ202" s="278">
        <f t="shared" si="75"/>
        <v>563.18319444444444</v>
      </c>
      <c r="AK202" s="1001">
        <f t="shared" si="67"/>
        <v>0.61159779693486593</v>
      </c>
      <c r="AL202" s="240">
        <f>Table1[[#This Row],[WSP/Dealer]]/Table1[[#This Row],[OD Sq Inch]]</f>
        <v>0.33564814814814814</v>
      </c>
      <c r="AM202" s="274">
        <f>Table1[[#This Row],[OD Wdth]]*Table1[[#This Row],[OD Hgt]]</f>
        <v>4320</v>
      </c>
      <c r="AN202" s="274">
        <f>Table1[[#This Row],[Min VO]]+Table1[[#This Row],[Max VO]]</f>
        <v>132</v>
      </c>
      <c r="AO202" s="274"/>
      <c r="AP202" s="274"/>
      <c r="AQ202" s="278"/>
      <c r="AR202" s="278"/>
      <c r="AS202" s="278"/>
      <c r="AT202" s="278"/>
      <c r="AU202" s="1192" t="str">
        <f t="shared" si="74"/>
        <v>-</v>
      </c>
    </row>
    <row r="203" spans="1:53" s="228" customFormat="1" hidden="1" x14ac:dyDescent="0.2">
      <c r="A203" s="86"/>
      <c r="B203" s="274"/>
      <c r="C203" s="100" t="s">
        <v>658</v>
      </c>
      <c r="D203" s="100"/>
      <c r="E203" s="85" t="s">
        <v>659</v>
      </c>
      <c r="F203" s="85" t="s">
        <v>124</v>
      </c>
      <c r="G203" s="86" t="s">
        <v>660</v>
      </c>
      <c r="H203" s="86" t="s">
        <v>660</v>
      </c>
      <c r="I203" s="86" t="s">
        <v>52</v>
      </c>
      <c r="J203" s="86" t="s">
        <v>53</v>
      </c>
      <c r="K203" s="86" t="s">
        <v>54</v>
      </c>
      <c r="L203" s="86" t="s">
        <v>55</v>
      </c>
      <c r="M203" s="87">
        <v>920</v>
      </c>
      <c r="N203" s="71"/>
      <c r="O203" s="101" t="s">
        <v>56</v>
      </c>
      <c r="P203" s="101">
        <v>60</v>
      </c>
      <c r="Q203" s="101">
        <v>40</v>
      </c>
      <c r="R203" s="60">
        <v>40</v>
      </c>
      <c r="S203" s="273">
        <v>60</v>
      </c>
      <c r="T203" s="273">
        <f>Table1[[#This Row],[VO Wdth]]</f>
        <v>60</v>
      </c>
      <c r="U203" s="273">
        <f>Table1[[#This Row],[VO Hgt]]</f>
        <v>40</v>
      </c>
      <c r="V203" s="106">
        <f>IF(J203="Canvas",P203+BorderGW,P203)</f>
        <v>68</v>
      </c>
      <c r="W203" s="106">
        <f>IF(J203="Canvas",Q203+BorderGW,Q203)</f>
        <v>48</v>
      </c>
      <c r="X203" s="137">
        <v>122</v>
      </c>
      <c r="Y203" s="101"/>
      <c r="Z203" s="101"/>
      <c r="AA203" s="649">
        <f t="shared" ref="AA203:AA234" si="76">V203*W203/144</f>
        <v>22.666666666666668</v>
      </c>
      <c r="AB203" s="184">
        <f t="shared" ref="AB203:AB209" si="77">AA203*IncaG</f>
        <v>476.90666666666669</v>
      </c>
      <c r="AC203" s="104">
        <f t="shared" si="73"/>
        <v>14.96</v>
      </c>
      <c r="AD203" s="107">
        <f t="shared" ref="AD203:AD209" si="78">AA203*IncaC</f>
        <v>38.152533333333338</v>
      </c>
      <c r="AE203" s="104">
        <f>IF(Table1[[#This Row],[Work Center]]="SwissQ",Materials!G$37,IF(Table1[[#This Row],[Work Center]]="Inca",Materials!G$29,IF(Table1[[#This Row],[Work Center]]="Canon",Materials!G$49,Materials!G$45)))</f>
        <v>8</v>
      </c>
      <c r="AF203" s="74">
        <f>'Cali FPS'!C$89</f>
        <v>112.01750000000001</v>
      </c>
      <c r="AG203" s="115"/>
      <c r="AH203" s="498">
        <f t="shared" si="65"/>
        <v>46</v>
      </c>
      <c r="AI203" s="498"/>
      <c r="AJ203" s="104">
        <f t="shared" si="75"/>
        <v>219.13003333333336</v>
      </c>
      <c r="AK203" s="650">
        <f t="shared" si="67"/>
        <v>0.76181518115942026</v>
      </c>
      <c r="AL203" s="225">
        <f>Table1[[#This Row],[WSP/Dealer]]/Table1[[#This Row],[OD Sq Inch]]</f>
        <v>0.38333333333333336</v>
      </c>
      <c r="AM203" s="103">
        <f>Table1[[#This Row],[OD Wdth]]*Table1[[#This Row],[OD Hgt]]</f>
        <v>2400</v>
      </c>
      <c r="AN203" s="216">
        <f>Table1[[#This Row],[Min VO]]+Table1[[#This Row],[Max VO]]</f>
        <v>100</v>
      </c>
      <c r="AO203" s="101"/>
      <c r="AP203" s="101"/>
      <c r="AQ203" s="104"/>
      <c r="AR203" s="104"/>
      <c r="AS203" s="104"/>
      <c r="AT203" s="104"/>
      <c r="AU203" s="830" t="str">
        <f t="shared" si="74"/>
        <v>-</v>
      </c>
    </row>
    <row r="204" spans="1:53" s="11" customFormat="1" x14ac:dyDescent="0.2">
      <c r="A204" s="86" t="s">
        <v>58</v>
      </c>
      <c r="B204" s="1061" t="s">
        <v>146</v>
      </c>
      <c r="C204" s="76" t="s">
        <v>661</v>
      </c>
      <c r="D204" s="76" t="s">
        <v>662</v>
      </c>
      <c r="E204" s="85" t="s">
        <v>663</v>
      </c>
      <c r="F204" s="85" t="s">
        <v>634</v>
      </c>
      <c r="G204" s="86" t="s">
        <v>151</v>
      </c>
      <c r="H204" s="86" t="s">
        <v>151</v>
      </c>
      <c r="I204" s="86" t="s">
        <v>52</v>
      </c>
      <c r="J204" s="86" t="s">
        <v>53</v>
      </c>
      <c r="K204" s="86" t="s">
        <v>54</v>
      </c>
      <c r="L204" s="86" t="s">
        <v>55</v>
      </c>
      <c r="M204" s="87">
        <v>760</v>
      </c>
      <c r="N204" s="639">
        <v>800</v>
      </c>
      <c r="O204" s="60" t="s">
        <v>56</v>
      </c>
      <c r="P204" s="60">
        <v>36</v>
      </c>
      <c r="Q204" s="60">
        <v>53</v>
      </c>
      <c r="R204" s="60">
        <v>36</v>
      </c>
      <c r="S204" s="273">
        <v>53</v>
      </c>
      <c r="T204" s="273">
        <f>Table1[[#This Row],[VO Wdth]]</f>
        <v>36</v>
      </c>
      <c r="U204" s="273">
        <f>Table1[[#This Row],[VO Hgt]]</f>
        <v>53</v>
      </c>
      <c r="V204" s="47">
        <f>IF(J204="Canvas",P204+BorderGW,P204)</f>
        <v>44</v>
      </c>
      <c r="W204" s="47">
        <f>IF(J204="Canvas",Q204+BorderGW,Q204)</f>
        <v>61</v>
      </c>
      <c r="X204" s="138">
        <v>63</v>
      </c>
      <c r="Y204" s="60"/>
      <c r="Z204" s="60"/>
      <c r="AA204" s="717">
        <f t="shared" si="76"/>
        <v>18.638888888888889</v>
      </c>
      <c r="AB204" s="125">
        <f t="shared" si="77"/>
        <v>392.16222222222223</v>
      </c>
      <c r="AC204" s="69">
        <f t="shared" si="73"/>
        <v>12.301666666666668</v>
      </c>
      <c r="AD204" s="48">
        <f t="shared" si="78"/>
        <v>31.372977777777781</v>
      </c>
      <c r="AE204" s="104">
        <f>IF(Table1[[#This Row],[Work Center]]="SwissQ",Materials!G$37,IF(Table1[[#This Row],[Work Center]]="Inca",Materials!G$29,IF(Table1[[#This Row],[Work Center]]="Canon",Materials!G$49,Materials!G$45)))</f>
        <v>8</v>
      </c>
      <c r="AF204" s="69">
        <f>'Cali FPS'!C67</f>
        <v>83.46</v>
      </c>
      <c r="AG204" s="115"/>
      <c r="AH204" s="112">
        <f t="shared" si="65"/>
        <v>38</v>
      </c>
      <c r="AI204" s="112"/>
      <c r="AJ204" s="69">
        <f t="shared" si="75"/>
        <v>173.13464444444443</v>
      </c>
      <c r="AK204" s="62">
        <f t="shared" si="67"/>
        <v>0.77219125730994154</v>
      </c>
      <c r="AL204" s="225">
        <f>Table1[[#This Row],[WSP/Dealer]]/Table1[[#This Row],[OD Sq Inch]]</f>
        <v>0.39832285115303984</v>
      </c>
      <c r="AM204" s="103">
        <f>Table1[[#This Row],[OD Wdth]]*Table1[[#This Row],[OD Hgt]]</f>
        <v>1908</v>
      </c>
      <c r="AN204" s="216">
        <f>Table1[[#This Row],[Min VO]]+Table1[[#This Row],[Max VO]]</f>
        <v>89</v>
      </c>
      <c r="AO204" s="101"/>
      <c r="AP204" s="101"/>
      <c r="AQ204" s="104"/>
      <c r="AR204" s="104"/>
      <c r="AS204" s="104"/>
      <c r="AT204" s="104"/>
      <c r="AU204" s="830" t="str">
        <f t="shared" si="74"/>
        <v>-</v>
      </c>
    </row>
    <row r="205" spans="1:53" s="103" customFormat="1" x14ac:dyDescent="0.2">
      <c r="A205" s="86" t="s">
        <v>58</v>
      </c>
      <c r="B205" s="1061" t="s">
        <v>146</v>
      </c>
      <c r="C205" s="76" t="s">
        <v>664</v>
      </c>
      <c r="D205" s="76" t="s">
        <v>665</v>
      </c>
      <c r="E205" s="85" t="s">
        <v>663</v>
      </c>
      <c r="F205" s="85" t="s">
        <v>634</v>
      </c>
      <c r="G205" s="86" t="s">
        <v>151</v>
      </c>
      <c r="H205" s="86" t="s">
        <v>155</v>
      </c>
      <c r="I205" s="86" t="s">
        <v>52</v>
      </c>
      <c r="J205" s="86" t="s">
        <v>53</v>
      </c>
      <c r="K205" s="86" t="s">
        <v>69</v>
      </c>
      <c r="L205" s="86" t="s">
        <v>73</v>
      </c>
      <c r="M205" s="87">
        <f>760+170</f>
        <v>930</v>
      </c>
      <c r="N205" s="639">
        <v>930</v>
      </c>
      <c r="O205" s="60" t="s">
        <v>56</v>
      </c>
      <c r="P205" s="60">
        <v>36</v>
      </c>
      <c r="Q205" s="60">
        <v>53</v>
      </c>
      <c r="R205" s="60">
        <v>36</v>
      </c>
      <c r="S205" s="273">
        <v>53</v>
      </c>
      <c r="T205" s="60">
        <v>37</v>
      </c>
      <c r="U205" s="273" t="str">
        <f>RIGHT(Table1[[#This Row],[OD]],2)</f>
        <v>54</v>
      </c>
      <c r="V205" s="946">
        <f>IF(J205="Canvas",P205+BorderGW,P205)</f>
        <v>44</v>
      </c>
      <c r="W205" s="946">
        <f>IF(J205="Canvas",Q205+BorderGW,Q205)</f>
        <v>61</v>
      </c>
      <c r="X205" s="138" t="s">
        <v>666</v>
      </c>
      <c r="Y205" s="60"/>
      <c r="Z205" s="60"/>
      <c r="AA205" s="717">
        <f t="shared" si="76"/>
        <v>18.638888888888889</v>
      </c>
      <c r="AB205" s="125">
        <f t="shared" si="77"/>
        <v>392.16222222222223</v>
      </c>
      <c r="AC205" s="69">
        <f t="shared" si="73"/>
        <v>12.301666666666668</v>
      </c>
      <c r="AD205" s="69">
        <f t="shared" si="78"/>
        <v>31.372977777777781</v>
      </c>
      <c r="AE205" s="104">
        <f>IF(Table1[[#This Row],[Work Center]]="SwissQ",Materials!G$37,IF(Table1[[#This Row],[Work Center]]="Inca",Materials!G$29,IF(Table1[[#This Row],[Work Center]]="Canon",Materials!G$49,Materials!G$45)))</f>
        <v>8</v>
      </c>
      <c r="AF205" s="69"/>
      <c r="AG205" s="115"/>
      <c r="AH205" s="498">
        <f t="shared" si="65"/>
        <v>46.5</v>
      </c>
      <c r="AI205" s="498"/>
      <c r="AJ205" s="69">
        <f t="shared" si="75"/>
        <v>98.174644444444453</v>
      </c>
      <c r="AK205" s="650">
        <f t="shared" si="67"/>
        <v>0.89443586618876947</v>
      </c>
      <c r="AL205" s="225">
        <f>Table1[[#This Row],[WSP/Dealer]]/Table1[[#This Row],[OD Sq Inch]]</f>
        <v>0.46546546546546547</v>
      </c>
      <c r="AM205" s="216">
        <f>Table1[[#This Row],[OD Wdth]]*Table1[[#This Row],[OD Hgt]]</f>
        <v>1998</v>
      </c>
      <c r="AN205" s="216">
        <f>Table1[[#This Row],[Min VO]]+Table1[[#This Row],[Max VO]]</f>
        <v>89</v>
      </c>
      <c r="AO205" s="101"/>
      <c r="AP205" s="101"/>
      <c r="AQ205" s="104"/>
      <c r="AR205" s="104"/>
      <c r="AS205" s="104"/>
      <c r="AT205" s="104"/>
      <c r="AU205" s="830" t="str">
        <f t="shared" si="74"/>
        <v>-</v>
      </c>
    </row>
    <row r="206" spans="1:53" s="286" customFormat="1" x14ac:dyDescent="0.2">
      <c r="A206" s="86" t="s">
        <v>58</v>
      </c>
      <c r="B206" s="1061" t="s">
        <v>146</v>
      </c>
      <c r="C206" s="76" t="s">
        <v>667</v>
      </c>
      <c r="D206" s="76" t="s">
        <v>668</v>
      </c>
      <c r="E206" s="85" t="s">
        <v>663</v>
      </c>
      <c r="F206" s="85" t="s">
        <v>634</v>
      </c>
      <c r="G206" s="86" t="s">
        <v>151</v>
      </c>
      <c r="H206" s="86" t="s">
        <v>158</v>
      </c>
      <c r="I206" s="86" t="s">
        <v>52</v>
      </c>
      <c r="J206" s="86" t="s">
        <v>53</v>
      </c>
      <c r="K206" s="86" t="s">
        <v>82</v>
      </c>
      <c r="L206" s="86" t="s">
        <v>83</v>
      </c>
      <c r="M206" s="87">
        <f>760+115</f>
        <v>875</v>
      </c>
      <c r="N206" s="639">
        <v>950</v>
      </c>
      <c r="O206" s="60" t="s">
        <v>56</v>
      </c>
      <c r="P206" s="60">
        <v>36</v>
      </c>
      <c r="Q206" s="60">
        <v>53</v>
      </c>
      <c r="R206" s="60">
        <v>36</v>
      </c>
      <c r="S206" s="273">
        <v>53</v>
      </c>
      <c r="T206" s="60">
        <v>37</v>
      </c>
      <c r="U206" s="273" t="str">
        <f>RIGHT(Table1[[#This Row],[OD]],2)</f>
        <v>55</v>
      </c>
      <c r="V206" s="946">
        <f>IF(J206="Canvas",P206+BorderGW,P206)</f>
        <v>44</v>
      </c>
      <c r="W206" s="946">
        <f>IF(J206="Canvas",Q206+BorderGW,Q206)</f>
        <v>61</v>
      </c>
      <c r="X206" s="138">
        <v>63</v>
      </c>
      <c r="Y206" s="60"/>
      <c r="Z206" s="60"/>
      <c r="AA206" s="717">
        <f t="shared" si="76"/>
        <v>18.638888888888889</v>
      </c>
      <c r="AB206" s="125">
        <f t="shared" si="77"/>
        <v>392.16222222222223</v>
      </c>
      <c r="AC206" s="69">
        <f t="shared" si="73"/>
        <v>12.301666666666668</v>
      </c>
      <c r="AD206" s="48">
        <f t="shared" si="78"/>
        <v>31.372977777777781</v>
      </c>
      <c r="AE206" s="104">
        <f>IF(Table1[[#This Row],[Work Center]]="SwissQ",Materials!G$37,IF(Table1[[#This Row],[Work Center]]="Inca",Materials!G$29,IF(Table1[[#This Row],[Work Center]]="Canon",Materials!G$49,Materials!G$45)))</f>
        <v>8</v>
      </c>
      <c r="AF206" s="69"/>
      <c r="AG206" s="115"/>
      <c r="AH206" s="498">
        <f t="shared" si="65"/>
        <v>43.75</v>
      </c>
      <c r="AI206" s="498"/>
      <c r="AJ206" s="69">
        <f t="shared" si="75"/>
        <v>95.424644444444453</v>
      </c>
      <c r="AK206" s="650">
        <f t="shared" si="67"/>
        <v>0.89094326349206354</v>
      </c>
      <c r="AL206" s="225">
        <f>Table1[[#This Row],[WSP/Dealer]]/Table1[[#This Row],[OD Sq Inch]]</f>
        <v>0.42997542997542998</v>
      </c>
      <c r="AM206" s="103">
        <f>Table1[[#This Row],[OD Wdth]]*Table1[[#This Row],[OD Hgt]]</f>
        <v>2035</v>
      </c>
      <c r="AN206" s="216">
        <f>Table1[[#This Row],[Min VO]]+Table1[[#This Row],[Max VO]]</f>
        <v>89</v>
      </c>
      <c r="AO206" s="101"/>
      <c r="AP206" s="101"/>
      <c r="AQ206" s="104"/>
      <c r="AR206" s="104"/>
      <c r="AS206" s="104"/>
      <c r="AT206" s="104"/>
      <c r="AU206" s="830" t="str">
        <f t="shared" si="74"/>
        <v>-</v>
      </c>
    </row>
    <row r="207" spans="1:53" s="286" customFormat="1" hidden="1" x14ac:dyDescent="0.2">
      <c r="A207" s="86" t="s">
        <v>669</v>
      </c>
      <c r="B207" s="1061" t="s">
        <v>670</v>
      </c>
      <c r="C207" s="100" t="s">
        <v>671</v>
      </c>
      <c r="D207" s="100" t="s">
        <v>672</v>
      </c>
      <c r="E207" s="85" t="s">
        <v>673</v>
      </c>
      <c r="F207" s="85" t="s">
        <v>634</v>
      </c>
      <c r="G207" s="86" t="s">
        <v>381</v>
      </c>
      <c r="H207" s="86" t="s">
        <v>674</v>
      </c>
      <c r="I207" s="86" t="s">
        <v>52</v>
      </c>
      <c r="J207" s="86" t="s">
        <v>280</v>
      </c>
      <c r="K207" s="86" t="s">
        <v>69</v>
      </c>
      <c r="L207" s="86" t="s">
        <v>73</v>
      </c>
      <c r="M207" s="87">
        <v>1485</v>
      </c>
      <c r="N207" s="71"/>
      <c r="O207" s="551" t="s">
        <v>56</v>
      </c>
      <c r="P207" s="101">
        <v>49</v>
      </c>
      <c r="Q207" s="101">
        <v>72</v>
      </c>
      <c r="R207" s="60">
        <v>49</v>
      </c>
      <c r="S207" s="61">
        <v>72</v>
      </c>
      <c r="T207" s="103">
        <v>50</v>
      </c>
      <c r="U207" s="103" t="str">
        <f>RIGHT(H207,2)</f>
        <v>73</v>
      </c>
      <c r="V207" s="106">
        <f>IF(J207="Canvas",P207+Border,P207)</f>
        <v>49</v>
      </c>
      <c r="W207" s="106">
        <f>IF(J207="Canvas",Q207+Border,Q207)</f>
        <v>72</v>
      </c>
      <c r="X207" s="137" t="s">
        <v>675</v>
      </c>
      <c r="Y207" s="101"/>
      <c r="Z207" s="101"/>
      <c r="AA207" s="649">
        <f t="shared" si="76"/>
        <v>24.5</v>
      </c>
      <c r="AB207" s="184">
        <f t="shared" si="77"/>
        <v>515.48</v>
      </c>
      <c r="AC207" s="104">
        <f>PETG48</f>
        <v>48.66</v>
      </c>
      <c r="AD207" s="107">
        <f t="shared" si="78"/>
        <v>41.238399999999999</v>
      </c>
      <c r="AE207" s="104">
        <f>IF(Table1[[#This Row],[Work Center]]="SwissQ",Materials!G$37,IF(Table1[[#This Row],[Work Center]]="Inca",Materials!G$29,IF(Table1[[#This Row],[Work Center]]="Canon",Materials!G$49,Materials!G$45)))</f>
        <v>8</v>
      </c>
      <c r="AF207" s="74">
        <f>'Cali Frames'!D$473</f>
        <v>235.48000000000002</v>
      </c>
      <c r="AG207" s="115"/>
      <c r="AH207" s="112">
        <f t="shared" si="65"/>
        <v>74.25</v>
      </c>
      <c r="AI207" s="112"/>
      <c r="AJ207" s="104">
        <f t="shared" si="75"/>
        <v>407.6284</v>
      </c>
      <c r="AK207" s="62">
        <f t="shared" si="67"/>
        <v>0.72550276094276089</v>
      </c>
      <c r="AL207" s="225">
        <f>Table1[[#This Row],[WSP/Dealer]]/Table1[[#This Row],[OD Sq Inch]]</f>
        <v>0.40684931506849314</v>
      </c>
      <c r="AM207" s="97">
        <f>Table1[[#This Row],[OD Wdth]]*Table1[[#This Row],[OD Hgt]]</f>
        <v>3650</v>
      </c>
      <c r="AN207" s="216">
        <f>Table1[[#This Row],[Min VO]]+Table1[[#This Row],[Max VO]]</f>
        <v>121</v>
      </c>
      <c r="AO207" s="103"/>
      <c r="AP207" s="101"/>
      <c r="AQ207" s="104"/>
      <c r="AR207" s="104"/>
      <c r="AS207" s="104"/>
      <c r="AT207" s="104"/>
      <c r="AU207" s="108" t="str">
        <f t="shared" si="74"/>
        <v>-</v>
      </c>
    </row>
    <row r="208" spans="1:53" x14ac:dyDescent="0.2">
      <c r="A208" s="86" t="s">
        <v>58</v>
      </c>
      <c r="B208" s="1061" t="s">
        <v>159</v>
      </c>
      <c r="C208" s="76" t="s">
        <v>676</v>
      </c>
      <c r="D208" s="76" t="s">
        <v>677</v>
      </c>
      <c r="E208" s="85" t="s">
        <v>673</v>
      </c>
      <c r="F208" s="85" t="s">
        <v>634</v>
      </c>
      <c r="G208" s="86" t="s">
        <v>381</v>
      </c>
      <c r="H208" s="86" t="s">
        <v>381</v>
      </c>
      <c r="I208" s="86" t="s">
        <v>52</v>
      </c>
      <c r="J208" s="86" t="s">
        <v>53</v>
      </c>
      <c r="K208" s="86" t="s">
        <v>54</v>
      </c>
      <c r="L208" s="86" t="s">
        <v>55</v>
      </c>
      <c r="M208" s="87">
        <v>1155</v>
      </c>
      <c r="N208" s="639">
        <v>1155</v>
      </c>
      <c r="O208" s="60" t="s">
        <v>56</v>
      </c>
      <c r="P208" s="60">
        <v>49</v>
      </c>
      <c r="Q208" s="60">
        <v>72</v>
      </c>
      <c r="R208" s="60">
        <v>49</v>
      </c>
      <c r="S208" s="273">
        <v>72</v>
      </c>
      <c r="T208" s="273">
        <f>Table1[[#This Row],[VO Wdth]]</f>
        <v>49</v>
      </c>
      <c r="U208" s="273">
        <f>Table1[[#This Row],[VO Hgt]]</f>
        <v>72</v>
      </c>
      <c r="V208" s="946">
        <f>IF(J208="Canvas",P208+BorderGW,P208)</f>
        <v>57</v>
      </c>
      <c r="W208" s="946">
        <f>IF(J208="Canvas",Q208+BorderGW,Q208)</f>
        <v>80</v>
      </c>
      <c r="X208" s="138">
        <v>82</v>
      </c>
      <c r="Y208" s="60"/>
      <c r="Z208" s="60"/>
      <c r="AA208" s="717">
        <f t="shared" si="76"/>
        <v>31.666666666666668</v>
      </c>
      <c r="AB208" s="125">
        <f t="shared" si="77"/>
        <v>666.26666666666665</v>
      </c>
      <c r="AC208" s="69">
        <f t="shared" ref="AC208:AC220" si="79">AA208*Canvas</f>
        <v>20.900000000000002</v>
      </c>
      <c r="AD208" s="48">
        <f t="shared" si="78"/>
        <v>53.301333333333339</v>
      </c>
      <c r="AE208" s="104">
        <f>IF(Table1[[#This Row],[Work Center]]="SwissQ",Materials!G$37,IF(Table1[[#This Row],[Work Center]]="Inca",Materials!G$29,IF(Table1[[#This Row],[Work Center]]="Canon",Materials!G$49,Materials!G$45)))</f>
        <v>8</v>
      </c>
      <c r="AF208" s="72">
        <f>'Cali FPS'!C126</f>
        <v>189.88</v>
      </c>
      <c r="AG208" s="115"/>
      <c r="AH208" s="498">
        <f t="shared" si="65"/>
        <v>57.75</v>
      </c>
      <c r="AI208" s="498"/>
      <c r="AJ208" s="69">
        <f t="shared" si="75"/>
        <v>329.8313333333333</v>
      </c>
      <c r="AK208" s="650">
        <f t="shared" si="67"/>
        <v>0.71443174603174608</v>
      </c>
      <c r="AL208" s="225">
        <f>Table1[[#This Row],[WSP/Dealer]]/Table1[[#This Row],[OD Sq Inch]]</f>
        <v>0.32738095238095238</v>
      </c>
      <c r="AM208" s="103">
        <f>Table1[[#This Row],[OD Wdth]]*Table1[[#This Row],[OD Hgt]]</f>
        <v>3528</v>
      </c>
      <c r="AN208" s="216">
        <f>Table1[[#This Row],[Min VO]]+Table1[[#This Row],[Max VO]]</f>
        <v>121</v>
      </c>
      <c r="AO208" s="101"/>
      <c r="AP208" s="101"/>
      <c r="AQ208" s="104"/>
      <c r="AR208" s="104"/>
      <c r="AS208" s="104"/>
      <c r="AT208" s="104"/>
      <c r="AU208" s="830" t="str">
        <f t="shared" si="74"/>
        <v>-</v>
      </c>
    </row>
    <row r="209" spans="1:47" s="103" customFormat="1" x14ac:dyDescent="0.2">
      <c r="A209" s="86" t="s">
        <v>58</v>
      </c>
      <c r="B209" s="1061" t="s">
        <v>159</v>
      </c>
      <c r="C209" s="76" t="s">
        <v>678</v>
      </c>
      <c r="D209" s="76" t="s">
        <v>679</v>
      </c>
      <c r="E209" s="85" t="s">
        <v>673</v>
      </c>
      <c r="F209" s="85" t="s">
        <v>634</v>
      </c>
      <c r="G209" s="86" t="s">
        <v>381</v>
      </c>
      <c r="H209" s="86" t="s">
        <v>680</v>
      </c>
      <c r="I209" s="86" t="s">
        <v>52</v>
      </c>
      <c r="J209" s="86" t="s">
        <v>53</v>
      </c>
      <c r="K209" s="86" t="s">
        <v>82</v>
      </c>
      <c r="L209" s="86" t="s">
        <v>83</v>
      </c>
      <c r="M209" s="87">
        <f>1155+118</f>
        <v>1273</v>
      </c>
      <c r="N209" s="639">
        <v>1350</v>
      </c>
      <c r="O209" s="60" t="s">
        <v>56</v>
      </c>
      <c r="P209" s="60">
        <v>49</v>
      </c>
      <c r="Q209" s="60">
        <v>72</v>
      </c>
      <c r="R209" s="60">
        <v>49</v>
      </c>
      <c r="S209" s="273">
        <v>72</v>
      </c>
      <c r="T209" s="60">
        <v>51</v>
      </c>
      <c r="U209" s="273">
        <v>75</v>
      </c>
      <c r="V209" s="47">
        <f>IF(J209="Canvas",P209+BorderGW,P209)</f>
        <v>57</v>
      </c>
      <c r="W209" s="47">
        <f>IF(J209="Canvas",Q209+BorderGW,Q209)</f>
        <v>80</v>
      </c>
      <c r="X209" s="138">
        <v>82</v>
      </c>
      <c r="Y209" s="60"/>
      <c r="Z209" s="60"/>
      <c r="AA209" s="717">
        <f t="shared" si="76"/>
        <v>31.666666666666668</v>
      </c>
      <c r="AB209" s="125">
        <f t="shared" si="77"/>
        <v>666.26666666666665</v>
      </c>
      <c r="AC209" s="69">
        <f t="shared" si="79"/>
        <v>20.900000000000002</v>
      </c>
      <c r="AD209" s="48">
        <f t="shared" si="78"/>
        <v>53.301333333333339</v>
      </c>
      <c r="AE209" s="104">
        <f>IF(Table1[[#This Row],[Work Center]]="SwissQ",Materials!G$37,IF(Table1[[#This Row],[Work Center]]="Inca",Materials!G$29,IF(Table1[[#This Row],[Work Center]]="Canon",Materials!G$49,Materials!G$45)))</f>
        <v>8</v>
      </c>
      <c r="AF209" s="104">
        <f>'Cali Frames'!D$158</f>
        <v>242.2525</v>
      </c>
      <c r="AG209" s="115"/>
      <c r="AH209" s="112">
        <f t="shared" si="65"/>
        <v>63.650000000000006</v>
      </c>
      <c r="AI209" s="112"/>
      <c r="AJ209" s="48">
        <f t="shared" si="75"/>
        <v>388.10383333333334</v>
      </c>
      <c r="AK209" s="62">
        <f t="shared" si="67"/>
        <v>0.6951266038229903</v>
      </c>
      <c r="AL209" s="225">
        <f>Table1[[#This Row],[WSP/Dealer]]/Table1[[#This Row],[OD Sq Inch]]</f>
        <v>0.33281045751633986</v>
      </c>
      <c r="AM209" s="97">
        <f>Table1[[#This Row],[OD Wdth]]*Table1[[#This Row],[OD Hgt]]</f>
        <v>3825</v>
      </c>
      <c r="AN209" s="216">
        <f>Table1[[#This Row],[Min VO]]+Table1[[#This Row],[Max VO]]</f>
        <v>121</v>
      </c>
      <c r="AO209" s="101"/>
      <c r="AP209" s="101"/>
      <c r="AQ209" s="104"/>
      <c r="AR209" s="104"/>
      <c r="AS209" s="104"/>
      <c r="AT209" s="104"/>
      <c r="AU209" s="830" t="str">
        <f t="shared" si="74"/>
        <v>-</v>
      </c>
    </row>
    <row r="210" spans="1:47" s="218" customFormat="1" hidden="1" x14ac:dyDescent="0.2">
      <c r="A210" s="216" t="s">
        <v>272</v>
      </c>
      <c r="B210" s="1061" t="s">
        <v>273</v>
      </c>
      <c r="C210" s="243" t="s">
        <v>681</v>
      </c>
      <c r="D210" s="232"/>
      <c r="E210" s="217" t="s">
        <v>682</v>
      </c>
      <c r="F210" s="217" t="s">
        <v>634</v>
      </c>
      <c r="G210" s="216" t="s">
        <v>483</v>
      </c>
      <c r="H210" s="216" t="s">
        <v>483</v>
      </c>
      <c r="I210" s="216" t="s">
        <v>108</v>
      </c>
      <c r="J210" s="216" t="s">
        <v>53</v>
      </c>
      <c r="K210" s="216" t="s">
        <v>54</v>
      </c>
      <c r="L210" s="216" t="s">
        <v>55</v>
      </c>
      <c r="M210" s="219">
        <v>400</v>
      </c>
      <c r="N210" s="219"/>
      <c r="O210" s="216" t="s">
        <v>109</v>
      </c>
      <c r="P210" s="216">
        <v>40</v>
      </c>
      <c r="Q210" s="216">
        <v>60</v>
      </c>
      <c r="R210" s="216">
        <v>40</v>
      </c>
      <c r="S210" s="216">
        <v>60</v>
      </c>
      <c r="T210" s="216">
        <v>40</v>
      </c>
      <c r="U210" s="216">
        <v>60</v>
      </c>
      <c r="V210" s="222">
        <f>IF(J210="Canvas",P210+BorderGW,P210)</f>
        <v>48</v>
      </c>
      <c r="W210" s="222">
        <f>IF(J210="Canvas",Q210+BorderGW,Q210)</f>
        <v>68</v>
      </c>
      <c r="X210" s="223">
        <v>54</v>
      </c>
      <c r="Y210" s="216"/>
      <c r="Z210" s="216"/>
      <c r="AA210" s="718">
        <f t="shared" si="76"/>
        <v>22.666666666666668</v>
      </c>
      <c r="AB210" s="233">
        <f>AA210*EPSONM</f>
        <v>102</v>
      </c>
      <c r="AC210" s="225">
        <f t="shared" si="79"/>
        <v>14.96</v>
      </c>
      <c r="AD210" s="207">
        <f>Table1[[#This Row],[Ink g/mL]]*EPSONC</f>
        <v>22.44</v>
      </c>
      <c r="AE210" s="104">
        <f>IF(Table1[[#This Row],[Work Center]]="SwissQ",Materials!G$37,IF(Table1[[#This Row],[Work Center]]="Inca",Materials!G$29,IF(Table1[[#This Row],[Work Center]]="Canon",Materials!G$49,Materials!G$45)))</f>
        <v>5</v>
      </c>
      <c r="AF210" s="225">
        <f>'Cali FPS'!C89</f>
        <v>112.01750000000001</v>
      </c>
      <c r="AG210" s="115"/>
      <c r="AH210" s="498">
        <f t="shared" si="65"/>
        <v>20</v>
      </c>
      <c r="AI210" s="498"/>
      <c r="AJ210" s="207">
        <f t="shared" si="75"/>
        <v>174.41750000000002</v>
      </c>
      <c r="AK210" s="650">
        <f t="shared" si="67"/>
        <v>0.56395624999999994</v>
      </c>
      <c r="AL210" s="225">
        <f>Table1[[#This Row],[WSP/Dealer]]/Table1[[#This Row],[OD Sq Inch]]</f>
        <v>0.16666666666666666</v>
      </c>
      <c r="AM210" s="103">
        <f>Table1[[#This Row],[OD Wdth]]*Table1[[#This Row],[OD Hgt]]</f>
        <v>2400</v>
      </c>
      <c r="AN210" s="216">
        <f>Table1[[#This Row],[Min VO]]+Table1[[#This Row],[Max VO]]</f>
        <v>100</v>
      </c>
      <c r="AO210" s="216" t="s">
        <v>683</v>
      </c>
      <c r="AP210" s="226"/>
      <c r="AQ210" s="226"/>
      <c r="AR210" s="226"/>
      <c r="AS210" s="226"/>
      <c r="AT210" s="226"/>
      <c r="AU210" s="1363" t="str">
        <f t="shared" si="74"/>
        <v>-</v>
      </c>
    </row>
    <row r="211" spans="1:47" s="170" customFormat="1" hidden="1" x14ac:dyDescent="0.2">
      <c r="A211" s="216" t="s">
        <v>272</v>
      </c>
      <c r="B211" s="1061" t="s">
        <v>273</v>
      </c>
      <c r="C211" s="232" t="s">
        <v>684</v>
      </c>
      <c r="D211" s="328"/>
      <c r="E211" s="217" t="s">
        <v>685</v>
      </c>
      <c r="F211" s="217" t="s">
        <v>634</v>
      </c>
      <c r="G211" s="216" t="s">
        <v>483</v>
      </c>
      <c r="H211" s="216" t="s">
        <v>483</v>
      </c>
      <c r="I211" s="216" t="s">
        <v>52</v>
      </c>
      <c r="J211" s="216" t="s">
        <v>53</v>
      </c>
      <c r="K211" s="216" t="s">
        <v>54</v>
      </c>
      <c r="L211" s="216" t="s">
        <v>55</v>
      </c>
      <c r="M211" s="219">
        <v>450</v>
      </c>
      <c r="N211" s="219"/>
      <c r="O211" s="216" t="s">
        <v>56</v>
      </c>
      <c r="P211" s="218">
        <v>40</v>
      </c>
      <c r="Q211" s="218">
        <v>60</v>
      </c>
      <c r="R211" s="216">
        <v>40</v>
      </c>
      <c r="S211" s="218">
        <v>60</v>
      </c>
      <c r="T211" s="218">
        <v>40</v>
      </c>
      <c r="U211" s="218">
        <v>60</v>
      </c>
      <c r="V211" s="222">
        <f>IF(J211="Canvas",P211+BorderGW,P211)</f>
        <v>48</v>
      </c>
      <c r="W211" s="222">
        <f>IF(J211="Canvas",Q211+BorderGW,Q211)</f>
        <v>68</v>
      </c>
      <c r="X211" s="223">
        <v>69</v>
      </c>
      <c r="Y211" s="216"/>
      <c r="Z211" s="216"/>
      <c r="AA211" s="718">
        <f t="shared" si="76"/>
        <v>22.666666666666668</v>
      </c>
      <c r="AB211" s="233">
        <f>AA211*IncaG</f>
        <v>476.90666666666669</v>
      </c>
      <c r="AC211" s="207">
        <f t="shared" si="79"/>
        <v>14.96</v>
      </c>
      <c r="AD211" s="206">
        <f>Table1[[#This Row],[Ink g/mL]]*Materials!$C$29</f>
        <v>38.152533333333338</v>
      </c>
      <c r="AE211" s="104">
        <f>IF(Table1[[#This Row],[Work Center]]="SwissQ",Materials!G$37,IF(Table1[[#This Row],[Work Center]]="Inca",Materials!G$29,IF(Table1[[#This Row],[Work Center]]="Canon",Materials!G$49,Materials!G$45)))</f>
        <v>8</v>
      </c>
      <c r="AF211" s="225"/>
      <c r="AG211" s="115"/>
      <c r="AH211" s="112">
        <f t="shared" si="65"/>
        <v>22.5</v>
      </c>
      <c r="AI211" s="112"/>
      <c r="AJ211" s="225">
        <f t="shared" si="75"/>
        <v>83.612533333333346</v>
      </c>
      <c r="AK211" s="62">
        <f t="shared" si="67"/>
        <v>0.81419437037037046</v>
      </c>
      <c r="AL211" s="225">
        <f>Table1[[#This Row],[WSP/Dealer]]/Table1[[#This Row],[OD Sq Inch]]</f>
        <v>0.1875</v>
      </c>
      <c r="AM211" s="103">
        <f>Table1[[#This Row],[OD Wdth]]*Table1[[#This Row],[OD Hgt]]</f>
        <v>2400</v>
      </c>
      <c r="AN211" s="216">
        <f>Table1[[#This Row],[Min VO]]+Table1[[#This Row],[Max VO]]</f>
        <v>100</v>
      </c>
      <c r="AO211" s="218" t="s">
        <v>683</v>
      </c>
      <c r="AP211" s="226"/>
      <c r="AQ211" s="226"/>
      <c r="AR211" s="226"/>
      <c r="AS211" s="226"/>
      <c r="AT211" s="226"/>
      <c r="AU211" s="1820" t="str">
        <f t="shared" si="74"/>
        <v>-</v>
      </c>
    </row>
    <row r="212" spans="1:47" s="170" customFormat="1" hidden="1" x14ac:dyDescent="0.2">
      <c r="A212" s="377"/>
      <c r="B212" s="279"/>
      <c r="C212" s="302" t="s">
        <v>686</v>
      </c>
      <c r="D212" s="302"/>
      <c r="E212" s="284" t="s">
        <v>687</v>
      </c>
      <c r="F212" s="284" t="s">
        <v>571</v>
      </c>
      <c r="G212" s="180" t="s">
        <v>519</v>
      </c>
      <c r="H212" s="180" t="s">
        <v>688</v>
      </c>
      <c r="I212" s="101" t="s">
        <v>574</v>
      </c>
      <c r="J212" s="310" t="s">
        <v>53</v>
      </c>
      <c r="K212" s="180" t="s">
        <v>69</v>
      </c>
      <c r="L212" s="180" t="s">
        <v>70</v>
      </c>
      <c r="M212" s="292">
        <v>210</v>
      </c>
      <c r="N212" s="71"/>
      <c r="O212" s="145" t="s">
        <v>575</v>
      </c>
      <c r="P212" s="173">
        <v>16</v>
      </c>
      <c r="Q212" s="173">
        <v>20</v>
      </c>
      <c r="R212" s="180">
        <v>16</v>
      </c>
      <c r="S212" s="173">
        <v>20</v>
      </c>
      <c r="T212" s="180">
        <v>17</v>
      </c>
      <c r="U212" s="180">
        <v>21</v>
      </c>
      <c r="V212" s="47">
        <f>IF(J212="Canvas",P212+Border,P212)</f>
        <v>24</v>
      </c>
      <c r="W212" s="47">
        <f>IF(J212="Canvas",Q212+Border,Q212)</f>
        <v>28</v>
      </c>
      <c r="X212" s="289">
        <v>40</v>
      </c>
      <c r="Y212" s="180">
        <v>24</v>
      </c>
      <c r="Z212" s="180">
        <v>28</v>
      </c>
      <c r="AA212" s="678">
        <f t="shared" si="76"/>
        <v>4.666666666666667</v>
      </c>
      <c r="AB212" s="329">
        <f>Table1[[#This Row],[Substrate SF]]*SWISSMLR*3</f>
        <v>28</v>
      </c>
      <c r="AC212" s="176">
        <f t="shared" si="79"/>
        <v>3.0800000000000005</v>
      </c>
      <c r="AD212" s="175">
        <f>Table1[[#This Row],[Substrate SF]]*SWISSCR*3</f>
        <v>3.0800000000000005</v>
      </c>
      <c r="AE212" s="69">
        <f>Materials!I$41</f>
        <v>8</v>
      </c>
      <c r="AF212" s="290">
        <f>'Cali Frames'!D267</f>
        <v>82.757499999999993</v>
      </c>
      <c r="AG212" s="284"/>
      <c r="AH212" s="112">
        <f t="shared" si="65"/>
        <v>10.5</v>
      </c>
      <c r="AI212" s="112"/>
      <c r="AJ212" s="176">
        <f t="shared" si="75"/>
        <v>107.41749999999999</v>
      </c>
      <c r="AK212" s="62">
        <f t="shared" si="67"/>
        <v>0.48848809523809528</v>
      </c>
      <c r="AL212" s="225">
        <f>Table1[[#This Row],[WSP/Dealer]]/Table1[[#This Row],[OD Sq Inch]]</f>
        <v>0.58823529411764708</v>
      </c>
      <c r="AM212" s="173">
        <f>Table1[[#This Row],[OD Wdth]]*Table1[[#This Row],[OD Hgt]]</f>
        <v>357</v>
      </c>
      <c r="AN212" s="180" t="str">
        <f>Table1[[#This Row],[Color]]</f>
        <v>BF</v>
      </c>
      <c r="AO212" s="83" t="str">
        <f>Table1[[#This Row],[Print Type]]</f>
        <v>Reductive+</v>
      </c>
      <c r="AP212" s="121"/>
      <c r="AQ212" s="121"/>
      <c r="AR212" s="121"/>
      <c r="AS212" s="121"/>
      <c r="AT212" s="104"/>
      <c r="AU212" s="1358" t="str">
        <f t="shared" si="74"/>
        <v>-</v>
      </c>
    </row>
    <row r="213" spans="1:47" s="868" customFormat="1" hidden="1" x14ac:dyDescent="0.2">
      <c r="A213" s="180" t="s">
        <v>95</v>
      </c>
      <c r="B213" s="1061" t="s">
        <v>96</v>
      </c>
      <c r="C213" s="76" t="s">
        <v>689</v>
      </c>
      <c r="D213" s="76"/>
      <c r="E213" s="83" t="s">
        <v>690</v>
      </c>
      <c r="F213" s="83" t="s">
        <v>448</v>
      </c>
      <c r="G213" s="60" t="s">
        <v>51</v>
      </c>
      <c r="H213" s="60" t="s">
        <v>364</v>
      </c>
      <c r="I213" s="60" t="s">
        <v>52</v>
      </c>
      <c r="J213" s="59" t="s">
        <v>53</v>
      </c>
      <c r="K213" s="60" t="s">
        <v>69</v>
      </c>
      <c r="L213" s="60" t="s">
        <v>73</v>
      </c>
      <c r="M213" s="179">
        <v>650</v>
      </c>
      <c r="N213" s="72"/>
      <c r="O213" s="60" t="s">
        <v>64</v>
      </c>
      <c r="P213" s="60">
        <v>30</v>
      </c>
      <c r="Q213" s="60">
        <v>40</v>
      </c>
      <c r="R213" s="60">
        <v>30</v>
      </c>
      <c r="S213" s="46">
        <v>40</v>
      </c>
      <c r="T213" s="46">
        <v>31</v>
      </c>
      <c r="U213" s="46">
        <v>41</v>
      </c>
      <c r="V213" s="47">
        <f>IF(J213="Canvas",P213+Border,P213)</f>
        <v>38</v>
      </c>
      <c r="W213" s="47">
        <f>IF(J213="Canvas",Q213+Border,Q213)</f>
        <v>48</v>
      </c>
      <c r="X213" s="138">
        <v>40</v>
      </c>
      <c r="Y213" s="46">
        <v>38</v>
      </c>
      <c r="Z213" s="46">
        <v>48</v>
      </c>
      <c r="AA213" s="717">
        <f t="shared" si="76"/>
        <v>12.666666666666666</v>
      </c>
      <c r="AB213" s="125">
        <f>AA213*Swiss1</f>
        <v>358.46666666666664</v>
      </c>
      <c r="AC213" s="69">
        <f t="shared" si="79"/>
        <v>8.36</v>
      </c>
      <c r="AD213" s="48">
        <f>Table1[[#This Row],[Substrate SF]]*Materials!C$37</f>
        <v>35.466666666666661</v>
      </c>
      <c r="AE213" s="69">
        <f>IF(Table1[[#This Row],[Work Center]]="SwissQ",Materials!G$37,IF(Table1[[#This Row],[Work Center]]="Inca",Materials!G$29,IF(Table1[[#This Row],[Work Center]]="Canon",Materials!G$49,Materials!G$45)))</f>
        <v>20</v>
      </c>
      <c r="AF213" s="72">
        <f>'Cali Frames'!D430</f>
        <v>108.955</v>
      </c>
      <c r="AG213" s="83"/>
      <c r="AH213" s="48">
        <f t="shared" si="65"/>
        <v>32.5</v>
      </c>
      <c r="AI213" s="48"/>
      <c r="AJ213" s="69">
        <f t="shared" si="75"/>
        <v>205.28166666666667</v>
      </c>
      <c r="AK213" s="62">
        <f t="shared" si="67"/>
        <v>0.68418205128205134</v>
      </c>
      <c r="AL213" s="225">
        <f>Table1[[#This Row],[WSP/Dealer]]/Table1[[#This Row],[OD Sq Inch]]</f>
        <v>0.51140833988985046</v>
      </c>
      <c r="AM213" s="218">
        <f>Table1[[#This Row],[OD Wdth]]*Table1[[#This Row],[OD Hgt]]</f>
        <v>1271</v>
      </c>
      <c r="AN213" s="216">
        <f>Table1[[#This Row],[Min VO]]+Table1[[#This Row],[Max VO]]</f>
        <v>70</v>
      </c>
      <c r="AO213" s="95"/>
      <c r="AP213" s="540"/>
      <c r="AQ213" s="540"/>
      <c r="AR213" s="540"/>
      <c r="AS213" s="540"/>
      <c r="AT213" s="69"/>
      <c r="AU213" s="1355" t="str">
        <f t="shared" si="74"/>
        <v>-</v>
      </c>
    </row>
    <row r="214" spans="1:47" s="103" customFormat="1" hidden="1" x14ac:dyDescent="0.2">
      <c r="A214" s="101" t="s">
        <v>110</v>
      </c>
      <c r="B214" s="1064" t="s">
        <v>134</v>
      </c>
      <c r="C214" s="100" t="s">
        <v>691</v>
      </c>
      <c r="D214" s="100"/>
      <c r="E214" s="115" t="s">
        <v>692</v>
      </c>
      <c r="F214" s="115" t="s">
        <v>124</v>
      </c>
      <c r="G214" s="101" t="s">
        <v>693</v>
      </c>
      <c r="H214" s="101" t="s">
        <v>693</v>
      </c>
      <c r="I214" s="101" t="s">
        <v>52</v>
      </c>
      <c r="J214" s="487" t="s">
        <v>53</v>
      </c>
      <c r="K214" s="101" t="s">
        <v>54</v>
      </c>
      <c r="L214" s="101" t="s">
        <v>55</v>
      </c>
      <c r="M214" s="299">
        <v>225</v>
      </c>
      <c r="N214" s="114"/>
      <c r="O214" s="101" t="s">
        <v>56</v>
      </c>
      <c r="P214" s="101">
        <v>12</v>
      </c>
      <c r="Q214" s="101">
        <v>12</v>
      </c>
      <c r="R214" s="101">
        <v>12</v>
      </c>
      <c r="S214" s="103">
        <v>12</v>
      </c>
      <c r="T214" s="103">
        <v>12</v>
      </c>
      <c r="U214" s="103">
        <v>12</v>
      </c>
      <c r="V214" s="106">
        <f>IF(J214="Canvas",P214+Border,P214)</f>
        <v>20</v>
      </c>
      <c r="W214" s="106">
        <f>IF(J214="Canvas",Q214+Border,Q214)</f>
        <v>20</v>
      </c>
      <c r="X214" s="137" t="s">
        <v>57</v>
      </c>
      <c r="Y214" s="101">
        <v>20</v>
      </c>
      <c r="Z214" s="101">
        <v>20</v>
      </c>
      <c r="AA214" s="649">
        <f t="shared" si="76"/>
        <v>2.7777777777777777</v>
      </c>
      <c r="AB214" s="184">
        <f>AA214*IncaG</f>
        <v>58.444444444444443</v>
      </c>
      <c r="AC214" s="104">
        <f t="shared" si="79"/>
        <v>1.8333333333333333</v>
      </c>
      <c r="AD214" s="120">
        <f>AA214*IncaC</f>
        <v>4.6755555555555555</v>
      </c>
      <c r="AE214" s="121">
        <f>IF(Table1[[#This Row],[Work Center]]="SwissQ",Materials!G$37,IF(Table1[[#This Row],[Work Center]]="Inca",Materials!G$29,IF(Table1[[#This Row],[Work Center]]="Canon",Materials!G$49,Materials!G$45)))</f>
        <v>8</v>
      </c>
      <c r="AF214" s="102">
        <f>'Cali FPS'!C10</f>
        <v>58.77</v>
      </c>
      <c r="AG214" s="115"/>
      <c r="AH214" s="121">
        <f>(M268*0.05)</f>
        <v>70</v>
      </c>
      <c r="AI214" s="406">
        <f>IF(A214="Codarus",(M214*0.13))</f>
        <v>29.25</v>
      </c>
      <c r="AJ214" s="104">
        <f>SUM(AC214:AI214)</f>
        <v>172.5288888888889</v>
      </c>
      <c r="AK214" s="830">
        <f>(M327-AJ214)/M327</f>
        <v>0.30988444444444441</v>
      </c>
      <c r="AL214" s="121">
        <f>Table1[[#This Row],[WSP/Dealer]]/Table1[[#This Row],[OD Sq Inch]]</f>
        <v>1.5625</v>
      </c>
      <c r="AM214" s="103">
        <f>Table1[[#This Row],[OD Wdth]]*Table1[[#This Row],[OD Hgt]]</f>
        <v>144</v>
      </c>
      <c r="AN214" s="101">
        <f>Table1[[#This Row],[Min VO]]+Table1[[#This Row],[Max VO]]</f>
        <v>24</v>
      </c>
      <c r="AO214" s="113"/>
      <c r="AP214" s="1307">
        <f>(M214*2)</f>
        <v>450</v>
      </c>
      <c r="AQ214" s="121">
        <f>(Table1[[#This Row],[Desgnr/Retail P]]*0.05)</f>
        <v>22.5</v>
      </c>
      <c r="AR214" s="121">
        <f>IF(A214="Codarus",(AP214*0.13))</f>
        <v>58.5</v>
      </c>
      <c r="AS214" s="121">
        <f>SUM(Table1[[#This Row],[Substrate $]:[GP FINISH]])+Table1[[#This Row],[Retail Royalty]]+Table1[[#This Row],[Retail$Comm]]</f>
        <v>154.2788888888889</v>
      </c>
      <c r="AT214" s="830">
        <f>IF(AP214=0,"-",(AP214-AS214)/AP214)</f>
        <v>0.65715802469135798</v>
      </c>
      <c r="AU214" s="1367">
        <f t="shared" si="74"/>
        <v>0.970792976680384</v>
      </c>
    </row>
    <row r="215" spans="1:47" s="46" customFormat="1" x14ac:dyDescent="0.2">
      <c r="A215" s="101" t="s">
        <v>58</v>
      </c>
      <c r="B215" s="1062" t="s">
        <v>121</v>
      </c>
      <c r="C215" s="100" t="s">
        <v>694</v>
      </c>
      <c r="D215" s="100"/>
      <c r="E215" s="115" t="s">
        <v>695</v>
      </c>
      <c r="F215" s="115" t="s">
        <v>124</v>
      </c>
      <c r="G215" s="101" t="s">
        <v>139</v>
      </c>
      <c r="H215" s="101" t="s">
        <v>139</v>
      </c>
      <c r="I215" s="101" t="s">
        <v>52</v>
      </c>
      <c r="J215" s="487" t="s">
        <v>53</v>
      </c>
      <c r="K215" s="101" t="s">
        <v>54</v>
      </c>
      <c r="L215" s="101" t="s">
        <v>55</v>
      </c>
      <c r="M215" s="299">
        <v>325</v>
      </c>
      <c r="N215" s="114"/>
      <c r="O215" s="101" t="s">
        <v>56</v>
      </c>
      <c r="P215" s="101">
        <v>24</v>
      </c>
      <c r="Q215" s="101">
        <v>24</v>
      </c>
      <c r="R215" s="101">
        <v>24</v>
      </c>
      <c r="S215" s="101">
        <v>24</v>
      </c>
      <c r="T215" s="101">
        <v>24</v>
      </c>
      <c r="U215" s="101">
        <v>24</v>
      </c>
      <c r="V215" s="489">
        <f>IF(J215="Canvas",P215+Border,P215)</f>
        <v>32</v>
      </c>
      <c r="W215" s="489">
        <f>IF(J215="Canvas",Q215+Border,Q215)</f>
        <v>32</v>
      </c>
      <c r="X215" s="137">
        <v>40</v>
      </c>
      <c r="Y215" s="101">
        <v>32</v>
      </c>
      <c r="Z215" s="101">
        <v>32</v>
      </c>
      <c r="AA215" s="649">
        <f t="shared" si="76"/>
        <v>7.1111111111111107</v>
      </c>
      <c r="AB215" s="184">
        <f>AA215*IncaG</f>
        <v>149.61777777777777</v>
      </c>
      <c r="AC215" s="104">
        <f t="shared" si="79"/>
        <v>4.6933333333333334</v>
      </c>
      <c r="AD215" s="107">
        <f>AA215*IncaC</f>
        <v>11.969422222222223</v>
      </c>
      <c r="AE215" s="104">
        <f>IF(Table1[[#This Row],[Work Center]]="SwissQ",Materials!G$37,IF(Table1[[#This Row],[Work Center]]="Inca",Materials!G$29,IF(Table1[[#This Row],[Work Center]]="Canon",Materials!G$49,Materials!G$45)))</f>
        <v>8</v>
      </c>
      <c r="AF215" s="102">
        <f>'Cali FPS'!C32</f>
        <v>63.47</v>
      </c>
      <c r="AG215" s="115"/>
      <c r="AH215" s="406">
        <f t="shared" ref="AH215:AH248" si="80">(M215*0.05)</f>
        <v>16.25</v>
      </c>
      <c r="AI215" s="406"/>
      <c r="AJ215" s="406">
        <f t="shared" ref="AJ215:AJ244" si="81">SUM(AC215:AH215)</f>
        <v>104.38275555555555</v>
      </c>
      <c r="AK215" s="1065">
        <f t="shared" ref="AK215:AK246" si="82">(M215-AJ215)/M215</f>
        <v>0.67882229059829058</v>
      </c>
      <c r="AL215" s="406">
        <f>Table1[[#This Row],[WSP/Dealer]]/Table1[[#This Row],[OD Sq Inch]]</f>
        <v>0.56423611111111116</v>
      </c>
      <c r="AM215" s="399">
        <f>Table1[[#This Row],[OD Wdth]]*Table1[[#This Row],[OD Hgt]]</f>
        <v>576</v>
      </c>
      <c r="AN215" s="400">
        <f>Table1[[#This Row],[Min VO]]+Table1[[#This Row],[Max VO]]</f>
        <v>48</v>
      </c>
      <c r="AO215" s="113"/>
      <c r="AP215" s="121"/>
      <c r="AQ215" s="121"/>
      <c r="AR215" s="121"/>
      <c r="AS215" s="121"/>
      <c r="AT215" s="104"/>
      <c r="AU215" s="1367" t="str">
        <f t="shared" si="74"/>
        <v>-</v>
      </c>
    </row>
    <row r="216" spans="1:47" s="63" customFormat="1" hidden="1" x14ac:dyDescent="0.2">
      <c r="A216" s="216" t="s">
        <v>272</v>
      </c>
      <c r="B216" s="1061" t="s">
        <v>595</v>
      </c>
      <c r="C216" s="1669" t="s">
        <v>696</v>
      </c>
      <c r="D216" s="232"/>
      <c r="E216" s="217" t="s">
        <v>697</v>
      </c>
      <c r="F216" s="217" t="s">
        <v>650</v>
      </c>
      <c r="G216" s="216" t="s">
        <v>449</v>
      </c>
      <c r="H216" s="216" t="s">
        <v>449</v>
      </c>
      <c r="I216" s="216" t="s">
        <v>698</v>
      </c>
      <c r="J216" s="216" t="s">
        <v>53</v>
      </c>
      <c r="K216" s="216" t="s">
        <v>54</v>
      </c>
      <c r="L216" s="216" t="s">
        <v>55</v>
      </c>
      <c r="M216" s="219">
        <v>270</v>
      </c>
      <c r="N216" s="219"/>
      <c r="O216" s="216" t="s">
        <v>64</v>
      </c>
      <c r="P216" s="221">
        <v>36</v>
      </c>
      <c r="Q216" s="221">
        <v>36</v>
      </c>
      <c r="R216" s="626">
        <v>36</v>
      </c>
      <c r="S216" s="221">
        <v>36</v>
      </c>
      <c r="T216" s="221">
        <v>36</v>
      </c>
      <c r="U216" s="221">
        <v>36</v>
      </c>
      <c r="V216" s="222">
        <f>IF(J216="Canvas",P216+Border,P216)</f>
        <v>44</v>
      </c>
      <c r="W216" s="222">
        <f>IF(J216="Canvas",Q216+Border,Q216)</f>
        <v>44</v>
      </c>
      <c r="X216" s="223" t="s">
        <v>699</v>
      </c>
      <c r="Y216" s="216"/>
      <c r="Z216" s="216"/>
      <c r="AA216" s="718">
        <f t="shared" si="76"/>
        <v>13.444444444444445</v>
      </c>
      <c r="AB216" s="233">
        <f>Table1[[#This Row],[Substrate SF]]*swiss3</f>
        <v>215.69747317410867</v>
      </c>
      <c r="AC216" s="225">
        <f t="shared" si="79"/>
        <v>8.8733333333333331</v>
      </c>
      <c r="AD216" s="1716">
        <f>Table1[[#This Row],[Ink g/mL]]*Materials!$B$36/1000</f>
        <v>21.569747317410869</v>
      </c>
      <c r="AE216" s="104">
        <f>IF(Table1[[#This Row],[Work Center]]="SwissQ",Materials!G$37,IF(Table1[[#This Row],[Work Center]]="Inca",Materials!G$29,IF(Table1[[#This Row],[Work Center]]="Canon",Materials!G$49,Materials!G$45)))</f>
        <v>20</v>
      </c>
      <c r="AF216" s="226">
        <f>'CALI_SONDER '!H$17</f>
        <v>67.14</v>
      </c>
      <c r="AG216" s="225"/>
      <c r="AH216" s="112">
        <f t="shared" si="80"/>
        <v>13.5</v>
      </c>
      <c r="AI216" s="112"/>
      <c r="AJ216" s="225">
        <f t="shared" si="81"/>
        <v>131.08308065074419</v>
      </c>
      <c r="AK216" s="62">
        <f t="shared" si="82"/>
        <v>0.5145071087009474</v>
      </c>
      <c r="AL216" s="225">
        <f>Table1[[#This Row],[WSP/Dealer]]/Table1[[#This Row],[OD Sq Inch]]</f>
        <v>0.20833333333333334</v>
      </c>
      <c r="AM216" s="103">
        <f>Table1[[#This Row],[OD Wdth]]*Table1[[#This Row],[OD Hgt]]</f>
        <v>1296</v>
      </c>
      <c r="AN216" s="216">
        <f>Table1[[#This Row],[Min VO]]+Table1[[#This Row],[Max VO]]</f>
        <v>72</v>
      </c>
      <c r="AO216" s="218"/>
      <c r="AP216" s="216"/>
      <c r="AQ216" s="225"/>
      <c r="AR216" s="225"/>
      <c r="AS216" s="225"/>
      <c r="AT216" s="225"/>
      <c r="AU216" s="1369" t="str">
        <f t="shared" si="74"/>
        <v>-</v>
      </c>
    </row>
    <row r="217" spans="1:47" s="63" customFormat="1" x14ac:dyDescent="0.2">
      <c r="A217" s="86" t="s">
        <v>58</v>
      </c>
      <c r="B217" s="1061" t="s">
        <v>591</v>
      </c>
      <c r="C217" s="75" t="s">
        <v>700</v>
      </c>
      <c r="D217" s="78" t="s">
        <v>701</v>
      </c>
      <c r="E217" s="85" t="s">
        <v>702</v>
      </c>
      <c r="F217" s="85" t="s">
        <v>650</v>
      </c>
      <c r="G217" s="86" t="s">
        <v>395</v>
      </c>
      <c r="H217" s="86" t="s">
        <v>395</v>
      </c>
      <c r="I217" s="86" t="s">
        <v>52</v>
      </c>
      <c r="J217" s="86" t="s">
        <v>53</v>
      </c>
      <c r="K217" s="86" t="s">
        <v>54</v>
      </c>
      <c r="L217" s="86" t="s">
        <v>55</v>
      </c>
      <c r="M217" s="87">
        <v>1175</v>
      </c>
      <c r="N217" s="639">
        <v>1175</v>
      </c>
      <c r="O217" s="101" t="s">
        <v>64</v>
      </c>
      <c r="P217" s="273">
        <v>60</v>
      </c>
      <c r="Q217" s="273">
        <v>60</v>
      </c>
      <c r="R217" s="60">
        <v>60</v>
      </c>
      <c r="S217" s="273">
        <v>60</v>
      </c>
      <c r="T217" s="273">
        <f>Table1[[#This Row],[VO Wdth]]</f>
        <v>60</v>
      </c>
      <c r="U217" s="273">
        <f>Table1[[#This Row],[VO Hgt]]</f>
        <v>60</v>
      </c>
      <c r="V217" s="106">
        <f>IF(J217="Canvas",P217+BorderL,P217)</f>
        <v>71</v>
      </c>
      <c r="W217" s="106">
        <f>IF(J217="Canvas",Q217+BorderL,Q217)</f>
        <v>71</v>
      </c>
      <c r="X217" s="137">
        <v>82</v>
      </c>
      <c r="Y217" s="101"/>
      <c r="Z217" s="101"/>
      <c r="AA217" s="649">
        <f t="shared" si="76"/>
        <v>35.006944444444443</v>
      </c>
      <c r="AB217" s="184">
        <f>Table1[[#This Row],[Substrate SF]]*Swiss1</f>
        <v>990.69652777777776</v>
      </c>
      <c r="AC217" s="104">
        <f t="shared" si="79"/>
        <v>23.104583333333334</v>
      </c>
      <c r="AD217" s="107">
        <f>Table1[[#This Row],[Substrate SF]]*Materials!C$37</f>
        <v>98.019444444444431</v>
      </c>
      <c r="AE217" s="104">
        <f>IF(Table1[[#This Row],[Work Center]]="SwissQ",Materials!G$37,IF(Table1[[#This Row],[Work Center]]="Inca",Materials!G$29,IF(Table1[[#This Row],[Work Center]]="Canon",Materials!G$49,Materials!G$45)))</f>
        <v>20</v>
      </c>
      <c r="AF217" s="74">
        <f>'Cali FPS'!C$159</f>
        <v>251.8775</v>
      </c>
      <c r="AG217" s="115"/>
      <c r="AH217" s="112">
        <f t="shared" si="80"/>
        <v>58.75</v>
      </c>
      <c r="AI217" s="112"/>
      <c r="AJ217" s="104">
        <f t="shared" si="81"/>
        <v>451.75152777777777</v>
      </c>
      <c r="AK217" s="62">
        <f t="shared" si="82"/>
        <v>0.61553061465721048</v>
      </c>
      <c r="AL217" s="225">
        <f>Table1[[#This Row],[WSP/Dealer]]/Table1[[#This Row],[OD Sq Inch]]</f>
        <v>0.3263888888888889</v>
      </c>
      <c r="AM217" s="216">
        <f>Table1[[#This Row],[OD Wdth]]*Table1[[#This Row],[OD Hgt]]</f>
        <v>3600</v>
      </c>
      <c r="AN217" s="216">
        <f>Table1[[#This Row],[Min VO]]+Table1[[#This Row],[Max VO]]</f>
        <v>120</v>
      </c>
      <c r="AO217" s="101"/>
      <c r="AP217" s="101"/>
      <c r="AQ217" s="104"/>
      <c r="AR217" s="104"/>
      <c r="AS217" s="104"/>
      <c r="AT217" s="104"/>
      <c r="AU217" s="830" t="str">
        <f t="shared" si="74"/>
        <v>-</v>
      </c>
    </row>
    <row r="218" spans="1:47" s="103" customFormat="1" hidden="1" x14ac:dyDescent="0.2">
      <c r="A218" s="216" t="s">
        <v>272</v>
      </c>
      <c r="B218" s="1061" t="s">
        <v>595</v>
      </c>
      <c r="C218" s="1669" t="s">
        <v>703</v>
      </c>
      <c r="D218" s="232"/>
      <c r="E218" s="217" t="s">
        <v>704</v>
      </c>
      <c r="F218" s="217" t="s">
        <v>650</v>
      </c>
      <c r="G218" s="216" t="s">
        <v>395</v>
      </c>
      <c r="H218" s="216" t="s">
        <v>395</v>
      </c>
      <c r="I218" s="216" t="s">
        <v>698</v>
      </c>
      <c r="J218" s="216" t="s">
        <v>53</v>
      </c>
      <c r="K218" s="216" t="s">
        <v>54</v>
      </c>
      <c r="L218" s="216" t="s">
        <v>55</v>
      </c>
      <c r="M218" s="219">
        <v>450</v>
      </c>
      <c r="N218" s="219"/>
      <c r="O218" s="216" t="s">
        <v>64</v>
      </c>
      <c r="P218" s="626">
        <v>60</v>
      </c>
      <c r="Q218" s="626">
        <v>60</v>
      </c>
      <c r="R218" s="216">
        <v>60</v>
      </c>
      <c r="S218" s="626">
        <v>60</v>
      </c>
      <c r="T218" s="626">
        <f>Table1[[#This Row],[VO Wdth]]</f>
        <v>60</v>
      </c>
      <c r="U218" s="626">
        <f>Table1[[#This Row],[VO Hgt]]</f>
        <v>60</v>
      </c>
      <c r="V218" s="907">
        <v>67</v>
      </c>
      <c r="W218" s="907">
        <v>67</v>
      </c>
      <c r="X218" s="223">
        <v>69</v>
      </c>
      <c r="Y218" s="216"/>
      <c r="Z218" s="216"/>
      <c r="AA218" s="718">
        <f t="shared" si="76"/>
        <v>31.173611111111111</v>
      </c>
      <c r="AB218" s="233">
        <f>Table1[[#This Row],[Substrate SF]]*swiss3</f>
        <v>500.13737452405672</v>
      </c>
      <c r="AC218" s="225">
        <f t="shared" si="79"/>
        <v>20.574583333333333</v>
      </c>
      <c r="AD218" s="1421">
        <f>Table1[[#This Row],[Ink g/mL]]*Materials!$B$36/1000</f>
        <v>50.013737452405671</v>
      </c>
      <c r="AE218" s="104">
        <f>IF(Table1[[#This Row],[Work Center]]="SwissQ",Materials!G$37,IF(Table1[[#This Row],[Work Center]]="Inca",Materials!G$29,IF(Table1[[#This Row],[Work Center]]="Canon",Materials!G$49,Materials!G$45)))</f>
        <v>20</v>
      </c>
      <c r="AF218" s="226">
        <f>'CALI_SONDER '!H$35</f>
        <v>173.19</v>
      </c>
      <c r="AG218" s="225"/>
      <c r="AH218" s="112">
        <f t="shared" si="80"/>
        <v>22.5</v>
      </c>
      <c r="AI218" s="112"/>
      <c r="AJ218" s="225">
        <f t="shared" si="81"/>
        <v>286.27832078573897</v>
      </c>
      <c r="AK218" s="62">
        <f t="shared" si="82"/>
        <v>0.36382595380946897</v>
      </c>
      <c r="AL218" s="225">
        <f>Table1[[#This Row],[WSP/Dealer]]/Table1[[#This Row],[OD Sq Inch]]</f>
        <v>0.125</v>
      </c>
      <c r="AM218" s="216">
        <f>Table1[[#This Row],[OD Wdth]]*Table1[[#This Row],[OD Hgt]]</f>
        <v>3600</v>
      </c>
      <c r="AN218" s="216">
        <f>Table1[[#This Row],[Min VO]]+Table1[[#This Row],[Max VO]]</f>
        <v>120</v>
      </c>
      <c r="AO218" s="216"/>
      <c r="AP218" s="216"/>
      <c r="AQ218" s="225"/>
      <c r="AR218" s="225"/>
      <c r="AS218" s="225"/>
      <c r="AT218" s="225"/>
      <c r="AU218" s="1363" t="str">
        <f t="shared" si="74"/>
        <v>-</v>
      </c>
    </row>
    <row r="219" spans="1:47" s="103" customFormat="1" ht="16" x14ac:dyDescent="0.2">
      <c r="A219" s="60" t="s">
        <v>58</v>
      </c>
      <c r="B219" s="1061" t="s">
        <v>587</v>
      </c>
      <c r="C219" s="293" t="s">
        <v>705</v>
      </c>
      <c r="D219" s="281"/>
      <c r="E219" s="294" t="s">
        <v>706</v>
      </c>
      <c r="F219" s="294" t="s">
        <v>124</v>
      </c>
      <c r="G219" s="295" t="s">
        <v>707</v>
      </c>
      <c r="H219" s="295" t="s">
        <v>707</v>
      </c>
      <c r="I219" s="181" t="s">
        <v>52</v>
      </c>
      <c r="J219" s="181" t="s">
        <v>53</v>
      </c>
      <c r="K219" s="295" t="s">
        <v>54</v>
      </c>
      <c r="L219" s="181" t="s">
        <v>55</v>
      </c>
      <c r="M219" s="292">
        <v>800</v>
      </c>
      <c r="N219" s="639">
        <v>800</v>
      </c>
      <c r="O219" s="180" t="s">
        <v>56</v>
      </c>
      <c r="P219" s="173">
        <v>56</v>
      </c>
      <c r="Q219" s="173">
        <v>34</v>
      </c>
      <c r="R219" s="60">
        <v>34</v>
      </c>
      <c r="S219" s="46">
        <v>56</v>
      </c>
      <c r="T219" s="1777">
        <f>Table1[[#This Row],[VO Wdth]]</f>
        <v>56</v>
      </c>
      <c r="U219" s="1777">
        <f>Table1[[#This Row],[VO Hgt]]</f>
        <v>34</v>
      </c>
      <c r="V219" s="149">
        <f>IF(J219="Canvas",P219+Border,P219)</f>
        <v>64</v>
      </c>
      <c r="W219" s="149">
        <f>IF(J219="Canvas",Q219+Border,Q219)</f>
        <v>42</v>
      </c>
      <c r="X219" s="289">
        <v>69</v>
      </c>
      <c r="Y219" s="180"/>
      <c r="Z219" s="180"/>
      <c r="AA219" s="722">
        <f t="shared" si="76"/>
        <v>18.666666666666668</v>
      </c>
      <c r="AB219" s="125">
        <f>AA219*IncaG</f>
        <v>392.74666666666667</v>
      </c>
      <c r="AC219" s="48">
        <f t="shared" si="79"/>
        <v>12.320000000000002</v>
      </c>
      <c r="AD219" s="48">
        <f>AA219*IncaC</f>
        <v>31.419733333333337</v>
      </c>
      <c r="AE219" s="104">
        <f>IF(Table1[[#This Row],[Work Center]]="SwissQ",Materials!G$37,IF(Table1[[#This Row],[Work Center]]="Inca",Materials!G$29,IF(Table1[[#This Row],[Work Center]]="Canon",Materials!G$49,Materials!G$45)))</f>
        <v>8</v>
      </c>
      <c r="AF219" s="296">
        <f>'Cali FPS'!C61</f>
        <v>106.66250000000001</v>
      </c>
      <c r="AG219" s="83"/>
      <c r="AH219" s="112">
        <f t="shared" si="80"/>
        <v>40</v>
      </c>
      <c r="AI219" s="112"/>
      <c r="AJ219" s="48">
        <f t="shared" si="81"/>
        <v>198.40223333333336</v>
      </c>
      <c r="AK219" s="62">
        <f t="shared" si="82"/>
        <v>0.75199720833333328</v>
      </c>
      <c r="AL219" s="225">
        <f>Table1[[#This Row],[WSP/Dealer]]/Table1[[#This Row],[OD Sq Inch]]</f>
        <v>0.42016806722689076</v>
      </c>
      <c r="AM219" s="46">
        <f>Table1[[#This Row],[OD Wdth]]*Table1[[#This Row],[OD Hgt]]</f>
        <v>1904</v>
      </c>
      <c r="AN219" s="216">
        <f>Table1[[#This Row],[Min VO]]+Table1[[#This Row],[Max VO]]</f>
        <v>90</v>
      </c>
      <c r="AO219" s="286"/>
      <c r="AP219" s="284"/>
      <c r="AQ219" s="296"/>
      <c r="AR219" s="296"/>
      <c r="AS219" s="296"/>
      <c r="AT219" s="176"/>
      <c r="AU219" s="1362" t="str">
        <f t="shared" si="74"/>
        <v>-</v>
      </c>
    </row>
    <row r="220" spans="1:47" s="103" customFormat="1" ht="16" x14ac:dyDescent="0.2">
      <c r="A220" s="60" t="s">
        <v>58</v>
      </c>
      <c r="B220" s="1061" t="s">
        <v>587</v>
      </c>
      <c r="C220" s="293" t="s">
        <v>708</v>
      </c>
      <c r="D220" s="281"/>
      <c r="E220" s="294" t="s">
        <v>709</v>
      </c>
      <c r="F220" s="294" t="s">
        <v>124</v>
      </c>
      <c r="G220" s="295" t="s">
        <v>710</v>
      </c>
      <c r="H220" s="295" t="s">
        <v>710</v>
      </c>
      <c r="I220" s="181" t="s">
        <v>52</v>
      </c>
      <c r="J220" s="181" t="s">
        <v>53</v>
      </c>
      <c r="K220" s="295" t="s">
        <v>54</v>
      </c>
      <c r="L220" s="181" t="s">
        <v>55</v>
      </c>
      <c r="M220" s="285">
        <v>1000</v>
      </c>
      <c r="N220" s="639">
        <v>1000</v>
      </c>
      <c r="O220" s="180" t="s">
        <v>56</v>
      </c>
      <c r="P220" s="173">
        <v>70</v>
      </c>
      <c r="Q220" s="173">
        <v>43</v>
      </c>
      <c r="R220" s="60">
        <v>43</v>
      </c>
      <c r="S220" s="46">
        <v>70</v>
      </c>
      <c r="T220" s="698">
        <f>Table1[[#This Row],[VO Wdth]]</f>
        <v>70</v>
      </c>
      <c r="U220" s="698">
        <f>Table1[[#This Row],[VO Hgt]]</f>
        <v>43</v>
      </c>
      <c r="V220" s="913">
        <f>IF(J220="Canvas",P220+Border,P220)</f>
        <v>78</v>
      </c>
      <c r="W220" s="913">
        <f>IF(J220="Canvas",Q220+Border,Q220)</f>
        <v>51</v>
      </c>
      <c r="X220" s="289">
        <v>82</v>
      </c>
      <c r="Y220" s="180"/>
      <c r="Z220" s="180"/>
      <c r="AA220" s="722">
        <f t="shared" si="76"/>
        <v>27.625</v>
      </c>
      <c r="AB220" s="125">
        <f>AA220*IncaG</f>
        <v>581.23</v>
      </c>
      <c r="AC220" s="69">
        <f t="shared" si="79"/>
        <v>18.232500000000002</v>
      </c>
      <c r="AD220" s="48">
        <f>AA220*IncaC</f>
        <v>46.498400000000004</v>
      </c>
      <c r="AE220" s="104">
        <f>IF(Table1[[#This Row],[Work Center]]="SwissQ",Materials!G$37,IF(Table1[[#This Row],[Work Center]]="Inca",Materials!G$29,IF(Table1[[#This Row],[Work Center]]="Canon",Materials!G$49,Materials!G$45)))</f>
        <v>8</v>
      </c>
      <c r="AF220" s="296">
        <f>'Cali FPS'!C100</f>
        <v>175.96250000000001</v>
      </c>
      <c r="AG220" s="83"/>
      <c r="AH220" s="112">
        <f t="shared" si="80"/>
        <v>50</v>
      </c>
      <c r="AI220" s="112"/>
      <c r="AJ220" s="48">
        <f t="shared" si="81"/>
        <v>298.6934</v>
      </c>
      <c r="AK220" s="62">
        <f t="shared" si="82"/>
        <v>0.7013066</v>
      </c>
      <c r="AL220" s="225">
        <f>Table1[[#This Row],[WSP/Dealer]]/Table1[[#This Row],[OD Sq Inch]]</f>
        <v>0.33222591362126247</v>
      </c>
      <c r="AM220" s="46">
        <f>Table1[[#This Row],[OD Wdth]]*Table1[[#This Row],[OD Hgt]]</f>
        <v>3010</v>
      </c>
      <c r="AN220" s="216">
        <f>Table1[[#This Row],[Min VO]]+Table1[[#This Row],[Max VO]]</f>
        <v>113</v>
      </c>
      <c r="AO220" s="284"/>
      <c r="AP220" s="284"/>
      <c r="AQ220" s="296"/>
      <c r="AR220" s="296"/>
      <c r="AS220" s="296"/>
      <c r="AT220" s="176"/>
      <c r="AU220" s="1358" t="str">
        <f t="shared" si="74"/>
        <v>-</v>
      </c>
    </row>
    <row r="221" spans="1:47" s="103" customFormat="1" hidden="1" x14ac:dyDescent="0.2">
      <c r="A221" s="374" t="s">
        <v>187</v>
      </c>
      <c r="B221" s="1061" t="s">
        <v>261</v>
      </c>
      <c r="C221" s="317" t="s">
        <v>711</v>
      </c>
      <c r="D221" s="317"/>
      <c r="E221" s="375" t="s">
        <v>712</v>
      </c>
      <c r="F221" s="375" t="s">
        <v>585</v>
      </c>
      <c r="G221" s="274" t="s">
        <v>586</v>
      </c>
      <c r="H221" s="274" t="s">
        <v>586</v>
      </c>
      <c r="I221" s="274" t="s">
        <v>52</v>
      </c>
      <c r="J221" s="344" t="s">
        <v>280</v>
      </c>
      <c r="K221" s="274" t="s">
        <v>281</v>
      </c>
      <c r="L221" s="274" t="s">
        <v>282</v>
      </c>
      <c r="M221" s="318">
        <v>1530</v>
      </c>
      <c r="N221" s="71">
        <v>450</v>
      </c>
      <c r="O221" s="274" t="s">
        <v>64</v>
      </c>
      <c r="P221" s="170">
        <v>24</v>
      </c>
      <c r="Q221" s="170">
        <v>30</v>
      </c>
      <c r="R221" s="274">
        <v>24</v>
      </c>
      <c r="S221" s="170">
        <v>30</v>
      </c>
      <c r="T221" s="170">
        <v>24</v>
      </c>
      <c r="U221" s="170">
        <v>30</v>
      </c>
      <c r="V221" s="686">
        <v>24</v>
      </c>
      <c r="W221" s="686">
        <v>30</v>
      </c>
      <c r="X221" s="343" t="s">
        <v>283</v>
      </c>
      <c r="Y221" s="274"/>
      <c r="Z221" s="274"/>
      <c r="AA221" s="727">
        <f t="shared" si="76"/>
        <v>5</v>
      </c>
      <c r="AB221" s="341">
        <f>AA221*Swiss1</f>
        <v>141.5</v>
      </c>
      <c r="AC221" s="278">
        <f>MDFSHEET*0.25</f>
        <v>6.0875000000000004</v>
      </c>
      <c r="AD221" s="263">
        <f>Table1[[#This Row],[Substrate SF]]*Materials!C$37</f>
        <v>14</v>
      </c>
      <c r="AE221" s="104">
        <f>IF(Table1[[#This Row],[Work Center]]="SwissQ",Materials!G$37,IF(Table1[[#This Row],[Work Center]]="Inca",Materials!G$29,IF(Table1[[#This Row],[Work Center]]="Canon",Materials!G$49,Materials!G$45)))</f>
        <v>20</v>
      </c>
      <c r="AF221" s="321">
        <f>'Cali Frames'!D540</f>
        <v>104.7375</v>
      </c>
      <c r="AG221" s="320"/>
      <c r="AH221" s="498">
        <f t="shared" si="80"/>
        <v>76.5</v>
      </c>
      <c r="AI221" s="498"/>
      <c r="AJ221" s="278">
        <f t="shared" si="81"/>
        <v>221.32499999999999</v>
      </c>
      <c r="AK221" s="650">
        <f t="shared" si="82"/>
        <v>0.85534313725490196</v>
      </c>
      <c r="AL221" s="225">
        <f>Table1[[#This Row],[WSP/Dealer]]/Table1[[#This Row],[OD Sq Inch]]</f>
        <v>2.125</v>
      </c>
      <c r="AM221" s="170">
        <f>Table1[[#This Row],[OD Wdth]]*Table1[[#This Row],[OD Hgt]]</f>
        <v>720</v>
      </c>
      <c r="AN221" s="238">
        <f>Table1[[#This Row],[Min VO]]+Table1[[#This Row],[Max VO]]</f>
        <v>54</v>
      </c>
      <c r="AO221" s="275"/>
      <c r="AP221" s="275"/>
      <c r="AQ221" s="320"/>
      <c r="AR221" s="320"/>
      <c r="AS221" s="320"/>
      <c r="AT221" s="278"/>
      <c r="AU221" s="1368" t="str">
        <f t="shared" si="74"/>
        <v>-</v>
      </c>
    </row>
    <row r="222" spans="1:47" s="45" customFormat="1" x14ac:dyDescent="0.2">
      <c r="A222" s="180" t="s">
        <v>58</v>
      </c>
      <c r="B222" s="279" t="s">
        <v>587</v>
      </c>
      <c r="C222" s="281" t="s">
        <v>711</v>
      </c>
      <c r="D222" s="281"/>
      <c r="E222" s="291" t="s">
        <v>712</v>
      </c>
      <c r="F222" s="291" t="s">
        <v>585</v>
      </c>
      <c r="G222" s="180" t="s">
        <v>586</v>
      </c>
      <c r="H222" s="180" t="s">
        <v>586</v>
      </c>
      <c r="I222" s="180" t="s">
        <v>52</v>
      </c>
      <c r="J222" s="310" t="s">
        <v>280</v>
      </c>
      <c r="K222" s="180" t="s">
        <v>281</v>
      </c>
      <c r="L222" s="180" t="s">
        <v>282</v>
      </c>
      <c r="M222" s="292">
        <v>450</v>
      </c>
      <c r="N222" s="639">
        <v>450</v>
      </c>
      <c r="O222" s="180" t="s">
        <v>64</v>
      </c>
      <c r="P222" s="180">
        <v>24</v>
      </c>
      <c r="Q222" s="180">
        <v>30</v>
      </c>
      <c r="R222" s="180">
        <v>24</v>
      </c>
      <c r="S222" s="180">
        <v>30</v>
      </c>
      <c r="T222" s="180">
        <v>24</v>
      </c>
      <c r="U222" s="180">
        <v>30</v>
      </c>
      <c r="V222" s="947">
        <v>24</v>
      </c>
      <c r="W222" s="947">
        <v>30</v>
      </c>
      <c r="X222" s="289" t="s">
        <v>283</v>
      </c>
      <c r="Y222" s="180"/>
      <c r="Z222" s="180"/>
      <c r="AA222" s="678">
        <f t="shared" si="76"/>
        <v>5</v>
      </c>
      <c r="AB222" s="329">
        <f>AA222*Swiss1</f>
        <v>141.5</v>
      </c>
      <c r="AC222" s="176">
        <f>MDFSHEET*0.25</f>
        <v>6.0875000000000004</v>
      </c>
      <c r="AD222" s="176">
        <f>Table1[[#This Row],[Substrate SF]]*Materials!C$37</f>
        <v>14</v>
      </c>
      <c r="AE222" s="104">
        <f>IF(Table1[[#This Row],[Work Center]]="SwissQ",Materials!G$37,IF(Table1[[#This Row],[Work Center]]="Inca",Materials!G$29,IF(Table1[[#This Row],[Work Center]]="Canon",Materials!G$49,Materials!G$45)))</f>
        <v>20</v>
      </c>
      <c r="AF222" s="290">
        <f>'Cali Frames'!D539</f>
        <v>101.955</v>
      </c>
      <c r="AG222" s="296"/>
      <c r="AH222" s="498">
        <f t="shared" si="80"/>
        <v>22.5</v>
      </c>
      <c r="AI222" s="498"/>
      <c r="AJ222" s="176">
        <f t="shared" si="81"/>
        <v>164.54249999999999</v>
      </c>
      <c r="AK222" s="650">
        <f t="shared" si="82"/>
        <v>0.63434999999999997</v>
      </c>
      <c r="AL222" s="225">
        <f>Table1[[#This Row],[WSP/Dealer]]/Table1[[#This Row],[OD Sq Inch]]</f>
        <v>0.625</v>
      </c>
      <c r="AM222" s="180">
        <f>Table1[[#This Row],[OD Wdth]]*Table1[[#This Row],[OD Hgt]]</f>
        <v>720</v>
      </c>
      <c r="AN222" s="216">
        <f>Table1[[#This Row],[Min VO]]+Table1[[#This Row],[Max VO]]</f>
        <v>54</v>
      </c>
      <c r="AO222" s="284"/>
      <c r="AP222" s="284"/>
      <c r="AQ222" s="296"/>
      <c r="AR222" s="296"/>
      <c r="AS222" s="296"/>
      <c r="AT222" s="176"/>
      <c r="AU222" s="1358" t="str">
        <f t="shared" si="74"/>
        <v>-</v>
      </c>
    </row>
    <row r="223" spans="1:47" s="63" customFormat="1" hidden="1" x14ac:dyDescent="0.2">
      <c r="A223" s="373" t="s">
        <v>187</v>
      </c>
      <c r="B223" s="1061" t="s">
        <v>261</v>
      </c>
      <c r="C223" s="316" t="s">
        <v>713</v>
      </c>
      <c r="D223" s="317"/>
      <c r="E223" s="316" t="s">
        <v>714</v>
      </c>
      <c r="F223" s="375" t="s">
        <v>585</v>
      </c>
      <c r="G223" s="315" t="s">
        <v>354</v>
      </c>
      <c r="H223" s="68" t="s">
        <v>354</v>
      </c>
      <c r="I223" s="274" t="s">
        <v>108</v>
      </c>
      <c r="J223" s="68" t="s">
        <v>197</v>
      </c>
      <c r="K223" s="274" t="s">
        <v>198</v>
      </c>
      <c r="L223" s="274" t="s">
        <v>199</v>
      </c>
      <c r="M223" s="696">
        <v>60</v>
      </c>
      <c r="N223" s="71"/>
      <c r="O223" s="274" t="s">
        <v>64</v>
      </c>
      <c r="P223" s="274">
        <v>24</v>
      </c>
      <c r="Q223" s="274">
        <v>30</v>
      </c>
      <c r="R223" s="274">
        <v>24</v>
      </c>
      <c r="S223" s="274">
        <v>30</v>
      </c>
      <c r="T223" s="274">
        <v>24</v>
      </c>
      <c r="U223" s="274">
        <v>30</v>
      </c>
      <c r="V223" s="277">
        <f>Table1[[#This Row],[VO Wdth]]+Materials!$C$7</f>
        <v>26</v>
      </c>
      <c r="W223" s="277">
        <f>Table1[[#This Row],[VO Hgt]]+Materials!$C$7</f>
        <v>32</v>
      </c>
      <c r="X223" s="343" t="s">
        <v>197</v>
      </c>
      <c r="Y223" s="68"/>
      <c r="Z223" s="68"/>
      <c r="AA223" s="699">
        <f t="shared" si="76"/>
        <v>5.7777777777777777</v>
      </c>
      <c r="AB223" s="341">
        <f>AA223*SWISSRML</f>
        <v>11.555555555555555</v>
      </c>
      <c r="AC223" s="74">
        <f>Table1[[#This Row],[Substrate SF]]*POster</f>
        <v>4.2986666666666666</v>
      </c>
      <c r="AD223" s="263">
        <f>Table1[[#This Row],[Substrate SF]]*SWISSRC</f>
        <v>1.2711111111111111</v>
      </c>
      <c r="AE22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23" s="73">
        <v>0</v>
      </c>
      <c r="AG223" s="126">
        <f>Materials!D$76</f>
        <v>10.82</v>
      </c>
      <c r="AH223" s="112">
        <f t="shared" si="80"/>
        <v>3</v>
      </c>
      <c r="AI223" s="112"/>
      <c r="AJ223" s="278">
        <f t="shared" si="81"/>
        <v>29.389777777777777</v>
      </c>
      <c r="AK223" s="62">
        <f t="shared" si="82"/>
        <v>0.51017037037037039</v>
      </c>
      <c r="AL223" s="225">
        <f>Table1[[#This Row],[WSP/Dealer]]/Table1[[#This Row],[OD Sq Inch]]</f>
        <v>8.3333333333333329E-2</v>
      </c>
      <c r="AM223" s="170">
        <f>Table1[[#This Row],[OD Wdth]]*Table1[[#This Row],[OD Hgt]]</f>
        <v>720</v>
      </c>
      <c r="AN223" s="84"/>
      <c r="AO223" s="84"/>
      <c r="AP223" s="84"/>
      <c r="AQ223" s="126"/>
      <c r="AR223" s="126"/>
      <c r="AS223" s="126"/>
      <c r="AT223" s="74"/>
      <c r="AU223" s="1357" t="str">
        <f t="shared" si="74"/>
        <v>-</v>
      </c>
    </row>
    <row r="224" spans="1:47" s="103" customFormat="1" x14ac:dyDescent="0.2">
      <c r="A224" s="86" t="s">
        <v>58</v>
      </c>
      <c r="B224" s="1061" t="s">
        <v>591</v>
      </c>
      <c r="C224" s="75" t="s">
        <v>715</v>
      </c>
      <c r="D224" s="78" t="s">
        <v>716</v>
      </c>
      <c r="E224" s="85" t="s">
        <v>717</v>
      </c>
      <c r="F224" s="85" t="s">
        <v>650</v>
      </c>
      <c r="G224" s="86" t="s">
        <v>132</v>
      </c>
      <c r="H224" s="86" t="s">
        <v>132</v>
      </c>
      <c r="I224" s="86" t="s">
        <v>52</v>
      </c>
      <c r="J224" s="86" t="s">
        <v>53</v>
      </c>
      <c r="K224" s="86" t="s">
        <v>54</v>
      </c>
      <c r="L224" s="86" t="s">
        <v>55</v>
      </c>
      <c r="M224" s="87">
        <v>650</v>
      </c>
      <c r="N224" s="639">
        <v>720</v>
      </c>
      <c r="O224" s="101" t="s">
        <v>56</v>
      </c>
      <c r="P224" s="273">
        <v>36</v>
      </c>
      <c r="Q224" s="273">
        <v>48</v>
      </c>
      <c r="R224" s="60">
        <v>36</v>
      </c>
      <c r="S224" s="273">
        <v>48</v>
      </c>
      <c r="T224" s="273">
        <f>Table1[[#This Row],[VO Wdth]]</f>
        <v>36</v>
      </c>
      <c r="U224" s="273">
        <f>Table1[[#This Row],[VO Hgt]]</f>
        <v>48</v>
      </c>
      <c r="V224" s="106">
        <f>IF(J224="Canvas",P224+BorderGW,P224)</f>
        <v>44</v>
      </c>
      <c r="W224" s="106">
        <f>IF(J224="Canvas",Q224+BorderGW,Q224)</f>
        <v>56</v>
      </c>
      <c r="X224" s="137">
        <v>59</v>
      </c>
      <c r="Y224" s="101"/>
      <c r="Z224" s="101"/>
      <c r="AA224" s="649">
        <f t="shared" si="76"/>
        <v>17.111111111111111</v>
      </c>
      <c r="AB224" s="184">
        <f>AA224*IncaG</f>
        <v>360.01777777777778</v>
      </c>
      <c r="AC224" s="104">
        <f t="shared" ref="AC224:AC245" si="83">AA224*Canvas</f>
        <v>11.293333333333333</v>
      </c>
      <c r="AD224" s="107">
        <f>AA224*IncaC</f>
        <v>28.801422222222222</v>
      </c>
      <c r="AE224" s="104">
        <f>IF(Table1[[#This Row],[Work Center]]="SwissQ",Materials!G$37,IF(Table1[[#This Row],[Work Center]]="Inca",Materials!G$29,IF(Table1[[#This Row],[Work Center]]="Canon",Materials!G$49,Materials!G$45)))</f>
        <v>8</v>
      </c>
      <c r="AF224" s="104">
        <f>'Cali FPS'!C$71</f>
        <v>114.31</v>
      </c>
      <c r="AG224" s="115"/>
      <c r="AH224" s="112">
        <f t="shared" si="80"/>
        <v>32.5</v>
      </c>
      <c r="AI224" s="112"/>
      <c r="AJ224" s="104">
        <f t="shared" si="81"/>
        <v>194.90475555555554</v>
      </c>
      <c r="AK224" s="62">
        <f t="shared" si="82"/>
        <v>0.70014652991452997</v>
      </c>
      <c r="AL224" s="225">
        <f>Table1[[#This Row],[WSP/Dealer]]/Table1[[#This Row],[OD Sq Inch]]</f>
        <v>0.37615740740740738</v>
      </c>
      <c r="AM224" s="103">
        <f>Table1[[#This Row],[OD Wdth]]*Table1[[#This Row],[OD Hgt]]</f>
        <v>1728</v>
      </c>
      <c r="AN224" s="216">
        <f>Table1[[#This Row],[Min VO]]+Table1[[#This Row],[Max VO]]</f>
        <v>84</v>
      </c>
      <c r="AO224" s="101"/>
      <c r="AP224" s="101"/>
      <c r="AQ224" s="104"/>
      <c r="AR224" s="104"/>
      <c r="AS224" s="104"/>
      <c r="AT224" s="104"/>
      <c r="AU224" s="830" t="str">
        <f t="shared" si="74"/>
        <v>-</v>
      </c>
    </row>
    <row r="225" spans="1:47" s="103" customFormat="1" hidden="1" x14ac:dyDescent="0.2">
      <c r="A225" s="60" t="s">
        <v>272</v>
      </c>
      <c r="B225" s="279" t="s">
        <v>718</v>
      </c>
      <c r="C225" s="76" t="s">
        <v>719</v>
      </c>
      <c r="D225" s="76"/>
      <c r="E225" s="83" t="s">
        <v>720</v>
      </c>
      <c r="F225" s="83" t="s">
        <v>634</v>
      </c>
      <c r="G225" s="60" t="s">
        <v>721</v>
      </c>
      <c r="H225" s="60" t="s">
        <v>721</v>
      </c>
      <c r="I225" s="60" t="s">
        <v>52</v>
      </c>
      <c r="J225" s="60" t="s">
        <v>53</v>
      </c>
      <c r="K225" s="60" t="s">
        <v>54</v>
      </c>
      <c r="L225" s="60" t="s">
        <v>55</v>
      </c>
      <c r="M225" s="141">
        <v>215</v>
      </c>
      <c r="N225" s="93"/>
      <c r="O225" s="60" t="s">
        <v>56</v>
      </c>
      <c r="P225" s="46">
        <v>32</v>
      </c>
      <c r="Q225" s="46">
        <v>26</v>
      </c>
      <c r="R225" s="60">
        <v>26</v>
      </c>
      <c r="S225" s="61">
        <v>32</v>
      </c>
      <c r="T225" s="61">
        <f>Table1[[#This Row],[VO Wdth]]</f>
        <v>32</v>
      </c>
      <c r="U225" s="61">
        <f>Table1[[#This Row],[VO Hgt]]</f>
        <v>26</v>
      </c>
      <c r="V225" s="47">
        <f>IF(J225="Canvas",P225+BorderGW,P225)</f>
        <v>40</v>
      </c>
      <c r="W225" s="47">
        <f>IF(J225="Canvas",Q225+BorderGW,Q225)</f>
        <v>34</v>
      </c>
      <c r="X225" s="138">
        <v>40</v>
      </c>
      <c r="Y225" s="60"/>
      <c r="Z225" s="60"/>
      <c r="AA225" s="717">
        <f t="shared" si="76"/>
        <v>9.4444444444444446</v>
      </c>
      <c r="AB225" s="125">
        <f>AA225*IncaG</f>
        <v>198.71111111111111</v>
      </c>
      <c r="AC225" s="69">
        <f t="shared" si="83"/>
        <v>6.2333333333333334</v>
      </c>
      <c r="AD225" s="48">
        <f>AA225*IncaC</f>
        <v>15.89688888888889</v>
      </c>
      <c r="AE225" s="69">
        <f>IF(Table1[[#This Row],[Work Center]]="SwissQ",Materials!G$37,IF(Table1[[#This Row],[Work Center]]="Inca",Materials!G$29,IF(Table1[[#This Row],[Work Center]]="Canon",Materials!G$49,Materials!G$45)))</f>
        <v>8</v>
      </c>
      <c r="AF225" s="69">
        <f>'CALI_SONDER '!H10</f>
        <v>57.99</v>
      </c>
      <c r="AG225" s="83"/>
      <c r="AH225" s="498">
        <f t="shared" si="80"/>
        <v>10.75</v>
      </c>
      <c r="AI225" s="498"/>
      <c r="AJ225" s="69">
        <f t="shared" si="81"/>
        <v>98.870222222222225</v>
      </c>
      <c r="AK225" s="650">
        <f t="shared" si="82"/>
        <v>0.5401385012919897</v>
      </c>
      <c r="AL225" s="225">
        <f>Table1[[#This Row],[WSP/Dealer]]/Table1[[#This Row],[OD Sq Inch]]</f>
        <v>0.25841346153846156</v>
      </c>
      <c r="AM225" s="46">
        <f>Table1[[#This Row],[OD Wdth]]*Table1[[#This Row],[OD Hgt]]</f>
        <v>832</v>
      </c>
      <c r="AN225" s="60">
        <f>Table1[[#This Row],[Min VO]]+Table1[[#This Row],[Max VO]]</f>
        <v>58</v>
      </c>
      <c r="AO225" s="46"/>
      <c r="AP225" s="60"/>
      <c r="AQ225" s="69"/>
      <c r="AR225" s="69"/>
      <c r="AS225" s="69"/>
      <c r="AT225" s="69"/>
      <c r="AU225" s="62" t="str">
        <f t="shared" si="74"/>
        <v>-</v>
      </c>
    </row>
    <row r="226" spans="1:47" s="103" customFormat="1" x14ac:dyDescent="0.2">
      <c r="A226" s="86" t="s">
        <v>58</v>
      </c>
      <c r="B226" s="1061" t="s">
        <v>406</v>
      </c>
      <c r="C226" s="100" t="s">
        <v>722</v>
      </c>
      <c r="D226" s="100" t="s">
        <v>723</v>
      </c>
      <c r="E226" s="85" t="s">
        <v>724</v>
      </c>
      <c r="F226" s="85" t="s">
        <v>634</v>
      </c>
      <c r="G226" s="86" t="s">
        <v>725</v>
      </c>
      <c r="H226" s="86" t="s">
        <v>725</v>
      </c>
      <c r="I226" s="86" t="s">
        <v>52</v>
      </c>
      <c r="J226" s="86" t="s">
        <v>53</v>
      </c>
      <c r="K226" s="86" t="s">
        <v>54</v>
      </c>
      <c r="L226" s="86" t="s">
        <v>55</v>
      </c>
      <c r="M226" s="87">
        <v>1127</v>
      </c>
      <c r="N226" s="639">
        <v>1300</v>
      </c>
      <c r="O226" s="551" t="s">
        <v>56</v>
      </c>
      <c r="P226" s="101">
        <v>76</v>
      </c>
      <c r="Q226" s="101">
        <v>54</v>
      </c>
      <c r="R226" s="60">
        <v>54</v>
      </c>
      <c r="S226" s="273">
        <v>76</v>
      </c>
      <c r="T226" s="273">
        <f>Table1[[#This Row],[VO Wdth]]</f>
        <v>76</v>
      </c>
      <c r="U226" s="273">
        <f>Table1[[#This Row],[VO Hgt]]</f>
        <v>54</v>
      </c>
      <c r="V226" s="106">
        <f>IF(J226="Canvas",P226+BorderGW,P226)</f>
        <v>84</v>
      </c>
      <c r="W226" s="106">
        <f>IF(J226="Canvas",Q226+BorderGW,Q226)</f>
        <v>62</v>
      </c>
      <c r="X226" s="189">
        <v>63</v>
      </c>
      <c r="Y226" s="68"/>
      <c r="Z226" s="68"/>
      <c r="AA226" s="649">
        <f t="shared" si="76"/>
        <v>36.166666666666664</v>
      </c>
      <c r="AB226" s="184">
        <f>AA226*IncaG</f>
        <v>760.9466666666666</v>
      </c>
      <c r="AC226" s="104">
        <f t="shared" si="83"/>
        <v>23.87</v>
      </c>
      <c r="AD226" s="107">
        <f>AA226*IncaC</f>
        <v>60.875733333333329</v>
      </c>
      <c r="AE226" s="104">
        <f>IF(Table1[[#This Row],[Work Center]]="SwissQ",Materials!G$37,IF(Table1[[#This Row],[Work Center]]="Inca",Materials!G$29,IF(Table1[[#This Row],[Work Center]]="Canon",Materials!G$49,Materials!G$45)))</f>
        <v>8</v>
      </c>
      <c r="AF226" s="74">
        <f>'Cali FPS'!C$145</f>
        <v>232.06750000000002</v>
      </c>
      <c r="AG226" s="115"/>
      <c r="AH226" s="498">
        <f t="shared" si="80"/>
        <v>56.35</v>
      </c>
      <c r="AI226" s="498"/>
      <c r="AJ226" s="104">
        <f t="shared" si="81"/>
        <v>381.16323333333338</v>
      </c>
      <c r="AK226" s="650">
        <f t="shared" si="82"/>
        <v>0.66178950014788518</v>
      </c>
      <c r="AL226" s="225">
        <f>Table1[[#This Row],[WSP/Dealer]]/Table1[[#This Row],[OD Sq Inch]]</f>
        <v>0.27461013645224169</v>
      </c>
      <c r="AM226" s="103">
        <f>Table1[[#This Row],[OD Wdth]]*Table1[[#This Row],[OD Hgt]]</f>
        <v>4104</v>
      </c>
      <c r="AN226" s="216">
        <f>Table1[[#This Row],[Min VO]]+Table1[[#This Row],[Max VO]]</f>
        <v>130</v>
      </c>
      <c r="AO226" s="101"/>
      <c r="AP226" s="101"/>
      <c r="AQ226" s="104"/>
      <c r="AR226" s="104"/>
      <c r="AS226" s="104"/>
      <c r="AT226" s="104"/>
      <c r="AU226" s="830" t="str">
        <f t="shared" si="74"/>
        <v>-</v>
      </c>
    </row>
    <row r="227" spans="1:47" s="173" customFormat="1" x14ac:dyDescent="0.2">
      <c r="A227" s="86" t="s">
        <v>58</v>
      </c>
      <c r="B227" s="1061" t="s">
        <v>88</v>
      </c>
      <c r="C227" s="100" t="s">
        <v>726</v>
      </c>
      <c r="D227" s="100" t="s">
        <v>727</v>
      </c>
      <c r="E227" s="85" t="s">
        <v>724</v>
      </c>
      <c r="F227" s="85" t="s">
        <v>634</v>
      </c>
      <c r="G227" s="86" t="s">
        <v>725</v>
      </c>
      <c r="H227" s="86" t="s">
        <v>728</v>
      </c>
      <c r="I227" s="86" t="s">
        <v>52</v>
      </c>
      <c r="J227" s="86" t="s">
        <v>53</v>
      </c>
      <c r="K227" s="86" t="s">
        <v>82</v>
      </c>
      <c r="L227" s="86" t="s">
        <v>83</v>
      </c>
      <c r="M227" s="87">
        <v>1177</v>
      </c>
      <c r="N227" s="639">
        <v>1400</v>
      </c>
      <c r="O227" s="551" t="s">
        <v>56</v>
      </c>
      <c r="P227" s="101">
        <v>76</v>
      </c>
      <c r="Q227" s="101">
        <v>54</v>
      </c>
      <c r="R227" s="60">
        <v>54</v>
      </c>
      <c r="S227" s="273">
        <v>76</v>
      </c>
      <c r="T227" s="101">
        <v>78</v>
      </c>
      <c r="U227" s="101" t="str">
        <f>RIGHT(H227,2)</f>
        <v>56</v>
      </c>
      <c r="V227" s="608">
        <f>IF(J227="Canvas",P227+Border,P227)</f>
        <v>84</v>
      </c>
      <c r="W227" s="608">
        <f>IF(J227="Canvas",Q227+Border,Q227)</f>
        <v>62</v>
      </c>
      <c r="X227" s="189">
        <v>63</v>
      </c>
      <c r="Y227" s="68"/>
      <c r="Z227" s="68"/>
      <c r="AA227" s="649">
        <f t="shared" si="76"/>
        <v>36.166666666666664</v>
      </c>
      <c r="AB227" s="184">
        <f>AA227*IncaG</f>
        <v>760.9466666666666</v>
      </c>
      <c r="AC227" s="104">
        <f t="shared" si="83"/>
        <v>23.87</v>
      </c>
      <c r="AD227" s="107">
        <f>AA227*IncaC</f>
        <v>60.875733333333329</v>
      </c>
      <c r="AE227" s="104">
        <f>IF(Table1[[#This Row],[Work Center]]="SwissQ",Materials!G$37,IF(Table1[[#This Row],[Work Center]]="Inca",Materials!G$29,IF(Table1[[#This Row],[Work Center]]="Canon",Materials!G$49,Materials!G$45)))</f>
        <v>8</v>
      </c>
      <c r="AF227" s="104">
        <f>'Cali Frames'!D$163</f>
        <v>316.12</v>
      </c>
      <c r="AG227" s="115"/>
      <c r="AH227" s="498">
        <f t="shared" si="80"/>
        <v>58.85</v>
      </c>
      <c r="AI227" s="498"/>
      <c r="AJ227" s="104">
        <f t="shared" si="81"/>
        <v>467.71573333333333</v>
      </c>
      <c r="AK227" s="650">
        <f t="shared" si="82"/>
        <v>0.6026204474653073</v>
      </c>
      <c r="AL227" s="225">
        <f>Table1[[#This Row],[WSP/Dealer]]/Table1[[#This Row],[OD Sq Inch]]</f>
        <v>0.26945970695970695</v>
      </c>
      <c r="AM227" s="103">
        <f>Table1[[#This Row],[OD Wdth]]*Table1[[#This Row],[OD Hgt]]</f>
        <v>4368</v>
      </c>
      <c r="AN227" s="216">
        <f>Table1[[#This Row],[Min VO]]+Table1[[#This Row],[Max VO]]</f>
        <v>130</v>
      </c>
      <c r="AO227" s="101"/>
      <c r="AP227" s="101"/>
      <c r="AQ227" s="104"/>
      <c r="AR227" s="104"/>
      <c r="AS227" s="104"/>
      <c r="AT227" s="104"/>
      <c r="AU227" s="830" t="str">
        <f t="shared" si="74"/>
        <v>-</v>
      </c>
    </row>
    <row r="228" spans="1:47" s="173" customFormat="1" hidden="1" x14ac:dyDescent="0.2">
      <c r="A228" s="458"/>
      <c r="B228" s="1061"/>
      <c r="C228" s="79" t="s">
        <v>729</v>
      </c>
      <c r="D228" s="302">
        <v>172681</v>
      </c>
      <c r="E228" s="83" t="s">
        <v>730</v>
      </c>
      <c r="F228" s="83" t="s">
        <v>571</v>
      </c>
      <c r="G228" s="60" t="s">
        <v>731</v>
      </c>
      <c r="H228" s="60" t="s">
        <v>732</v>
      </c>
      <c r="I228" s="60" t="s">
        <v>52</v>
      </c>
      <c r="J228" s="60" t="s">
        <v>53</v>
      </c>
      <c r="K228" s="60" t="s">
        <v>69</v>
      </c>
      <c r="L228" s="60" t="s">
        <v>70</v>
      </c>
      <c r="M228" s="179">
        <v>390</v>
      </c>
      <c r="N228" s="71"/>
      <c r="O228" s="60" t="s">
        <v>64</v>
      </c>
      <c r="P228" s="60">
        <v>30</v>
      </c>
      <c r="Q228" s="60">
        <v>20</v>
      </c>
      <c r="R228" s="60">
        <v>20</v>
      </c>
      <c r="S228" s="60">
        <v>30</v>
      </c>
      <c r="T228" s="60">
        <v>31</v>
      </c>
      <c r="U228" s="60">
        <v>21</v>
      </c>
      <c r="V228" s="47">
        <f>IF(J228="Canvas",P228+Border,P228)</f>
        <v>38</v>
      </c>
      <c r="W228" s="47">
        <f>IF(J228="Canvas",Q228+Border,Q228)</f>
        <v>28</v>
      </c>
      <c r="X228" s="138">
        <v>40</v>
      </c>
      <c r="Y228" s="60">
        <v>38</v>
      </c>
      <c r="Z228" s="60">
        <v>28</v>
      </c>
      <c r="AA228" s="678">
        <f t="shared" si="76"/>
        <v>7.3888888888888893</v>
      </c>
      <c r="AB228" s="329">
        <f>Table1[[#This Row],[Substrate SF]]*Swiss1</f>
        <v>209.10555555555558</v>
      </c>
      <c r="AC228" s="176">
        <f t="shared" si="83"/>
        <v>4.8766666666666669</v>
      </c>
      <c r="AD228" s="175">
        <f>Table1[[#This Row],[Substrate SF]]*SWISSC1</f>
        <v>20.68888888888889</v>
      </c>
      <c r="AE228" s="69">
        <f>IF(Table1[[#This Row],[Work Center]]="SwissQ",Materials!G$37,IF(Table1[[#This Row],[Work Center]]="Inca",Materials!G$29,IF(Table1[[#This Row],[Work Center]]="Canon",Materials!G$49,Materials!G$45)))</f>
        <v>20</v>
      </c>
      <c r="AF228" s="72">
        <f>'Cali Frames'!H274</f>
        <v>88.41</v>
      </c>
      <c r="AG228" s="540"/>
      <c r="AH228" s="498">
        <f t="shared" si="80"/>
        <v>19.5</v>
      </c>
      <c r="AI228" s="498"/>
      <c r="AJ228" s="176">
        <f t="shared" si="81"/>
        <v>153.47555555555556</v>
      </c>
      <c r="AK228" s="650">
        <f t="shared" si="82"/>
        <v>0.60647293447293449</v>
      </c>
      <c r="AL228" s="225">
        <f>Table1[[#This Row],[WSP/Dealer]]/Table1[[#This Row],[OD Sq Inch]]</f>
        <v>0.59907834101382484</v>
      </c>
      <c r="AM228" s="173">
        <f>Table1[[#This Row],[OD Wdth]]*Table1[[#This Row],[OD Hgt]]</f>
        <v>651</v>
      </c>
      <c r="AN228" s="180" t="str">
        <f>Table1[[#This Row],[Color]]</f>
        <v>BF</v>
      </c>
      <c r="AO228" s="83" t="str">
        <f>Table1[[#This Row],[Print Type]]</f>
        <v>Synograph</v>
      </c>
      <c r="AP228" s="83"/>
      <c r="AQ228" s="540"/>
      <c r="AR228" s="540"/>
      <c r="AS228" s="540"/>
      <c r="AT228" s="69"/>
      <c r="AU228" s="1361" t="str">
        <f t="shared" si="74"/>
        <v>-</v>
      </c>
    </row>
    <row r="229" spans="1:47" s="399" customFormat="1" hidden="1" x14ac:dyDescent="0.2">
      <c r="A229" s="470" t="s">
        <v>318</v>
      </c>
      <c r="B229" s="279" t="s">
        <v>96</v>
      </c>
      <c r="C229" s="79" t="s">
        <v>733</v>
      </c>
      <c r="D229" s="302">
        <v>172681</v>
      </c>
      <c r="E229" s="83" t="s">
        <v>730</v>
      </c>
      <c r="F229" s="83" t="s">
        <v>571</v>
      </c>
      <c r="G229" s="60" t="s">
        <v>731</v>
      </c>
      <c r="H229" s="60" t="s">
        <v>732</v>
      </c>
      <c r="I229" s="60" t="s">
        <v>574</v>
      </c>
      <c r="J229" s="60" t="s">
        <v>53</v>
      </c>
      <c r="K229" s="60" t="s">
        <v>69</v>
      </c>
      <c r="L229" s="60" t="s">
        <v>73</v>
      </c>
      <c r="M229" s="544">
        <v>325</v>
      </c>
      <c r="N229" s="786">
        <v>800</v>
      </c>
      <c r="O229" s="145" t="s">
        <v>575</v>
      </c>
      <c r="P229" s="60">
        <v>30</v>
      </c>
      <c r="Q229" s="60">
        <v>20</v>
      </c>
      <c r="R229" s="60">
        <v>20</v>
      </c>
      <c r="S229" s="60">
        <v>30</v>
      </c>
      <c r="T229" s="60">
        <v>31</v>
      </c>
      <c r="U229" s="60">
        <v>21</v>
      </c>
      <c r="V229" s="946">
        <f>IF(J229="Canvas",P229+Border,P229)</f>
        <v>38</v>
      </c>
      <c r="W229" s="946">
        <f>IF(J229="Canvas",Q229+Border,Q229)</f>
        <v>28</v>
      </c>
      <c r="X229" s="138">
        <v>40</v>
      </c>
      <c r="Y229" s="60">
        <v>38</v>
      </c>
      <c r="Z229" s="60">
        <v>28</v>
      </c>
      <c r="AA229" s="717">
        <f t="shared" si="76"/>
        <v>7.3888888888888893</v>
      </c>
      <c r="AB229" s="329">
        <f>Table1[[#This Row],[Substrate SF]]*SWISSMLR*3</f>
        <v>44.333333333333336</v>
      </c>
      <c r="AC229" s="69">
        <f t="shared" si="83"/>
        <v>4.8766666666666669</v>
      </c>
      <c r="AD229" s="175">
        <f>Table1[[#This Row],[Substrate SF]]*SWISSCR*3</f>
        <v>4.8766666666666669</v>
      </c>
      <c r="AE229" s="69">
        <f>Materials!I$41</f>
        <v>8</v>
      </c>
      <c r="AF229" s="72">
        <f>'Cali Frames'!D419</f>
        <v>83.685000000000002</v>
      </c>
      <c r="AG229" s="540"/>
      <c r="AH229" s="498">
        <f t="shared" si="80"/>
        <v>16.25</v>
      </c>
      <c r="AI229" s="498"/>
      <c r="AJ229" s="920">
        <f t="shared" si="81"/>
        <v>117.68833333333333</v>
      </c>
      <c r="AK229" s="650">
        <f t="shared" si="82"/>
        <v>0.63788205128205133</v>
      </c>
      <c r="AL229" s="225">
        <f>Table1[[#This Row],[WSP/Dealer]]/Table1[[#This Row],[OD Sq Inch]]</f>
        <v>0.49923195084485406</v>
      </c>
      <c r="AM229" s="173">
        <f>Table1[[#This Row],[OD Wdth]]*Table1[[#This Row],[OD Hgt]]</f>
        <v>651</v>
      </c>
      <c r="AN229" s="180" t="str">
        <f>Table1[[#This Row],[Color]]</f>
        <v>NF</v>
      </c>
      <c r="AO229" s="83" t="str">
        <f>Table1[[#This Row],[Print Type]]</f>
        <v>Reductive+</v>
      </c>
      <c r="AP229" s="540"/>
      <c r="AQ229" s="540"/>
      <c r="AR229" s="540"/>
      <c r="AS229" s="540"/>
      <c r="AT229" s="69"/>
      <c r="AU229" s="1361" t="str">
        <f t="shared" si="74"/>
        <v>-</v>
      </c>
    </row>
    <row r="230" spans="1:47" s="170" customFormat="1" x14ac:dyDescent="0.2">
      <c r="A230" s="86" t="s">
        <v>58</v>
      </c>
      <c r="B230" s="1061" t="s">
        <v>734</v>
      </c>
      <c r="C230" s="100" t="s">
        <v>735</v>
      </c>
      <c r="D230" s="77"/>
      <c r="E230" s="85" t="s">
        <v>736</v>
      </c>
      <c r="F230" s="85" t="s">
        <v>737</v>
      </c>
      <c r="G230" s="86" t="s">
        <v>738</v>
      </c>
      <c r="H230" s="86" t="s">
        <v>739</v>
      </c>
      <c r="I230" s="86" t="s">
        <v>52</v>
      </c>
      <c r="J230" s="86" t="s">
        <v>53</v>
      </c>
      <c r="K230" s="86" t="s">
        <v>69</v>
      </c>
      <c r="L230" s="86" t="s">
        <v>70</v>
      </c>
      <c r="M230" s="87">
        <v>850</v>
      </c>
      <c r="N230" s="639">
        <v>800</v>
      </c>
      <c r="O230" s="101" t="s">
        <v>64</v>
      </c>
      <c r="P230" s="103">
        <v>36</v>
      </c>
      <c r="Q230" s="103">
        <v>45</v>
      </c>
      <c r="R230" s="101">
        <v>36</v>
      </c>
      <c r="S230" s="116">
        <v>45</v>
      </c>
      <c r="T230" s="116">
        <v>36</v>
      </c>
      <c r="U230" s="116">
        <v>45</v>
      </c>
      <c r="V230" s="608">
        <f t="shared" ref="V230:V241" si="84">IF(J230="Canvas",P230+BorderGW,P230)</f>
        <v>44</v>
      </c>
      <c r="W230" s="608">
        <f t="shared" ref="W230:W241" si="85">IF(J230="Canvas",Q230+BorderGW,Q230)</f>
        <v>53</v>
      </c>
      <c r="X230" s="138" t="s">
        <v>699</v>
      </c>
      <c r="Y230" s="60"/>
      <c r="Z230" s="60"/>
      <c r="AA230" s="649">
        <f t="shared" si="76"/>
        <v>16.194444444444443</v>
      </c>
      <c r="AB230" s="184">
        <f t="shared" ref="AB230:AB244" si="86">AA230*Swiss1</f>
        <v>458.30277777777775</v>
      </c>
      <c r="AC230" s="104">
        <f t="shared" si="83"/>
        <v>10.688333333333333</v>
      </c>
      <c r="AD230" s="107">
        <f>Table1[[#This Row],[Substrate SF]]*Materials!C$37</f>
        <v>45.344444444444434</v>
      </c>
      <c r="AE230" s="104">
        <f>IF(Table1[[#This Row],[Work Center]]="SwissQ",Materials!G$37,IF(Table1[[#This Row],[Work Center]]="Inca",Materials!G$29,IF(Table1[[#This Row],[Work Center]]="Canon",Materials!G$49,Materials!G$45)))</f>
        <v>20</v>
      </c>
      <c r="AF230" s="104">
        <f>'Cali Frames'!D$299</f>
        <v>152.3725</v>
      </c>
      <c r="AG230" s="115"/>
      <c r="AH230" s="112">
        <f t="shared" si="80"/>
        <v>42.5</v>
      </c>
      <c r="AI230" s="112"/>
      <c r="AJ230" s="107">
        <f t="shared" si="81"/>
        <v>270.90527777777777</v>
      </c>
      <c r="AK230" s="62">
        <f t="shared" si="82"/>
        <v>0.68128790849673204</v>
      </c>
      <c r="AL230" s="225">
        <f>Table1[[#This Row],[WSP/Dealer]]/Table1[[#This Row],[OD Sq Inch]]</f>
        <v>0.52469135802469136</v>
      </c>
      <c r="AM230" s="218">
        <f>Table1[[#This Row],[OD Wdth]]*Table1[[#This Row],[OD Hgt]]</f>
        <v>1620</v>
      </c>
      <c r="AN230" s="216">
        <f>Table1[[#This Row],[Min VO]]+Table1[[#This Row],[Max VO]]</f>
        <v>81</v>
      </c>
      <c r="AO230" s="101"/>
      <c r="AP230" s="101"/>
      <c r="AQ230" s="104"/>
      <c r="AR230" s="104"/>
      <c r="AS230" s="104"/>
      <c r="AT230" s="104"/>
      <c r="AU230" s="830" t="str">
        <f t="shared" si="74"/>
        <v>-</v>
      </c>
    </row>
    <row r="231" spans="1:47" s="900" customFormat="1" x14ac:dyDescent="0.2">
      <c r="A231" s="86" t="s">
        <v>58</v>
      </c>
      <c r="B231" s="1061" t="s">
        <v>740</v>
      </c>
      <c r="C231" s="100" t="s">
        <v>741</v>
      </c>
      <c r="D231" s="77"/>
      <c r="E231" s="85" t="s">
        <v>742</v>
      </c>
      <c r="F231" s="85" t="s">
        <v>737</v>
      </c>
      <c r="G231" s="86" t="s">
        <v>743</v>
      </c>
      <c r="H231" s="86" t="s">
        <v>191</v>
      </c>
      <c r="I231" s="86" t="s">
        <v>52</v>
      </c>
      <c r="J231" s="86" t="s">
        <v>53</v>
      </c>
      <c r="K231" s="86" t="s">
        <v>69</v>
      </c>
      <c r="L231" s="86" t="s">
        <v>70</v>
      </c>
      <c r="M231" s="87">
        <v>1250</v>
      </c>
      <c r="N231" s="639">
        <v>1100</v>
      </c>
      <c r="O231" s="101" t="s">
        <v>64</v>
      </c>
      <c r="P231" s="101">
        <v>47</v>
      </c>
      <c r="Q231" s="101">
        <v>59</v>
      </c>
      <c r="R231" s="101">
        <v>47</v>
      </c>
      <c r="S231" s="697">
        <v>59</v>
      </c>
      <c r="T231" s="697">
        <v>47</v>
      </c>
      <c r="U231" s="697">
        <v>59</v>
      </c>
      <c r="V231" s="106">
        <f t="shared" si="84"/>
        <v>55</v>
      </c>
      <c r="W231" s="106">
        <f t="shared" si="85"/>
        <v>67</v>
      </c>
      <c r="X231" s="137" t="s">
        <v>165</v>
      </c>
      <c r="Y231" s="101"/>
      <c r="Z231" s="101"/>
      <c r="AA231" s="649">
        <f t="shared" si="76"/>
        <v>25.590277777777779</v>
      </c>
      <c r="AB231" s="184">
        <f t="shared" si="86"/>
        <v>724.2048611111112</v>
      </c>
      <c r="AC231" s="104">
        <f t="shared" si="83"/>
        <v>16.889583333333334</v>
      </c>
      <c r="AD231" s="107">
        <f>Table1[[#This Row],[Substrate SF]]*Materials!C$37</f>
        <v>71.652777777777771</v>
      </c>
      <c r="AE231" s="104">
        <f>IF(Table1[[#This Row],[Work Center]]="SwissQ",Materials!G$37,IF(Table1[[#This Row],[Work Center]]="Inca",Materials!G$29,IF(Table1[[#This Row],[Work Center]]="Canon",Materials!G$49,Materials!G$45)))</f>
        <v>20</v>
      </c>
      <c r="AF231" s="104">
        <f>'Cali Frames'!D$327</f>
        <v>240.625</v>
      </c>
      <c r="AG231" s="115"/>
      <c r="AH231" s="112">
        <f t="shared" si="80"/>
        <v>62.5</v>
      </c>
      <c r="AI231" s="112"/>
      <c r="AJ231" s="104">
        <f t="shared" si="81"/>
        <v>411.66736111111112</v>
      </c>
      <c r="AK231" s="62">
        <f t="shared" si="82"/>
        <v>0.67066611111111107</v>
      </c>
      <c r="AL231" s="225">
        <f>Table1[[#This Row],[WSP/Dealer]]/Table1[[#This Row],[OD Sq Inch]]</f>
        <v>0.45077533357374683</v>
      </c>
      <c r="AM231" s="46">
        <f>Table1[[#This Row],[OD Wdth]]*Table1[[#This Row],[OD Hgt]]</f>
        <v>2773</v>
      </c>
      <c r="AN231" s="216">
        <f>Table1[[#This Row],[Min VO]]+Table1[[#This Row],[Max VO]]</f>
        <v>106</v>
      </c>
      <c r="AO231" s="101"/>
      <c r="AP231" s="101"/>
      <c r="AQ231" s="104"/>
      <c r="AR231" s="104"/>
      <c r="AS231" s="104"/>
      <c r="AT231" s="104"/>
      <c r="AU231" s="830" t="str">
        <f t="shared" si="74"/>
        <v>-</v>
      </c>
    </row>
    <row r="232" spans="1:47" s="103" customFormat="1" x14ac:dyDescent="0.2">
      <c r="A232" s="86" t="s">
        <v>58</v>
      </c>
      <c r="B232" s="279" t="s">
        <v>740</v>
      </c>
      <c r="C232" s="100" t="s">
        <v>744</v>
      </c>
      <c r="D232" s="77"/>
      <c r="E232" s="85" t="s">
        <v>745</v>
      </c>
      <c r="F232" s="85" t="s">
        <v>737</v>
      </c>
      <c r="G232" s="86" t="s">
        <v>738</v>
      </c>
      <c r="H232" s="86" t="s">
        <v>739</v>
      </c>
      <c r="I232" s="86" t="s">
        <v>52</v>
      </c>
      <c r="J232" s="86" t="s">
        <v>53</v>
      </c>
      <c r="K232" s="86" t="s">
        <v>69</v>
      </c>
      <c r="L232" s="86" t="s">
        <v>70</v>
      </c>
      <c r="M232" s="87">
        <v>850</v>
      </c>
      <c r="N232" s="639">
        <v>800</v>
      </c>
      <c r="O232" s="101" t="s">
        <v>64</v>
      </c>
      <c r="P232" s="101">
        <v>36</v>
      </c>
      <c r="Q232" s="101">
        <v>45</v>
      </c>
      <c r="R232" s="101">
        <v>36</v>
      </c>
      <c r="S232" s="697">
        <v>45</v>
      </c>
      <c r="T232" s="697">
        <v>36</v>
      </c>
      <c r="U232" s="697">
        <v>45</v>
      </c>
      <c r="V232" s="106">
        <f t="shared" si="84"/>
        <v>44</v>
      </c>
      <c r="W232" s="106">
        <f t="shared" si="85"/>
        <v>53</v>
      </c>
      <c r="X232" s="138" t="s">
        <v>699</v>
      </c>
      <c r="Y232" s="60"/>
      <c r="Z232" s="60"/>
      <c r="AA232" s="649">
        <f t="shared" si="76"/>
        <v>16.194444444444443</v>
      </c>
      <c r="AB232" s="184">
        <f t="shared" si="86"/>
        <v>458.30277777777775</v>
      </c>
      <c r="AC232" s="104">
        <f t="shared" si="83"/>
        <v>10.688333333333333</v>
      </c>
      <c r="AD232" s="107">
        <f>Table1[[#This Row],[Substrate SF]]*Materials!C$37</f>
        <v>45.344444444444434</v>
      </c>
      <c r="AE232" s="104">
        <f>IF(Table1[[#This Row],[Work Center]]="SwissQ",Materials!G$37,IF(Table1[[#This Row],[Work Center]]="Inca",Materials!G$29,IF(Table1[[#This Row],[Work Center]]="Canon",Materials!G$49,Materials!G$45)))</f>
        <v>20</v>
      </c>
      <c r="AF232" s="104">
        <f>'Cali Frames'!D$299</f>
        <v>152.3725</v>
      </c>
      <c r="AG232" s="115"/>
      <c r="AH232" s="112">
        <f t="shared" si="80"/>
        <v>42.5</v>
      </c>
      <c r="AI232" s="112"/>
      <c r="AJ232" s="107">
        <f t="shared" si="81"/>
        <v>270.90527777777777</v>
      </c>
      <c r="AK232" s="62">
        <f t="shared" si="82"/>
        <v>0.68128790849673204</v>
      </c>
      <c r="AL232" s="225">
        <f>Table1[[#This Row],[WSP/Dealer]]/Table1[[#This Row],[OD Sq Inch]]</f>
        <v>0.52469135802469136</v>
      </c>
      <c r="AM232" s="46">
        <f>Table1[[#This Row],[OD Wdth]]*Table1[[#This Row],[OD Hgt]]</f>
        <v>1620</v>
      </c>
      <c r="AN232" s="216">
        <f>Table1[[#This Row],[Min VO]]+Table1[[#This Row],[Max VO]]</f>
        <v>81</v>
      </c>
      <c r="AO232" s="101"/>
      <c r="AP232" s="101"/>
      <c r="AQ232" s="104"/>
      <c r="AR232" s="104"/>
      <c r="AS232" s="104"/>
      <c r="AT232" s="104"/>
      <c r="AU232" s="830" t="str">
        <f t="shared" si="74"/>
        <v>-</v>
      </c>
    </row>
    <row r="233" spans="1:47" s="103" customFormat="1" x14ac:dyDescent="0.2">
      <c r="A233" s="86" t="s">
        <v>58</v>
      </c>
      <c r="B233" s="279" t="s">
        <v>740</v>
      </c>
      <c r="C233" s="100" t="s">
        <v>746</v>
      </c>
      <c r="D233" s="77"/>
      <c r="E233" s="85" t="s">
        <v>747</v>
      </c>
      <c r="F233" s="85" t="s">
        <v>737</v>
      </c>
      <c r="G233" s="86" t="s">
        <v>743</v>
      </c>
      <c r="H233" s="86" t="s">
        <v>191</v>
      </c>
      <c r="I233" s="86" t="s">
        <v>52</v>
      </c>
      <c r="J233" s="86" t="s">
        <v>53</v>
      </c>
      <c r="K233" s="86" t="s">
        <v>69</v>
      </c>
      <c r="L233" s="86" t="s">
        <v>70</v>
      </c>
      <c r="M233" s="87">
        <v>1250</v>
      </c>
      <c r="N233" s="639">
        <v>1100</v>
      </c>
      <c r="O233" s="101" t="s">
        <v>64</v>
      </c>
      <c r="P233" s="101">
        <v>47</v>
      </c>
      <c r="Q233" s="101">
        <v>59</v>
      </c>
      <c r="R233" s="101">
        <v>47</v>
      </c>
      <c r="S233" s="697">
        <v>59</v>
      </c>
      <c r="T233" s="697">
        <v>47</v>
      </c>
      <c r="U233" s="697">
        <v>59</v>
      </c>
      <c r="V233" s="608">
        <f t="shared" si="84"/>
        <v>55</v>
      </c>
      <c r="W233" s="608">
        <f t="shared" si="85"/>
        <v>67</v>
      </c>
      <c r="X233" s="137" t="s">
        <v>165</v>
      </c>
      <c r="Y233" s="101"/>
      <c r="Z233" s="101"/>
      <c r="AA233" s="649">
        <f t="shared" si="76"/>
        <v>25.590277777777779</v>
      </c>
      <c r="AB233" s="184">
        <f t="shared" si="86"/>
        <v>724.2048611111112</v>
      </c>
      <c r="AC233" s="104">
        <f t="shared" si="83"/>
        <v>16.889583333333334</v>
      </c>
      <c r="AD233" s="107">
        <f>Table1[[#This Row],[Substrate SF]]*Materials!C$37</f>
        <v>71.652777777777771</v>
      </c>
      <c r="AE233" s="104">
        <f>IF(Table1[[#This Row],[Work Center]]="SwissQ",Materials!G$37,IF(Table1[[#This Row],[Work Center]]="Inca",Materials!G$29,IF(Table1[[#This Row],[Work Center]]="Canon",Materials!G$49,Materials!G$45)))</f>
        <v>20</v>
      </c>
      <c r="AF233" s="104">
        <f>'Cali Frames'!D$327</f>
        <v>240.625</v>
      </c>
      <c r="AG233" s="115"/>
      <c r="AH233" s="112">
        <f t="shared" si="80"/>
        <v>62.5</v>
      </c>
      <c r="AI233" s="112"/>
      <c r="AJ233" s="104">
        <f t="shared" si="81"/>
        <v>411.66736111111112</v>
      </c>
      <c r="AK233" s="62">
        <f t="shared" si="82"/>
        <v>0.67066611111111107</v>
      </c>
      <c r="AL233" s="225">
        <f>Table1[[#This Row],[WSP/Dealer]]/Table1[[#This Row],[OD Sq Inch]]</f>
        <v>0.45077533357374683</v>
      </c>
      <c r="AM233" s="218">
        <f>Table1[[#This Row],[OD Wdth]]*Table1[[#This Row],[OD Hgt]]</f>
        <v>2773</v>
      </c>
      <c r="AN233" s="216">
        <f>Table1[[#This Row],[Min VO]]+Table1[[#This Row],[Max VO]]</f>
        <v>106</v>
      </c>
      <c r="AO233" s="101"/>
      <c r="AP233" s="101"/>
      <c r="AQ233" s="104"/>
      <c r="AR233" s="104"/>
      <c r="AS233" s="104"/>
      <c r="AT233" s="104"/>
      <c r="AU233" s="830" t="str">
        <f t="shared" si="74"/>
        <v>-</v>
      </c>
    </row>
    <row r="234" spans="1:47" s="119" customFormat="1" x14ac:dyDescent="0.2">
      <c r="A234" s="86" t="s">
        <v>58</v>
      </c>
      <c r="B234" s="279" t="s">
        <v>740</v>
      </c>
      <c r="C234" s="100" t="s">
        <v>748</v>
      </c>
      <c r="D234" s="77"/>
      <c r="E234" s="85" t="s">
        <v>749</v>
      </c>
      <c r="F234" s="85" t="s">
        <v>737</v>
      </c>
      <c r="G234" s="86" t="s">
        <v>750</v>
      </c>
      <c r="H234" s="86" t="s">
        <v>751</v>
      </c>
      <c r="I234" s="86" t="s">
        <v>52</v>
      </c>
      <c r="J234" s="86" t="s">
        <v>53</v>
      </c>
      <c r="K234" s="86" t="s">
        <v>69</v>
      </c>
      <c r="L234" s="86" t="s">
        <v>70</v>
      </c>
      <c r="M234" s="87">
        <v>800</v>
      </c>
      <c r="N234" s="639">
        <v>800</v>
      </c>
      <c r="O234" s="101" t="s">
        <v>64</v>
      </c>
      <c r="P234" s="101">
        <v>39</v>
      </c>
      <c r="Q234" s="101">
        <v>39</v>
      </c>
      <c r="R234" s="101">
        <v>39</v>
      </c>
      <c r="S234" s="697">
        <v>39</v>
      </c>
      <c r="T234" s="697">
        <v>39</v>
      </c>
      <c r="U234" s="697">
        <v>39</v>
      </c>
      <c r="V234" s="106">
        <f t="shared" si="84"/>
        <v>47</v>
      </c>
      <c r="W234" s="106">
        <f t="shared" si="85"/>
        <v>47</v>
      </c>
      <c r="X234" s="138" t="s">
        <v>699</v>
      </c>
      <c r="Y234" s="60"/>
      <c r="Z234" s="60"/>
      <c r="AA234" s="649">
        <f t="shared" si="76"/>
        <v>15.340277777777779</v>
      </c>
      <c r="AB234" s="184">
        <f t="shared" si="86"/>
        <v>434.12986111111115</v>
      </c>
      <c r="AC234" s="107">
        <f t="shared" si="83"/>
        <v>10.124583333333334</v>
      </c>
      <c r="AD234" s="107">
        <f>Table1[[#This Row],[Substrate SF]]*Materials!C$37</f>
        <v>42.952777777777776</v>
      </c>
      <c r="AE234" s="104">
        <f>IF(Table1[[#This Row],[Work Center]]="SwissQ",Materials!G$37,IF(Table1[[#This Row],[Work Center]]="Inca",Materials!G$29,IF(Table1[[#This Row],[Work Center]]="Canon",Materials!G$49,Materials!G$45)))</f>
        <v>20</v>
      </c>
      <c r="AF234" s="104">
        <f>'Cali Frames'!D$307</f>
        <v>152.32</v>
      </c>
      <c r="AG234" s="115"/>
      <c r="AH234" s="498">
        <f t="shared" si="80"/>
        <v>40</v>
      </c>
      <c r="AI234" s="112"/>
      <c r="AJ234" s="104">
        <f t="shared" si="81"/>
        <v>265.39736111111108</v>
      </c>
      <c r="AK234" s="62">
        <f t="shared" si="82"/>
        <v>0.66825329861111116</v>
      </c>
      <c r="AL234" s="225">
        <f>Table1[[#This Row],[WSP/Dealer]]/Table1[[#This Row],[OD Sq Inch]]</f>
        <v>0.52596975673898749</v>
      </c>
      <c r="AM234" s="103">
        <f>Table1[[#This Row],[OD Wdth]]*Table1[[#This Row],[OD Hgt]]</f>
        <v>1521</v>
      </c>
      <c r="AN234" s="216">
        <f>Table1[[#This Row],[Min VO]]+Table1[[#This Row],[Max VO]]</f>
        <v>78</v>
      </c>
      <c r="AO234" s="101"/>
      <c r="AP234" s="101"/>
      <c r="AQ234" s="104"/>
      <c r="AR234" s="104"/>
      <c r="AS234" s="104"/>
      <c r="AT234" s="104"/>
      <c r="AU234" s="830" t="str">
        <f t="shared" si="74"/>
        <v>-</v>
      </c>
    </row>
    <row r="235" spans="1:47" s="103" customFormat="1" x14ac:dyDescent="0.2">
      <c r="A235" s="86" t="s">
        <v>58</v>
      </c>
      <c r="B235" s="1061" t="s">
        <v>740</v>
      </c>
      <c r="C235" s="100" t="s">
        <v>752</v>
      </c>
      <c r="D235" s="77"/>
      <c r="E235" s="85" t="s">
        <v>753</v>
      </c>
      <c r="F235" s="85" t="s">
        <v>737</v>
      </c>
      <c r="G235" s="86" t="s">
        <v>738</v>
      </c>
      <c r="H235" s="86" t="s">
        <v>739</v>
      </c>
      <c r="I235" s="86" t="s">
        <v>52</v>
      </c>
      <c r="J235" s="86" t="s">
        <v>53</v>
      </c>
      <c r="K235" s="86" t="s">
        <v>69</v>
      </c>
      <c r="L235" s="86" t="s">
        <v>70</v>
      </c>
      <c r="M235" s="87">
        <v>850</v>
      </c>
      <c r="N235" s="639">
        <v>800</v>
      </c>
      <c r="O235" s="101" t="s">
        <v>64</v>
      </c>
      <c r="P235" s="101">
        <v>36</v>
      </c>
      <c r="Q235" s="101">
        <v>45</v>
      </c>
      <c r="R235" s="101">
        <v>36</v>
      </c>
      <c r="S235" s="697">
        <v>45</v>
      </c>
      <c r="T235" s="697">
        <v>36</v>
      </c>
      <c r="U235" s="697">
        <v>45</v>
      </c>
      <c r="V235" s="106">
        <f t="shared" si="84"/>
        <v>44</v>
      </c>
      <c r="W235" s="106">
        <f t="shared" si="85"/>
        <v>53</v>
      </c>
      <c r="X235" s="138" t="s">
        <v>699</v>
      </c>
      <c r="Y235" s="60"/>
      <c r="Z235" s="60"/>
      <c r="AA235" s="649">
        <f t="shared" ref="AA235:AA245" si="87">V235*W235/144</f>
        <v>16.194444444444443</v>
      </c>
      <c r="AB235" s="184">
        <f t="shared" si="86"/>
        <v>458.30277777777775</v>
      </c>
      <c r="AC235" s="104">
        <f t="shared" si="83"/>
        <v>10.688333333333333</v>
      </c>
      <c r="AD235" s="107">
        <f>Table1[[#This Row],[Substrate SF]]*Materials!C$37</f>
        <v>45.344444444444434</v>
      </c>
      <c r="AE235" s="104">
        <f>IF(Table1[[#This Row],[Work Center]]="SwissQ",Materials!G$37,IF(Table1[[#This Row],[Work Center]]="Inca",Materials!G$29,IF(Table1[[#This Row],[Work Center]]="Canon",Materials!G$49,Materials!G$45)))</f>
        <v>20</v>
      </c>
      <c r="AF235" s="104">
        <f>'Cali Frames'!D$299</f>
        <v>152.3725</v>
      </c>
      <c r="AG235" s="115"/>
      <c r="AH235" s="112">
        <f t="shared" si="80"/>
        <v>42.5</v>
      </c>
      <c r="AI235" s="112"/>
      <c r="AJ235" s="104">
        <f t="shared" si="81"/>
        <v>270.90527777777777</v>
      </c>
      <c r="AK235" s="62">
        <f t="shared" si="82"/>
        <v>0.68128790849673204</v>
      </c>
      <c r="AL235" s="225">
        <f>Table1[[#This Row],[WSP/Dealer]]/Table1[[#This Row],[OD Sq Inch]]</f>
        <v>0.52469135802469136</v>
      </c>
      <c r="AM235" s="103">
        <f>Table1[[#This Row],[OD Wdth]]*Table1[[#This Row],[OD Hgt]]</f>
        <v>1620</v>
      </c>
      <c r="AN235" s="216">
        <f>Table1[[#This Row],[Min VO]]+Table1[[#This Row],[Max VO]]</f>
        <v>81</v>
      </c>
      <c r="AO235" s="101"/>
      <c r="AP235" s="101"/>
      <c r="AQ235" s="104"/>
      <c r="AR235" s="104"/>
      <c r="AS235" s="104"/>
      <c r="AT235" s="104"/>
      <c r="AU235" s="830" t="str">
        <f t="shared" si="74"/>
        <v>-</v>
      </c>
    </row>
    <row r="236" spans="1:47" s="103" customFormat="1" x14ac:dyDescent="0.2">
      <c r="A236" s="86" t="s">
        <v>58</v>
      </c>
      <c r="B236" s="1061" t="s">
        <v>740</v>
      </c>
      <c r="C236" s="100" t="s">
        <v>754</v>
      </c>
      <c r="D236" s="77"/>
      <c r="E236" s="85" t="s">
        <v>755</v>
      </c>
      <c r="F236" s="85" t="s">
        <v>737</v>
      </c>
      <c r="G236" s="86" t="s">
        <v>743</v>
      </c>
      <c r="H236" s="86" t="s">
        <v>191</v>
      </c>
      <c r="I236" s="86" t="s">
        <v>52</v>
      </c>
      <c r="J236" s="86" t="s">
        <v>53</v>
      </c>
      <c r="K236" s="86" t="s">
        <v>69</v>
      </c>
      <c r="L236" s="86" t="s">
        <v>70</v>
      </c>
      <c r="M236" s="87">
        <v>1250</v>
      </c>
      <c r="N236" s="639">
        <v>1100</v>
      </c>
      <c r="O236" s="101" t="s">
        <v>64</v>
      </c>
      <c r="P236" s="101">
        <v>47</v>
      </c>
      <c r="Q236" s="101">
        <v>59</v>
      </c>
      <c r="R236" s="101">
        <v>47</v>
      </c>
      <c r="S236" s="697">
        <v>59</v>
      </c>
      <c r="T236" s="697">
        <v>47</v>
      </c>
      <c r="U236" s="697">
        <v>59</v>
      </c>
      <c r="V236" s="106">
        <f t="shared" si="84"/>
        <v>55</v>
      </c>
      <c r="W236" s="106">
        <f t="shared" si="85"/>
        <v>67</v>
      </c>
      <c r="X236" s="137">
        <v>69</v>
      </c>
      <c r="Y236" s="101"/>
      <c r="Z236" s="101"/>
      <c r="AA236" s="649">
        <f t="shared" si="87"/>
        <v>25.590277777777779</v>
      </c>
      <c r="AB236" s="184">
        <f t="shared" si="86"/>
        <v>724.2048611111112</v>
      </c>
      <c r="AC236" s="104">
        <f t="shared" si="83"/>
        <v>16.889583333333334</v>
      </c>
      <c r="AD236" s="107">
        <f>Table1[[#This Row],[Substrate SF]]*Materials!C$37</f>
        <v>71.652777777777771</v>
      </c>
      <c r="AE236" s="104">
        <f>IF(Table1[[#This Row],[Work Center]]="SwissQ",Materials!G$37,IF(Table1[[#This Row],[Work Center]]="Inca",Materials!G$29,IF(Table1[[#This Row],[Work Center]]="Canon",Materials!G$49,Materials!G$45)))</f>
        <v>20</v>
      </c>
      <c r="AF236" s="104">
        <f>'Cali Frames'!D$327</f>
        <v>240.625</v>
      </c>
      <c r="AG236" s="115"/>
      <c r="AH236" s="112">
        <f t="shared" si="80"/>
        <v>62.5</v>
      </c>
      <c r="AI236" s="112"/>
      <c r="AJ236" s="104">
        <f t="shared" si="81"/>
        <v>411.66736111111112</v>
      </c>
      <c r="AK236" s="62">
        <f t="shared" si="82"/>
        <v>0.67066611111111107</v>
      </c>
      <c r="AL236" s="225">
        <f>Table1[[#This Row],[WSP/Dealer]]/Table1[[#This Row],[OD Sq Inch]]</f>
        <v>0.45077533357374683</v>
      </c>
      <c r="AM236" s="218">
        <f>Table1[[#This Row],[OD Wdth]]*Table1[[#This Row],[OD Hgt]]</f>
        <v>2773</v>
      </c>
      <c r="AN236" s="216">
        <f>Table1[[#This Row],[Min VO]]+Table1[[#This Row],[Max VO]]</f>
        <v>106</v>
      </c>
      <c r="AO236" s="101"/>
      <c r="AP236" s="101"/>
      <c r="AQ236" s="104"/>
      <c r="AR236" s="104"/>
      <c r="AS236" s="104"/>
      <c r="AT236" s="104"/>
      <c r="AU236" s="830" t="str">
        <f t="shared" si="74"/>
        <v>-</v>
      </c>
    </row>
    <row r="237" spans="1:47" s="103" customFormat="1" x14ac:dyDescent="0.2">
      <c r="A237" s="86" t="s">
        <v>58</v>
      </c>
      <c r="B237" s="1061" t="s">
        <v>740</v>
      </c>
      <c r="C237" s="100" t="s">
        <v>756</v>
      </c>
      <c r="D237" s="100" t="s">
        <v>757</v>
      </c>
      <c r="E237" s="85" t="s">
        <v>758</v>
      </c>
      <c r="F237" s="85" t="s">
        <v>737</v>
      </c>
      <c r="G237" s="86" t="s">
        <v>759</v>
      </c>
      <c r="H237" s="86" t="s">
        <v>760</v>
      </c>
      <c r="I237" s="86" t="s">
        <v>52</v>
      </c>
      <c r="J237" s="86" t="s">
        <v>53</v>
      </c>
      <c r="K237" s="86" t="s">
        <v>69</v>
      </c>
      <c r="L237" s="86" t="s">
        <v>70</v>
      </c>
      <c r="M237" s="87">
        <v>625</v>
      </c>
      <c r="N237" s="639">
        <v>625</v>
      </c>
      <c r="O237" s="101" t="s">
        <v>64</v>
      </c>
      <c r="P237" s="101">
        <v>36</v>
      </c>
      <c r="Q237" s="101">
        <v>27</v>
      </c>
      <c r="R237" s="101">
        <v>27</v>
      </c>
      <c r="S237" s="697">
        <v>36</v>
      </c>
      <c r="T237" s="697">
        <v>36</v>
      </c>
      <c r="U237" s="697">
        <v>27</v>
      </c>
      <c r="V237" s="106">
        <f t="shared" si="84"/>
        <v>44</v>
      </c>
      <c r="W237" s="106">
        <f t="shared" si="85"/>
        <v>35</v>
      </c>
      <c r="X237" s="137" t="s">
        <v>761</v>
      </c>
      <c r="Y237" s="101"/>
      <c r="Z237" s="101"/>
      <c r="AA237" s="649">
        <f t="shared" si="87"/>
        <v>10.694444444444445</v>
      </c>
      <c r="AB237" s="184">
        <f t="shared" si="86"/>
        <v>302.65277777777777</v>
      </c>
      <c r="AC237" s="104">
        <f t="shared" si="83"/>
        <v>7.0583333333333336</v>
      </c>
      <c r="AD237" s="107">
        <f>Table1[[#This Row],[Substrate SF]]*Materials!C$37</f>
        <v>29.944444444444443</v>
      </c>
      <c r="AE237" s="104">
        <f>IF(Table1[[#This Row],[Work Center]]="SwissQ",Materials!G$37,IF(Table1[[#This Row],[Work Center]]="Inca",Materials!G$29,IF(Table1[[#This Row],[Work Center]]="Canon",Materials!G$49,Materials!G$45)))</f>
        <v>20</v>
      </c>
      <c r="AF237" s="104">
        <f>'Cali Frames'!D$284</f>
        <v>112.6125</v>
      </c>
      <c r="AG237" s="115"/>
      <c r="AH237" s="112">
        <f t="shared" si="80"/>
        <v>31.25</v>
      </c>
      <c r="AI237" s="112"/>
      <c r="AJ237" s="104">
        <f t="shared" si="81"/>
        <v>200.86527777777778</v>
      </c>
      <c r="AK237" s="62">
        <f t="shared" si="82"/>
        <v>0.67861555555555553</v>
      </c>
      <c r="AL237" s="225">
        <f>Table1[[#This Row],[WSP/Dealer]]/Table1[[#This Row],[OD Sq Inch]]</f>
        <v>0.64300411522633749</v>
      </c>
      <c r="AM237" s="103">
        <f>Table1[[#This Row],[OD Wdth]]*Table1[[#This Row],[OD Hgt]]</f>
        <v>972</v>
      </c>
      <c r="AN237" s="216">
        <f>Table1[[#This Row],[Min VO]]+Table1[[#This Row],[Max VO]]</f>
        <v>63</v>
      </c>
      <c r="AO237" s="101"/>
      <c r="AP237" s="101"/>
      <c r="AQ237" s="104"/>
      <c r="AR237" s="104"/>
      <c r="AS237" s="104"/>
      <c r="AT237" s="104"/>
      <c r="AU237" s="830" t="str">
        <f t="shared" si="74"/>
        <v>-</v>
      </c>
    </row>
    <row r="238" spans="1:47" s="103" customFormat="1" x14ac:dyDescent="0.2">
      <c r="A238" s="86" t="s">
        <v>58</v>
      </c>
      <c r="B238" s="1061" t="s">
        <v>740</v>
      </c>
      <c r="C238" s="100" t="s">
        <v>762</v>
      </c>
      <c r="D238" s="100" t="s">
        <v>763</v>
      </c>
      <c r="E238" s="85" t="s">
        <v>764</v>
      </c>
      <c r="F238" s="85" t="s">
        <v>737</v>
      </c>
      <c r="G238" s="86" t="s">
        <v>765</v>
      </c>
      <c r="H238" s="86" t="s">
        <v>766</v>
      </c>
      <c r="I238" s="86" t="s">
        <v>52</v>
      </c>
      <c r="J238" s="86" t="s">
        <v>53</v>
      </c>
      <c r="K238" s="86" t="s">
        <v>69</v>
      </c>
      <c r="L238" s="86" t="s">
        <v>70</v>
      </c>
      <c r="M238" s="87">
        <v>1000</v>
      </c>
      <c r="N238" s="639">
        <v>950</v>
      </c>
      <c r="O238" s="101" t="s">
        <v>64</v>
      </c>
      <c r="P238" s="101">
        <v>52</v>
      </c>
      <c r="Q238" s="101">
        <v>39</v>
      </c>
      <c r="R238" s="101">
        <v>39</v>
      </c>
      <c r="S238" s="697">
        <v>52</v>
      </c>
      <c r="T238" s="697">
        <v>52</v>
      </c>
      <c r="U238" s="697">
        <v>39</v>
      </c>
      <c r="V238" s="106">
        <f t="shared" si="84"/>
        <v>60</v>
      </c>
      <c r="W238" s="106">
        <f t="shared" si="85"/>
        <v>47</v>
      </c>
      <c r="X238" s="137" t="s">
        <v>165</v>
      </c>
      <c r="Y238" s="101"/>
      <c r="Z238" s="101"/>
      <c r="AA238" s="649">
        <f t="shared" si="87"/>
        <v>19.583333333333332</v>
      </c>
      <c r="AB238" s="184">
        <f t="shared" si="86"/>
        <v>554.20833333333326</v>
      </c>
      <c r="AC238" s="107">
        <f t="shared" si="83"/>
        <v>12.925000000000001</v>
      </c>
      <c r="AD238" s="107">
        <f>Table1[[#This Row],[Substrate SF]]*Materials!C$37</f>
        <v>54.833333333333329</v>
      </c>
      <c r="AE238" s="104">
        <f>IF(Table1[[#This Row],[Work Center]]="SwissQ",Materials!G$37,IF(Table1[[#This Row],[Work Center]]="Inca",Materials!G$29,IF(Table1[[#This Row],[Work Center]]="Canon",Materials!G$49,Materials!G$45)))</f>
        <v>20</v>
      </c>
      <c r="AF238" s="104">
        <f>'Cali Frames'!D$309</f>
        <v>157.5</v>
      </c>
      <c r="AG238" s="115"/>
      <c r="AH238" s="112">
        <f t="shared" si="80"/>
        <v>50</v>
      </c>
      <c r="AI238" s="112"/>
      <c r="AJ238" s="107">
        <f t="shared" si="81"/>
        <v>295.25833333333333</v>
      </c>
      <c r="AK238" s="62">
        <f t="shared" si="82"/>
        <v>0.70474166666666671</v>
      </c>
      <c r="AL238" s="225">
        <f>Table1[[#This Row],[WSP/Dealer]]/Table1[[#This Row],[OD Sq Inch]]</f>
        <v>0.49309664694280081</v>
      </c>
      <c r="AM238" s="218">
        <f>Table1[[#This Row],[OD Wdth]]*Table1[[#This Row],[OD Hgt]]</f>
        <v>2028</v>
      </c>
      <c r="AN238" s="216">
        <f>Table1[[#This Row],[Min VO]]+Table1[[#This Row],[Max VO]]</f>
        <v>91</v>
      </c>
      <c r="AO238" s="101"/>
      <c r="AP238" s="101"/>
      <c r="AQ238" s="104"/>
      <c r="AR238" s="104"/>
      <c r="AS238" s="104"/>
      <c r="AT238" s="104"/>
      <c r="AU238" s="830" t="str">
        <f t="shared" si="74"/>
        <v>-</v>
      </c>
    </row>
    <row r="239" spans="1:47" s="423" customFormat="1" x14ac:dyDescent="0.2">
      <c r="A239" s="86" t="s">
        <v>58</v>
      </c>
      <c r="B239" s="1061" t="s">
        <v>740</v>
      </c>
      <c r="C239" s="100" t="s">
        <v>767</v>
      </c>
      <c r="D239" s="100" t="s">
        <v>768</v>
      </c>
      <c r="E239" s="85" t="s">
        <v>769</v>
      </c>
      <c r="F239" s="85" t="s">
        <v>737</v>
      </c>
      <c r="G239" s="86" t="s">
        <v>750</v>
      </c>
      <c r="H239" s="86" t="s">
        <v>751</v>
      </c>
      <c r="I239" s="86" t="s">
        <v>52</v>
      </c>
      <c r="J239" s="86" t="s">
        <v>53</v>
      </c>
      <c r="K239" s="86" t="s">
        <v>69</v>
      </c>
      <c r="L239" s="86" t="s">
        <v>70</v>
      </c>
      <c r="M239" s="87">
        <v>800</v>
      </c>
      <c r="N239" s="639">
        <v>800</v>
      </c>
      <c r="O239" s="101" t="s">
        <v>64</v>
      </c>
      <c r="P239" s="101">
        <v>39</v>
      </c>
      <c r="Q239" s="101">
        <v>39</v>
      </c>
      <c r="R239" s="101">
        <v>39</v>
      </c>
      <c r="S239" s="697">
        <v>39</v>
      </c>
      <c r="T239" s="697">
        <v>39</v>
      </c>
      <c r="U239" s="697">
        <v>39</v>
      </c>
      <c r="V239" s="106">
        <f t="shared" si="84"/>
        <v>47</v>
      </c>
      <c r="W239" s="106">
        <f t="shared" si="85"/>
        <v>47</v>
      </c>
      <c r="X239" s="157" t="s">
        <v>699</v>
      </c>
      <c r="Y239" s="145"/>
      <c r="Z239" s="145"/>
      <c r="AA239" s="649">
        <f t="shared" si="87"/>
        <v>15.340277777777779</v>
      </c>
      <c r="AB239" s="184">
        <f t="shared" si="86"/>
        <v>434.12986111111115</v>
      </c>
      <c r="AC239" s="104">
        <f t="shared" si="83"/>
        <v>10.124583333333334</v>
      </c>
      <c r="AD239" s="107">
        <f>Table1[[#This Row],[Substrate SF]]*Materials!C$37</f>
        <v>42.952777777777776</v>
      </c>
      <c r="AE239" s="104">
        <f>IF(Table1[[#This Row],[Work Center]]="SwissQ",Materials!G$37,IF(Table1[[#This Row],[Work Center]]="Inca",Materials!G$29,IF(Table1[[#This Row],[Work Center]]="Canon",Materials!G$49,Materials!G$45)))</f>
        <v>20</v>
      </c>
      <c r="AF239" s="104">
        <f>'Cali Frames'!D$307</f>
        <v>152.32</v>
      </c>
      <c r="AG239" s="115"/>
      <c r="AH239" s="112">
        <f t="shared" si="80"/>
        <v>40</v>
      </c>
      <c r="AI239" s="112"/>
      <c r="AJ239" s="107">
        <f t="shared" si="81"/>
        <v>265.39736111111108</v>
      </c>
      <c r="AK239" s="62">
        <f t="shared" si="82"/>
        <v>0.66825329861111116</v>
      </c>
      <c r="AL239" s="225">
        <f>Table1[[#This Row],[WSP/Dealer]]/Table1[[#This Row],[OD Sq Inch]]</f>
        <v>0.52596975673898749</v>
      </c>
      <c r="AM239" s="103">
        <f>Table1[[#This Row],[OD Wdth]]*Table1[[#This Row],[OD Hgt]]</f>
        <v>1521</v>
      </c>
      <c r="AN239" s="216">
        <f>Table1[[#This Row],[Min VO]]+Table1[[#This Row],[Max VO]]</f>
        <v>78</v>
      </c>
      <c r="AO239" s="103"/>
      <c r="AP239" s="101"/>
      <c r="AQ239" s="104"/>
      <c r="AR239" s="104"/>
      <c r="AS239" s="104"/>
      <c r="AT239" s="104"/>
      <c r="AU239" s="108" t="str">
        <f t="shared" si="74"/>
        <v>-</v>
      </c>
    </row>
    <row r="240" spans="1:47" s="103" customFormat="1" x14ac:dyDescent="0.2">
      <c r="A240" s="86" t="s">
        <v>58</v>
      </c>
      <c r="B240" s="1061" t="s">
        <v>740</v>
      </c>
      <c r="C240" s="100" t="s">
        <v>770</v>
      </c>
      <c r="D240" s="100" t="s">
        <v>771</v>
      </c>
      <c r="E240" s="85" t="s">
        <v>772</v>
      </c>
      <c r="F240" s="85" t="s">
        <v>737</v>
      </c>
      <c r="G240" s="86" t="s">
        <v>759</v>
      </c>
      <c r="H240" s="86" t="s">
        <v>760</v>
      </c>
      <c r="I240" s="86" t="s">
        <v>52</v>
      </c>
      <c r="J240" s="86" t="s">
        <v>53</v>
      </c>
      <c r="K240" s="86" t="s">
        <v>69</v>
      </c>
      <c r="L240" s="86" t="s">
        <v>70</v>
      </c>
      <c r="M240" s="87">
        <v>625</v>
      </c>
      <c r="N240" s="639">
        <v>625</v>
      </c>
      <c r="O240" s="101" t="s">
        <v>64</v>
      </c>
      <c r="P240" s="103">
        <v>36</v>
      </c>
      <c r="Q240" s="103">
        <v>27</v>
      </c>
      <c r="R240" s="101">
        <v>27</v>
      </c>
      <c r="S240" s="116">
        <v>36</v>
      </c>
      <c r="T240" s="116">
        <v>36</v>
      </c>
      <c r="U240" s="116">
        <v>27</v>
      </c>
      <c r="V240" s="106">
        <f t="shared" si="84"/>
        <v>44</v>
      </c>
      <c r="W240" s="106">
        <f t="shared" si="85"/>
        <v>35</v>
      </c>
      <c r="X240" s="137">
        <v>69</v>
      </c>
      <c r="Y240" s="101"/>
      <c r="Z240" s="101"/>
      <c r="AA240" s="649">
        <f t="shared" si="87"/>
        <v>10.694444444444445</v>
      </c>
      <c r="AB240" s="184">
        <f t="shared" si="86"/>
        <v>302.65277777777777</v>
      </c>
      <c r="AC240" s="104">
        <f t="shared" si="83"/>
        <v>7.0583333333333336</v>
      </c>
      <c r="AD240" s="107">
        <f>Table1[[#This Row],[Substrate SF]]*Materials!C$37</f>
        <v>29.944444444444443</v>
      </c>
      <c r="AE240" s="104">
        <f>IF(Table1[[#This Row],[Work Center]]="SwissQ",Materials!G$37,IF(Table1[[#This Row],[Work Center]]="Inca",Materials!G$29,IF(Table1[[#This Row],[Work Center]]="Canon",Materials!G$49,Materials!G$45)))</f>
        <v>20</v>
      </c>
      <c r="AF240" s="104">
        <f>'Cali Frames'!D$284</f>
        <v>112.6125</v>
      </c>
      <c r="AG240" s="115"/>
      <c r="AH240" s="112">
        <f t="shared" si="80"/>
        <v>31.25</v>
      </c>
      <c r="AI240" s="112"/>
      <c r="AJ240" s="107">
        <f t="shared" si="81"/>
        <v>200.86527777777778</v>
      </c>
      <c r="AK240" s="62">
        <f t="shared" si="82"/>
        <v>0.67861555555555553</v>
      </c>
      <c r="AL240" s="225">
        <f>Table1[[#This Row],[WSP/Dealer]]/Table1[[#This Row],[OD Sq Inch]]</f>
        <v>0.64300411522633749</v>
      </c>
      <c r="AM240" s="103">
        <f>Table1[[#This Row],[OD Wdth]]*Table1[[#This Row],[OD Hgt]]</f>
        <v>972</v>
      </c>
      <c r="AN240" s="216">
        <f>Table1[[#This Row],[Min VO]]+Table1[[#This Row],[Max VO]]</f>
        <v>63</v>
      </c>
      <c r="AO240" s="101"/>
      <c r="AP240" s="101"/>
      <c r="AQ240" s="104"/>
      <c r="AR240" s="104"/>
      <c r="AS240" s="104"/>
      <c r="AT240" s="104"/>
      <c r="AU240" s="830" t="str">
        <f t="shared" si="74"/>
        <v>-</v>
      </c>
    </row>
    <row r="241" spans="1:47" s="63" customFormat="1" x14ac:dyDescent="0.2">
      <c r="A241" s="86" t="s">
        <v>58</v>
      </c>
      <c r="B241" s="1061" t="s">
        <v>740</v>
      </c>
      <c r="C241" s="100" t="s">
        <v>773</v>
      </c>
      <c r="D241" s="100" t="s">
        <v>774</v>
      </c>
      <c r="E241" s="85" t="s">
        <v>775</v>
      </c>
      <c r="F241" s="85" t="s">
        <v>737</v>
      </c>
      <c r="G241" s="86" t="s">
        <v>765</v>
      </c>
      <c r="H241" s="86" t="s">
        <v>766</v>
      </c>
      <c r="I241" s="86" t="s">
        <v>52</v>
      </c>
      <c r="J241" s="86" t="s">
        <v>53</v>
      </c>
      <c r="K241" s="86" t="s">
        <v>69</v>
      </c>
      <c r="L241" s="86" t="s">
        <v>70</v>
      </c>
      <c r="M241" s="87">
        <v>1000</v>
      </c>
      <c r="N241" s="639">
        <v>950</v>
      </c>
      <c r="O241" s="101" t="s">
        <v>64</v>
      </c>
      <c r="P241" s="101">
        <v>52</v>
      </c>
      <c r="Q241" s="101">
        <v>39</v>
      </c>
      <c r="R241" s="101">
        <v>39</v>
      </c>
      <c r="S241" s="116">
        <v>52</v>
      </c>
      <c r="T241" s="116">
        <v>52</v>
      </c>
      <c r="U241" s="116">
        <v>39</v>
      </c>
      <c r="V241" s="106">
        <f t="shared" si="84"/>
        <v>60</v>
      </c>
      <c r="W241" s="106">
        <f t="shared" si="85"/>
        <v>47</v>
      </c>
      <c r="X241" s="137" t="s">
        <v>165</v>
      </c>
      <c r="Y241" s="101"/>
      <c r="Z241" s="101"/>
      <c r="AA241" s="649">
        <f t="shared" si="87"/>
        <v>19.583333333333332</v>
      </c>
      <c r="AB241" s="184">
        <f t="shared" si="86"/>
        <v>554.20833333333326</v>
      </c>
      <c r="AC241" s="104">
        <f t="shared" si="83"/>
        <v>12.925000000000001</v>
      </c>
      <c r="AD241" s="107">
        <f>Table1[[#This Row],[Substrate SF]]*Materials!C$37</f>
        <v>54.833333333333329</v>
      </c>
      <c r="AE241" s="104">
        <f>IF(Table1[[#This Row],[Work Center]]="SwissQ",Materials!G$37,IF(Table1[[#This Row],[Work Center]]="Inca",Materials!G$29,IF(Table1[[#This Row],[Work Center]]="Canon",Materials!G$49,Materials!G$45)))</f>
        <v>20</v>
      </c>
      <c r="AF241" s="104">
        <f>'Cali Frames'!D$309</f>
        <v>157.5</v>
      </c>
      <c r="AG241" s="115"/>
      <c r="AH241" s="112">
        <f t="shared" si="80"/>
        <v>50</v>
      </c>
      <c r="AI241" s="112"/>
      <c r="AJ241" s="107">
        <f t="shared" si="81"/>
        <v>295.25833333333333</v>
      </c>
      <c r="AK241" s="62">
        <f t="shared" si="82"/>
        <v>0.70474166666666671</v>
      </c>
      <c r="AL241" s="225">
        <f>Table1[[#This Row],[WSP/Dealer]]/Table1[[#This Row],[OD Sq Inch]]</f>
        <v>0.49309664694280081</v>
      </c>
      <c r="AM241" s="103">
        <f>Table1[[#This Row],[OD Wdth]]*Table1[[#This Row],[OD Hgt]]</f>
        <v>2028</v>
      </c>
      <c r="AN241" s="216">
        <f>Table1[[#This Row],[Min VO]]+Table1[[#This Row],[Max VO]]</f>
        <v>91</v>
      </c>
      <c r="AO241" s="103"/>
      <c r="AP241" s="101"/>
      <c r="AQ241" s="104"/>
      <c r="AR241" s="104"/>
      <c r="AS241" s="104"/>
      <c r="AT241" s="104"/>
      <c r="AU241" s="830" t="str">
        <f t="shared" si="74"/>
        <v>-</v>
      </c>
    </row>
    <row r="242" spans="1:47" s="45" customFormat="1" x14ac:dyDescent="0.2">
      <c r="A242" s="145" t="s">
        <v>58</v>
      </c>
      <c r="B242" s="1061" t="s">
        <v>533</v>
      </c>
      <c r="C242" s="146" t="s">
        <v>776</v>
      </c>
      <c r="D242" s="1042" t="s">
        <v>777</v>
      </c>
      <c r="E242" s="146" t="s">
        <v>778</v>
      </c>
      <c r="F242" s="154" t="s">
        <v>150</v>
      </c>
      <c r="G242" s="145" t="s">
        <v>779</v>
      </c>
      <c r="H242" s="145" t="s">
        <v>779</v>
      </c>
      <c r="I242" s="145" t="s">
        <v>52</v>
      </c>
      <c r="J242" s="632" t="s">
        <v>53</v>
      </c>
      <c r="K242" s="145" t="s">
        <v>54</v>
      </c>
      <c r="L242" s="145" t="s">
        <v>55</v>
      </c>
      <c r="M242" s="155">
        <v>640</v>
      </c>
      <c r="N242" s="639">
        <v>705</v>
      </c>
      <c r="O242" s="145" t="s">
        <v>64</v>
      </c>
      <c r="P242" s="145">
        <v>48</v>
      </c>
      <c r="Q242" s="145">
        <v>33</v>
      </c>
      <c r="R242" s="145">
        <v>48</v>
      </c>
      <c r="S242" s="145">
        <v>33</v>
      </c>
      <c r="T242" s="698">
        <v>48</v>
      </c>
      <c r="U242" s="698">
        <v>33</v>
      </c>
      <c r="V242" s="913">
        <f t="shared" ref="V242:V258" si="88">IF(J242="Canvas",P242+Border,P242)</f>
        <v>56</v>
      </c>
      <c r="W242" s="913">
        <f t="shared" ref="W242:W258" si="89">IF(J242="Canvas",Q242+Border,Q242)</f>
        <v>41</v>
      </c>
      <c r="X242" s="800" t="s">
        <v>761</v>
      </c>
      <c r="Y242" s="188"/>
      <c r="Z242" s="188"/>
      <c r="AA242" s="722">
        <f t="shared" si="87"/>
        <v>15.944444444444445</v>
      </c>
      <c r="AB242" s="721">
        <f t="shared" si="86"/>
        <v>451.22777777777782</v>
      </c>
      <c r="AC242" s="606">
        <f t="shared" si="83"/>
        <v>10.523333333333333</v>
      </c>
      <c r="AD242" s="21">
        <f>Table1[[#This Row],[Substrate SF]]*Materials!C$37</f>
        <v>44.644444444444446</v>
      </c>
      <c r="AE242" s="104">
        <f>IF(Table1[[#This Row],[Work Center]]="SwissQ",Materials!G$37,IF(Table1[[#This Row],[Work Center]]="Inca",Materials!G$29,IF(Table1[[#This Row],[Work Center]]="Canon",Materials!G$49,Materials!G$45)))</f>
        <v>20</v>
      </c>
      <c r="AF242" s="143">
        <f>'Cali FPS'!C61</f>
        <v>106.66250000000001</v>
      </c>
      <c r="AG242" s="115"/>
      <c r="AH242" s="498">
        <f t="shared" si="80"/>
        <v>32</v>
      </c>
      <c r="AI242" s="498"/>
      <c r="AJ242" s="143">
        <f t="shared" si="81"/>
        <v>213.83027777777778</v>
      </c>
      <c r="AK242" s="650">
        <f t="shared" si="82"/>
        <v>0.66589019097222224</v>
      </c>
      <c r="AL242" s="225">
        <f>Table1[[#This Row],[WSP/Dealer]]/Table1[[#This Row],[OD Sq Inch]]</f>
        <v>0.40404040404040403</v>
      </c>
      <c r="AM242" s="101">
        <f>Table1[[#This Row],[OD Wdth]]*Table1[[#This Row],[OD Hgt]]</f>
        <v>1584</v>
      </c>
      <c r="AN242" s="216">
        <f>Table1[[#This Row],[Min VO]]+Table1[[#This Row],[Max VO]]</f>
        <v>81</v>
      </c>
      <c r="AO242" s="147"/>
      <c r="AP242" s="147"/>
      <c r="AQ242" s="635"/>
      <c r="AR242" s="635"/>
      <c r="AS242" s="635"/>
      <c r="AT242" s="143"/>
      <c r="AU242" s="1370" t="str">
        <f t="shared" si="74"/>
        <v>-</v>
      </c>
    </row>
    <row r="243" spans="1:47" s="46" customFormat="1" x14ac:dyDescent="0.2">
      <c r="A243" s="145" t="s">
        <v>58</v>
      </c>
      <c r="B243" s="1061" t="s">
        <v>533</v>
      </c>
      <c r="C243" s="146" t="s">
        <v>780</v>
      </c>
      <c r="D243" s="1042" t="s">
        <v>781</v>
      </c>
      <c r="E243" s="146" t="s">
        <v>782</v>
      </c>
      <c r="F243" s="154" t="s">
        <v>150</v>
      </c>
      <c r="G243" s="145" t="s">
        <v>783</v>
      </c>
      <c r="H243" s="145" t="s">
        <v>783</v>
      </c>
      <c r="I243" s="145" t="s">
        <v>52</v>
      </c>
      <c r="J243" s="145" t="s">
        <v>53</v>
      </c>
      <c r="K243" s="145" t="s">
        <v>54</v>
      </c>
      <c r="L243" s="145" t="s">
        <v>55</v>
      </c>
      <c r="M243" s="151">
        <v>1100</v>
      </c>
      <c r="N243" s="639">
        <v>1100</v>
      </c>
      <c r="O243" s="145" t="s">
        <v>64</v>
      </c>
      <c r="P243" s="145">
        <v>68</v>
      </c>
      <c r="Q243" s="145">
        <v>47</v>
      </c>
      <c r="R243" s="145">
        <v>47</v>
      </c>
      <c r="S243" s="145">
        <v>68</v>
      </c>
      <c r="T243" s="698">
        <f>Table1[[#This Row],[VO Wdth]]</f>
        <v>68</v>
      </c>
      <c r="U243" s="698">
        <f>Table1[[#This Row],[VO Hgt]]</f>
        <v>47</v>
      </c>
      <c r="V243" s="913">
        <f t="shared" si="88"/>
        <v>76</v>
      </c>
      <c r="W243" s="913">
        <f t="shared" si="89"/>
        <v>55</v>
      </c>
      <c r="X243" s="800" t="s">
        <v>165</v>
      </c>
      <c r="Y243" s="188"/>
      <c r="Z243" s="188"/>
      <c r="AA243" s="722">
        <f t="shared" si="87"/>
        <v>29.027777777777779</v>
      </c>
      <c r="AB243" s="721">
        <f t="shared" si="86"/>
        <v>821.4861111111112</v>
      </c>
      <c r="AC243" s="606">
        <f t="shared" si="83"/>
        <v>19.158333333333335</v>
      </c>
      <c r="AD243" s="21">
        <f>Table1[[#This Row],[Substrate SF]]*Materials!C$37</f>
        <v>81.277777777777771</v>
      </c>
      <c r="AE243" s="104">
        <f>IF(Table1[[#This Row],[Work Center]]="SwissQ",Materials!G$37,IF(Table1[[#This Row],[Work Center]]="Inca",Materials!G$29,IF(Table1[[#This Row],[Work Center]]="Canon",Materials!G$49,Materials!G$45)))</f>
        <v>20</v>
      </c>
      <c r="AF243" s="143">
        <f>'Cali FPS'!C115</f>
        <v>176.785</v>
      </c>
      <c r="AG243" s="115"/>
      <c r="AH243" s="112">
        <f t="shared" si="80"/>
        <v>55</v>
      </c>
      <c r="AI243" s="112"/>
      <c r="AJ243" s="143">
        <f t="shared" si="81"/>
        <v>352.2211111111111</v>
      </c>
      <c r="AK243" s="62">
        <f t="shared" si="82"/>
        <v>0.6797989898989899</v>
      </c>
      <c r="AL243" s="225">
        <f>Table1[[#This Row],[WSP/Dealer]]/Table1[[#This Row],[OD Sq Inch]]</f>
        <v>0.34418022528160203</v>
      </c>
      <c r="AM243" s="103">
        <f>Table1[[#This Row],[OD Wdth]]*Table1[[#This Row],[OD Hgt]]</f>
        <v>3196</v>
      </c>
      <c r="AN243" s="216">
        <f>Table1[[#This Row],[Min VO]]+Table1[[#This Row],[Max VO]]</f>
        <v>115</v>
      </c>
      <c r="AO243" s="145"/>
      <c r="AP243" s="145"/>
      <c r="AQ243" s="143"/>
      <c r="AR243" s="143"/>
      <c r="AS243" s="143"/>
      <c r="AT243" s="143"/>
      <c r="AU243" s="1371" t="str">
        <f t="shared" si="74"/>
        <v>-</v>
      </c>
    </row>
    <row r="244" spans="1:47" s="103" customFormat="1" hidden="1" x14ac:dyDescent="0.2">
      <c r="A244" s="400" t="s">
        <v>95</v>
      </c>
      <c r="B244" s="1061" t="s">
        <v>96</v>
      </c>
      <c r="C244" s="168" t="s">
        <v>784</v>
      </c>
      <c r="D244" s="100"/>
      <c r="E244" s="169" t="s">
        <v>785</v>
      </c>
      <c r="F244" s="169" t="s">
        <v>131</v>
      </c>
      <c r="G244" s="101" t="s">
        <v>132</v>
      </c>
      <c r="H244" s="101" t="s">
        <v>133</v>
      </c>
      <c r="I244" s="101" t="s">
        <v>108</v>
      </c>
      <c r="J244" s="487" t="s">
        <v>53</v>
      </c>
      <c r="K244" s="101" t="s">
        <v>69</v>
      </c>
      <c r="L244" s="101" t="s">
        <v>70</v>
      </c>
      <c r="M244" s="299">
        <v>825</v>
      </c>
      <c r="N244" s="102"/>
      <c r="O244" s="485" t="s">
        <v>64</v>
      </c>
      <c r="P244" s="101">
        <v>36</v>
      </c>
      <c r="Q244" s="101">
        <v>48</v>
      </c>
      <c r="R244" s="101">
        <v>36</v>
      </c>
      <c r="S244" s="101">
        <v>48</v>
      </c>
      <c r="T244" s="697">
        <v>37</v>
      </c>
      <c r="U244" s="697">
        <v>49</v>
      </c>
      <c r="V244" s="106">
        <f t="shared" si="88"/>
        <v>44</v>
      </c>
      <c r="W244" s="106">
        <f t="shared" si="89"/>
        <v>56</v>
      </c>
      <c r="X244" s="137">
        <v>59</v>
      </c>
      <c r="Y244" s="101">
        <v>44</v>
      </c>
      <c r="Z244" s="101">
        <v>56</v>
      </c>
      <c r="AA244" s="724">
        <f t="shared" si="87"/>
        <v>17.111111111111111</v>
      </c>
      <c r="AB244" s="721">
        <f t="shared" si="86"/>
        <v>484.24444444444447</v>
      </c>
      <c r="AC244" s="406">
        <f t="shared" si="83"/>
        <v>11.293333333333333</v>
      </c>
      <c r="AD244" s="21">
        <f>Table1[[#This Row],[Substrate SF]]*Materials!C$37</f>
        <v>47.911111111111104</v>
      </c>
      <c r="AE244" s="406">
        <f>IF(Table1[[#This Row],[Work Center]]="SwissQ",Materials!G$37,IF(Table1[[#This Row],[Work Center]]="Inca",Materials!G$29,IF(Table1[[#This Row],[Work Center]]="Canon",Materials!G$49,Materials!G$45)))</f>
        <v>20</v>
      </c>
      <c r="AF244" s="102">
        <f>'Cali Frames'!D300</f>
        <v>164.8</v>
      </c>
      <c r="AG244" s="115"/>
      <c r="AH244" s="107">
        <f t="shared" si="80"/>
        <v>41.25</v>
      </c>
      <c r="AI244" s="107"/>
      <c r="AJ244" s="104">
        <f t="shared" si="81"/>
        <v>285.25444444444446</v>
      </c>
      <c r="AK244" s="108">
        <f t="shared" si="82"/>
        <v>0.65423703703703695</v>
      </c>
      <c r="AL244" s="660">
        <f>Table1[[#This Row],[WSP/Dealer]]/Table1[[#This Row],[OD Sq Inch]]</f>
        <v>0.45504688361831219</v>
      </c>
      <c r="AM244" s="229">
        <f>Table1[[#This Row],[OD Wdth]]*Table1[[#This Row],[OD Hgt]]</f>
        <v>1813</v>
      </c>
      <c r="AN244" s="266">
        <f>Table1[[#This Row],[Min VO]]+Table1[[#This Row],[Max VO]]</f>
        <v>84</v>
      </c>
      <c r="AO244" s="115"/>
      <c r="AP244" s="121"/>
      <c r="AQ244" s="121"/>
      <c r="AR244" s="121"/>
      <c r="AS244" s="121"/>
      <c r="AT244" s="104"/>
      <c r="AU244" s="1359" t="str">
        <f t="shared" si="74"/>
        <v>-</v>
      </c>
    </row>
    <row r="245" spans="1:47" s="103" customFormat="1" hidden="1" x14ac:dyDescent="0.2">
      <c r="A245" s="101" t="s">
        <v>110</v>
      </c>
      <c r="B245" s="1067" t="s">
        <v>134</v>
      </c>
      <c r="C245" s="168" t="s">
        <v>786</v>
      </c>
      <c r="D245" s="100"/>
      <c r="E245" s="169" t="s">
        <v>785</v>
      </c>
      <c r="F245" s="169" t="s">
        <v>131</v>
      </c>
      <c r="G245" s="101" t="s">
        <v>132</v>
      </c>
      <c r="H245" s="101" t="s">
        <v>132</v>
      </c>
      <c r="I245" s="101" t="s">
        <v>52</v>
      </c>
      <c r="J245" s="487" t="s">
        <v>53</v>
      </c>
      <c r="K245" s="101" t="s">
        <v>54</v>
      </c>
      <c r="L245" s="101" t="s">
        <v>55</v>
      </c>
      <c r="M245" s="299">
        <v>600</v>
      </c>
      <c r="N245" s="114"/>
      <c r="O245" s="101" t="s">
        <v>56</v>
      </c>
      <c r="P245" s="101">
        <v>36</v>
      </c>
      <c r="Q245" s="101">
        <v>48</v>
      </c>
      <c r="R245" s="101">
        <v>36</v>
      </c>
      <c r="S245" s="103">
        <v>48</v>
      </c>
      <c r="T245" s="101">
        <v>36</v>
      </c>
      <c r="U245" s="101">
        <v>48</v>
      </c>
      <c r="V245" s="608">
        <f t="shared" si="88"/>
        <v>44</v>
      </c>
      <c r="W245" s="608">
        <f t="shared" si="89"/>
        <v>56</v>
      </c>
      <c r="X245" s="137">
        <v>59</v>
      </c>
      <c r="Y245" s="101">
        <v>44</v>
      </c>
      <c r="Z245" s="101">
        <v>56</v>
      </c>
      <c r="AA245" s="649">
        <f t="shared" si="87"/>
        <v>17.111111111111111</v>
      </c>
      <c r="AB245" s="184">
        <f>AA245*IncaG</f>
        <v>360.01777777777778</v>
      </c>
      <c r="AC245" s="104">
        <f t="shared" si="83"/>
        <v>11.293333333333333</v>
      </c>
      <c r="AD245" s="107">
        <f>AA245*IncaC</f>
        <v>28.801422222222222</v>
      </c>
      <c r="AE245" s="104">
        <f>IF(Table1[[#This Row],[Work Center]]="SwissQ",Materials!G$37,IF(Table1[[#This Row],[Work Center]]="Inca",Materials!G$29,IF(Table1[[#This Row],[Work Center]]="Canon",Materials!G$49,Materials!G$45)))</f>
        <v>8</v>
      </c>
      <c r="AF245" s="102">
        <f>'Cali FPS'!C71</f>
        <v>114.31</v>
      </c>
      <c r="AG245" s="115"/>
      <c r="AH245" s="406">
        <f t="shared" si="80"/>
        <v>30</v>
      </c>
      <c r="AI245" s="406">
        <f>IF(A245="Codarus",(M245*0.13))</f>
        <v>78</v>
      </c>
      <c r="AJ245" s="104">
        <f>SUM(AC245:AI245)</f>
        <v>270.40475555555554</v>
      </c>
      <c r="AK245" s="1065">
        <f t="shared" si="82"/>
        <v>0.54932540740740743</v>
      </c>
      <c r="AL245" s="406">
        <f>Table1[[#This Row],[WSP/Dealer]]/Table1[[#This Row],[OD Sq Inch]]</f>
        <v>0.34722222222222221</v>
      </c>
      <c r="AM245" s="399">
        <f>Table1[[#This Row],[OD Wdth]]*Table1[[#This Row],[OD Hgt]]</f>
        <v>1728</v>
      </c>
      <c r="AN245" s="400">
        <f>Table1[[#This Row],[Min VO]]+Table1[[#This Row],[Max VO]]</f>
        <v>84</v>
      </c>
      <c r="AO245" s="113"/>
      <c r="AP245" s="1307">
        <f>(M245*2)</f>
        <v>1200</v>
      </c>
      <c r="AQ245" s="121">
        <f>(Table1[[#This Row],[Desgnr/Retail P]]*0.05)</f>
        <v>60</v>
      </c>
      <c r="AR245" s="121">
        <f>IF(A245="Codarus",(AP245*0.13))</f>
        <v>156</v>
      </c>
      <c r="AS245" s="121">
        <f>SUM(Table1[[#This Row],[Substrate $]:[GP FINISH]])+Table1[[#This Row],[Retail Royalty]]+Table1[[#This Row],[Retail$Comm]]</f>
        <v>378.40475555555554</v>
      </c>
      <c r="AT245" s="830">
        <f>IF(AP245=0,"-",(AP245-AS245)/AP245)</f>
        <v>0.68466270370370375</v>
      </c>
      <c r="AU245" s="1367">
        <f t="shared" si="74"/>
        <v>0.9885889549382717</v>
      </c>
    </row>
    <row r="246" spans="1:47" s="103" customFormat="1" hidden="1" x14ac:dyDescent="0.2">
      <c r="A246" s="274" t="s">
        <v>101</v>
      </c>
      <c r="B246" s="279" t="s">
        <v>102</v>
      </c>
      <c r="C246" s="317" t="s">
        <v>787</v>
      </c>
      <c r="D246" s="323"/>
      <c r="E246" s="375" t="s">
        <v>788</v>
      </c>
      <c r="F246" s="375" t="s">
        <v>789</v>
      </c>
      <c r="G246" s="274" t="s">
        <v>693</v>
      </c>
      <c r="H246" s="274" t="s">
        <v>693</v>
      </c>
      <c r="I246" s="274" t="s">
        <v>52</v>
      </c>
      <c r="J246" s="344" t="s">
        <v>53</v>
      </c>
      <c r="K246" s="274" t="s">
        <v>54</v>
      </c>
      <c r="L246" s="274" t="s">
        <v>55</v>
      </c>
      <c r="M246" s="141">
        <v>190</v>
      </c>
      <c r="N246" s="318"/>
      <c r="O246" s="274" t="s">
        <v>64</v>
      </c>
      <c r="P246" s="274">
        <v>12</v>
      </c>
      <c r="Q246" s="274">
        <v>12</v>
      </c>
      <c r="R246" s="274">
        <v>12</v>
      </c>
      <c r="S246" s="274">
        <v>12</v>
      </c>
      <c r="T246" s="274">
        <v>12</v>
      </c>
      <c r="U246" s="274">
        <v>12</v>
      </c>
      <c r="V246" s="66">
        <f t="shared" si="88"/>
        <v>20</v>
      </c>
      <c r="W246" s="66">
        <f t="shared" si="89"/>
        <v>20</v>
      </c>
      <c r="X246" s="274">
        <v>40</v>
      </c>
      <c r="Y246" s="917">
        <f>Table1[[#This Row],[Print Wth]]</f>
        <v>20</v>
      </c>
      <c r="Z246" s="917">
        <f>Table1[[#This Row],[Print Ht]]</f>
        <v>20</v>
      </c>
      <c r="AA246" s="952">
        <f>Table1[[#This Row],[Cut Width]]*Table1[[#This Row],[Cut Height]]/144</f>
        <v>2.7777777777777777</v>
      </c>
      <c r="AB246" s="1130">
        <f>Table1[[#This Row],[Print Wth]]*Table1[[#This Row],[Print Ht]]/144*Swiss1ML</f>
        <v>78.611111111111114</v>
      </c>
      <c r="AC246" s="278">
        <f>Table1[[#This Row],[Substrate SF]]*Canvas</f>
        <v>1.8333333333333333</v>
      </c>
      <c r="AD246" s="263">
        <f>(Table1[[#This Row],[Print Wth]]*Table1[[#This Row],[Print Ht]])/144*SWISSC1</f>
        <v>7.7777777777777768</v>
      </c>
      <c r="AE246" s="74">
        <f>IF(Table1[[#This Row],[Work Center]]="SwissQ",Materials!G$37,IF(Table1[[#This Row],[Work Center]]="Inca",Materials!G$29,IF(Table1[[#This Row],[Work Center]]="Canon",Materials!G$49,Materials!G$45)))</f>
        <v>20</v>
      </c>
      <c r="AF246" s="321">
        <f>'Cali FPS'!C10</f>
        <v>58.77</v>
      </c>
      <c r="AG246" s="275"/>
      <c r="AH246" s="278">
        <f t="shared" si="80"/>
        <v>9.5</v>
      </c>
      <c r="AI246" s="278"/>
      <c r="AJ246" s="263">
        <f t="shared" ref="AJ246:AJ288" si="90">SUM(AC246:AH246)</f>
        <v>97.88111111111111</v>
      </c>
      <c r="AK246" s="1192">
        <f t="shared" si="82"/>
        <v>0.48483625730994151</v>
      </c>
      <c r="AL246" s="278">
        <f>Table1[[#This Row],[WSP/Dealer]]/Table1[[#This Row],[OD Sq Inch]]</f>
        <v>1.3194444444444444</v>
      </c>
      <c r="AM246" s="170">
        <f>Table1[[#This Row],[OD Wdth]]*Table1[[#This Row],[OD Hgt]]</f>
        <v>144</v>
      </c>
      <c r="AN246" s="274">
        <f>Table1[[#This Row],[Min VO]]+Table1[[#This Row],[Max VO]]</f>
        <v>24</v>
      </c>
      <c r="AO246" s="275"/>
      <c r="AP246" s="320"/>
      <c r="AQ246" s="320"/>
      <c r="AR246" s="278"/>
      <c r="AS246" s="1146"/>
      <c r="AT246" s="1241"/>
      <c r="AU246" s="1368" t="str">
        <f t="shared" si="74"/>
        <v>-</v>
      </c>
    </row>
    <row r="247" spans="1:47" s="103" customFormat="1" hidden="1" x14ac:dyDescent="0.2">
      <c r="A247" s="86"/>
      <c r="B247" s="1061" t="s">
        <v>562</v>
      </c>
      <c r="C247" s="100" t="s">
        <v>790</v>
      </c>
      <c r="D247" s="100" t="s">
        <v>791</v>
      </c>
      <c r="E247" s="85" t="s">
        <v>792</v>
      </c>
      <c r="F247" s="85" t="s">
        <v>634</v>
      </c>
      <c r="G247" s="86" t="s">
        <v>132</v>
      </c>
      <c r="H247" s="86" t="s">
        <v>793</v>
      </c>
      <c r="I247" s="86" t="s">
        <v>794</v>
      </c>
      <c r="J247" s="86" t="s">
        <v>53</v>
      </c>
      <c r="K247" s="86" t="s">
        <v>69</v>
      </c>
      <c r="L247" s="86" t="s">
        <v>70</v>
      </c>
      <c r="M247" s="87">
        <v>671</v>
      </c>
      <c r="N247" s="71"/>
      <c r="O247" s="551" t="s">
        <v>795</v>
      </c>
      <c r="P247" s="101">
        <v>36</v>
      </c>
      <c r="Q247" s="101">
        <v>48</v>
      </c>
      <c r="R247" s="101">
        <v>36</v>
      </c>
      <c r="S247" s="101">
        <v>48</v>
      </c>
      <c r="T247" s="101">
        <v>37</v>
      </c>
      <c r="U247" s="101" t="str">
        <f>RIGHT(H247,2)</f>
        <v>49</v>
      </c>
      <c r="V247" s="106">
        <f t="shared" si="88"/>
        <v>44</v>
      </c>
      <c r="W247" s="106">
        <f t="shared" si="89"/>
        <v>56</v>
      </c>
      <c r="X247" s="137" t="s">
        <v>796</v>
      </c>
      <c r="Y247" s="101"/>
      <c r="Z247" s="101"/>
      <c r="AA247" s="649">
        <f t="shared" ref="AA247:AA288" si="91">V247*W247/144</f>
        <v>17.111111111111111</v>
      </c>
      <c r="AB247" s="184">
        <v>0</v>
      </c>
      <c r="AC247" s="104">
        <f>TX!H9</f>
        <v>156.99</v>
      </c>
      <c r="AD247" s="107">
        <f>AB247*IncaC</f>
        <v>0</v>
      </c>
      <c r="AE247" s="104">
        <v>0</v>
      </c>
      <c r="AF247" s="104">
        <f>'Cali Frames'!D300</f>
        <v>164.8</v>
      </c>
      <c r="AG247" s="115"/>
      <c r="AH247" s="498">
        <f t="shared" si="80"/>
        <v>33.550000000000004</v>
      </c>
      <c r="AI247" s="498"/>
      <c r="AJ247" s="104">
        <f t="shared" si="90"/>
        <v>355.34000000000003</v>
      </c>
      <c r="AK247" s="650">
        <f t="shared" ref="AK247:AK278" si="92">(M247-AJ247)/M247</f>
        <v>0.47043219076005954</v>
      </c>
      <c r="AL247" s="225">
        <f>Table1[[#This Row],[WSP/Dealer]]/Table1[[#This Row],[OD Sq Inch]]</f>
        <v>0.37010479867622725</v>
      </c>
      <c r="AM247" s="218">
        <f>Table1[[#This Row],[OD Wdth]]*Table1[[#This Row],[OD Hgt]]</f>
        <v>1813</v>
      </c>
      <c r="AN247" s="216">
        <f>Table1[[#This Row],[Min VO]]+Table1[[#This Row],[Max VO]]</f>
        <v>84</v>
      </c>
      <c r="AO247" s="101"/>
      <c r="AP247" s="101"/>
      <c r="AQ247" s="104"/>
      <c r="AR247" s="104"/>
      <c r="AS247" s="104"/>
      <c r="AT247" s="104"/>
      <c r="AU247" s="830" t="str">
        <f t="shared" si="74"/>
        <v>-</v>
      </c>
    </row>
    <row r="248" spans="1:47" s="103" customFormat="1" x14ac:dyDescent="0.2">
      <c r="A248" s="86" t="s">
        <v>58</v>
      </c>
      <c r="B248" s="1061" t="s">
        <v>88</v>
      </c>
      <c r="C248" s="100" t="s">
        <v>797</v>
      </c>
      <c r="D248" s="100" t="s">
        <v>798</v>
      </c>
      <c r="E248" s="85" t="s">
        <v>799</v>
      </c>
      <c r="F248" s="85" t="s">
        <v>800</v>
      </c>
      <c r="G248" s="86" t="s">
        <v>750</v>
      </c>
      <c r="H248" s="86" t="s">
        <v>751</v>
      </c>
      <c r="I248" s="86" t="s">
        <v>52</v>
      </c>
      <c r="J248" s="86" t="s">
        <v>53</v>
      </c>
      <c r="K248" s="86" t="s">
        <v>69</v>
      </c>
      <c r="L248" s="86" t="s">
        <v>70</v>
      </c>
      <c r="M248" s="87">
        <v>654.5</v>
      </c>
      <c r="N248" s="639">
        <v>720</v>
      </c>
      <c r="O248" s="551" t="s">
        <v>64</v>
      </c>
      <c r="P248" s="101">
        <v>39</v>
      </c>
      <c r="Q248" s="101">
        <v>39</v>
      </c>
      <c r="R248" s="101">
        <v>39</v>
      </c>
      <c r="S248" s="101">
        <v>39</v>
      </c>
      <c r="T248" s="101">
        <v>40</v>
      </c>
      <c r="U248" s="101" t="str">
        <f>RIGHT(H248,2)</f>
        <v>40</v>
      </c>
      <c r="V248" s="106">
        <f t="shared" si="88"/>
        <v>47</v>
      </c>
      <c r="W248" s="106">
        <f t="shared" si="89"/>
        <v>47</v>
      </c>
      <c r="X248" s="157" t="s">
        <v>699</v>
      </c>
      <c r="Y248" s="145"/>
      <c r="Z248" s="145"/>
      <c r="AA248" s="649">
        <f t="shared" si="91"/>
        <v>15.340277777777779</v>
      </c>
      <c r="AB248" s="184">
        <f>AA248*Swiss1</f>
        <v>434.12986111111115</v>
      </c>
      <c r="AC248" s="104">
        <f t="shared" ref="AC248:AC256" si="93">AA248*Canvas</f>
        <v>10.124583333333334</v>
      </c>
      <c r="AD248" s="107">
        <f>Table1[[#This Row],[Substrate SF]]*Materials!C$37</f>
        <v>42.952777777777776</v>
      </c>
      <c r="AE248" s="104">
        <f>IF(Table1[[#This Row],[Work Center]]="SwissQ",Materials!G$37,IF(Table1[[#This Row],[Work Center]]="Inca",Materials!G$29,IF(Table1[[#This Row],[Work Center]]="Canon",Materials!G$49,Materials!G$45)))</f>
        <v>20</v>
      </c>
      <c r="AF248" s="104">
        <f>'Cali Frames'!D$307</f>
        <v>152.32</v>
      </c>
      <c r="AG248" s="115"/>
      <c r="AH248" s="112">
        <f t="shared" si="80"/>
        <v>32.725000000000001</v>
      </c>
      <c r="AI248" s="112"/>
      <c r="AJ248" s="104">
        <f t="shared" si="90"/>
        <v>258.1223611111111</v>
      </c>
      <c r="AK248" s="62">
        <f t="shared" si="92"/>
        <v>0.60561900517782874</v>
      </c>
      <c r="AL248" s="225">
        <f>Table1[[#This Row],[WSP/Dealer]]/Table1[[#This Row],[OD Sq Inch]]</f>
        <v>0.4090625</v>
      </c>
      <c r="AM248" s="218">
        <f>Table1[[#This Row],[OD Wdth]]*Table1[[#This Row],[OD Hgt]]</f>
        <v>1600</v>
      </c>
      <c r="AN248" s="216">
        <f>Table1[[#This Row],[Min VO]]+Table1[[#This Row],[Max VO]]</f>
        <v>78</v>
      </c>
      <c r="AO248" s="101"/>
      <c r="AP248" s="101"/>
      <c r="AQ248" s="104"/>
      <c r="AR248" s="104"/>
      <c r="AS248" s="104"/>
      <c r="AT248" s="104"/>
      <c r="AU248" s="830" t="str">
        <f t="shared" si="74"/>
        <v>-</v>
      </c>
    </row>
    <row r="249" spans="1:47" s="25" customFormat="1" hidden="1" x14ac:dyDescent="0.2">
      <c r="A249" s="274" t="s">
        <v>187</v>
      </c>
      <c r="B249" s="1061" t="s">
        <v>801</v>
      </c>
      <c r="C249" s="94" t="s">
        <v>802</v>
      </c>
      <c r="D249" s="78"/>
      <c r="E249" s="84" t="s">
        <v>803</v>
      </c>
      <c r="F249" s="84" t="s">
        <v>105</v>
      </c>
      <c r="G249" s="68" t="s">
        <v>643</v>
      </c>
      <c r="H249" s="68" t="s">
        <v>643</v>
      </c>
      <c r="I249" s="68" t="s">
        <v>52</v>
      </c>
      <c r="J249" s="140" t="s">
        <v>53</v>
      </c>
      <c r="K249" s="68" t="s">
        <v>54</v>
      </c>
      <c r="L249" s="68" t="s">
        <v>55</v>
      </c>
      <c r="M249" s="93">
        <v>300</v>
      </c>
      <c r="N249" s="93"/>
      <c r="O249" s="68" t="s">
        <v>575</v>
      </c>
      <c r="P249" s="68">
        <v>20</v>
      </c>
      <c r="Q249" s="68">
        <v>16</v>
      </c>
      <c r="R249" s="68">
        <v>16</v>
      </c>
      <c r="S249" s="63">
        <v>20</v>
      </c>
      <c r="T249" s="63">
        <v>20</v>
      </c>
      <c r="U249" s="63">
        <v>16</v>
      </c>
      <c r="V249" s="277">
        <f t="shared" si="88"/>
        <v>28</v>
      </c>
      <c r="W249" s="277">
        <f t="shared" si="89"/>
        <v>24</v>
      </c>
      <c r="X249" s="274">
        <v>40</v>
      </c>
      <c r="Y249" s="68">
        <v>28</v>
      </c>
      <c r="Z249" s="68">
        <v>24</v>
      </c>
      <c r="AA249" s="699">
        <f t="shared" si="91"/>
        <v>4.666666666666667</v>
      </c>
      <c r="AB249" s="341">
        <f t="shared" ref="AB249:AB256" si="94">AA249*SWISSMLR*3</f>
        <v>28</v>
      </c>
      <c r="AC249" s="74">
        <f t="shared" si="93"/>
        <v>3.0800000000000005</v>
      </c>
      <c r="AD249" s="67">
        <f>Table1[[#This Row],[Substrate SF]]*SWISSCR*3</f>
        <v>3.0800000000000005</v>
      </c>
      <c r="AE249" s="428">
        <f>IF(Table1[[#This Row],[Work Center]]="SwissQ",Materials!G$37,IF(Table1[[#This Row],[Work Center]]="Inca",Materials!G$29,IF(Table1[[#This Row],[Work Center]]="Canon",Materials!G$49,Materials!G$45)))</f>
        <v>5</v>
      </c>
      <c r="AF249" s="73">
        <f>'Cali FPS'!C18</f>
        <v>61.15</v>
      </c>
      <c r="AG249" s="126"/>
      <c r="AH249" s="67">
        <v>0</v>
      </c>
      <c r="AI249" s="67"/>
      <c r="AJ249" s="263">
        <f t="shared" si="90"/>
        <v>72.31</v>
      </c>
      <c r="AK249" s="661">
        <f t="shared" si="92"/>
        <v>0.75896666666666668</v>
      </c>
      <c r="AL249" s="240">
        <f>Table1[[#This Row],[WSP/Dealer]]/Table1[[#This Row],[OD Sq Inch]]</f>
        <v>0.9375</v>
      </c>
      <c r="AM249" s="170">
        <f>Table1[[#This Row],[OD Wdth]]*Table1[[#This Row],[OD Hgt]]</f>
        <v>320</v>
      </c>
      <c r="AN249" s="274">
        <f>Table1[[#This Row],[Min VO]]+Table1[[#This Row],[Max VO]]</f>
        <v>36</v>
      </c>
      <c r="AO249" s="84"/>
      <c r="AP249" s="126"/>
      <c r="AQ249" s="126"/>
      <c r="AR249" s="126"/>
      <c r="AS249" s="126"/>
      <c r="AT249" s="74"/>
      <c r="AU249" s="1357" t="str">
        <f t="shared" si="74"/>
        <v>-</v>
      </c>
    </row>
    <row r="250" spans="1:47" s="246" customFormat="1" hidden="1" x14ac:dyDescent="0.2">
      <c r="A250" s="274" t="s">
        <v>187</v>
      </c>
      <c r="B250" s="1061" t="s">
        <v>801</v>
      </c>
      <c r="C250" s="94" t="s">
        <v>804</v>
      </c>
      <c r="D250" s="78"/>
      <c r="E250" s="84" t="s">
        <v>803</v>
      </c>
      <c r="F250" s="84" t="s">
        <v>105</v>
      </c>
      <c r="G250" s="68" t="s">
        <v>643</v>
      </c>
      <c r="H250" s="68" t="s">
        <v>643</v>
      </c>
      <c r="I250" s="68" t="s">
        <v>52</v>
      </c>
      <c r="J250" s="140" t="s">
        <v>53</v>
      </c>
      <c r="K250" s="68" t="s">
        <v>119</v>
      </c>
      <c r="L250" s="68" t="s">
        <v>120</v>
      </c>
      <c r="M250" s="93">
        <v>375</v>
      </c>
      <c r="N250" s="93"/>
      <c r="O250" s="68" t="s">
        <v>575</v>
      </c>
      <c r="P250" s="68">
        <v>20</v>
      </c>
      <c r="Q250" s="68">
        <v>16</v>
      </c>
      <c r="R250" s="68">
        <v>16</v>
      </c>
      <c r="S250" s="68">
        <v>20</v>
      </c>
      <c r="T250" s="68">
        <v>20</v>
      </c>
      <c r="U250" s="68">
        <v>16</v>
      </c>
      <c r="V250" s="277">
        <f t="shared" si="88"/>
        <v>28</v>
      </c>
      <c r="W250" s="277">
        <f t="shared" si="89"/>
        <v>24</v>
      </c>
      <c r="X250" s="274">
        <v>40</v>
      </c>
      <c r="Y250" s="68">
        <v>28</v>
      </c>
      <c r="Z250" s="68">
        <v>24</v>
      </c>
      <c r="AA250" s="699">
        <f t="shared" si="91"/>
        <v>4.666666666666667</v>
      </c>
      <c r="AB250" s="341">
        <f t="shared" si="94"/>
        <v>28</v>
      </c>
      <c r="AC250" s="74">
        <f t="shared" si="93"/>
        <v>3.0800000000000005</v>
      </c>
      <c r="AD250" s="67">
        <f>Table1[[#This Row],[Substrate SF]]*SWISSCR*3</f>
        <v>3.0800000000000005</v>
      </c>
      <c r="AE250" s="278">
        <f>IF(Table1[[#This Row],[Work Center]]="SwissQ",Materials!G$37,IF(Table1[[#This Row],[Work Center]]="Inca",Materials!G$29,IF(Table1[[#This Row],[Work Center]]="Canon",Materials!G$49,Materials!G$45)))</f>
        <v>5</v>
      </c>
      <c r="AF250" s="73">
        <f>'Cali FPS'!C191</f>
        <v>78.89</v>
      </c>
      <c r="AG250" s="126"/>
      <c r="AH250" s="67">
        <v>0</v>
      </c>
      <c r="AI250" s="67"/>
      <c r="AJ250" s="278">
        <f t="shared" si="90"/>
        <v>90.05</v>
      </c>
      <c r="AK250" s="661">
        <f t="shared" si="92"/>
        <v>0.75986666666666669</v>
      </c>
      <c r="AL250" s="240">
        <f>Table1[[#This Row],[WSP/Dealer]]/Table1[[#This Row],[OD Sq Inch]]</f>
        <v>1.171875</v>
      </c>
      <c r="AM250" s="170">
        <f>Table1[[#This Row],[OD Wdth]]*Table1[[#This Row],[OD Hgt]]</f>
        <v>320</v>
      </c>
      <c r="AN250" s="274">
        <f>Table1[[#This Row],[Min VO]]+Table1[[#This Row],[Max VO]]</f>
        <v>36</v>
      </c>
      <c r="AO250" s="84"/>
      <c r="AP250" s="126"/>
      <c r="AQ250" s="126"/>
      <c r="AR250" s="126"/>
      <c r="AS250" s="126"/>
      <c r="AT250" s="74"/>
      <c r="AU250" s="1357" t="str">
        <f t="shared" si="74"/>
        <v>-</v>
      </c>
    </row>
    <row r="251" spans="1:47" s="246" customFormat="1" hidden="1" x14ac:dyDescent="0.2">
      <c r="A251" s="274" t="s">
        <v>187</v>
      </c>
      <c r="B251" s="1061" t="s">
        <v>801</v>
      </c>
      <c r="C251" s="94" t="s">
        <v>805</v>
      </c>
      <c r="D251" s="78"/>
      <c r="E251" s="84" t="s">
        <v>803</v>
      </c>
      <c r="F251" s="84" t="s">
        <v>105</v>
      </c>
      <c r="G251" s="68" t="s">
        <v>643</v>
      </c>
      <c r="H251" s="68" t="s">
        <v>806</v>
      </c>
      <c r="I251" s="68" t="s">
        <v>52</v>
      </c>
      <c r="J251" s="140" t="s">
        <v>53</v>
      </c>
      <c r="K251" s="68" t="s">
        <v>69</v>
      </c>
      <c r="L251" s="68" t="s">
        <v>73</v>
      </c>
      <c r="M251" s="93">
        <v>400</v>
      </c>
      <c r="N251" s="93"/>
      <c r="O251" s="68" t="s">
        <v>575</v>
      </c>
      <c r="P251" s="68">
        <v>20</v>
      </c>
      <c r="Q251" s="68">
        <v>16</v>
      </c>
      <c r="R251" s="68">
        <v>16</v>
      </c>
      <c r="S251" s="68">
        <v>20</v>
      </c>
      <c r="T251" s="68">
        <v>21</v>
      </c>
      <c r="U251" s="68">
        <v>17</v>
      </c>
      <c r="V251" s="686">
        <f t="shared" si="88"/>
        <v>28</v>
      </c>
      <c r="W251" s="686">
        <f t="shared" si="89"/>
        <v>24</v>
      </c>
      <c r="X251" s="274">
        <v>40</v>
      </c>
      <c r="Y251" s="68">
        <v>28</v>
      </c>
      <c r="Z251" s="68">
        <v>24</v>
      </c>
      <c r="AA251" s="699">
        <f t="shared" si="91"/>
        <v>4.666666666666667</v>
      </c>
      <c r="AB251" s="341">
        <f t="shared" si="94"/>
        <v>28</v>
      </c>
      <c r="AC251" s="74">
        <f t="shared" si="93"/>
        <v>3.0800000000000005</v>
      </c>
      <c r="AD251" s="67">
        <f>Table1[[#This Row],[Substrate SF]]*SWISSCR*3</f>
        <v>3.0800000000000005</v>
      </c>
      <c r="AE251" s="428">
        <f>IF(Table1[[#This Row],[Work Center]]="SwissQ",Materials!G$37,IF(Table1[[#This Row],[Work Center]]="Inca",Materials!G$29,IF(Table1[[#This Row],[Work Center]]="Canon",Materials!G$49,Materials!G$45)))</f>
        <v>5</v>
      </c>
      <c r="AF251" s="73">
        <f>'Cali Frames'!D414</f>
        <v>89.83</v>
      </c>
      <c r="AG251" s="126"/>
      <c r="AH251" s="74">
        <v>0</v>
      </c>
      <c r="AI251" s="74"/>
      <c r="AJ251" s="278">
        <f t="shared" si="90"/>
        <v>100.99</v>
      </c>
      <c r="AK251" s="1001">
        <f t="shared" si="92"/>
        <v>0.747525</v>
      </c>
      <c r="AL251" s="240">
        <f>Table1[[#This Row],[WSP/Dealer]]/Table1[[#This Row],[OD Sq Inch]]</f>
        <v>1.1204481792717087</v>
      </c>
      <c r="AM251" s="274">
        <f>Table1[[#This Row],[OD Wdth]]*Table1[[#This Row],[OD Hgt]]</f>
        <v>357</v>
      </c>
      <c r="AN251" s="274">
        <f>Table1[[#This Row],[Min VO]]+Table1[[#This Row],[Max VO]]</f>
        <v>36</v>
      </c>
      <c r="AO251" s="84"/>
      <c r="AP251" s="126"/>
      <c r="AQ251" s="126"/>
      <c r="AR251" s="126"/>
      <c r="AS251" s="126"/>
      <c r="AT251" s="74"/>
      <c r="AU251" s="1357" t="str">
        <f t="shared" si="74"/>
        <v>-</v>
      </c>
    </row>
    <row r="252" spans="1:47" s="103" customFormat="1" hidden="1" x14ac:dyDescent="0.2">
      <c r="A252" s="274" t="s">
        <v>187</v>
      </c>
      <c r="B252" s="1061" t="s">
        <v>801</v>
      </c>
      <c r="C252" s="94" t="s">
        <v>807</v>
      </c>
      <c r="D252" s="78"/>
      <c r="E252" s="84" t="s">
        <v>803</v>
      </c>
      <c r="F252" s="84" t="s">
        <v>105</v>
      </c>
      <c r="G252" s="68" t="s">
        <v>643</v>
      </c>
      <c r="H252" s="68" t="s">
        <v>806</v>
      </c>
      <c r="I252" s="68" t="s">
        <v>52</v>
      </c>
      <c r="J252" s="140" t="s">
        <v>53</v>
      </c>
      <c r="K252" s="68" t="s">
        <v>69</v>
      </c>
      <c r="L252" s="68" t="s">
        <v>315</v>
      </c>
      <c r="M252" s="93">
        <v>475</v>
      </c>
      <c r="N252" s="93"/>
      <c r="O252" s="68" t="s">
        <v>575</v>
      </c>
      <c r="P252" s="63">
        <v>20</v>
      </c>
      <c r="Q252" s="63">
        <v>16</v>
      </c>
      <c r="R252" s="68">
        <v>16</v>
      </c>
      <c r="S252" s="63">
        <v>20</v>
      </c>
      <c r="T252" s="68">
        <v>21</v>
      </c>
      <c r="U252" s="68">
        <v>17</v>
      </c>
      <c r="V252" s="686">
        <f t="shared" si="88"/>
        <v>28</v>
      </c>
      <c r="W252" s="686">
        <f t="shared" si="89"/>
        <v>24</v>
      </c>
      <c r="X252" s="274">
        <v>40</v>
      </c>
      <c r="Y252" s="68">
        <v>28</v>
      </c>
      <c r="Z252" s="68">
        <v>24</v>
      </c>
      <c r="AA252" s="699">
        <f t="shared" si="91"/>
        <v>4.666666666666667</v>
      </c>
      <c r="AB252" s="341">
        <f t="shared" si="94"/>
        <v>28</v>
      </c>
      <c r="AC252" s="74">
        <f t="shared" si="93"/>
        <v>3.0800000000000005</v>
      </c>
      <c r="AD252" s="67">
        <f>Table1[[#This Row],[Substrate SF]]*SWISSCR*3</f>
        <v>3.0800000000000005</v>
      </c>
      <c r="AE252" s="428">
        <f>IF(Table1[[#This Row],[Work Center]]="SwissQ",Materials!G$37,IF(Table1[[#This Row],[Work Center]]="Inca",Materials!G$29,IF(Table1[[#This Row],[Work Center]]="Canon",Materials!G$49,Materials!G$45)))</f>
        <v>5</v>
      </c>
      <c r="AF252" s="73">
        <f>'Cali Frames'!D504</f>
        <v>83.25</v>
      </c>
      <c r="AG252" s="126"/>
      <c r="AH252" s="74">
        <v>0</v>
      </c>
      <c r="AI252" s="74"/>
      <c r="AJ252" s="278">
        <f t="shared" si="90"/>
        <v>94.41</v>
      </c>
      <c r="AK252" s="1001">
        <f t="shared" si="92"/>
        <v>0.80124210526315798</v>
      </c>
      <c r="AL252" s="240">
        <f>Table1[[#This Row],[WSP/Dealer]]/Table1[[#This Row],[OD Sq Inch]]</f>
        <v>1.330532212885154</v>
      </c>
      <c r="AM252" s="170">
        <f>Table1[[#This Row],[OD Wdth]]*Table1[[#This Row],[OD Hgt]]</f>
        <v>357</v>
      </c>
      <c r="AN252" s="274">
        <f>Table1[[#This Row],[Min VO]]+Table1[[#This Row],[Max VO]]</f>
        <v>36</v>
      </c>
      <c r="AO252" s="119"/>
      <c r="AP252" s="126"/>
      <c r="AQ252" s="126"/>
      <c r="AR252" s="126"/>
      <c r="AS252" s="126"/>
      <c r="AT252" s="74"/>
      <c r="AU252" s="1356" t="str">
        <f t="shared" si="74"/>
        <v>-</v>
      </c>
    </row>
    <row r="253" spans="1:47" hidden="1" x14ac:dyDescent="0.2">
      <c r="A253" s="274" t="s">
        <v>187</v>
      </c>
      <c r="B253" s="1061" t="s">
        <v>801</v>
      </c>
      <c r="C253" s="94" t="s">
        <v>808</v>
      </c>
      <c r="D253" s="78"/>
      <c r="E253" s="84" t="s">
        <v>803</v>
      </c>
      <c r="F253" s="84" t="s">
        <v>105</v>
      </c>
      <c r="G253" s="68" t="s">
        <v>643</v>
      </c>
      <c r="H253" s="68" t="s">
        <v>806</v>
      </c>
      <c r="I253" s="68" t="s">
        <v>52</v>
      </c>
      <c r="J253" s="140" t="s">
        <v>53</v>
      </c>
      <c r="K253" s="68" t="s">
        <v>69</v>
      </c>
      <c r="L253" s="68" t="s">
        <v>70</v>
      </c>
      <c r="M253" s="93">
        <v>400</v>
      </c>
      <c r="N253" s="93"/>
      <c r="O253" s="68" t="s">
        <v>575</v>
      </c>
      <c r="P253" s="63">
        <v>20</v>
      </c>
      <c r="Q253" s="63">
        <v>16</v>
      </c>
      <c r="R253" s="68">
        <v>16</v>
      </c>
      <c r="S253" s="63">
        <v>20</v>
      </c>
      <c r="T253" s="68">
        <v>21</v>
      </c>
      <c r="U253" s="68">
        <v>17</v>
      </c>
      <c r="V253" s="277">
        <f t="shared" si="88"/>
        <v>28</v>
      </c>
      <c r="W253" s="277">
        <f t="shared" si="89"/>
        <v>24</v>
      </c>
      <c r="X253" s="274">
        <v>40</v>
      </c>
      <c r="Y253" s="68">
        <v>28</v>
      </c>
      <c r="Z253" s="68">
        <v>24</v>
      </c>
      <c r="AA253" s="699">
        <f t="shared" si="91"/>
        <v>4.666666666666667</v>
      </c>
      <c r="AB253" s="341">
        <f t="shared" si="94"/>
        <v>28</v>
      </c>
      <c r="AC253" s="74">
        <f t="shared" si="93"/>
        <v>3.0800000000000005</v>
      </c>
      <c r="AD253" s="67">
        <f>Table1[[#This Row],[Substrate SF]]*SWISSCR*3</f>
        <v>3.0800000000000005</v>
      </c>
      <c r="AE253" s="278">
        <f>IF(Table1[[#This Row],[Work Center]]="SwissQ",Materials!G$37,IF(Table1[[#This Row],[Work Center]]="Inca",Materials!G$29,IF(Table1[[#This Row],[Work Center]]="Canon",Materials!G$49,Materials!G$45)))</f>
        <v>5</v>
      </c>
      <c r="AF253" s="73">
        <f>'Cali Frames'!D267</f>
        <v>82.757499999999993</v>
      </c>
      <c r="AG253" s="126"/>
      <c r="AH253" s="74">
        <v>0</v>
      </c>
      <c r="AI253" s="74"/>
      <c r="AJ253" s="278">
        <f t="shared" si="90"/>
        <v>93.91749999999999</v>
      </c>
      <c r="AK253" s="1001">
        <f t="shared" si="92"/>
        <v>0.76520624999999998</v>
      </c>
      <c r="AL253" s="240">
        <f>Table1[[#This Row],[WSP/Dealer]]/Table1[[#This Row],[OD Sq Inch]]</f>
        <v>1.1204481792717087</v>
      </c>
      <c r="AM253" s="170">
        <f>Table1[[#This Row],[OD Wdth]]*Table1[[#This Row],[OD Hgt]]</f>
        <v>357</v>
      </c>
      <c r="AN253" s="274">
        <f>Table1[[#This Row],[Min VO]]+Table1[[#This Row],[Max VO]]</f>
        <v>36</v>
      </c>
      <c r="AO253" s="119"/>
      <c r="AP253" s="126"/>
      <c r="AQ253" s="126"/>
      <c r="AR253" s="126"/>
      <c r="AS253" s="126"/>
      <c r="AT253" s="74"/>
      <c r="AU253" s="1356" t="str">
        <f t="shared" si="74"/>
        <v>-</v>
      </c>
    </row>
    <row r="254" spans="1:47" s="170" customFormat="1" hidden="1" x14ac:dyDescent="0.2">
      <c r="A254" s="274" t="s">
        <v>187</v>
      </c>
      <c r="B254" s="1061" t="s">
        <v>801</v>
      </c>
      <c r="C254" s="94" t="s">
        <v>809</v>
      </c>
      <c r="D254" s="78"/>
      <c r="E254" s="84" t="s">
        <v>803</v>
      </c>
      <c r="F254" s="84" t="s">
        <v>105</v>
      </c>
      <c r="G254" s="68" t="s">
        <v>643</v>
      </c>
      <c r="H254" s="68" t="s">
        <v>810</v>
      </c>
      <c r="I254" s="68" t="s">
        <v>52</v>
      </c>
      <c r="J254" s="140" t="s">
        <v>53</v>
      </c>
      <c r="K254" s="68" t="s">
        <v>82</v>
      </c>
      <c r="L254" s="68" t="s">
        <v>334</v>
      </c>
      <c r="M254" s="93">
        <v>400</v>
      </c>
      <c r="N254" s="93"/>
      <c r="O254" s="68" t="s">
        <v>575</v>
      </c>
      <c r="P254" s="63">
        <v>20</v>
      </c>
      <c r="Q254" s="63">
        <v>16</v>
      </c>
      <c r="R254" s="68">
        <v>16</v>
      </c>
      <c r="S254" s="63">
        <v>20</v>
      </c>
      <c r="T254" s="68">
        <v>22</v>
      </c>
      <c r="U254" s="68">
        <v>18</v>
      </c>
      <c r="V254" s="277">
        <f t="shared" si="88"/>
        <v>28</v>
      </c>
      <c r="W254" s="277">
        <f t="shared" si="89"/>
        <v>24</v>
      </c>
      <c r="X254" s="274">
        <v>40</v>
      </c>
      <c r="Y254" s="63">
        <v>28</v>
      </c>
      <c r="Z254" s="63">
        <v>24</v>
      </c>
      <c r="AA254" s="699">
        <f t="shared" si="91"/>
        <v>4.666666666666667</v>
      </c>
      <c r="AB254" s="341">
        <f t="shared" si="94"/>
        <v>28</v>
      </c>
      <c r="AC254" s="74">
        <f t="shared" si="93"/>
        <v>3.0800000000000005</v>
      </c>
      <c r="AD254" s="67">
        <f>Table1[[#This Row],[Substrate SF]]*SWISSCR*3</f>
        <v>3.0800000000000005</v>
      </c>
      <c r="AE254" s="278">
        <f>IF(Table1[[#This Row],[Work Center]]="SwissQ",Materials!G$37,IF(Table1[[#This Row],[Work Center]]="Inca",Materials!G$29,IF(Table1[[#This Row],[Work Center]]="Canon",Materials!G$49,Materials!G$45)))</f>
        <v>5</v>
      </c>
      <c r="AF254" s="73">
        <f>'Cali Frames'!D207</f>
        <v>75</v>
      </c>
      <c r="AG254" s="126"/>
      <c r="AH254" s="67">
        <v>0</v>
      </c>
      <c r="AI254" s="67"/>
      <c r="AJ254" s="263">
        <f t="shared" si="90"/>
        <v>86.16</v>
      </c>
      <c r="AK254" s="661">
        <f t="shared" si="92"/>
        <v>0.78460000000000008</v>
      </c>
      <c r="AL254" s="240">
        <f>Table1[[#This Row],[WSP/Dealer]]/Table1[[#This Row],[OD Sq Inch]]</f>
        <v>1.0101010101010102</v>
      </c>
      <c r="AM254" s="170">
        <f>Table1[[#This Row],[OD Wdth]]*Table1[[#This Row],[OD Hgt]]</f>
        <v>396</v>
      </c>
      <c r="AN254" s="274">
        <f>Table1[[#This Row],[Min VO]]+Table1[[#This Row],[Max VO]]</f>
        <v>36</v>
      </c>
      <c r="AO254" s="84"/>
      <c r="AP254" s="126"/>
      <c r="AQ254" s="126"/>
      <c r="AR254" s="126"/>
      <c r="AS254" s="126"/>
      <c r="AT254" s="74"/>
      <c r="AU254" s="1357" t="str">
        <f t="shared" si="74"/>
        <v>-</v>
      </c>
    </row>
    <row r="255" spans="1:47" s="63" customFormat="1" hidden="1" x14ac:dyDescent="0.2">
      <c r="A255" s="274" t="s">
        <v>187</v>
      </c>
      <c r="B255" s="1061" t="s">
        <v>801</v>
      </c>
      <c r="C255" s="94" t="s">
        <v>811</v>
      </c>
      <c r="D255" s="78"/>
      <c r="E255" s="84" t="s">
        <v>803</v>
      </c>
      <c r="F255" s="84" t="s">
        <v>105</v>
      </c>
      <c r="G255" s="68" t="s">
        <v>643</v>
      </c>
      <c r="H255" s="68" t="s">
        <v>810</v>
      </c>
      <c r="I255" s="68" t="s">
        <v>52</v>
      </c>
      <c r="J255" s="140" t="s">
        <v>53</v>
      </c>
      <c r="K255" s="68" t="s">
        <v>82</v>
      </c>
      <c r="L255" s="68" t="s">
        <v>83</v>
      </c>
      <c r="M255" s="93">
        <v>400</v>
      </c>
      <c r="N255" s="93"/>
      <c r="O255" s="68" t="s">
        <v>575</v>
      </c>
      <c r="P255" s="68">
        <v>20</v>
      </c>
      <c r="Q255" s="68">
        <v>16</v>
      </c>
      <c r="R255" s="68">
        <v>16</v>
      </c>
      <c r="S255" s="68">
        <v>20</v>
      </c>
      <c r="T255" s="68">
        <v>22</v>
      </c>
      <c r="U255" s="68">
        <v>18</v>
      </c>
      <c r="V255" s="277">
        <f t="shared" si="88"/>
        <v>28</v>
      </c>
      <c r="W255" s="277">
        <f t="shared" si="89"/>
        <v>24</v>
      </c>
      <c r="X255" s="274">
        <v>40</v>
      </c>
      <c r="Y255" s="68">
        <v>28</v>
      </c>
      <c r="Z255" s="68">
        <v>24</v>
      </c>
      <c r="AA255" s="699">
        <f t="shared" si="91"/>
        <v>4.666666666666667</v>
      </c>
      <c r="AB255" s="341">
        <f t="shared" si="94"/>
        <v>28</v>
      </c>
      <c r="AC255" s="74">
        <f t="shared" si="93"/>
        <v>3.0800000000000005</v>
      </c>
      <c r="AD255" s="67">
        <f>Table1[[#This Row],[Substrate SF]]*SWISSCR*3</f>
        <v>3.0800000000000005</v>
      </c>
      <c r="AE255" s="428">
        <f>IF(Table1[[#This Row],[Work Center]]="SwissQ",Materials!G$37,IF(Table1[[#This Row],[Work Center]]="Inca",Materials!G$29,IF(Table1[[#This Row],[Work Center]]="Canon",Materials!G$49,Materials!G$45)))</f>
        <v>5</v>
      </c>
      <c r="AF255" s="73">
        <f>'Cali Frames'!D113</f>
        <v>90.07</v>
      </c>
      <c r="AG255" s="126"/>
      <c r="AH255" s="67">
        <v>0</v>
      </c>
      <c r="AI255" s="74"/>
      <c r="AJ255" s="278">
        <f t="shared" si="90"/>
        <v>101.22999999999999</v>
      </c>
      <c r="AK255" s="661">
        <f t="shared" si="92"/>
        <v>0.74692499999999995</v>
      </c>
      <c r="AL255" s="240">
        <f>Table1[[#This Row],[WSP/Dealer]]/Table1[[#This Row],[OD Sq Inch]]</f>
        <v>1.0101010101010102</v>
      </c>
      <c r="AM255" s="170">
        <f>Table1[[#This Row],[OD Wdth]]*Table1[[#This Row],[OD Hgt]]</f>
        <v>396</v>
      </c>
      <c r="AN255" s="274">
        <f>Table1[[#This Row],[Min VO]]+Table1[[#This Row],[Max VO]]</f>
        <v>36</v>
      </c>
      <c r="AO255" s="84"/>
      <c r="AP255" s="126"/>
      <c r="AQ255" s="126"/>
      <c r="AR255" s="126"/>
      <c r="AS255" s="126"/>
      <c r="AT255" s="74"/>
      <c r="AU255" s="1357" t="str">
        <f t="shared" si="74"/>
        <v>-</v>
      </c>
    </row>
    <row r="256" spans="1:47" s="228" customFormat="1" hidden="1" x14ac:dyDescent="0.2">
      <c r="A256" s="274" t="s">
        <v>187</v>
      </c>
      <c r="B256" s="1061" t="s">
        <v>801</v>
      </c>
      <c r="C256" s="94" t="s">
        <v>812</v>
      </c>
      <c r="D256" s="78"/>
      <c r="E256" s="84" t="s">
        <v>803</v>
      </c>
      <c r="F256" s="84" t="s">
        <v>105</v>
      </c>
      <c r="G256" s="68" t="s">
        <v>643</v>
      </c>
      <c r="H256" s="68" t="s">
        <v>813</v>
      </c>
      <c r="I256" s="68" t="s">
        <v>52</v>
      </c>
      <c r="J256" s="140" t="s">
        <v>53</v>
      </c>
      <c r="K256" s="68" t="s">
        <v>814</v>
      </c>
      <c r="L256" s="68" t="s">
        <v>815</v>
      </c>
      <c r="M256" s="93">
        <v>500</v>
      </c>
      <c r="N256" s="93"/>
      <c r="O256" s="68" t="s">
        <v>575</v>
      </c>
      <c r="P256" s="68">
        <v>20</v>
      </c>
      <c r="Q256" s="68">
        <v>16</v>
      </c>
      <c r="R256" s="68">
        <v>16</v>
      </c>
      <c r="S256" s="68">
        <v>20</v>
      </c>
      <c r="T256" s="68">
        <v>23</v>
      </c>
      <c r="U256" s="68">
        <v>19</v>
      </c>
      <c r="V256" s="686">
        <f t="shared" si="88"/>
        <v>28</v>
      </c>
      <c r="W256" s="686">
        <f t="shared" si="89"/>
        <v>24</v>
      </c>
      <c r="X256" s="274">
        <v>40</v>
      </c>
      <c r="Y256" s="68">
        <v>28</v>
      </c>
      <c r="Z256" s="68">
        <v>24</v>
      </c>
      <c r="AA256" s="699">
        <f t="shared" si="91"/>
        <v>4.666666666666667</v>
      </c>
      <c r="AB256" s="341">
        <f t="shared" si="94"/>
        <v>28</v>
      </c>
      <c r="AC256" s="74">
        <f t="shared" si="93"/>
        <v>3.0800000000000005</v>
      </c>
      <c r="AD256" s="67">
        <f>Table1[[#This Row],[Substrate SF]]*SWISSCR*3</f>
        <v>3.0800000000000005</v>
      </c>
      <c r="AE256" s="278">
        <f>IF(Table1[[#This Row],[Work Center]]="SwissQ",Materials!G$37,IF(Table1[[#This Row],[Work Center]]="Inca",Materials!G$29,IF(Table1[[#This Row],[Work Center]]="Canon",Materials!G$49,Materials!G$45)))</f>
        <v>5</v>
      </c>
      <c r="AF256" s="73">
        <f>'Cali Frames'!D193</f>
        <v>126.35</v>
      </c>
      <c r="AG256" s="126"/>
      <c r="AH256" s="74">
        <v>0</v>
      </c>
      <c r="AI256" s="74"/>
      <c r="AJ256" s="278">
        <f t="shared" si="90"/>
        <v>137.51</v>
      </c>
      <c r="AK256" s="1001">
        <f t="shared" si="92"/>
        <v>0.72498000000000007</v>
      </c>
      <c r="AL256" s="240">
        <f>Table1[[#This Row],[WSP/Dealer]]/Table1[[#This Row],[OD Sq Inch]]</f>
        <v>1.1441647597254005</v>
      </c>
      <c r="AM256" s="170">
        <f>Table1[[#This Row],[OD Wdth]]*Table1[[#This Row],[OD Hgt]]</f>
        <v>437</v>
      </c>
      <c r="AN256" s="274">
        <f>Table1[[#This Row],[Min VO]]+Table1[[#This Row],[Max VO]]</f>
        <v>36</v>
      </c>
      <c r="AO256" s="84"/>
      <c r="AP256" s="126"/>
      <c r="AQ256" s="126"/>
      <c r="AR256" s="126"/>
      <c r="AS256" s="126"/>
      <c r="AT256" s="74"/>
      <c r="AU256" s="1357" t="str">
        <f t="shared" si="74"/>
        <v>-</v>
      </c>
    </row>
    <row r="257" spans="1:47" hidden="1" x14ac:dyDescent="0.2">
      <c r="A257" s="470" t="s">
        <v>318</v>
      </c>
      <c r="B257" s="1061" t="s">
        <v>96</v>
      </c>
      <c r="C257" s="79" t="s">
        <v>812</v>
      </c>
      <c r="D257" s="302">
        <v>174830</v>
      </c>
      <c r="E257" s="83" t="s">
        <v>803</v>
      </c>
      <c r="F257" s="83" t="s">
        <v>105</v>
      </c>
      <c r="G257" s="60" t="s">
        <v>643</v>
      </c>
      <c r="H257" s="60" t="s">
        <v>813</v>
      </c>
      <c r="I257" s="60" t="s">
        <v>52</v>
      </c>
      <c r="J257" s="59" t="s">
        <v>280</v>
      </c>
      <c r="K257" s="60" t="s">
        <v>814</v>
      </c>
      <c r="L257" s="60" t="s">
        <v>815</v>
      </c>
      <c r="M257" s="544">
        <v>285</v>
      </c>
      <c r="N257" s="786">
        <v>700</v>
      </c>
      <c r="O257" s="60" t="s">
        <v>575</v>
      </c>
      <c r="P257" s="60">
        <v>20</v>
      </c>
      <c r="Q257" s="60">
        <v>16</v>
      </c>
      <c r="R257" s="60">
        <v>16</v>
      </c>
      <c r="S257" s="46">
        <v>20</v>
      </c>
      <c r="T257" s="60">
        <v>22</v>
      </c>
      <c r="U257" s="60">
        <v>18</v>
      </c>
      <c r="V257" s="913">
        <f t="shared" si="88"/>
        <v>20</v>
      </c>
      <c r="W257" s="913">
        <f t="shared" si="89"/>
        <v>16</v>
      </c>
      <c r="X257" s="138" t="s">
        <v>283</v>
      </c>
      <c r="Y257" s="60">
        <v>29</v>
      </c>
      <c r="Z257" s="60">
        <v>16</v>
      </c>
      <c r="AA257" s="717">
        <f t="shared" si="91"/>
        <v>2.2222222222222223</v>
      </c>
      <c r="AB257" s="125">
        <f>AA257*Swiss1</f>
        <v>62.888888888888893</v>
      </c>
      <c r="AC257" s="176">
        <f>MDFSHEET/15</f>
        <v>1.6233333333333335</v>
      </c>
      <c r="AD257" s="175">
        <f>Table1[[#This Row],[Substrate SF]]*SWISSC1</f>
        <v>6.2222222222222223</v>
      </c>
      <c r="AE257" s="69">
        <f>IF(Table1[[#This Row],[Work Center]]="SwissQ",Materials!G$37,IF(Table1[[#This Row],[Work Center]]="Inca",Materials!G$29,IF(Table1[[#This Row],[Work Center]]="Canon",Materials!G$49,Materials!G$45)))</f>
        <v>5</v>
      </c>
      <c r="AF257" s="72">
        <f>'Cali Frames'!D193</f>
        <v>126.35</v>
      </c>
      <c r="AG257" s="540"/>
      <c r="AH257" s="112">
        <v>0</v>
      </c>
      <c r="AI257" s="112"/>
      <c r="AJ257" s="176">
        <f t="shared" si="90"/>
        <v>139.19555555555556</v>
      </c>
      <c r="AK257" s="62">
        <f t="shared" si="92"/>
        <v>0.51159454191033138</v>
      </c>
      <c r="AL257" s="225">
        <f>Table1[[#This Row],[WSP/Dealer]]/Table1[[#This Row],[OD Sq Inch]]</f>
        <v>0.71969696969696972</v>
      </c>
      <c r="AM257" s="173">
        <f>Table1[[#This Row],[OD Wdth]]*Table1[[#This Row],[OD Hgt]]</f>
        <v>396</v>
      </c>
      <c r="AN257" s="180" t="str">
        <f>Table1[[#This Row],[Color]]</f>
        <v>CB</v>
      </c>
      <c r="AO257" s="83" t="str">
        <f>Table1[[#This Row],[Print Type]]</f>
        <v>Synograph</v>
      </c>
      <c r="AP257" s="121"/>
      <c r="AQ257" s="121"/>
      <c r="AR257" s="121"/>
      <c r="AS257" s="121"/>
      <c r="AT257" s="104"/>
      <c r="AU257" s="1361" t="str">
        <f t="shared" si="74"/>
        <v>-</v>
      </c>
    </row>
    <row r="258" spans="1:47" s="1427" customFormat="1" hidden="1" x14ac:dyDescent="0.2">
      <c r="A258" s="274" t="s">
        <v>318</v>
      </c>
      <c r="B258" s="279" t="s">
        <v>568</v>
      </c>
      <c r="C258" s="317" t="s">
        <v>816</v>
      </c>
      <c r="D258" s="323"/>
      <c r="E258" s="275" t="s">
        <v>817</v>
      </c>
      <c r="F258" s="275" t="s">
        <v>105</v>
      </c>
      <c r="G258" s="274" t="s">
        <v>818</v>
      </c>
      <c r="H258" s="274" t="s">
        <v>819</v>
      </c>
      <c r="I258" s="274" t="s">
        <v>52</v>
      </c>
      <c r="J258" s="344" t="s">
        <v>53</v>
      </c>
      <c r="K258" s="274" t="s">
        <v>69</v>
      </c>
      <c r="L258" s="274" t="s">
        <v>315</v>
      </c>
      <c r="M258" s="178">
        <v>350</v>
      </c>
      <c r="N258" s="318"/>
      <c r="O258" s="274" t="s">
        <v>575</v>
      </c>
      <c r="P258" s="274">
        <v>31</v>
      </c>
      <c r="Q258" s="274">
        <v>39</v>
      </c>
      <c r="R258" s="274">
        <v>31</v>
      </c>
      <c r="S258" s="274">
        <v>39</v>
      </c>
      <c r="T258" s="274">
        <v>32</v>
      </c>
      <c r="U258" s="274">
        <v>40</v>
      </c>
      <c r="V258" s="686">
        <f t="shared" si="88"/>
        <v>39</v>
      </c>
      <c r="W258" s="686">
        <f t="shared" si="89"/>
        <v>47</v>
      </c>
      <c r="X258" s="274">
        <v>40</v>
      </c>
      <c r="Y258" s="274">
        <v>39</v>
      </c>
      <c r="Z258" s="274">
        <v>47</v>
      </c>
      <c r="AA258" s="699">
        <f t="shared" si="91"/>
        <v>12.729166666666666</v>
      </c>
      <c r="AB258" s="341">
        <f>AA258*SWISSMLR*3</f>
        <v>76.375</v>
      </c>
      <c r="AC258" s="74">
        <f>AA258*Canvas</f>
        <v>8.4012499999999992</v>
      </c>
      <c r="AD258" s="74">
        <f>Table1[[#This Row],[Substrate SF]]*SWISSCR*3</f>
        <v>8.4012499999999992</v>
      </c>
      <c r="AE258" s="278">
        <f>IF(Table1[[#This Row],[Work Center]]="SwissQ",Materials!G$37,IF(Table1[[#This Row],[Work Center]]="Inca",Materials!G$29,IF(Table1[[#This Row],[Work Center]]="Canon",Materials!G$49,Materials!G$45)))</f>
        <v>5</v>
      </c>
      <c r="AF258" s="321">
        <f>'Cali Frames'!D513</f>
        <v>130</v>
      </c>
      <c r="AG258" s="320"/>
      <c r="AH258" s="74">
        <v>0</v>
      </c>
      <c r="AI258" s="74"/>
      <c r="AJ258" s="278">
        <f t="shared" si="90"/>
        <v>151.80250000000001</v>
      </c>
      <c r="AK258" s="1001">
        <f t="shared" si="92"/>
        <v>0.56627857142857141</v>
      </c>
      <c r="AL258" s="240">
        <f>Table1[[#This Row],[WSP/Dealer]]/Table1[[#This Row],[OD Sq Inch]]</f>
        <v>0.2734375</v>
      </c>
      <c r="AM258" s="274">
        <f>Table1[[#This Row],[OD Wdth]]*Table1[[#This Row],[OD Hgt]]</f>
        <v>1280</v>
      </c>
      <c r="AN258" s="274">
        <f>Table1[[#This Row],[Min VO]]+Table1[[#This Row],[Max VO]]</f>
        <v>70</v>
      </c>
      <c r="AO258" s="275"/>
      <c r="AP258" s="320"/>
      <c r="AQ258" s="320">
        <f>(Table1[[#This Row],[Desgnr/Retail P]]*0.05)</f>
        <v>0</v>
      </c>
      <c r="AR258" s="320" t="b">
        <f>IF(A258="Codarus",(AP258*0.13))</f>
        <v>0</v>
      </c>
      <c r="AS258" s="320" t="e" cm="1">
        <f t="array" ref="AS258">SUM(AC258:AG258+AQ+AR)</f>
        <v>#NAME?</v>
      </c>
      <c r="AT258" s="278" t="e">
        <f>(AP258-AS258)/AP258</f>
        <v>#NAME?</v>
      </c>
      <c r="AU258" s="1368" t="str">
        <f t="shared" ref="AU258:AU321" si="95">IF(AQ258=0,"-",(AQ258-AT258)/AQ258)</f>
        <v>-</v>
      </c>
    </row>
    <row r="259" spans="1:47" s="173" customFormat="1" x14ac:dyDescent="0.2">
      <c r="A259" s="86" t="s">
        <v>58</v>
      </c>
      <c r="B259" s="170"/>
      <c r="C259" s="257" t="s">
        <v>820</v>
      </c>
      <c r="D259" s="78" t="s">
        <v>821</v>
      </c>
      <c r="E259" s="85" t="s">
        <v>822</v>
      </c>
      <c r="F259" s="85" t="s">
        <v>92</v>
      </c>
      <c r="G259" s="86" t="s">
        <v>823</v>
      </c>
      <c r="H259" s="86" t="s">
        <v>824</v>
      </c>
      <c r="I259" s="86" t="s">
        <v>52</v>
      </c>
      <c r="J259" s="86" t="s">
        <v>257</v>
      </c>
      <c r="K259" s="86" t="s">
        <v>258</v>
      </c>
      <c r="L259" s="86" t="s">
        <v>259</v>
      </c>
      <c r="M259" s="87">
        <v>480</v>
      </c>
      <c r="N259" s="639">
        <v>528</v>
      </c>
      <c r="O259" s="68" t="s">
        <v>56</v>
      </c>
      <c r="P259" s="273">
        <v>26</v>
      </c>
      <c r="Q259" s="273">
        <v>35</v>
      </c>
      <c r="R259" s="60">
        <v>26</v>
      </c>
      <c r="S259" s="273">
        <v>35</v>
      </c>
      <c r="T259" s="101">
        <v>27</v>
      </c>
      <c r="U259" s="273">
        <v>36</v>
      </c>
      <c r="V259" s="608">
        <f>IF(J259="Canvas",P259+BorderGW,P259)</f>
        <v>26</v>
      </c>
      <c r="W259" s="608">
        <f>IF(J259="Canvas",Q259+BorderGW,Q259)</f>
        <v>35</v>
      </c>
      <c r="X259" s="137" t="s">
        <v>257</v>
      </c>
      <c r="Y259" s="101"/>
      <c r="Z259" s="101"/>
      <c r="AA259" s="649">
        <f t="shared" si="91"/>
        <v>6.3194444444444446</v>
      </c>
      <c r="AB259" s="184">
        <f>AA259*IncaG</f>
        <v>132.96111111111111</v>
      </c>
      <c r="AC259" s="102">
        <f>Table1[[#This Row],[Substrate SF]]*Paper</f>
        <v>8.5502083333333339</v>
      </c>
      <c r="AD259" s="104">
        <f>AA259*IncaC</f>
        <v>10.636888888888889</v>
      </c>
      <c r="AE259" s="104">
        <f>IF(Table1[[#This Row],[Work Center]]="SwissQ",Materials!G$37,IF(Table1[[#This Row],[Work Center]]="Inca",Materials!G$29,IF(Table1[[#This Row],[Work Center]]="Canon",Materials!G$49,Materials!G$45)))</f>
        <v>8</v>
      </c>
      <c r="AF259" s="69">
        <f>'Cali Frames'!D$39</f>
        <v>114.67750000000001</v>
      </c>
      <c r="AG259" s="115"/>
      <c r="AH259" s="498">
        <f t="shared" ref="AH259:AH300" si="96">(M259*0.05)</f>
        <v>24</v>
      </c>
      <c r="AI259" s="498"/>
      <c r="AJ259" s="104">
        <f t="shared" si="90"/>
        <v>165.86459722222224</v>
      </c>
      <c r="AK259" s="650">
        <f t="shared" si="92"/>
        <v>0.65444875578703698</v>
      </c>
      <c r="AL259" s="225">
        <f>Table1[[#This Row],[WSP/Dealer]]/Table1[[#This Row],[OD Sq Inch]]</f>
        <v>0.49382716049382713</v>
      </c>
      <c r="AM259" s="216">
        <f>Table1[[#This Row],[OD Wdth]]*Table1[[#This Row],[OD Hgt]]</f>
        <v>972</v>
      </c>
      <c r="AN259" s="216">
        <f>Table1[[#This Row],[Min VO]]+Table1[[#This Row],[Max VO]]</f>
        <v>61</v>
      </c>
      <c r="AO259" s="101"/>
      <c r="AP259" s="101"/>
      <c r="AQ259" s="104"/>
      <c r="AR259" s="104"/>
      <c r="AS259" s="104"/>
      <c r="AT259" s="104"/>
      <c r="AU259" s="830" t="str">
        <f t="shared" si="95"/>
        <v>-</v>
      </c>
    </row>
    <row r="260" spans="1:47" s="103" customFormat="1" x14ac:dyDescent="0.2">
      <c r="A260" s="86" t="s">
        <v>58</v>
      </c>
      <c r="B260" s="170"/>
      <c r="C260" s="257" t="s">
        <v>825</v>
      </c>
      <c r="D260" s="78" t="s">
        <v>826</v>
      </c>
      <c r="E260" s="85" t="s">
        <v>827</v>
      </c>
      <c r="F260" s="85" t="s">
        <v>92</v>
      </c>
      <c r="G260" s="86" t="s">
        <v>823</v>
      </c>
      <c r="H260" s="86" t="s">
        <v>824</v>
      </c>
      <c r="I260" s="86" t="s">
        <v>52</v>
      </c>
      <c r="J260" s="86" t="s">
        <v>257</v>
      </c>
      <c r="K260" s="86" t="s">
        <v>258</v>
      </c>
      <c r="L260" s="86" t="s">
        <v>259</v>
      </c>
      <c r="M260" s="87">
        <v>480</v>
      </c>
      <c r="N260" s="639">
        <v>528</v>
      </c>
      <c r="O260" s="68" t="s">
        <v>56</v>
      </c>
      <c r="P260" s="273">
        <v>26</v>
      </c>
      <c r="Q260" s="273">
        <v>35</v>
      </c>
      <c r="R260" s="60">
        <v>26</v>
      </c>
      <c r="S260" s="273">
        <v>35</v>
      </c>
      <c r="T260" s="103">
        <v>27</v>
      </c>
      <c r="U260" s="61">
        <v>36</v>
      </c>
      <c r="V260" s="106">
        <f>IF(J260="Canvas",P260+BorderGW,P260)</f>
        <v>26</v>
      </c>
      <c r="W260" s="106">
        <f>IF(J260="Canvas",Q260+BorderGW,Q260)</f>
        <v>35</v>
      </c>
      <c r="X260" s="137" t="s">
        <v>257</v>
      </c>
      <c r="Y260" s="101"/>
      <c r="Z260" s="101"/>
      <c r="AA260" s="649">
        <f t="shared" si="91"/>
        <v>6.3194444444444446</v>
      </c>
      <c r="AB260" s="184">
        <f>AA260*IncaG</f>
        <v>132.96111111111111</v>
      </c>
      <c r="AC260" s="102">
        <f>Table1[[#This Row],[Substrate SF]]*Paper</f>
        <v>8.5502083333333339</v>
      </c>
      <c r="AD260" s="107">
        <f>AA260*IncaC</f>
        <v>10.636888888888889</v>
      </c>
      <c r="AE260" s="104">
        <f>IF(Table1[[#This Row],[Work Center]]="SwissQ",Materials!G$37,IF(Table1[[#This Row],[Work Center]]="Inca",Materials!G$29,IF(Table1[[#This Row],[Work Center]]="Canon",Materials!G$49,Materials!G$45)))</f>
        <v>8</v>
      </c>
      <c r="AF260" s="69">
        <f>'Cali Frames'!D$39</f>
        <v>114.67750000000001</v>
      </c>
      <c r="AG260" s="115"/>
      <c r="AH260" s="112">
        <f t="shared" si="96"/>
        <v>24</v>
      </c>
      <c r="AI260" s="112"/>
      <c r="AJ260" s="107">
        <f t="shared" si="90"/>
        <v>165.86459722222224</v>
      </c>
      <c r="AK260" s="62">
        <f t="shared" si="92"/>
        <v>0.65444875578703698</v>
      </c>
      <c r="AL260" s="225">
        <f>Table1[[#This Row],[WSP/Dealer]]/Table1[[#This Row],[OD Sq Inch]]</f>
        <v>0.49382716049382713</v>
      </c>
      <c r="AM260" s="97">
        <f>Table1[[#This Row],[OD Wdth]]*Table1[[#This Row],[OD Hgt]]</f>
        <v>972</v>
      </c>
      <c r="AN260" s="216">
        <f>Table1[[#This Row],[Min VO]]+Table1[[#This Row],[Max VO]]</f>
        <v>61</v>
      </c>
      <c r="AP260" s="101"/>
      <c r="AQ260" s="104"/>
      <c r="AR260" s="104"/>
      <c r="AS260" s="104"/>
      <c r="AT260" s="104"/>
      <c r="AU260" s="108" t="str">
        <f t="shared" si="95"/>
        <v>-</v>
      </c>
    </row>
    <row r="261" spans="1:47" s="103" customFormat="1" hidden="1" x14ac:dyDescent="0.2">
      <c r="A261" s="551" t="s">
        <v>828</v>
      </c>
      <c r="B261" s="1061" t="s">
        <v>141</v>
      </c>
      <c r="C261" s="1032" t="s">
        <v>829</v>
      </c>
      <c r="D261" s="805"/>
      <c r="E261" s="653" t="s">
        <v>830</v>
      </c>
      <c r="F261" s="653" t="s">
        <v>138</v>
      </c>
      <c r="G261" s="551" t="s">
        <v>139</v>
      </c>
      <c r="H261" s="551" t="s">
        <v>139</v>
      </c>
      <c r="I261" s="551" t="s">
        <v>52</v>
      </c>
      <c r="J261" s="856" t="s">
        <v>280</v>
      </c>
      <c r="K261" s="551" t="s">
        <v>281</v>
      </c>
      <c r="L261" s="551" t="s">
        <v>282</v>
      </c>
      <c r="M261" s="857">
        <v>350</v>
      </c>
      <c r="N261" s="858">
        <f>Table1[[#This Row],[WSP/Dealer]]/0.35</f>
        <v>1000.0000000000001</v>
      </c>
      <c r="O261" s="551" t="s">
        <v>56</v>
      </c>
      <c r="P261" s="551">
        <v>24</v>
      </c>
      <c r="Q261" s="551">
        <v>24</v>
      </c>
      <c r="R261" s="551">
        <v>24</v>
      </c>
      <c r="S261" s="984">
        <v>24</v>
      </c>
      <c r="T261" s="551">
        <v>24</v>
      </c>
      <c r="U261" s="984">
        <v>24</v>
      </c>
      <c r="V261" s="859">
        <v>24</v>
      </c>
      <c r="W261" s="859">
        <v>24</v>
      </c>
      <c r="X261" s="311" t="s">
        <v>283</v>
      </c>
      <c r="Y261" s="551">
        <v>24</v>
      </c>
      <c r="Z261" s="551">
        <v>24</v>
      </c>
      <c r="AA261" s="860">
        <f t="shared" si="91"/>
        <v>4</v>
      </c>
      <c r="AB261" s="861">
        <f>AA261*IncaG</f>
        <v>84.16</v>
      </c>
      <c r="AC261" s="863">
        <f>AA261*MDF</f>
        <v>3.9568750000000006</v>
      </c>
      <c r="AD261" s="876">
        <f>Table1[[#This Row],[Substrate SF]]*IncaC</f>
        <v>6.7328000000000001</v>
      </c>
      <c r="AE261" s="863">
        <f>IF(Table1[[#This Row],[Work Center]]="SwissQ",Materials!G$37,IF(Table1[[#This Row],[Work Center]]="Inca",Materials!G$29,IF(Table1[[#This Row],[Work Center]]="Canon",Materials!G$49,Materials!G$45)))</f>
        <v>8</v>
      </c>
      <c r="AF261" s="71">
        <f>'Cali Frames'!D538</f>
        <v>90.37</v>
      </c>
      <c r="AG261" s="653"/>
      <c r="AH261" s="867">
        <f t="shared" si="96"/>
        <v>17.5</v>
      </c>
      <c r="AI261" s="867"/>
      <c r="AJ261" s="865">
        <f t="shared" si="90"/>
        <v>126.559675</v>
      </c>
      <c r="AK261" s="1087">
        <f t="shared" si="92"/>
        <v>0.63840092857142861</v>
      </c>
      <c r="AL261" s="867">
        <f>Table1[[#This Row],[WSP/Dealer]]/Table1[[#This Row],[OD Sq Inch]]</f>
        <v>0.60763888888888884</v>
      </c>
      <c r="AM261" s="868">
        <f>Table1[[#This Row],[OD Wdth]]*Table1[[#This Row],[OD Hgt]]</f>
        <v>576</v>
      </c>
      <c r="AN261" s="869">
        <f>Table1[[#This Row],[Min VO]]+Table1[[#This Row],[Max VO]]</f>
        <v>48</v>
      </c>
      <c r="AO261" s="653"/>
      <c r="AP261" s="653"/>
      <c r="AQ261" s="864"/>
      <c r="AR261" s="864"/>
      <c r="AS261" s="864"/>
      <c r="AT261" s="863"/>
      <c r="AU261" s="1364" t="str">
        <f t="shared" si="95"/>
        <v>-</v>
      </c>
    </row>
    <row r="262" spans="1:47" s="63" customFormat="1" x14ac:dyDescent="0.2">
      <c r="A262" s="86" t="s">
        <v>58</v>
      </c>
      <c r="B262" s="1061" t="s">
        <v>740</v>
      </c>
      <c r="C262" s="100" t="s">
        <v>831</v>
      </c>
      <c r="D262" s="77"/>
      <c r="E262" s="85" t="s">
        <v>832</v>
      </c>
      <c r="F262" s="85" t="s">
        <v>737</v>
      </c>
      <c r="G262" s="86" t="s">
        <v>738</v>
      </c>
      <c r="H262" s="86" t="s">
        <v>739</v>
      </c>
      <c r="I262" s="86" t="s">
        <v>52</v>
      </c>
      <c r="J262" s="86" t="s">
        <v>53</v>
      </c>
      <c r="K262" s="86" t="s">
        <v>69</v>
      </c>
      <c r="L262" s="86" t="s">
        <v>70</v>
      </c>
      <c r="M262" s="87">
        <v>350</v>
      </c>
      <c r="N262" s="639">
        <v>850</v>
      </c>
      <c r="O262" s="101" t="s">
        <v>64</v>
      </c>
      <c r="P262" s="101">
        <v>36</v>
      </c>
      <c r="Q262" s="101">
        <v>45</v>
      </c>
      <c r="R262" s="101">
        <v>36</v>
      </c>
      <c r="S262" s="697">
        <v>45</v>
      </c>
      <c r="T262" s="697">
        <v>36</v>
      </c>
      <c r="U262" s="697">
        <v>45</v>
      </c>
      <c r="V262" s="106">
        <f t="shared" ref="V262:V272" si="97">IF(J262="Canvas",P262+BorderGW,P262)</f>
        <v>44</v>
      </c>
      <c r="W262" s="106">
        <f t="shared" ref="W262:W272" si="98">IF(J262="Canvas",Q262+BorderGW,Q262)</f>
        <v>53</v>
      </c>
      <c r="X262" s="157" t="s">
        <v>699</v>
      </c>
      <c r="Y262" s="145"/>
      <c r="Z262" s="145"/>
      <c r="AA262" s="649">
        <f t="shared" si="91"/>
        <v>16.194444444444443</v>
      </c>
      <c r="AB262" s="184">
        <f t="shared" ref="AB262:AB270" si="99">AA262*Swiss1</f>
        <v>458.30277777777775</v>
      </c>
      <c r="AC262" s="104">
        <f t="shared" ref="AC262:AC270" si="100">AA262*Canvas</f>
        <v>10.688333333333333</v>
      </c>
      <c r="AD262" s="107">
        <f>Table1[[#This Row],[Substrate SF]]*Materials!C$37</f>
        <v>45.344444444444434</v>
      </c>
      <c r="AE262" s="104">
        <f>IF(Table1[[#This Row],[Work Center]]="SwissQ",Materials!G$37,IF(Table1[[#This Row],[Work Center]]="Inca",Materials!G$29,IF(Table1[[#This Row],[Work Center]]="Canon",Materials!G$49,Materials!G$45)))</f>
        <v>20</v>
      </c>
      <c r="AF262" s="104">
        <f>'Cali Frames'!D$299</f>
        <v>152.3725</v>
      </c>
      <c r="AG262" s="115"/>
      <c r="AH262" s="112">
        <f t="shared" si="96"/>
        <v>17.5</v>
      </c>
      <c r="AI262" s="112"/>
      <c r="AJ262" s="107">
        <f t="shared" si="90"/>
        <v>245.90527777777777</v>
      </c>
      <c r="AK262" s="62">
        <f t="shared" si="92"/>
        <v>0.2974134920634921</v>
      </c>
      <c r="AL262" s="225">
        <f>Table1[[#This Row],[WSP/Dealer]]/Table1[[#This Row],[OD Sq Inch]]</f>
        <v>0.21604938271604937</v>
      </c>
      <c r="AM262" s="97">
        <f>Table1[[#This Row],[OD Wdth]]*Table1[[#This Row],[OD Hgt]]</f>
        <v>1620</v>
      </c>
      <c r="AN262" s="216">
        <f>Table1[[#This Row],[Min VO]]+Table1[[#This Row],[Max VO]]</f>
        <v>81</v>
      </c>
      <c r="AO262" s="101"/>
      <c r="AP262" s="101"/>
      <c r="AQ262" s="104"/>
      <c r="AR262" s="104"/>
      <c r="AS262" s="104"/>
      <c r="AT262" s="104"/>
      <c r="AU262" s="830" t="str">
        <f t="shared" si="95"/>
        <v>-</v>
      </c>
    </row>
    <row r="263" spans="1:47" s="103" customFormat="1" x14ac:dyDescent="0.2">
      <c r="A263" s="86" t="s">
        <v>58</v>
      </c>
      <c r="B263" s="1061" t="s">
        <v>740</v>
      </c>
      <c r="C263" s="100" t="s">
        <v>833</v>
      </c>
      <c r="D263" s="77"/>
      <c r="E263" s="85" t="s">
        <v>834</v>
      </c>
      <c r="F263" s="85" t="s">
        <v>737</v>
      </c>
      <c r="G263" s="86" t="s">
        <v>743</v>
      </c>
      <c r="H263" s="86" t="s">
        <v>191</v>
      </c>
      <c r="I263" s="86" t="s">
        <v>52</v>
      </c>
      <c r="J263" s="86" t="s">
        <v>53</v>
      </c>
      <c r="K263" s="86" t="s">
        <v>69</v>
      </c>
      <c r="L263" s="86" t="s">
        <v>70</v>
      </c>
      <c r="M263" s="87">
        <v>540</v>
      </c>
      <c r="N263" s="639">
        <v>1250</v>
      </c>
      <c r="O263" s="101" t="s">
        <v>64</v>
      </c>
      <c r="P263" s="101">
        <v>47</v>
      </c>
      <c r="Q263" s="101">
        <v>59</v>
      </c>
      <c r="R263" s="101">
        <v>47</v>
      </c>
      <c r="S263" s="697">
        <v>59</v>
      </c>
      <c r="T263" s="697">
        <v>47</v>
      </c>
      <c r="U263" s="697">
        <v>59</v>
      </c>
      <c r="V263" s="608">
        <f t="shared" si="97"/>
        <v>55</v>
      </c>
      <c r="W263" s="608">
        <f t="shared" si="98"/>
        <v>67</v>
      </c>
      <c r="X263" s="137">
        <v>69</v>
      </c>
      <c r="Y263" s="101"/>
      <c r="Z263" s="101"/>
      <c r="AA263" s="649">
        <f t="shared" si="91"/>
        <v>25.590277777777779</v>
      </c>
      <c r="AB263" s="184">
        <f t="shared" si="99"/>
        <v>724.2048611111112</v>
      </c>
      <c r="AC263" s="104">
        <f t="shared" si="100"/>
        <v>16.889583333333334</v>
      </c>
      <c r="AD263" s="104">
        <f>Table1[[#This Row],[Substrate SF]]*Materials!C$37</f>
        <v>71.652777777777771</v>
      </c>
      <c r="AE263" s="104">
        <f>IF(Table1[[#This Row],[Work Center]]="SwissQ",Materials!G$37,IF(Table1[[#This Row],[Work Center]]="Inca",Materials!G$29,IF(Table1[[#This Row],[Work Center]]="Canon",Materials!G$49,Materials!G$45)))</f>
        <v>20</v>
      </c>
      <c r="AF263" s="104">
        <f>'Cali Frames'!D$327</f>
        <v>240.625</v>
      </c>
      <c r="AG263" s="115"/>
      <c r="AH263" s="498">
        <f t="shared" si="96"/>
        <v>27</v>
      </c>
      <c r="AI263" s="498"/>
      <c r="AJ263" s="104">
        <f t="shared" si="90"/>
        <v>376.16736111111112</v>
      </c>
      <c r="AK263" s="650">
        <f t="shared" si="92"/>
        <v>0.30339377572016457</v>
      </c>
      <c r="AL263" s="225">
        <f>Table1[[#This Row],[WSP/Dealer]]/Table1[[#This Row],[OD Sq Inch]]</f>
        <v>0.19473494410385864</v>
      </c>
      <c r="AM263" s="110">
        <f>Table1[[#This Row],[OD Wdth]]*Table1[[#This Row],[OD Hgt]]</f>
        <v>2773</v>
      </c>
      <c r="AN263" s="216">
        <f>Table1[[#This Row],[Min VO]]+Table1[[#This Row],[Max VO]]</f>
        <v>106</v>
      </c>
      <c r="AO263" s="101"/>
      <c r="AP263" s="101"/>
      <c r="AQ263" s="104"/>
      <c r="AR263" s="104"/>
      <c r="AS263" s="104"/>
      <c r="AT263" s="104"/>
      <c r="AU263" s="830" t="str">
        <f t="shared" si="95"/>
        <v>-</v>
      </c>
    </row>
    <row r="264" spans="1:47" s="63" customFormat="1" x14ac:dyDescent="0.2">
      <c r="A264" s="86" t="s">
        <v>58</v>
      </c>
      <c r="B264" s="1061" t="s">
        <v>740</v>
      </c>
      <c r="C264" s="100" t="s">
        <v>835</v>
      </c>
      <c r="D264" s="77"/>
      <c r="E264" s="85" t="s">
        <v>836</v>
      </c>
      <c r="F264" s="85" t="s">
        <v>737</v>
      </c>
      <c r="G264" s="86" t="s">
        <v>738</v>
      </c>
      <c r="H264" s="86" t="s">
        <v>739</v>
      </c>
      <c r="I264" s="86" t="s">
        <v>52</v>
      </c>
      <c r="J264" s="86" t="s">
        <v>53</v>
      </c>
      <c r="K264" s="86" t="s">
        <v>69</v>
      </c>
      <c r="L264" s="86" t="s">
        <v>70</v>
      </c>
      <c r="M264" s="87">
        <v>850</v>
      </c>
      <c r="N264" s="639">
        <v>800</v>
      </c>
      <c r="O264" s="101" t="s">
        <v>64</v>
      </c>
      <c r="P264" s="101">
        <v>36</v>
      </c>
      <c r="Q264" s="101">
        <v>45</v>
      </c>
      <c r="R264" s="101">
        <v>36</v>
      </c>
      <c r="S264" s="697">
        <v>45</v>
      </c>
      <c r="T264" s="697">
        <v>36</v>
      </c>
      <c r="U264" s="697">
        <v>45</v>
      </c>
      <c r="V264" s="608">
        <f t="shared" si="97"/>
        <v>44</v>
      </c>
      <c r="W264" s="608">
        <f t="shared" si="98"/>
        <v>53</v>
      </c>
      <c r="X264" s="157" t="s">
        <v>699</v>
      </c>
      <c r="Y264" s="145"/>
      <c r="Z264" s="145"/>
      <c r="AA264" s="649">
        <f t="shared" si="91"/>
        <v>16.194444444444443</v>
      </c>
      <c r="AB264" s="184">
        <f t="shared" si="99"/>
        <v>458.30277777777775</v>
      </c>
      <c r="AC264" s="104">
        <f t="shared" si="100"/>
        <v>10.688333333333333</v>
      </c>
      <c r="AD264" s="107">
        <f>Table1[[#This Row],[Substrate SF]]*Materials!C$37</f>
        <v>45.344444444444434</v>
      </c>
      <c r="AE264" s="104">
        <f>IF(Table1[[#This Row],[Work Center]]="SwissQ",Materials!G$37,IF(Table1[[#This Row],[Work Center]]="Inca",Materials!G$29,IF(Table1[[#This Row],[Work Center]]="Canon",Materials!G$49,Materials!G$45)))</f>
        <v>20</v>
      </c>
      <c r="AF264" s="104">
        <f>'Cali Frames'!D$299</f>
        <v>152.3725</v>
      </c>
      <c r="AG264" s="115"/>
      <c r="AH264" s="498">
        <f t="shared" si="96"/>
        <v>42.5</v>
      </c>
      <c r="AI264" s="498"/>
      <c r="AJ264" s="104">
        <f t="shared" si="90"/>
        <v>270.90527777777777</v>
      </c>
      <c r="AK264" s="650">
        <f t="shared" si="92"/>
        <v>0.68128790849673204</v>
      </c>
      <c r="AL264" s="225">
        <f>Table1[[#This Row],[WSP/Dealer]]/Table1[[#This Row],[OD Sq Inch]]</f>
        <v>0.52469135802469136</v>
      </c>
      <c r="AM264" s="97">
        <f>Table1[[#This Row],[OD Wdth]]*Table1[[#This Row],[OD Hgt]]</f>
        <v>1620</v>
      </c>
      <c r="AN264" s="216">
        <f>Table1[[#This Row],[Min VO]]+Table1[[#This Row],[Max VO]]</f>
        <v>81</v>
      </c>
      <c r="AO264" s="101"/>
      <c r="AP264" s="101"/>
      <c r="AQ264" s="104"/>
      <c r="AR264" s="104"/>
      <c r="AS264" s="104"/>
      <c r="AT264" s="104"/>
      <c r="AU264" s="830" t="str">
        <f t="shared" si="95"/>
        <v>-</v>
      </c>
    </row>
    <row r="265" spans="1:47" s="103" customFormat="1" x14ac:dyDescent="0.2">
      <c r="A265" s="86" t="s">
        <v>58</v>
      </c>
      <c r="B265" s="1061" t="s">
        <v>740</v>
      </c>
      <c r="C265" s="100" t="s">
        <v>837</v>
      </c>
      <c r="D265" s="77"/>
      <c r="E265" s="85" t="s">
        <v>838</v>
      </c>
      <c r="F265" s="85" t="s">
        <v>737</v>
      </c>
      <c r="G265" s="86" t="s">
        <v>743</v>
      </c>
      <c r="H265" s="86" t="s">
        <v>191</v>
      </c>
      <c r="I265" s="86" t="s">
        <v>52</v>
      </c>
      <c r="J265" s="86" t="s">
        <v>53</v>
      </c>
      <c r="K265" s="86" t="s">
        <v>69</v>
      </c>
      <c r="L265" s="86" t="s">
        <v>70</v>
      </c>
      <c r="M265" s="87">
        <v>1250</v>
      </c>
      <c r="N265" s="639">
        <v>1100</v>
      </c>
      <c r="O265" s="101" t="s">
        <v>64</v>
      </c>
      <c r="P265" s="101">
        <v>47</v>
      </c>
      <c r="Q265" s="101">
        <v>59</v>
      </c>
      <c r="R265" s="101">
        <v>47</v>
      </c>
      <c r="S265" s="697">
        <v>59</v>
      </c>
      <c r="T265" s="697">
        <v>47</v>
      </c>
      <c r="U265" s="697">
        <v>59</v>
      </c>
      <c r="V265" s="608">
        <f t="shared" si="97"/>
        <v>55</v>
      </c>
      <c r="W265" s="608">
        <f t="shared" si="98"/>
        <v>67</v>
      </c>
      <c r="X265" s="137">
        <v>69</v>
      </c>
      <c r="Y265" s="101"/>
      <c r="Z265" s="101"/>
      <c r="AA265" s="649">
        <f t="shared" si="91"/>
        <v>25.590277777777779</v>
      </c>
      <c r="AB265" s="184">
        <f t="shared" si="99"/>
        <v>724.2048611111112</v>
      </c>
      <c r="AC265" s="104">
        <f t="shared" si="100"/>
        <v>16.889583333333334</v>
      </c>
      <c r="AD265" s="104">
        <f>Table1[[#This Row],[Substrate SF]]*Materials!C$37</f>
        <v>71.652777777777771</v>
      </c>
      <c r="AE265" s="104">
        <f>IF(Table1[[#This Row],[Work Center]]="SwissQ",Materials!G$37,IF(Table1[[#This Row],[Work Center]]="Inca",Materials!G$29,IF(Table1[[#This Row],[Work Center]]="Canon",Materials!G$49,Materials!G$45)))</f>
        <v>20</v>
      </c>
      <c r="AF265" s="104">
        <f>'Cali Frames'!D$327</f>
        <v>240.625</v>
      </c>
      <c r="AG265" s="115"/>
      <c r="AH265" s="112">
        <f t="shared" si="96"/>
        <v>62.5</v>
      </c>
      <c r="AI265" s="112"/>
      <c r="AJ265" s="104">
        <f t="shared" si="90"/>
        <v>411.66736111111112</v>
      </c>
      <c r="AK265" s="62">
        <f t="shared" si="92"/>
        <v>0.67066611111111107</v>
      </c>
      <c r="AL265" s="225">
        <f>Table1[[#This Row],[WSP/Dealer]]/Table1[[#This Row],[OD Sq Inch]]</f>
        <v>0.45077533357374683</v>
      </c>
      <c r="AM265" s="216">
        <f>Table1[[#This Row],[OD Wdth]]*Table1[[#This Row],[OD Hgt]]</f>
        <v>2773</v>
      </c>
      <c r="AN265" s="216">
        <f>Table1[[#This Row],[Min VO]]+Table1[[#This Row],[Max VO]]</f>
        <v>106</v>
      </c>
      <c r="AO265" s="101"/>
      <c r="AP265" s="101"/>
      <c r="AQ265" s="104"/>
      <c r="AR265" s="104"/>
      <c r="AS265" s="104"/>
      <c r="AT265" s="104"/>
      <c r="AU265" s="830" t="str">
        <f t="shared" si="95"/>
        <v>-</v>
      </c>
    </row>
    <row r="266" spans="1:47" s="63" customFormat="1" x14ac:dyDescent="0.2">
      <c r="A266" s="86" t="s">
        <v>58</v>
      </c>
      <c r="B266" s="1061" t="s">
        <v>740</v>
      </c>
      <c r="C266" s="100" t="s">
        <v>839</v>
      </c>
      <c r="D266" s="77"/>
      <c r="E266" s="85" t="s">
        <v>840</v>
      </c>
      <c r="F266" s="85" t="s">
        <v>737</v>
      </c>
      <c r="G266" s="86" t="s">
        <v>738</v>
      </c>
      <c r="H266" s="86" t="s">
        <v>739</v>
      </c>
      <c r="I266" s="86" t="s">
        <v>52</v>
      </c>
      <c r="J266" s="86" t="s">
        <v>53</v>
      </c>
      <c r="K266" s="86" t="s">
        <v>69</v>
      </c>
      <c r="L266" s="86" t="s">
        <v>70</v>
      </c>
      <c r="M266" s="87">
        <v>850</v>
      </c>
      <c r="N266" s="639">
        <v>800</v>
      </c>
      <c r="O266" s="101" t="s">
        <v>64</v>
      </c>
      <c r="P266" s="101">
        <v>36</v>
      </c>
      <c r="Q266" s="101">
        <v>45</v>
      </c>
      <c r="R266" s="101">
        <v>36</v>
      </c>
      <c r="S266" s="697">
        <v>45</v>
      </c>
      <c r="T266" s="697">
        <v>36</v>
      </c>
      <c r="U266" s="697">
        <v>45</v>
      </c>
      <c r="V266" s="608">
        <f t="shared" si="97"/>
        <v>44</v>
      </c>
      <c r="W266" s="608">
        <f t="shared" si="98"/>
        <v>53</v>
      </c>
      <c r="X266" s="157" t="s">
        <v>699</v>
      </c>
      <c r="Y266" s="145"/>
      <c r="Z266" s="145"/>
      <c r="AA266" s="649">
        <f t="shared" si="91"/>
        <v>16.194444444444443</v>
      </c>
      <c r="AB266" s="184">
        <f t="shared" si="99"/>
        <v>458.30277777777775</v>
      </c>
      <c r="AC266" s="104">
        <f t="shared" si="100"/>
        <v>10.688333333333333</v>
      </c>
      <c r="AD266" s="107">
        <f>Table1[[#This Row],[Substrate SF]]*Materials!C$37</f>
        <v>45.344444444444434</v>
      </c>
      <c r="AE266" s="104">
        <f>IF(Table1[[#This Row],[Work Center]]="SwissQ",Materials!G$37,IF(Table1[[#This Row],[Work Center]]="Inca",Materials!G$29,IF(Table1[[#This Row],[Work Center]]="Canon",Materials!G$49,Materials!G$45)))</f>
        <v>20</v>
      </c>
      <c r="AF266" s="104">
        <f>'Cali Frames'!D$299</f>
        <v>152.3725</v>
      </c>
      <c r="AG266" s="115"/>
      <c r="AH266" s="498">
        <f t="shared" si="96"/>
        <v>42.5</v>
      </c>
      <c r="AI266" s="498"/>
      <c r="AJ266" s="104">
        <f t="shared" si="90"/>
        <v>270.90527777777777</v>
      </c>
      <c r="AK266" s="650">
        <f t="shared" si="92"/>
        <v>0.68128790849673204</v>
      </c>
      <c r="AL266" s="225">
        <f>Table1[[#This Row],[WSP/Dealer]]/Table1[[#This Row],[OD Sq Inch]]</f>
        <v>0.52469135802469136</v>
      </c>
      <c r="AM266" s="218">
        <f>Table1[[#This Row],[OD Wdth]]*Table1[[#This Row],[OD Hgt]]</f>
        <v>1620</v>
      </c>
      <c r="AN266" s="216">
        <f>Table1[[#This Row],[Min VO]]+Table1[[#This Row],[Max VO]]</f>
        <v>81</v>
      </c>
      <c r="AO266" s="101"/>
      <c r="AP266" s="101"/>
      <c r="AQ266" s="104"/>
      <c r="AR266" s="104"/>
      <c r="AS266" s="104"/>
      <c r="AT266" s="104"/>
      <c r="AU266" s="830" t="str">
        <f t="shared" si="95"/>
        <v>-</v>
      </c>
    </row>
    <row r="267" spans="1:47" s="63" customFormat="1" x14ac:dyDescent="0.2">
      <c r="A267" s="86" t="s">
        <v>58</v>
      </c>
      <c r="B267" s="1061" t="s">
        <v>740</v>
      </c>
      <c r="C267" s="100" t="s">
        <v>841</v>
      </c>
      <c r="D267" s="77"/>
      <c r="E267" s="85" t="s">
        <v>842</v>
      </c>
      <c r="F267" s="85" t="s">
        <v>737</v>
      </c>
      <c r="G267" s="86" t="s">
        <v>743</v>
      </c>
      <c r="H267" s="86" t="s">
        <v>191</v>
      </c>
      <c r="I267" s="86" t="s">
        <v>52</v>
      </c>
      <c r="J267" s="86" t="s">
        <v>53</v>
      </c>
      <c r="K267" s="86" t="s">
        <v>69</v>
      </c>
      <c r="L267" s="86" t="s">
        <v>70</v>
      </c>
      <c r="M267" s="87">
        <v>1250</v>
      </c>
      <c r="N267" s="639">
        <v>1100</v>
      </c>
      <c r="O267" s="101" t="s">
        <v>64</v>
      </c>
      <c r="P267" s="101">
        <v>47</v>
      </c>
      <c r="Q267" s="101">
        <v>59</v>
      </c>
      <c r="R267" s="101">
        <v>47</v>
      </c>
      <c r="S267" s="697">
        <v>59</v>
      </c>
      <c r="T267" s="697">
        <v>47</v>
      </c>
      <c r="U267" s="697">
        <v>59</v>
      </c>
      <c r="V267" s="106">
        <f t="shared" si="97"/>
        <v>55</v>
      </c>
      <c r="W267" s="106">
        <f t="shared" si="98"/>
        <v>67</v>
      </c>
      <c r="X267" s="137" t="s">
        <v>165</v>
      </c>
      <c r="Y267" s="101"/>
      <c r="Z267" s="101"/>
      <c r="AA267" s="649">
        <f t="shared" si="91"/>
        <v>25.590277777777779</v>
      </c>
      <c r="AB267" s="184">
        <f t="shared" si="99"/>
        <v>724.2048611111112</v>
      </c>
      <c r="AC267" s="104">
        <f t="shared" si="100"/>
        <v>16.889583333333334</v>
      </c>
      <c r="AD267" s="107">
        <f>Table1[[#This Row],[Substrate SF]]*Materials!C$37</f>
        <v>71.652777777777771</v>
      </c>
      <c r="AE267" s="104">
        <f>IF(Table1[[#This Row],[Work Center]]="SwissQ",Materials!G$37,IF(Table1[[#This Row],[Work Center]]="Inca",Materials!G$29,IF(Table1[[#This Row],[Work Center]]="Canon",Materials!G$49,Materials!G$45)))</f>
        <v>20</v>
      </c>
      <c r="AF267" s="104">
        <f>'Cali Frames'!D$327</f>
        <v>240.625</v>
      </c>
      <c r="AG267" s="115"/>
      <c r="AH267" s="112">
        <f t="shared" si="96"/>
        <v>62.5</v>
      </c>
      <c r="AI267" s="112"/>
      <c r="AJ267" s="104">
        <f t="shared" si="90"/>
        <v>411.66736111111112</v>
      </c>
      <c r="AK267" s="62">
        <f t="shared" si="92"/>
        <v>0.67066611111111107</v>
      </c>
      <c r="AL267" s="225">
        <f>Table1[[#This Row],[WSP/Dealer]]/Table1[[#This Row],[OD Sq Inch]]</f>
        <v>0.45077533357374683</v>
      </c>
      <c r="AM267" s="103">
        <f>Table1[[#This Row],[OD Wdth]]*Table1[[#This Row],[OD Hgt]]</f>
        <v>2773</v>
      </c>
      <c r="AN267" s="216">
        <f>Table1[[#This Row],[Min VO]]+Table1[[#This Row],[Max VO]]</f>
        <v>106</v>
      </c>
      <c r="AO267" s="101"/>
      <c r="AP267" s="101"/>
      <c r="AQ267" s="104"/>
      <c r="AR267" s="104"/>
      <c r="AS267" s="104"/>
      <c r="AT267" s="104"/>
      <c r="AU267" s="830" t="str">
        <f t="shared" si="95"/>
        <v>-</v>
      </c>
    </row>
    <row r="268" spans="1:47" s="63" customFormat="1" x14ac:dyDescent="0.2">
      <c r="A268" s="86" t="s">
        <v>58</v>
      </c>
      <c r="B268" s="1061" t="s">
        <v>740</v>
      </c>
      <c r="C268" s="100" t="s">
        <v>843</v>
      </c>
      <c r="D268" s="77"/>
      <c r="E268" s="85" t="s">
        <v>844</v>
      </c>
      <c r="F268" s="85" t="s">
        <v>737</v>
      </c>
      <c r="G268" s="86" t="s">
        <v>845</v>
      </c>
      <c r="H268" s="86" t="s">
        <v>846</v>
      </c>
      <c r="I268" s="86" t="s">
        <v>52</v>
      </c>
      <c r="J268" s="86" t="s">
        <v>53</v>
      </c>
      <c r="K268" s="86" t="s">
        <v>69</v>
      </c>
      <c r="L268" s="86" t="s">
        <v>70</v>
      </c>
      <c r="M268" s="87">
        <v>1400</v>
      </c>
      <c r="N268" s="639">
        <v>1350</v>
      </c>
      <c r="O268" s="101" t="s">
        <v>64</v>
      </c>
      <c r="P268" s="101">
        <v>55</v>
      </c>
      <c r="Q268" s="101">
        <v>70</v>
      </c>
      <c r="R268" s="101">
        <v>55</v>
      </c>
      <c r="S268" s="697">
        <v>70</v>
      </c>
      <c r="T268" s="697">
        <v>55</v>
      </c>
      <c r="U268" s="697">
        <v>70</v>
      </c>
      <c r="V268" s="608">
        <f t="shared" si="97"/>
        <v>63</v>
      </c>
      <c r="W268" s="608">
        <f t="shared" si="98"/>
        <v>78</v>
      </c>
      <c r="X268" s="137">
        <v>63</v>
      </c>
      <c r="Y268" s="101"/>
      <c r="Z268" s="101"/>
      <c r="AA268" s="649">
        <f t="shared" si="91"/>
        <v>34.125</v>
      </c>
      <c r="AB268" s="184">
        <f t="shared" si="99"/>
        <v>965.73750000000007</v>
      </c>
      <c r="AC268" s="104">
        <f t="shared" si="100"/>
        <v>22.522500000000001</v>
      </c>
      <c r="AD268" s="107">
        <f>Table1[[#This Row],[Substrate SF]]*Materials!C$37</f>
        <v>95.55</v>
      </c>
      <c r="AE268" s="104">
        <f>IF(Table1[[#This Row],[Work Center]]="SwissQ",Materials!G$37,IF(Table1[[#This Row],[Work Center]]="Inca",Materials!G$29,IF(Table1[[#This Row],[Work Center]]="Canon",Materials!G$49,Materials!G$45)))</f>
        <v>20</v>
      </c>
      <c r="AF268" s="104">
        <f>'Cali Frames'!D$347</f>
        <v>320.58249999999998</v>
      </c>
      <c r="AG268" s="115"/>
      <c r="AH268" s="112">
        <f t="shared" si="96"/>
        <v>70</v>
      </c>
      <c r="AI268" s="112"/>
      <c r="AJ268" s="104">
        <f t="shared" si="90"/>
        <v>528.65499999999997</v>
      </c>
      <c r="AK268" s="62">
        <f t="shared" si="92"/>
        <v>0.62238928571428576</v>
      </c>
      <c r="AL268" s="225">
        <f>Table1[[#This Row],[WSP/Dealer]]/Table1[[#This Row],[OD Sq Inch]]</f>
        <v>0.36363636363636365</v>
      </c>
      <c r="AM268" s="103">
        <f>Table1[[#This Row],[OD Wdth]]*Table1[[#This Row],[OD Hgt]]</f>
        <v>3850</v>
      </c>
      <c r="AN268" s="216">
        <f>Table1[[#This Row],[Min VO]]+Table1[[#This Row],[Max VO]]</f>
        <v>125</v>
      </c>
      <c r="AO268" s="101"/>
      <c r="AP268" s="101"/>
      <c r="AQ268" s="104"/>
      <c r="AR268" s="104"/>
      <c r="AS268" s="104"/>
      <c r="AT268" s="104"/>
      <c r="AU268" s="830" t="str">
        <f t="shared" si="95"/>
        <v>-</v>
      </c>
    </row>
    <row r="269" spans="1:47" s="63" customFormat="1" x14ac:dyDescent="0.2">
      <c r="A269" s="86" t="s">
        <v>58</v>
      </c>
      <c r="B269" s="279" t="s">
        <v>740</v>
      </c>
      <c r="C269" s="100" t="s">
        <v>847</v>
      </c>
      <c r="D269" s="77"/>
      <c r="E269" s="85" t="s">
        <v>848</v>
      </c>
      <c r="F269" s="85" t="s">
        <v>737</v>
      </c>
      <c r="G269" s="86" t="s">
        <v>849</v>
      </c>
      <c r="H269" s="86" t="s">
        <v>850</v>
      </c>
      <c r="I269" s="86" t="s">
        <v>52</v>
      </c>
      <c r="J269" s="86" t="s">
        <v>53</v>
      </c>
      <c r="K269" s="86" t="s">
        <v>69</v>
      </c>
      <c r="L269" s="86" t="s">
        <v>70</v>
      </c>
      <c r="M269" s="87">
        <v>1000</v>
      </c>
      <c r="N269" s="639">
        <v>850</v>
      </c>
      <c r="O269" s="101" t="s">
        <v>64</v>
      </c>
      <c r="P269" s="101">
        <v>39</v>
      </c>
      <c r="Q269" s="101">
        <v>47</v>
      </c>
      <c r="R269" s="101">
        <v>39</v>
      </c>
      <c r="S269" s="697">
        <v>47</v>
      </c>
      <c r="T269" s="697">
        <v>39</v>
      </c>
      <c r="U269" s="697">
        <v>47</v>
      </c>
      <c r="V269" s="608">
        <f t="shared" si="97"/>
        <v>47</v>
      </c>
      <c r="W269" s="608">
        <f t="shared" si="98"/>
        <v>55</v>
      </c>
      <c r="X269" s="137" t="s">
        <v>165</v>
      </c>
      <c r="Y269" s="101"/>
      <c r="Z269" s="101"/>
      <c r="AA269" s="649">
        <f t="shared" si="91"/>
        <v>17.951388888888889</v>
      </c>
      <c r="AB269" s="184">
        <f t="shared" si="99"/>
        <v>508.0243055555556</v>
      </c>
      <c r="AC269" s="104">
        <f t="shared" si="100"/>
        <v>11.847916666666668</v>
      </c>
      <c r="AD269" s="104">
        <f>Table1[[#This Row],[Substrate SF]]*Materials!C$37</f>
        <v>50.263888888888886</v>
      </c>
      <c r="AE269" s="104">
        <f>IF(Table1[[#This Row],[Work Center]]="SwissQ",Materials!G$37,IF(Table1[[#This Row],[Work Center]]="Inca",Materials!G$29,IF(Table1[[#This Row],[Work Center]]="Canon",Materials!G$49,Materials!G$45)))</f>
        <v>20</v>
      </c>
      <c r="AF269" s="104">
        <f>'Cali Frames'!D$308</f>
        <v>154.91</v>
      </c>
      <c r="AG269" s="115"/>
      <c r="AH269" s="498">
        <f t="shared" si="96"/>
        <v>50</v>
      </c>
      <c r="AI269" s="498"/>
      <c r="AJ269" s="104">
        <f t="shared" si="90"/>
        <v>287.02180555555555</v>
      </c>
      <c r="AK269" s="650">
        <f t="shared" si="92"/>
        <v>0.71297819444444444</v>
      </c>
      <c r="AL269" s="225">
        <f>Table1[[#This Row],[WSP/Dealer]]/Table1[[#This Row],[OD Sq Inch]]</f>
        <v>0.54555373704309873</v>
      </c>
      <c r="AM269" s="216">
        <f>Table1[[#This Row],[OD Wdth]]*Table1[[#This Row],[OD Hgt]]</f>
        <v>1833</v>
      </c>
      <c r="AN269" s="216">
        <f>Table1[[#This Row],[Min VO]]+Table1[[#This Row],[Max VO]]</f>
        <v>86</v>
      </c>
      <c r="AO269" s="101"/>
      <c r="AP269" s="101"/>
      <c r="AQ269" s="104"/>
      <c r="AR269" s="104"/>
      <c r="AS269" s="104"/>
      <c r="AT269" s="104"/>
      <c r="AU269" s="830" t="str">
        <f t="shared" si="95"/>
        <v>-</v>
      </c>
    </row>
    <row r="270" spans="1:47" s="63" customFormat="1" x14ac:dyDescent="0.2">
      <c r="A270" s="86" t="s">
        <v>58</v>
      </c>
      <c r="B270" s="1061" t="s">
        <v>740</v>
      </c>
      <c r="C270" s="100" t="s">
        <v>851</v>
      </c>
      <c r="D270" s="77"/>
      <c r="E270" s="85" t="s">
        <v>852</v>
      </c>
      <c r="F270" s="85" t="s">
        <v>737</v>
      </c>
      <c r="G270" s="86" t="s">
        <v>849</v>
      </c>
      <c r="H270" s="86" t="s">
        <v>850</v>
      </c>
      <c r="I270" s="86" t="s">
        <v>52</v>
      </c>
      <c r="J270" s="86" t="s">
        <v>53</v>
      </c>
      <c r="K270" s="86" t="s">
        <v>69</v>
      </c>
      <c r="L270" s="86" t="s">
        <v>70</v>
      </c>
      <c r="M270" s="87">
        <v>1000</v>
      </c>
      <c r="N270" s="639">
        <v>850</v>
      </c>
      <c r="O270" s="101" t="s">
        <v>64</v>
      </c>
      <c r="P270" s="101">
        <v>39</v>
      </c>
      <c r="Q270" s="101">
        <v>47</v>
      </c>
      <c r="R270" s="101">
        <v>39</v>
      </c>
      <c r="S270" s="697">
        <v>47</v>
      </c>
      <c r="T270" s="697">
        <v>39</v>
      </c>
      <c r="U270" s="697">
        <v>47</v>
      </c>
      <c r="V270" s="608">
        <f t="shared" si="97"/>
        <v>47</v>
      </c>
      <c r="W270" s="608">
        <f t="shared" si="98"/>
        <v>55</v>
      </c>
      <c r="X270" s="137" t="s">
        <v>165</v>
      </c>
      <c r="Y270" s="101"/>
      <c r="Z270" s="101"/>
      <c r="AA270" s="649">
        <f t="shared" si="91"/>
        <v>17.951388888888889</v>
      </c>
      <c r="AB270" s="184">
        <f t="shared" si="99"/>
        <v>508.0243055555556</v>
      </c>
      <c r="AC270" s="104">
        <f t="shared" si="100"/>
        <v>11.847916666666668</v>
      </c>
      <c r="AD270" s="104">
        <f>Table1[[#This Row],[Substrate SF]]*Materials!C$37</f>
        <v>50.263888888888886</v>
      </c>
      <c r="AE270" s="104">
        <f>IF(Table1[[#This Row],[Work Center]]="SwissQ",Materials!G$37,IF(Table1[[#This Row],[Work Center]]="Inca",Materials!G$29,IF(Table1[[#This Row],[Work Center]]="Canon",Materials!G$49,Materials!G$45)))</f>
        <v>20</v>
      </c>
      <c r="AF270" s="104">
        <f>'Cali Frames'!D$308</f>
        <v>154.91</v>
      </c>
      <c r="AG270" s="115"/>
      <c r="AH270" s="498">
        <f t="shared" si="96"/>
        <v>50</v>
      </c>
      <c r="AI270" s="498"/>
      <c r="AJ270" s="104">
        <f t="shared" si="90"/>
        <v>287.02180555555555</v>
      </c>
      <c r="AK270" s="650">
        <f t="shared" si="92"/>
        <v>0.71297819444444444</v>
      </c>
      <c r="AL270" s="225">
        <f>Table1[[#This Row],[WSP/Dealer]]/Table1[[#This Row],[OD Sq Inch]]</f>
        <v>0.54555373704309873</v>
      </c>
      <c r="AM270" s="101">
        <f>Table1[[#This Row],[OD Wdth]]*Table1[[#This Row],[OD Hgt]]</f>
        <v>1833</v>
      </c>
      <c r="AN270" s="216">
        <f>Table1[[#This Row],[Min VO]]+Table1[[#This Row],[Max VO]]</f>
        <v>86</v>
      </c>
      <c r="AO270" s="101"/>
      <c r="AP270" s="101"/>
      <c r="AQ270" s="104"/>
      <c r="AR270" s="104"/>
      <c r="AS270" s="104"/>
      <c r="AT270" s="104"/>
      <c r="AU270" s="830" t="str">
        <f t="shared" si="95"/>
        <v>-</v>
      </c>
    </row>
    <row r="271" spans="1:47" s="45" customFormat="1" x14ac:dyDescent="0.2">
      <c r="A271" s="551" t="s">
        <v>58</v>
      </c>
      <c r="B271" s="1150" t="s">
        <v>310</v>
      </c>
      <c r="C271" s="805" t="s">
        <v>853</v>
      </c>
      <c r="D271" s="77"/>
      <c r="E271" s="653" t="s">
        <v>854</v>
      </c>
      <c r="F271" s="653" t="s">
        <v>308</v>
      </c>
      <c r="G271" s="551" t="s">
        <v>115</v>
      </c>
      <c r="H271" s="551" t="s">
        <v>115</v>
      </c>
      <c r="I271" s="551" t="s">
        <v>52</v>
      </c>
      <c r="J271" s="856" t="s">
        <v>53</v>
      </c>
      <c r="K271" s="551" t="s">
        <v>54</v>
      </c>
      <c r="L271" s="551" t="s">
        <v>55</v>
      </c>
      <c r="M271" s="896">
        <v>750</v>
      </c>
      <c r="N271" s="896"/>
      <c r="O271" s="551" t="s">
        <v>56</v>
      </c>
      <c r="P271" s="551">
        <v>48</v>
      </c>
      <c r="Q271" s="551">
        <v>48</v>
      </c>
      <c r="R271" s="551">
        <v>48</v>
      </c>
      <c r="S271" s="984">
        <v>48</v>
      </c>
      <c r="T271" s="984">
        <v>48</v>
      </c>
      <c r="U271" s="984">
        <v>48</v>
      </c>
      <c r="V271" s="859">
        <f t="shared" si="97"/>
        <v>56</v>
      </c>
      <c r="W271" s="859">
        <f t="shared" si="98"/>
        <v>56</v>
      </c>
      <c r="X271" s="551">
        <v>59</v>
      </c>
      <c r="Y271" s="551">
        <v>56</v>
      </c>
      <c r="Z271" s="551">
        <v>56</v>
      </c>
      <c r="AA271" s="860">
        <f t="shared" si="91"/>
        <v>21.777777777777779</v>
      </c>
      <c r="AB271" s="861">
        <f>AA271*IncaG</f>
        <v>458.20444444444445</v>
      </c>
      <c r="AC271" s="71">
        <f>Table1[[#This Row],[Substrate SF]]*Paper</f>
        <v>29.465333333333334</v>
      </c>
      <c r="AD271" s="863">
        <f>AA271*IncaC</f>
        <v>36.656355555555557</v>
      </c>
      <c r="AE271" s="863">
        <f>IF(Table1[[#This Row],[Work Center]]="SwissQ",Materials!G$37,IF(Table1[[#This Row],[Work Center]]="Inca",Materials!G$29,IF(Table1[[#This Row],[Work Center]]="Canon",Materials!G$49,Materials!G$45)))</f>
        <v>8</v>
      </c>
      <c r="AF271" s="71">
        <f>'Cali FPS'!C117</f>
        <v>119.7</v>
      </c>
      <c r="AG271" s="653"/>
      <c r="AH271" s="865">
        <f t="shared" si="96"/>
        <v>37.5</v>
      </c>
      <c r="AI271" s="865"/>
      <c r="AJ271" s="867">
        <f t="shared" si="90"/>
        <v>231.3216888888889</v>
      </c>
      <c r="AK271" s="866">
        <f t="shared" si="92"/>
        <v>0.69157108148148139</v>
      </c>
      <c r="AL271" s="867">
        <f>Table1[[#This Row],[WSP/Dealer]]/Table1[[#This Row],[OD Sq Inch]]</f>
        <v>0.32552083333333331</v>
      </c>
      <c r="AM271" s="868">
        <f>Table1[[#This Row],[OD Wdth]]*Table1[[#This Row],[OD Hgt]]</f>
        <v>2304</v>
      </c>
      <c r="AN271" s="869">
        <f>Table1[[#This Row],[Min VO]]+Table1[[#This Row],[Max VO]]</f>
        <v>96</v>
      </c>
      <c r="AO271" s="1545"/>
      <c r="AP271" s="653"/>
      <c r="AQ271" s="863">
        <f>(Table1[[#This Row],[Desgnr/Retail P]]*0.05)</f>
        <v>0</v>
      </c>
      <c r="AR271" s="863" t="b">
        <f>IF(A271="Codarus",(AP271*0.13))</f>
        <v>0</v>
      </c>
      <c r="AS271" s="863" t="e" cm="1">
        <f t="array" ref="AS271">SUM(AC271:AG271+AQ+AR)</f>
        <v>#NAME?</v>
      </c>
      <c r="AT271" s="863" t="e">
        <f>(AP271-AS271)/AP271</f>
        <v>#NAME?</v>
      </c>
      <c r="AU271" s="1705" t="str">
        <f t="shared" si="95"/>
        <v>-</v>
      </c>
    </row>
    <row r="272" spans="1:47" s="45" customFormat="1" x14ac:dyDescent="0.2">
      <c r="A272" s="551" t="s">
        <v>58</v>
      </c>
      <c r="B272" s="1150" t="s">
        <v>310</v>
      </c>
      <c r="C272" s="805" t="s">
        <v>855</v>
      </c>
      <c r="D272" s="77"/>
      <c r="E272" s="653" t="s">
        <v>854</v>
      </c>
      <c r="F272" s="653" t="s">
        <v>308</v>
      </c>
      <c r="G272" s="551" t="s">
        <v>115</v>
      </c>
      <c r="H272" s="551" t="s">
        <v>145</v>
      </c>
      <c r="I272" s="551" t="s">
        <v>52</v>
      </c>
      <c r="J272" s="856" t="s">
        <v>53</v>
      </c>
      <c r="K272" s="551" t="s">
        <v>69</v>
      </c>
      <c r="L272" s="551" t="s">
        <v>70</v>
      </c>
      <c r="M272" s="896">
        <v>970</v>
      </c>
      <c r="N272" s="896"/>
      <c r="O272" s="551" t="s">
        <v>56</v>
      </c>
      <c r="P272" s="551">
        <v>48</v>
      </c>
      <c r="Q272" s="551">
        <v>48</v>
      </c>
      <c r="R272" s="551">
        <v>48</v>
      </c>
      <c r="S272" s="984">
        <v>48</v>
      </c>
      <c r="T272" s="984">
        <v>49</v>
      </c>
      <c r="U272" s="984">
        <v>49</v>
      </c>
      <c r="V272" s="859">
        <f t="shared" si="97"/>
        <v>56</v>
      </c>
      <c r="W272" s="859">
        <f t="shared" si="98"/>
        <v>56</v>
      </c>
      <c r="X272" s="551">
        <v>59</v>
      </c>
      <c r="Y272" s="551">
        <v>56</v>
      </c>
      <c r="Z272" s="551">
        <v>56</v>
      </c>
      <c r="AA272" s="860">
        <f t="shared" si="91"/>
        <v>21.777777777777779</v>
      </c>
      <c r="AB272" s="861">
        <f>AA272*IncaG</f>
        <v>458.20444444444445</v>
      </c>
      <c r="AC272" s="71">
        <f>Table1[[#This Row],[Substrate SF]]*Paper</f>
        <v>29.465333333333334</v>
      </c>
      <c r="AD272" s="863">
        <f>AA272*IncaC</f>
        <v>36.656355555555557</v>
      </c>
      <c r="AE272" s="863">
        <f>IF(Table1[[#This Row],[Work Center]]="SwissQ",Materials!G$37,IF(Table1[[#This Row],[Work Center]]="Inca",Materials!G$29,IF(Table1[[#This Row],[Work Center]]="Canon",Materials!G$49,Materials!G$45)))</f>
        <v>8</v>
      </c>
      <c r="AF272" s="71">
        <f>'Cali Frames'!D331</f>
        <v>171.26</v>
      </c>
      <c r="AG272" s="653"/>
      <c r="AH272" s="865">
        <f t="shared" si="96"/>
        <v>48.5</v>
      </c>
      <c r="AI272" s="865"/>
      <c r="AJ272" s="867">
        <f t="shared" si="90"/>
        <v>293.8816888888889</v>
      </c>
      <c r="AK272" s="866">
        <f t="shared" si="92"/>
        <v>0.6970291867124857</v>
      </c>
      <c r="AL272" s="867">
        <f>Table1[[#This Row],[WSP/Dealer]]/Table1[[#This Row],[OD Sq Inch]]</f>
        <v>0.40399833402748853</v>
      </c>
      <c r="AM272" s="868">
        <f>Table1[[#This Row],[OD Wdth]]*Table1[[#This Row],[OD Hgt]]</f>
        <v>2401</v>
      </c>
      <c r="AN272" s="869">
        <f>Table1[[#This Row],[Min VO]]+Table1[[#This Row],[Max VO]]</f>
        <v>96</v>
      </c>
      <c r="AO272" s="1545"/>
      <c r="AP272" s="653"/>
      <c r="AQ272" s="863">
        <f>(Table1[[#This Row],[Desgnr/Retail P]]*0.05)</f>
        <v>0</v>
      </c>
      <c r="AR272" s="863" t="b">
        <f>IF(A272="Codarus",(AP272*0.13))</f>
        <v>0</v>
      </c>
      <c r="AS272" s="863" t="e" cm="1">
        <f t="array" ref="AS272">SUM(AC272:AG272+AQ+AR)</f>
        <v>#NAME?</v>
      </c>
      <c r="AT272" s="863" t="e">
        <f>(AP272-AS272)/AP272</f>
        <v>#NAME?</v>
      </c>
      <c r="AU272" s="1705" t="str">
        <f t="shared" si="95"/>
        <v>-</v>
      </c>
    </row>
    <row r="273" spans="1:47" s="63" customFormat="1" hidden="1" x14ac:dyDescent="0.2">
      <c r="A273" s="101"/>
      <c r="B273" s="1061"/>
      <c r="C273" s="77" t="s">
        <v>856</v>
      </c>
      <c r="D273" s="168"/>
      <c r="E273" s="115" t="s">
        <v>857</v>
      </c>
      <c r="F273" s="115" t="s">
        <v>858</v>
      </c>
      <c r="G273" s="101" t="s">
        <v>859</v>
      </c>
      <c r="H273" s="101"/>
      <c r="I273" s="60" t="s">
        <v>108</v>
      </c>
      <c r="J273" s="59" t="s">
        <v>257</v>
      </c>
      <c r="K273" s="101" t="s">
        <v>258</v>
      </c>
      <c r="L273" s="101" t="s">
        <v>259</v>
      </c>
      <c r="M273" s="299">
        <v>1000</v>
      </c>
      <c r="N273" s="71"/>
      <c r="O273" s="101" t="s">
        <v>260</v>
      </c>
      <c r="P273" s="60">
        <v>52</v>
      </c>
      <c r="Q273" s="60">
        <v>71</v>
      </c>
      <c r="R273" s="60">
        <v>52</v>
      </c>
      <c r="S273" s="60">
        <v>71</v>
      </c>
      <c r="T273" s="101">
        <v>54</v>
      </c>
      <c r="U273" s="101">
        <v>73</v>
      </c>
      <c r="V273" s="47">
        <f>Table1[[#This Row],[VO Wdth]]+Materials!$C$50</f>
        <v>54</v>
      </c>
      <c r="W273" s="47">
        <f>Table1[[#This Row],[VO Hgt]]+Materials!$C$50</f>
        <v>73</v>
      </c>
      <c r="X273" s="137" t="s">
        <v>257</v>
      </c>
      <c r="Y273" s="101"/>
      <c r="Z273" s="101"/>
      <c r="AA273" s="717">
        <f t="shared" si="91"/>
        <v>27.375</v>
      </c>
      <c r="AB273" s="125">
        <f>AA273*canonML</f>
        <v>131.4</v>
      </c>
      <c r="AC273" s="69">
        <f>Table1[[#This Row],[Print Wth]]*paper60</f>
        <v>18.360000000000003</v>
      </c>
      <c r="AD273" s="48">
        <f>Table1[[#This Row],[Ink g/mL]]*CanonC</f>
        <v>35.478000000000002</v>
      </c>
      <c r="AE273" s="104">
        <f>IF(Table1[[#This Row],[Work Center]]="SwissQ",Materials!G$37,IF(Table1[[#This Row],[Work Center]]="Inca",Materials!G$29,IF(Table1[[#This Row],[Work Center]]="Canon",Materials!G$49,Materials!G$45)))</f>
        <v>7</v>
      </c>
      <c r="AF273" s="102">
        <f>'Cali Frames'!D51</f>
        <v>505.19099999999997</v>
      </c>
      <c r="AG273" s="121"/>
      <c r="AH273" s="112">
        <f t="shared" si="96"/>
        <v>50</v>
      </c>
      <c r="AI273" s="112"/>
      <c r="AJ273" s="104">
        <f t="shared" si="90"/>
        <v>616.029</v>
      </c>
      <c r="AK273" s="62">
        <f t="shared" si="92"/>
        <v>0.38397100000000001</v>
      </c>
      <c r="AL273" s="225" t="e">
        <f>Table1[[#This Row],[WSP/Dealer]]/Table1[[#This Row],[OD Sq Inch]]</f>
        <v>#DIV/0!</v>
      </c>
      <c r="AM273" s="113"/>
      <c r="AN273" s="216">
        <f>Table1[[#This Row],[Min VO]]+Table1[[#This Row],[Max VO]]</f>
        <v>123</v>
      </c>
      <c r="AO273" s="115"/>
      <c r="AP273" s="115"/>
      <c r="AQ273" s="121"/>
      <c r="AR273" s="121"/>
      <c r="AS273" s="121"/>
      <c r="AT273" s="104"/>
      <c r="AU273" s="1359" t="str">
        <f t="shared" si="95"/>
        <v>-</v>
      </c>
    </row>
    <row r="274" spans="1:47" s="63" customFormat="1" hidden="1" x14ac:dyDescent="0.2">
      <c r="A274" s="101"/>
      <c r="B274" s="1061"/>
      <c r="C274" s="77" t="s">
        <v>860</v>
      </c>
      <c r="D274" s="168"/>
      <c r="E274" s="115" t="s">
        <v>857</v>
      </c>
      <c r="F274" s="115" t="s">
        <v>858</v>
      </c>
      <c r="G274" s="101" t="s">
        <v>859</v>
      </c>
      <c r="H274" s="101"/>
      <c r="I274" s="60" t="s">
        <v>108</v>
      </c>
      <c r="J274" s="59" t="s">
        <v>257</v>
      </c>
      <c r="K274" s="101" t="s">
        <v>258</v>
      </c>
      <c r="L274" s="101" t="s">
        <v>269</v>
      </c>
      <c r="M274" s="299">
        <v>1150</v>
      </c>
      <c r="N274" s="71"/>
      <c r="O274" s="101" t="s">
        <v>260</v>
      </c>
      <c r="P274" s="60">
        <v>52</v>
      </c>
      <c r="Q274" s="60">
        <v>71</v>
      </c>
      <c r="R274" s="60">
        <v>52</v>
      </c>
      <c r="S274" s="60">
        <v>71</v>
      </c>
      <c r="T274" s="103">
        <v>54</v>
      </c>
      <c r="U274" s="103">
        <v>73</v>
      </c>
      <c r="V274" s="47">
        <f>Table1[[#This Row],[VO Wdth]]+Materials!$C$50</f>
        <v>54</v>
      </c>
      <c r="W274" s="47">
        <f>Table1[[#This Row],[VO Hgt]]+Materials!$C$50</f>
        <v>73</v>
      </c>
      <c r="X274" s="137" t="s">
        <v>257</v>
      </c>
      <c r="Y274" s="101"/>
      <c r="Z274" s="101"/>
      <c r="AA274" s="717">
        <f t="shared" si="91"/>
        <v>27.375</v>
      </c>
      <c r="AB274" s="125">
        <f>AA274*canonML</f>
        <v>131.4</v>
      </c>
      <c r="AC274" s="69">
        <f>Table1[[#This Row],[Print Wth]]*paper60</f>
        <v>18.360000000000003</v>
      </c>
      <c r="AD274" s="48">
        <f>Table1[[#This Row],[Ink g/mL]]*CanonC</f>
        <v>35.478000000000002</v>
      </c>
      <c r="AE274" s="104">
        <f>IF(Table1[[#This Row],[Work Center]]="SwissQ",Materials!G$37,IF(Table1[[#This Row],[Work Center]]="Inca",Materials!G$29,IF(Table1[[#This Row],[Work Center]]="Canon",Materials!G$49,Materials!G$45)))</f>
        <v>7</v>
      </c>
      <c r="AF274" s="102">
        <f>'Cali Frames'!D69</f>
        <v>460.89750000000004</v>
      </c>
      <c r="AG274" s="121"/>
      <c r="AH274" s="112">
        <f t="shared" si="96"/>
        <v>57.5</v>
      </c>
      <c r="AI274" s="112"/>
      <c r="AJ274" s="107">
        <f t="shared" si="90"/>
        <v>579.2355</v>
      </c>
      <c r="AK274" s="62">
        <f t="shared" si="92"/>
        <v>0.49631695652173913</v>
      </c>
      <c r="AL274" s="225" t="e">
        <f>Table1[[#This Row],[WSP/Dealer]]/Table1[[#This Row],[OD Sq Inch]]</f>
        <v>#DIV/0!</v>
      </c>
      <c r="AM274" s="113"/>
      <c r="AN274" s="216">
        <f>Table1[[#This Row],[Min VO]]+Table1[[#This Row],[Max VO]]</f>
        <v>123</v>
      </c>
      <c r="AO274" s="115"/>
      <c r="AP274" s="115"/>
      <c r="AQ274" s="121"/>
      <c r="AR274" s="121"/>
      <c r="AS274" s="121"/>
      <c r="AT274" s="104"/>
      <c r="AU274" s="1359" t="str">
        <f t="shared" si="95"/>
        <v>-</v>
      </c>
    </row>
    <row r="275" spans="1:47" s="63" customFormat="1" hidden="1" x14ac:dyDescent="0.2">
      <c r="A275" s="374" t="s">
        <v>187</v>
      </c>
      <c r="B275" s="1061" t="s">
        <v>261</v>
      </c>
      <c r="C275" s="323" t="s">
        <v>861</v>
      </c>
      <c r="D275" s="323"/>
      <c r="E275" s="275" t="s">
        <v>862</v>
      </c>
      <c r="F275" s="275" t="s">
        <v>737</v>
      </c>
      <c r="G275" s="274" t="s">
        <v>191</v>
      </c>
      <c r="H275" s="274" t="s">
        <v>193</v>
      </c>
      <c r="I275" s="274" t="s">
        <v>108</v>
      </c>
      <c r="J275" s="344" t="s">
        <v>53</v>
      </c>
      <c r="K275" s="274" t="s">
        <v>69</v>
      </c>
      <c r="L275" s="274" t="s">
        <v>70</v>
      </c>
      <c r="M275" s="318">
        <v>2950</v>
      </c>
      <c r="N275" s="71"/>
      <c r="O275" s="274" t="s">
        <v>109</v>
      </c>
      <c r="P275" s="274">
        <v>48</v>
      </c>
      <c r="Q275" s="274">
        <v>60</v>
      </c>
      <c r="R275" s="274">
        <v>48</v>
      </c>
      <c r="S275" s="783">
        <v>60</v>
      </c>
      <c r="T275" s="783">
        <v>49</v>
      </c>
      <c r="U275" s="783">
        <v>61</v>
      </c>
      <c r="V275" s="917">
        <f>IF(J275="Canvas",P275+BorderGW,P275)</f>
        <v>56</v>
      </c>
      <c r="W275" s="917">
        <f>IF(J275="Canvas",Q275+BorderGW,Q275)</f>
        <v>68</v>
      </c>
      <c r="X275" s="343">
        <v>69</v>
      </c>
      <c r="Y275" s="274"/>
      <c r="Z275" s="274"/>
      <c r="AA275" s="699">
        <f t="shared" si="91"/>
        <v>26.444444444444443</v>
      </c>
      <c r="AB275" s="382">
        <f>AA275*IncaG</f>
        <v>556.39111111111106</v>
      </c>
      <c r="AC275" s="278">
        <f>AA275*Canvas</f>
        <v>17.453333333333333</v>
      </c>
      <c r="AD275" s="161">
        <f>AA275*IncaC</f>
        <v>44.511288888888885</v>
      </c>
      <c r="AE275" s="104">
        <f>IF(Table1[[#This Row],[Work Center]]="SwissQ",Materials!G$37,IF(Table1[[#This Row],[Work Center]]="Inca",Materials!G$29,IF(Table1[[#This Row],[Work Center]]="Canon",Materials!G$49,Materials!G$45)))</f>
        <v>5</v>
      </c>
      <c r="AF275" s="260">
        <f>'Cali Frames'!D335</f>
        <v>258.27999999999997</v>
      </c>
      <c r="AG275" s="115"/>
      <c r="AH275" s="112">
        <f t="shared" si="96"/>
        <v>147.5</v>
      </c>
      <c r="AI275" s="112"/>
      <c r="AJ275" s="162">
        <f t="shared" si="90"/>
        <v>472.74462222222218</v>
      </c>
      <c r="AK275" s="62">
        <f t="shared" si="92"/>
        <v>0.83974758568738239</v>
      </c>
      <c r="AL275" s="225" t="e">
        <f>Table1[[#This Row],[WSP/Dealer]]/Table1[[#This Row],[OD Sq Inch]]</f>
        <v>#DIV/0!</v>
      </c>
      <c r="AM275" s="171"/>
      <c r="AN275" s="275"/>
      <c r="AO275" s="275"/>
      <c r="AP275" s="275"/>
      <c r="AQ275" s="320"/>
      <c r="AR275" s="320"/>
      <c r="AS275" s="320"/>
      <c r="AT275" s="278"/>
      <c r="AU275" s="1368" t="str">
        <f t="shared" si="95"/>
        <v>-</v>
      </c>
    </row>
    <row r="276" spans="1:47" s="45" customFormat="1" hidden="1" x14ac:dyDescent="0.2">
      <c r="A276" s="374" t="s">
        <v>187</v>
      </c>
      <c r="B276" s="1061" t="s">
        <v>261</v>
      </c>
      <c r="C276" s="323" t="s">
        <v>863</v>
      </c>
      <c r="D276" s="1747"/>
      <c r="E276" s="275" t="s">
        <v>862</v>
      </c>
      <c r="F276" s="275" t="s">
        <v>737</v>
      </c>
      <c r="G276" s="274" t="s">
        <v>191</v>
      </c>
      <c r="H276" s="274" t="s">
        <v>191</v>
      </c>
      <c r="I276" s="274" t="s">
        <v>108</v>
      </c>
      <c r="J276" s="344" t="s">
        <v>53</v>
      </c>
      <c r="K276" s="274" t="s">
        <v>54</v>
      </c>
      <c r="L276" s="274" t="s">
        <v>55</v>
      </c>
      <c r="M276" s="318">
        <v>2550</v>
      </c>
      <c r="N276" s="71"/>
      <c r="O276" s="274" t="s">
        <v>109</v>
      </c>
      <c r="P276" s="274">
        <v>48</v>
      </c>
      <c r="Q276" s="274">
        <v>60</v>
      </c>
      <c r="R276" s="274">
        <v>48</v>
      </c>
      <c r="S276" s="783">
        <v>60</v>
      </c>
      <c r="T276" s="783">
        <v>48</v>
      </c>
      <c r="U276" s="783">
        <v>60</v>
      </c>
      <c r="V276" s="917">
        <f>IF(J276="Canvas",P276+BorderGW,P276)</f>
        <v>56</v>
      </c>
      <c r="W276" s="917">
        <f>IF(J276="Canvas",Q276+BorderGW,Q276)</f>
        <v>68</v>
      </c>
      <c r="X276" s="343">
        <v>69</v>
      </c>
      <c r="Y276" s="274"/>
      <c r="Z276" s="274"/>
      <c r="AA276" s="699">
        <f t="shared" si="91"/>
        <v>26.444444444444443</v>
      </c>
      <c r="AB276" s="382">
        <f>AA276*IncaG</f>
        <v>556.39111111111106</v>
      </c>
      <c r="AC276" s="278">
        <f>AA276*Canvas</f>
        <v>17.453333333333333</v>
      </c>
      <c r="AD276" s="162">
        <f>AA276*IncaC</f>
        <v>44.511288888888885</v>
      </c>
      <c r="AE276" s="104">
        <f>IF(Table1[[#This Row],[Work Center]]="SwissQ",Materials!G$37,IF(Table1[[#This Row],[Work Center]]="Inca",Materials!G$29,IF(Table1[[#This Row],[Work Center]]="Canon",Materials!G$49,Materials!G$45)))</f>
        <v>5</v>
      </c>
      <c r="AF276" s="260">
        <f>'Cali FPS'!C121</f>
        <v>188.18</v>
      </c>
      <c r="AG276" s="115"/>
      <c r="AH276" s="498">
        <f t="shared" si="96"/>
        <v>127.5</v>
      </c>
      <c r="AI276" s="498"/>
      <c r="AJ276" s="162">
        <f t="shared" si="90"/>
        <v>382.64462222222221</v>
      </c>
      <c r="AK276" s="650">
        <f t="shared" si="92"/>
        <v>0.8499432854030502</v>
      </c>
      <c r="AL276" s="225" t="e">
        <f>Table1[[#This Row],[WSP/Dealer]]/Table1[[#This Row],[OD Sq Inch]]</f>
        <v>#DIV/0!</v>
      </c>
      <c r="AM276" s="275"/>
      <c r="AN276" s="275"/>
      <c r="AO276" s="275"/>
      <c r="AP276" s="275"/>
      <c r="AQ276" s="320"/>
      <c r="AR276" s="320"/>
      <c r="AS276" s="320"/>
      <c r="AT276" s="278"/>
      <c r="AU276" s="1368" t="str">
        <f t="shared" si="95"/>
        <v>-</v>
      </c>
    </row>
    <row r="277" spans="1:47" s="63" customFormat="1" hidden="1" x14ac:dyDescent="0.2">
      <c r="A277" s="374" t="s">
        <v>187</v>
      </c>
      <c r="B277" s="1061" t="s">
        <v>261</v>
      </c>
      <c r="C277" s="323" t="s">
        <v>864</v>
      </c>
      <c r="D277" s="323"/>
      <c r="E277" s="275" t="s">
        <v>862</v>
      </c>
      <c r="F277" s="275" t="s">
        <v>737</v>
      </c>
      <c r="G277" s="274" t="s">
        <v>191</v>
      </c>
      <c r="H277" s="274" t="s">
        <v>193</v>
      </c>
      <c r="I277" s="274" t="s">
        <v>108</v>
      </c>
      <c r="J277" s="344" t="s">
        <v>53</v>
      </c>
      <c r="K277" s="274" t="s">
        <v>69</v>
      </c>
      <c r="L277" s="274" t="s">
        <v>73</v>
      </c>
      <c r="M277" s="318">
        <v>2950</v>
      </c>
      <c r="N277" s="71"/>
      <c r="O277" s="274" t="s">
        <v>109</v>
      </c>
      <c r="P277" s="274">
        <v>48</v>
      </c>
      <c r="Q277" s="274">
        <v>60</v>
      </c>
      <c r="R277" s="274">
        <v>48</v>
      </c>
      <c r="S277" s="783">
        <v>60</v>
      </c>
      <c r="T277" s="783">
        <v>49</v>
      </c>
      <c r="U277" s="783">
        <v>61</v>
      </c>
      <c r="V277" s="66">
        <f>IF(J277="Canvas",P277+BorderGW,P277)</f>
        <v>56</v>
      </c>
      <c r="W277" s="66">
        <f>IF(J277="Canvas",Q277+BorderGW,Q277)</f>
        <v>68</v>
      </c>
      <c r="X277" s="343">
        <v>69</v>
      </c>
      <c r="Y277" s="274"/>
      <c r="Z277" s="274"/>
      <c r="AA277" s="699">
        <f t="shared" si="91"/>
        <v>26.444444444444443</v>
      </c>
      <c r="AB277" s="382">
        <f>AA277*IncaG</f>
        <v>556.39111111111106</v>
      </c>
      <c r="AC277" s="278">
        <f>AA277*Canvas</f>
        <v>17.453333333333333</v>
      </c>
      <c r="AD277" s="161">
        <f>AA277*IncaC</f>
        <v>44.511288888888885</v>
      </c>
      <c r="AE277" s="104">
        <f>IF(Table1[[#This Row],[Work Center]]="SwissQ",Materials!G$37,IF(Table1[[#This Row],[Work Center]]="Inca",Materials!G$29,IF(Table1[[#This Row],[Work Center]]="Canon",Materials!G$49,Materials!G$45)))</f>
        <v>5</v>
      </c>
      <c r="AF277" s="260">
        <f>'Cali Frames'!D470</f>
        <v>263.70999999999998</v>
      </c>
      <c r="AG277" s="115"/>
      <c r="AH277" s="112">
        <f t="shared" si="96"/>
        <v>147.5</v>
      </c>
      <c r="AI277" s="112"/>
      <c r="AJ277" s="161">
        <f t="shared" si="90"/>
        <v>478.17462222222218</v>
      </c>
      <c r="AK277" s="62">
        <f t="shared" si="92"/>
        <v>0.83790690772128062</v>
      </c>
      <c r="AL277" s="225" t="e">
        <f>Table1[[#This Row],[WSP/Dealer]]/Table1[[#This Row],[OD Sq Inch]]</f>
        <v>#DIV/0!</v>
      </c>
      <c r="AM277" s="171"/>
      <c r="AN277" s="275"/>
      <c r="AO277" s="275"/>
      <c r="AP277" s="275"/>
      <c r="AQ277" s="320"/>
      <c r="AR277" s="320"/>
      <c r="AS277" s="320"/>
      <c r="AT277" s="278"/>
      <c r="AU277" s="1368" t="str">
        <f t="shared" si="95"/>
        <v>-</v>
      </c>
    </row>
    <row r="278" spans="1:47" s="170" customFormat="1" hidden="1" x14ac:dyDescent="0.2">
      <c r="A278" s="373" t="s">
        <v>187</v>
      </c>
      <c r="B278" s="279" t="s">
        <v>261</v>
      </c>
      <c r="C278" s="627" t="s">
        <v>865</v>
      </c>
      <c r="D278" s="94"/>
      <c r="E278" s="627" t="s">
        <v>866</v>
      </c>
      <c r="F278" s="275" t="s">
        <v>737</v>
      </c>
      <c r="G278" s="274" t="s">
        <v>191</v>
      </c>
      <c r="H278" s="274" t="s">
        <v>191</v>
      </c>
      <c r="I278" s="274" t="s">
        <v>108</v>
      </c>
      <c r="J278" s="68" t="s">
        <v>197</v>
      </c>
      <c r="K278" s="274" t="s">
        <v>198</v>
      </c>
      <c r="L278" s="274" t="s">
        <v>199</v>
      </c>
      <c r="M278" s="771">
        <v>120</v>
      </c>
      <c r="N278" s="71"/>
      <c r="O278" s="68" t="s">
        <v>109</v>
      </c>
      <c r="P278" s="274">
        <v>48</v>
      </c>
      <c r="Q278" s="274">
        <v>60</v>
      </c>
      <c r="R278" s="274">
        <v>48</v>
      </c>
      <c r="S278" s="783">
        <v>60</v>
      </c>
      <c r="T278" s="68">
        <v>48</v>
      </c>
      <c r="U278" s="68">
        <v>60</v>
      </c>
      <c r="V278" s="686">
        <f>Table1[[#This Row],[VO Wdth]]+Materials!$C$7</f>
        <v>50</v>
      </c>
      <c r="W278" s="686">
        <f>Table1[[#This Row],[VO Hgt]]+Materials!$C$7</f>
        <v>62</v>
      </c>
      <c r="X278" s="343" t="s">
        <v>197</v>
      </c>
      <c r="Y278" s="68"/>
      <c r="Z278" s="68"/>
      <c r="AA278" s="699">
        <f t="shared" si="91"/>
        <v>21.527777777777779</v>
      </c>
      <c r="AB278" s="783">
        <v>12</v>
      </c>
      <c r="AC278" s="74">
        <f>Table1[[#This Row],[Substrate SF]]*POster</f>
        <v>16.016666666666666</v>
      </c>
      <c r="AD278" s="208">
        <f>Table1[[#This Row],[Ink g/mL]]*EPSONC</f>
        <v>2.64</v>
      </c>
      <c r="AE27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78" s="73">
        <v>0</v>
      </c>
      <c r="AG278" s="126">
        <f>Materials!D$76</f>
        <v>10.82</v>
      </c>
      <c r="AH278" s="498">
        <f t="shared" si="96"/>
        <v>6</v>
      </c>
      <c r="AI278" s="498"/>
      <c r="AJ278" s="278">
        <f t="shared" si="90"/>
        <v>45.476666666666667</v>
      </c>
      <c r="AK278" s="650">
        <f t="shared" si="92"/>
        <v>0.62102777777777785</v>
      </c>
      <c r="AL278" s="225">
        <f>Table1[[#This Row],[WSP/Dealer]]/Table1[[#This Row],[OD Sq Inch]]</f>
        <v>4.1666666666666664E-2</v>
      </c>
      <c r="AM278" s="274">
        <f>Table1[[#This Row],[OD Wdth]]*Table1[[#This Row],[OD Hgt]]</f>
        <v>2880</v>
      </c>
      <c r="AN278" s="84"/>
      <c r="AO278" s="84"/>
      <c r="AP278" s="84"/>
      <c r="AQ278" s="126"/>
      <c r="AR278" s="126"/>
      <c r="AS278" s="126"/>
      <c r="AT278" s="74"/>
      <c r="AU278" s="1357" t="str">
        <f t="shared" si="95"/>
        <v>-</v>
      </c>
    </row>
    <row r="279" spans="1:47" s="900" customFormat="1" x14ac:dyDescent="0.2">
      <c r="A279" s="86" t="s">
        <v>58</v>
      </c>
      <c r="B279" s="170"/>
      <c r="C279" s="1422" t="s">
        <v>867</v>
      </c>
      <c r="D279" s="694" t="s">
        <v>868</v>
      </c>
      <c r="E279" s="85" t="s">
        <v>869</v>
      </c>
      <c r="F279" s="85" t="s">
        <v>92</v>
      </c>
      <c r="G279" s="86" t="s">
        <v>823</v>
      </c>
      <c r="H279" s="86" t="s">
        <v>824</v>
      </c>
      <c r="I279" s="86" t="s">
        <v>52</v>
      </c>
      <c r="J279" s="86" t="s">
        <v>257</v>
      </c>
      <c r="K279" s="86" t="s">
        <v>258</v>
      </c>
      <c r="L279" s="86" t="s">
        <v>259</v>
      </c>
      <c r="M279" s="87">
        <v>480</v>
      </c>
      <c r="N279" s="639">
        <v>528</v>
      </c>
      <c r="O279" s="86" t="s">
        <v>56</v>
      </c>
      <c r="P279" s="1086">
        <v>26</v>
      </c>
      <c r="Q279" s="1086">
        <v>35</v>
      </c>
      <c r="R279" s="86">
        <v>26</v>
      </c>
      <c r="S279" s="1086">
        <v>35</v>
      </c>
      <c r="T279" s="86">
        <v>27</v>
      </c>
      <c r="U279" s="1086">
        <v>36</v>
      </c>
      <c r="V279" s="1315">
        <f>IF(J279="Canvas",P279+BorderGW,P279)</f>
        <v>26</v>
      </c>
      <c r="W279" s="1315">
        <f>IF(J279="Canvas",Q279+BorderGW,Q279)</f>
        <v>35</v>
      </c>
      <c r="X279" s="814" t="s">
        <v>257</v>
      </c>
      <c r="Y279" s="86"/>
      <c r="Z279" s="86"/>
      <c r="AA279" s="817">
        <f t="shared" si="91"/>
        <v>6.3194444444444446</v>
      </c>
      <c r="AB279" s="702">
        <f>AA279*IncaG</f>
        <v>132.96111111111111</v>
      </c>
      <c r="AC279" s="1468">
        <f>Table1[[#This Row],[Substrate SF]]*Paper</f>
        <v>8.5502083333333339</v>
      </c>
      <c r="AD279" s="705">
        <f>AA279*IncaC</f>
        <v>10.636888888888889</v>
      </c>
      <c r="AE279" s="104">
        <f>IF(Table1[[#This Row],[Work Center]]="SwissQ",Materials!G$37,IF(Table1[[#This Row],[Work Center]]="Inca",Materials!G$29,IF(Table1[[#This Row],[Work Center]]="Canon",Materials!G$49,Materials!G$45)))</f>
        <v>8</v>
      </c>
      <c r="AF279" s="705">
        <f>'Cali Frames'!D$39</f>
        <v>114.67750000000001</v>
      </c>
      <c r="AG279" s="85"/>
      <c r="AH279" s="498">
        <f t="shared" si="96"/>
        <v>24</v>
      </c>
      <c r="AI279" s="498"/>
      <c r="AJ279" s="705">
        <f t="shared" si="90"/>
        <v>165.86459722222224</v>
      </c>
      <c r="AK279" s="650">
        <f t="shared" ref="AK279:AK310" si="101">(M279-AJ279)/M279</f>
        <v>0.65444875578703698</v>
      </c>
      <c r="AL279" s="225">
        <f>Table1[[#This Row],[WSP/Dealer]]/Table1[[#This Row],[OD Sq Inch]]</f>
        <v>0.49382716049382713</v>
      </c>
      <c r="AM279" s="86">
        <f>Table1[[#This Row],[OD Wdth]]*Table1[[#This Row],[OD Hgt]]</f>
        <v>972</v>
      </c>
      <c r="AN279" s="1116">
        <f>Table1[[#This Row],[Min VO]]+Table1[[#This Row],[Max VO]]</f>
        <v>61</v>
      </c>
      <c r="AO279" s="86"/>
      <c r="AP279" s="86"/>
      <c r="AQ279" s="705"/>
      <c r="AR279" s="705"/>
      <c r="AS279" s="705"/>
      <c r="AT279" s="705"/>
      <c r="AU279" s="1372" t="str">
        <f t="shared" si="95"/>
        <v>-</v>
      </c>
    </row>
    <row r="280" spans="1:47" s="173" customFormat="1" x14ac:dyDescent="0.2">
      <c r="A280" s="86" t="s">
        <v>58</v>
      </c>
      <c r="B280" s="170"/>
      <c r="C280" s="1422" t="s">
        <v>870</v>
      </c>
      <c r="D280" s="694" t="s">
        <v>871</v>
      </c>
      <c r="E280" s="85" t="s">
        <v>872</v>
      </c>
      <c r="F280" s="85" t="s">
        <v>92</v>
      </c>
      <c r="G280" s="86" t="s">
        <v>823</v>
      </c>
      <c r="H280" s="86" t="s">
        <v>824</v>
      </c>
      <c r="I280" s="86" t="s">
        <v>52</v>
      </c>
      <c r="J280" s="86" t="s">
        <v>257</v>
      </c>
      <c r="K280" s="86" t="s">
        <v>258</v>
      </c>
      <c r="L280" s="86" t="s">
        <v>259</v>
      </c>
      <c r="M280" s="87">
        <v>480</v>
      </c>
      <c r="N280" s="639">
        <v>528</v>
      </c>
      <c r="O280" s="86" t="s">
        <v>56</v>
      </c>
      <c r="P280" s="1086">
        <v>26</v>
      </c>
      <c r="Q280" s="1086">
        <v>35</v>
      </c>
      <c r="R280" s="86">
        <v>26</v>
      </c>
      <c r="S280" s="1086">
        <v>35</v>
      </c>
      <c r="T280" s="86">
        <v>27</v>
      </c>
      <c r="U280" s="1086">
        <v>36</v>
      </c>
      <c r="V280" s="1783">
        <f>IF(J280="Canvas",P280+BorderGW,P280)</f>
        <v>26</v>
      </c>
      <c r="W280" s="1783">
        <f>IF(J280="Canvas",Q280+BorderGW,Q280)</f>
        <v>35</v>
      </c>
      <c r="X280" s="814" t="s">
        <v>257</v>
      </c>
      <c r="Y280" s="86"/>
      <c r="Z280" s="86"/>
      <c r="AA280" s="817">
        <f t="shared" si="91"/>
        <v>6.3194444444444446</v>
      </c>
      <c r="AB280" s="702">
        <f>AA280*IncaG</f>
        <v>132.96111111111111</v>
      </c>
      <c r="AC280" s="1468">
        <f>Table1[[#This Row],[Substrate SF]]*Paper</f>
        <v>8.5502083333333339</v>
      </c>
      <c r="AD280" s="324">
        <f>AA280*IncaC</f>
        <v>10.636888888888889</v>
      </c>
      <c r="AE280" s="104">
        <f>IF(Table1[[#This Row],[Work Center]]="SwissQ",Materials!G$37,IF(Table1[[#This Row],[Work Center]]="Inca",Materials!G$29,IF(Table1[[#This Row],[Work Center]]="Canon",Materials!G$49,Materials!G$45)))</f>
        <v>8</v>
      </c>
      <c r="AF280" s="705">
        <f>'Cali Frames'!D$39</f>
        <v>114.67750000000001</v>
      </c>
      <c r="AG280" s="85"/>
      <c r="AH280" s="112">
        <f t="shared" si="96"/>
        <v>24</v>
      </c>
      <c r="AI280" s="112"/>
      <c r="AJ280" s="705">
        <f t="shared" si="90"/>
        <v>165.86459722222224</v>
      </c>
      <c r="AK280" s="62">
        <f t="shared" si="101"/>
        <v>0.65444875578703698</v>
      </c>
      <c r="AL280" s="225">
        <f>Table1[[#This Row],[WSP/Dealer]]/Table1[[#This Row],[OD Sq Inch]]</f>
        <v>0.49382716049382713</v>
      </c>
      <c r="AM280" s="1436">
        <f>Table1[[#This Row],[OD Wdth]]*Table1[[#This Row],[OD Hgt]]</f>
        <v>972</v>
      </c>
      <c r="AN280" s="1116">
        <f>Table1[[#This Row],[Min VO]]+Table1[[#This Row],[Max VO]]</f>
        <v>61</v>
      </c>
      <c r="AO280" s="86"/>
      <c r="AP280" s="86"/>
      <c r="AQ280" s="705"/>
      <c r="AR280" s="705"/>
      <c r="AS280" s="705"/>
      <c r="AT280" s="705"/>
      <c r="AU280" s="1372" t="str">
        <f t="shared" si="95"/>
        <v>-</v>
      </c>
    </row>
    <row r="281" spans="1:47" s="399" customFormat="1" hidden="1" x14ac:dyDescent="0.2">
      <c r="A281" s="101" t="s">
        <v>110</v>
      </c>
      <c r="B281" s="1062" t="s">
        <v>873</v>
      </c>
      <c r="C281" s="100" t="s">
        <v>874</v>
      </c>
      <c r="D281" s="100"/>
      <c r="E281" s="115" t="s">
        <v>875</v>
      </c>
      <c r="F281" s="115" t="s">
        <v>289</v>
      </c>
      <c r="G281" s="101" t="s">
        <v>876</v>
      </c>
      <c r="H281" s="101" t="s">
        <v>876</v>
      </c>
      <c r="I281" s="101" t="s">
        <v>52</v>
      </c>
      <c r="J281" s="101" t="s">
        <v>53</v>
      </c>
      <c r="K281" s="101" t="s">
        <v>54</v>
      </c>
      <c r="L281" s="101" t="s">
        <v>55</v>
      </c>
      <c r="M281" s="114">
        <v>650</v>
      </c>
      <c r="N281" s="829">
        <v>730</v>
      </c>
      <c r="O281" s="101" t="s">
        <v>56</v>
      </c>
      <c r="P281" s="101">
        <v>42</v>
      </c>
      <c r="Q281" s="101">
        <v>42</v>
      </c>
      <c r="R281" s="101">
        <v>42</v>
      </c>
      <c r="S281" s="697">
        <v>42</v>
      </c>
      <c r="T281" s="697">
        <f>Table1[[#This Row],[VO Wdth]]</f>
        <v>42</v>
      </c>
      <c r="U281" s="697">
        <f>Table1[[#This Row],[VO Hgt]]</f>
        <v>42</v>
      </c>
      <c r="V281" s="608">
        <f>IF(J281="Canvas",P281+BorderGW,P281)</f>
        <v>50</v>
      </c>
      <c r="W281" s="608">
        <f>IF(J281="Canvas",Q281+BorderGW,Q281)</f>
        <v>50</v>
      </c>
      <c r="X281" s="137">
        <v>80</v>
      </c>
      <c r="Y281" s="101"/>
      <c r="Z281" s="101"/>
      <c r="AA281" s="649">
        <f t="shared" si="91"/>
        <v>17.361111111111111</v>
      </c>
      <c r="AB281" s="184">
        <f>AA281*IncaG</f>
        <v>365.27777777777777</v>
      </c>
      <c r="AC281" s="104">
        <f>AA281*Canvas</f>
        <v>11.458333333333334</v>
      </c>
      <c r="AD281" s="107">
        <f>AA281*IncaC</f>
        <v>29.222222222222221</v>
      </c>
      <c r="AE281" s="104">
        <f>IF(Table1[[#This Row],[Work Center]]="SwissQ",Materials!G$37,IF(Table1[[#This Row],[Work Center]]="Inca",Materials!G$29,IF(Table1[[#This Row],[Work Center]]="Canon",Materials!G$49,Materials!G$45)))</f>
        <v>8</v>
      </c>
      <c r="AF281" s="104">
        <f>'Cali FPS'!C$93</f>
        <v>107.31</v>
      </c>
      <c r="AG281" s="115"/>
      <c r="AH281" s="107">
        <f t="shared" si="96"/>
        <v>32.5</v>
      </c>
      <c r="AI281" s="405">
        <f>IF(A281="Codarus",(M281*0.13))</f>
        <v>84.5</v>
      </c>
      <c r="AJ281" s="104">
        <f t="shared" si="90"/>
        <v>188.49055555555555</v>
      </c>
      <c r="AK281" s="108">
        <f t="shared" si="101"/>
        <v>0.71001452991452996</v>
      </c>
      <c r="AL281" s="660">
        <f>Table1[[#This Row],[WSP/Dealer]]/Table1[[#This Row],[OD Sq Inch]]</f>
        <v>0.36848072562358275</v>
      </c>
      <c r="AM281" s="103">
        <f>Table1[[#This Row],[OD Wdth]]*Table1[[#This Row],[OD Hgt]]</f>
        <v>1764</v>
      </c>
      <c r="AN281" s="266">
        <f>Table1[[#This Row],[Min VO]]+Table1[[#This Row],[Max VO]]</f>
        <v>84</v>
      </c>
      <c r="AO281" s="101"/>
      <c r="AP281" s="104">
        <v>1300</v>
      </c>
      <c r="AQ281" s="104">
        <f>(Table1[[#This Row],[Desgnr/Retail P]]*0.05)</f>
        <v>65</v>
      </c>
      <c r="AR281" s="121">
        <f>IF(A281="Codarus",(AP281*0.13))</f>
        <v>169</v>
      </c>
      <c r="AS281" s="121">
        <f>SUM(Table1[[#This Row],[Substrate $]:[GP FINISH]])+Table1[[#This Row],[Retail Royalty]]+Table1[[#This Row],[Retail$Comm]]</f>
        <v>389.99055555555555</v>
      </c>
      <c r="AT281" s="830">
        <f>IF(AP281=0,"-",(AP281-AS281)/AP281)</f>
        <v>0.70000726495726495</v>
      </c>
      <c r="AU281" s="830">
        <f t="shared" si="95"/>
        <v>0.98923065746219596</v>
      </c>
    </row>
    <row r="282" spans="1:47" s="218" customFormat="1" hidden="1" x14ac:dyDescent="0.2">
      <c r="A282" s="101"/>
      <c r="B282" s="1061"/>
      <c r="C282" s="77" t="s">
        <v>877</v>
      </c>
      <c r="D282" s="168"/>
      <c r="E282" s="115" t="s">
        <v>878</v>
      </c>
      <c r="F282" s="115" t="s">
        <v>879</v>
      </c>
      <c r="G282" s="101" t="s">
        <v>880</v>
      </c>
      <c r="H282" s="101"/>
      <c r="I282" s="60" t="s">
        <v>108</v>
      </c>
      <c r="J282" s="59" t="s">
        <v>257</v>
      </c>
      <c r="K282" s="101" t="s">
        <v>258</v>
      </c>
      <c r="L282" s="101" t="s">
        <v>259</v>
      </c>
      <c r="M282" s="299">
        <v>1350</v>
      </c>
      <c r="N282" s="71"/>
      <c r="O282" s="101" t="s">
        <v>260</v>
      </c>
      <c r="P282" s="60">
        <v>67</v>
      </c>
      <c r="Q282" s="60">
        <v>85</v>
      </c>
      <c r="R282" s="60">
        <v>67</v>
      </c>
      <c r="S282" s="60">
        <v>85</v>
      </c>
      <c r="T282" s="101">
        <v>69</v>
      </c>
      <c r="U282" s="101">
        <v>87</v>
      </c>
      <c r="V282" s="47">
        <f>Table1[[#This Row],[VO Wdth]]+Materials!$C$50</f>
        <v>69</v>
      </c>
      <c r="W282" s="47">
        <f>Table1[[#This Row],[VO Hgt]]+Materials!$C$50</f>
        <v>87</v>
      </c>
      <c r="X282" s="137" t="s">
        <v>257</v>
      </c>
      <c r="Y282" s="101"/>
      <c r="Z282" s="101"/>
      <c r="AA282" s="699">
        <f t="shared" si="91"/>
        <v>41.6875</v>
      </c>
      <c r="AB282" s="382">
        <f>AA282*IncaG</f>
        <v>877.10500000000002</v>
      </c>
      <c r="AC282" s="278">
        <f>AA282*Canvas</f>
        <v>27.513750000000002</v>
      </c>
      <c r="AD282" s="161">
        <f>AA282*IncaC</f>
        <v>70.168400000000005</v>
      </c>
      <c r="AE282" s="104">
        <f>IF(Table1[[#This Row],[Work Center]]="SwissQ",Materials!G$37,IF(Table1[[#This Row],[Work Center]]="Inca",Materials!G$29,IF(Table1[[#This Row],[Work Center]]="Canon",Materials!G$49,Materials!G$45)))</f>
        <v>7</v>
      </c>
      <c r="AF282" s="260">
        <v>10</v>
      </c>
      <c r="AG282" s="115"/>
      <c r="AH282" s="498">
        <f t="shared" si="96"/>
        <v>67.5</v>
      </c>
      <c r="AI282" s="498"/>
      <c r="AJ282" s="162">
        <f t="shared" si="90"/>
        <v>182.18215000000001</v>
      </c>
      <c r="AK282" s="650">
        <f t="shared" si="101"/>
        <v>0.86505025925925916</v>
      </c>
      <c r="AL282" s="225" t="e">
        <f>Table1[[#This Row],[WSP/Dealer]]/Table1[[#This Row],[OD Sq Inch]]</f>
        <v>#DIV/0!</v>
      </c>
      <c r="AM282" s="113"/>
      <c r="AN282" s="216">
        <f>Table1[[#This Row],[Min VO]]+Table1[[#This Row],[Max VO]]</f>
        <v>152</v>
      </c>
      <c r="AO282" s="115"/>
      <c r="AP282" s="115"/>
      <c r="AQ282" s="121"/>
      <c r="AR282" s="121"/>
      <c r="AS282" s="121"/>
      <c r="AT282" s="104"/>
      <c r="AU282" s="1359" t="str">
        <f t="shared" si="95"/>
        <v>-</v>
      </c>
    </row>
    <row r="283" spans="1:47" s="170" customFormat="1" hidden="1" x14ac:dyDescent="0.2">
      <c r="A283" s="101"/>
      <c r="B283" s="1061"/>
      <c r="C283" s="77" t="s">
        <v>881</v>
      </c>
      <c r="D283" s="168"/>
      <c r="E283" s="115" t="s">
        <v>878</v>
      </c>
      <c r="F283" s="115" t="s">
        <v>879</v>
      </c>
      <c r="G283" s="101" t="s">
        <v>880</v>
      </c>
      <c r="H283" s="101"/>
      <c r="I283" s="60" t="s">
        <v>108</v>
      </c>
      <c r="J283" s="59" t="s">
        <v>257</v>
      </c>
      <c r="K283" s="101" t="s">
        <v>258</v>
      </c>
      <c r="L283" s="101" t="s">
        <v>269</v>
      </c>
      <c r="M283" s="299">
        <v>1500</v>
      </c>
      <c r="N283" s="71"/>
      <c r="O283" s="101" t="s">
        <v>260</v>
      </c>
      <c r="P283" s="60">
        <v>67</v>
      </c>
      <c r="Q283" s="60">
        <v>85</v>
      </c>
      <c r="R283" s="60">
        <v>67</v>
      </c>
      <c r="S283" s="60">
        <v>85</v>
      </c>
      <c r="T283" s="101">
        <v>69</v>
      </c>
      <c r="U283" s="101">
        <v>87</v>
      </c>
      <c r="V283" s="946">
        <f>Table1[[#This Row],[VO Wdth]]+Materials!$C$50</f>
        <v>69</v>
      </c>
      <c r="W283" s="946">
        <f>Table1[[#This Row],[VO Hgt]]+Materials!$C$50</f>
        <v>87</v>
      </c>
      <c r="X283" s="137" t="s">
        <v>257</v>
      </c>
      <c r="Y283" s="101"/>
      <c r="Z283" s="101"/>
      <c r="AA283" s="717">
        <f t="shared" si="91"/>
        <v>41.6875</v>
      </c>
      <c r="AB283" s="125">
        <f>AA283*canonML</f>
        <v>200.1</v>
      </c>
      <c r="AC283" s="69">
        <f>Table1[[#This Row],[Print Wth]]*paper60</f>
        <v>23.46</v>
      </c>
      <c r="AD283" s="48">
        <f>Table1[[#This Row],[Ink g/mL]]*CanonC</f>
        <v>54.027000000000001</v>
      </c>
      <c r="AE283" s="104">
        <f>IF(Table1[[#This Row],[Work Center]]="SwissQ",Materials!G$37,IF(Table1[[#This Row],[Work Center]]="Inca",Materials!G$29,IF(Table1[[#This Row],[Work Center]]="Canon",Materials!G$49,Materials!G$45)))</f>
        <v>7</v>
      </c>
      <c r="AF283" s="102">
        <v>400</v>
      </c>
      <c r="AG283" s="121"/>
      <c r="AH283" s="498">
        <f t="shared" si="96"/>
        <v>75</v>
      </c>
      <c r="AI283" s="498"/>
      <c r="AJ283" s="104">
        <f t="shared" si="90"/>
        <v>559.48699999999997</v>
      </c>
      <c r="AK283" s="650">
        <f t="shared" si="101"/>
        <v>0.62700866666666666</v>
      </c>
      <c r="AL283" s="225" t="e">
        <f>Table1[[#This Row],[WSP/Dealer]]/Table1[[#This Row],[OD Sq Inch]]</f>
        <v>#DIV/0!</v>
      </c>
      <c r="AM283" s="115"/>
      <c r="AN283" s="216">
        <f>Table1[[#This Row],[Min VO]]+Table1[[#This Row],[Max VO]]</f>
        <v>152</v>
      </c>
      <c r="AO283" s="115"/>
      <c r="AP283" s="115"/>
      <c r="AQ283" s="121"/>
      <c r="AR283" s="121"/>
      <c r="AS283" s="121"/>
      <c r="AT283" s="104"/>
      <c r="AU283" s="1359" t="str">
        <f t="shared" si="95"/>
        <v>-</v>
      </c>
    </row>
    <row r="284" spans="1:47" s="103" customFormat="1" x14ac:dyDescent="0.2">
      <c r="A284" s="86" t="s">
        <v>58</v>
      </c>
      <c r="B284" s="1061" t="s">
        <v>406</v>
      </c>
      <c r="C284" s="100" t="s">
        <v>882</v>
      </c>
      <c r="D284" s="100" t="s">
        <v>883</v>
      </c>
      <c r="E284" s="85" t="s">
        <v>884</v>
      </c>
      <c r="F284" s="85" t="s">
        <v>92</v>
      </c>
      <c r="G284" s="86" t="s">
        <v>885</v>
      </c>
      <c r="H284" s="86" t="s">
        <v>885</v>
      </c>
      <c r="I284" s="86" t="s">
        <v>52</v>
      </c>
      <c r="J284" s="86" t="s">
        <v>53</v>
      </c>
      <c r="K284" s="86" t="s">
        <v>54</v>
      </c>
      <c r="L284" s="86" t="s">
        <v>55</v>
      </c>
      <c r="M284" s="87">
        <v>1177</v>
      </c>
      <c r="N284" s="639">
        <v>1300</v>
      </c>
      <c r="O284" s="551" t="s">
        <v>64</v>
      </c>
      <c r="P284" s="101">
        <v>58</v>
      </c>
      <c r="Q284" s="101">
        <v>72</v>
      </c>
      <c r="R284" s="60">
        <v>58</v>
      </c>
      <c r="S284" s="61">
        <v>72</v>
      </c>
      <c r="T284" s="61">
        <f>Table1[[#This Row],[VO Wdth]]</f>
        <v>58</v>
      </c>
      <c r="U284" s="61">
        <f>Table1[[#This Row],[VO Hgt]]</f>
        <v>72</v>
      </c>
      <c r="V284" s="106">
        <f>IF(J284="Canvas",P284+BorderL,P284)</f>
        <v>69</v>
      </c>
      <c r="W284" s="106">
        <f>IF(J284="Canvas",Q284+BorderL,Q284)</f>
        <v>83</v>
      </c>
      <c r="X284" s="137">
        <v>82</v>
      </c>
      <c r="Y284" s="101"/>
      <c r="Z284" s="101"/>
      <c r="AA284" s="649">
        <f t="shared" si="91"/>
        <v>39.770833333333336</v>
      </c>
      <c r="AB284" s="184">
        <f>AA284*Swiss1</f>
        <v>1125.5145833333333</v>
      </c>
      <c r="AC284" s="104">
        <f>AA284*Canvas</f>
        <v>26.248750000000001</v>
      </c>
      <c r="AD284" s="107">
        <f>Table1[[#This Row],[Substrate SF]]*Materials!D$37</f>
        <v>178.96875</v>
      </c>
      <c r="AE284" s="104">
        <f>IF(Table1[[#This Row],[Work Center]]="SwissQ",Materials!G$37,IF(Table1[[#This Row],[Work Center]]="Inca",Materials!G$29,IF(Table1[[#This Row],[Work Center]]="Canon",Materials!G$49,Materials!G$45)))</f>
        <v>20</v>
      </c>
      <c r="AF284" s="74">
        <f>'Cali FPS'!C$157</f>
        <v>252.07</v>
      </c>
      <c r="AG284" s="115"/>
      <c r="AH284" s="112">
        <f t="shared" si="96"/>
        <v>58.85</v>
      </c>
      <c r="AI284" s="112"/>
      <c r="AJ284" s="107">
        <f t="shared" si="90"/>
        <v>536.13750000000005</v>
      </c>
      <c r="AK284" s="62">
        <f t="shared" si="101"/>
        <v>0.54448810535259129</v>
      </c>
      <c r="AL284" s="225">
        <f>Table1[[#This Row],[WSP/Dealer]]/Table1[[#This Row],[OD Sq Inch]]</f>
        <v>0.28184865900383144</v>
      </c>
      <c r="AM284" s="103">
        <f>Table1[[#This Row],[OD Wdth]]*Table1[[#This Row],[OD Hgt]]</f>
        <v>4176</v>
      </c>
      <c r="AN284" s="216">
        <f>Table1[[#This Row],[Min VO]]+Table1[[#This Row],[Max VO]]</f>
        <v>130</v>
      </c>
      <c r="AP284" s="101"/>
      <c r="AQ284" s="104"/>
      <c r="AR284" s="104"/>
      <c r="AS284" s="104"/>
      <c r="AT284" s="104"/>
      <c r="AU284" s="108" t="str">
        <f t="shared" si="95"/>
        <v>-</v>
      </c>
    </row>
    <row r="285" spans="1:47" hidden="1" x14ac:dyDescent="0.2">
      <c r="A285" s="869" t="s">
        <v>886</v>
      </c>
      <c r="B285" s="1149"/>
      <c r="C285" s="1188" t="s">
        <v>887</v>
      </c>
      <c r="D285" s="888"/>
      <c r="E285" s="872" t="s">
        <v>888</v>
      </c>
      <c r="F285" s="872" t="s">
        <v>889</v>
      </c>
      <c r="G285" s="869" t="s">
        <v>100</v>
      </c>
      <c r="H285" s="869" t="s">
        <v>890</v>
      </c>
      <c r="I285" s="869" t="s">
        <v>52</v>
      </c>
      <c r="J285" s="873" t="s">
        <v>53</v>
      </c>
      <c r="K285" s="869" t="s">
        <v>69</v>
      </c>
      <c r="L285" s="869" t="s">
        <v>70</v>
      </c>
      <c r="M285" s="874">
        <v>325</v>
      </c>
      <c r="N285" s="890"/>
      <c r="O285" s="869" t="s">
        <v>64</v>
      </c>
      <c r="P285" s="869">
        <v>24</v>
      </c>
      <c r="Q285" s="274">
        <v>36</v>
      </c>
      <c r="R285" s="274">
        <v>24</v>
      </c>
      <c r="S285" s="783">
        <v>36</v>
      </c>
      <c r="T285" s="783">
        <v>25</v>
      </c>
      <c r="U285" s="783">
        <v>37</v>
      </c>
      <c r="V285" s="608">
        <f>IF(J285="Canvas",P285+BorderL,P285)</f>
        <v>35</v>
      </c>
      <c r="W285" s="608">
        <f>IF(J285="Canvas",Q285+BorderL,Q285)</f>
        <v>47</v>
      </c>
      <c r="X285" s="274">
        <v>40</v>
      </c>
      <c r="Y285" s="274">
        <v>35</v>
      </c>
      <c r="Z285" s="274">
        <v>47</v>
      </c>
      <c r="AA285" s="699">
        <f t="shared" si="91"/>
        <v>11.423611111111111</v>
      </c>
      <c r="AB285" s="184">
        <f>AA285*Swiss1</f>
        <v>323.28819444444446</v>
      </c>
      <c r="AC285" s="863">
        <f>AA285*Canvas</f>
        <v>7.5395833333333337</v>
      </c>
      <c r="AD285" s="104">
        <f>Table1[[#This Row],[Substrate SF]]*Materials!D$37</f>
        <v>51.40625</v>
      </c>
      <c r="AE285" s="863">
        <f>IF(Table1[[#This Row],[Work Center]]="SwissQ",Materials!G$37,IF(Table1[[#This Row],[Work Center]]="Inca",Materials!G$29,IF(Table1[[#This Row],[Work Center]]="Canon",Materials!G$49,Materials!G$45)))</f>
        <v>20</v>
      </c>
      <c r="AF285" s="882">
        <f>'Cali Frames'!D282</f>
        <v>112.66500000000001</v>
      </c>
      <c r="AG285" s="872"/>
      <c r="AH285" s="865">
        <f t="shared" si="96"/>
        <v>16.25</v>
      </c>
      <c r="AI285" s="865"/>
      <c r="AJ285" s="867">
        <f t="shared" si="90"/>
        <v>207.86083333333335</v>
      </c>
      <c r="AK285" s="866">
        <f t="shared" si="101"/>
        <v>0.36042820512820511</v>
      </c>
      <c r="AL285" s="867">
        <f>Table1[[#This Row],[WSP/Dealer]]/Table1[[#This Row],[OD Sq Inch]]</f>
        <v>0.35135135135135137</v>
      </c>
      <c r="AM285" s="869">
        <f>Table1[[#This Row],[OD Wdth]]*Table1[[#This Row],[OD Hgt]]</f>
        <v>925</v>
      </c>
      <c r="AN285" s="869">
        <f>Table1[[#This Row],[Min VO]]+Table1[[#This Row],[Max VO]]</f>
        <v>60</v>
      </c>
      <c r="AO285" s="872"/>
      <c r="AP285" s="872"/>
      <c r="AQ285" s="994"/>
      <c r="AR285" s="994"/>
      <c r="AS285" s="994"/>
      <c r="AT285" s="867"/>
      <c r="AU285" s="1373" t="str">
        <f t="shared" si="95"/>
        <v>-</v>
      </c>
    </row>
    <row r="286" spans="1:47" s="170" customFormat="1" hidden="1" x14ac:dyDescent="0.2">
      <c r="A286" s="551" t="s">
        <v>886</v>
      </c>
      <c r="B286" s="1150"/>
      <c r="C286" s="1188" t="s">
        <v>891</v>
      </c>
      <c r="D286" s="805"/>
      <c r="E286" s="872" t="s">
        <v>888</v>
      </c>
      <c r="F286" s="872" t="s">
        <v>889</v>
      </c>
      <c r="G286" s="551" t="s">
        <v>100</v>
      </c>
      <c r="H286" s="551" t="s">
        <v>892</v>
      </c>
      <c r="I286" s="551" t="s">
        <v>256</v>
      </c>
      <c r="J286" s="856" t="s">
        <v>257</v>
      </c>
      <c r="K286" s="551" t="s">
        <v>258</v>
      </c>
      <c r="L286" s="551" t="s">
        <v>83</v>
      </c>
      <c r="M286" s="857">
        <v>300</v>
      </c>
      <c r="N286" s="896"/>
      <c r="O286" s="551" t="s">
        <v>260</v>
      </c>
      <c r="P286" s="551">
        <v>24</v>
      </c>
      <c r="Q286" s="68">
        <v>36</v>
      </c>
      <c r="R286" s="68">
        <v>24</v>
      </c>
      <c r="S286" s="623">
        <v>26</v>
      </c>
      <c r="T286" s="623">
        <v>26</v>
      </c>
      <c r="U286" s="623">
        <v>38</v>
      </c>
      <c r="V286" s="608">
        <f>IF(J286="Canvas",P286+BorderL,P286)</f>
        <v>24</v>
      </c>
      <c r="W286" s="608">
        <f>IF(J286="Canvas",Q286+BorderL,Q286)</f>
        <v>36</v>
      </c>
      <c r="X286" s="68" t="s">
        <v>893</v>
      </c>
      <c r="Y286" s="68">
        <v>24</v>
      </c>
      <c r="Z286" s="68">
        <v>36</v>
      </c>
      <c r="AA286" s="699">
        <f t="shared" si="91"/>
        <v>6</v>
      </c>
      <c r="AB286" s="893">
        <f>AA286*CanonC</f>
        <v>1.62</v>
      </c>
      <c r="AC286" s="863">
        <f>Table1[[#This Row],[Substrate SF]]*POster</f>
        <v>4.4640000000000004</v>
      </c>
      <c r="AD286" s="865">
        <f>Table1[[#This Row],[Substrate SF]]*CanonC</f>
        <v>1.62</v>
      </c>
      <c r="AE286" s="863">
        <f>IF(Table1[[#This Row],[Work Center]]="SwissQ",Materials!G$37,IF(Table1[[#This Row],[Work Center]]="Inca",Materials!G$29,IF(Table1[[#This Row],[Work Center]]="Canon",Materials!G$49,Materials!G$45)))</f>
        <v>7</v>
      </c>
      <c r="AF286" s="71">
        <f>'Cali Frames'!D38</f>
        <v>107.28</v>
      </c>
      <c r="AG286" s="653"/>
      <c r="AH286" s="867">
        <f t="shared" si="96"/>
        <v>15</v>
      </c>
      <c r="AI286" s="867"/>
      <c r="AJ286" s="867">
        <f t="shared" si="90"/>
        <v>135.364</v>
      </c>
      <c r="AK286" s="1087">
        <f t="shared" si="101"/>
        <v>0.54878666666666664</v>
      </c>
      <c r="AL286" s="867">
        <f>Table1[[#This Row],[WSP/Dealer]]/Table1[[#This Row],[OD Sq Inch]]</f>
        <v>0.30364372469635625</v>
      </c>
      <c r="AM286" s="869">
        <f>Table1[[#This Row],[OD Wdth]]*Table1[[#This Row],[OD Hgt]]</f>
        <v>988</v>
      </c>
      <c r="AN286" s="869">
        <f>Table1[[#This Row],[Min VO]]+Table1[[#This Row],[Max VO]]</f>
        <v>50</v>
      </c>
      <c r="AO286" s="653"/>
      <c r="AP286" s="653"/>
      <c r="AQ286" s="864"/>
      <c r="AR286" s="864"/>
      <c r="AS286" s="864"/>
      <c r="AT286" s="863"/>
      <c r="AU286" s="1364" t="str">
        <f t="shared" si="95"/>
        <v>-</v>
      </c>
    </row>
    <row r="287" spans="1:47" s="170" customFormat="1" x14ac:dyDescent="0.2">
      <c r="A287" s="86" t="s">
        <v>58</v>
      </c>
      <c r="B287" s="1061" t="s">
        <v>366</v>
      </c>
      <c r="C287" s="76" t="s">
        <v>894</v>
      </c>
      <c r="D287" s="76" t="s">
        <v>895</v>
      </c>
      <c r="E287" s="85" t="s">
        <v>896</v>
      </c>
      <c r="F287" s="85" t="s">
        <v>897</v>
      </c>
      <c r="G287" s="86" t="s">
        <v>379</v>
      </c>
      <c r="H287" s="86" t="s">
        <v>898</v>
      </c>
      <c r="I287" s="86" t="s">
        <v>52</v>
      </c>
      <c r="J287" s="86" t="s">
        <v>53</v>
      </c>
      <c r="K287" s="86" t="s">
        <v>82</v>
      </c>
      <c r="L287" s="86" t="s">
        <v>83</v>
      </c>
      <c r="M287" s="87">
        <v>1078</v>
      </c>
      <c r="N287" s="639">
        <v>1350</v>
      </c>
      <c r="O287" s="551" t="s">
        <v>56</v>
      </c>
      <c r="P287" s="101">
        <v>48</v>
      </c>
      <c r="Q287" s="101">
        <v>72</v>
      </c>
      <c r="R287" s="60">
        <v>48</v>
      </c>
      <c r="S287" s="61">
        <v>72</v>
      </c>
      <c r="T287" s="101">
        <v>50</v>
      </c>
      <c r="U287" s="101" t="str">
        <f>RIGHT(H287,2)</f>
        <v>74</v>
      </c>
      <c r="V287" s="106">
        <f>IF(J287="Canvas",P287+Border,P287)</f>
        <v>56</v>
      </c>
      <c r="W287" s="106">
        <f>IF(J287="Canvas",Q287+Border,Q287)</f>
        <v>80</v>
      </c>
      <c r="X287" s="311">
        <v>80</v>
      </c>
      <c r="Y287" s="551"/>
      <c r="Z287" s="551"/>
      <c r="AA287" s="649">
        <f t="shared" si="91"/>
        <v>31.111111111111111</v>
      </c>
      <c r="AB287" s="184">
        <f>AA287*IncaG</f>
        <v>654.57777777777778</v>
      </c>
      <c r="AC287" s="104">
        <f>AA287*Canvas</f>
        <v>20.533333333333335</v>
      </c>
      <c r="AD287" s="107">
        <f>AA287*IncaC</f>
        <v>52.36622222222222</v>
      </c>
      <c r="AE287" s="104">
        <f>IF(Table1[[#This Row],[Work Center]]="SwissQ",Materials!G$37,IF(Table1[[#This Row],[Work Center]]="Inca",Materials!G$29,IF(Table1[[#This Row],[Work Center]]="Canon",Materials!G$49,Materials!G$45)))</f>
        <v>8</v>
      </c>
      <c r="AF287" s="104">
        <f>'Cali Frames'!D$157</f>
        <v>240.85249999999999</v>
      </c>
      <c r="AG287" s="115"/>
      <c r="AH287" s="498">
        <f t="shared" si="96"/>
        <v>53.900000000000006</v>
      </c>
      <c r="AI287" s="498"/>
      <c r="AJ287" s="104">
        <f t="shared" si="90"/>
        <v>375.65205555555553</v>
      </c>
      <c r="AK287" s="650">
        <f t="shared" si="101"/>
        <v>0.6515287054215626</v>
      </c>
      <c r="AL287" s="225">
        <f>Table1[[#This Row],[WSP/Dealer]]/Table1[[#This Row],[OD Sq Inch]]</f>
        <v>0.29135135135135137</v>
      </c>
      <c r="AM287" s="218">
        <f>Table1[[#This Row],[OD Wdth]]*Table1[[#This Row],[OD Hgt]]</f>
        <v>3700</v>
      </c>
      <c r="AN287" s="216">
        <f>Table1[[#This Row],[Min VO]]+Table1[[#This Row],[Max VO]]</f>
        <v>120</v>
      </c>
      <c r="AO287" s="103"/>
      <c r="AP287" s="101"/>
      <c r="AQ287" s="104"/>
      <c r="AR287" s="104"/>
      <c r="AS287" s="104"/>
      <c r="AT287" s="104"/>
      <c r="AU287" s="108" t="str">
        <f t="shared" si="95"/>
        <v>-</v>
      </c>
    </row>
    <row r="288" spans="1:47" s="235" customFormat="1" x14ac:dyDescent="0.2">
      <c r="A288" s="145" t="s">
        <v>58</v>
      </c>
      <c r="B288" s="1061" t="s">
        <v>533</v>
      </c>
      <c r="C288" s="152" t="s">
        <v>899</v>
      </c>
      <c r="D288" s="152" t="s">
        <v>900</v>
      </c>
      <c r="E288" s="146" t="s">
        <v>901</v>
      </c>
      <c r="F288" s="147" t="s">
        <v>386</v>
      </c>
      <c r="G288" s="156" t="s">
        <v>902</v>
      </c>
      <c r="H288" s="156" t="s">
        <v>902</v>
      </c>
      <c r="I288" s="156" t="s">
        <v>52</v>
      </c>
      <c r="J288" s="156" t="s">
        <v>53</v>
      </c>
      <c r="K288" s="156" t="s">
        <v>54</v>
      </c>
      <c r="L288" s="156" t="s">
        <v>55</v>
      </c>
      <c r="M288" s="151">
        <v>700</v>
      </c>
      <c r="N288" s="639">
        <v>760</v>
      </c>
      <c r="O288" s="145" t="s">
        <v>56</v>
      </c>
      <c r="P288" s="145">
        <v>60</v>
      </c>
      <c r="Q288" s="145">
        <v>30</v>
      </c>
      <c r="R288" s="145">
        <v>30</v>
      </c>
      <c r="S288" s="145">
        <v>60</v>
      </c>
      <c r="T288" s="698">
        <f>Table1[[#This Row],[VO Wdth]]</f>
        <v>60</v>
      </c>
      <c r="U288" s="698">
        <f>Table1[[#This Row],[VO Hgt]]</f>
        <v>30</v>
      </c>
      <c r="V288" s="913">
        <f>IF(J288="Canvas",P288+Border,P288)</f>
        <v>68</v>
      </c>
      <c r="W288" s="913">
        <f>IF(J288="Canvas",Q288+Border,Q288)</f>
        <v>38</v>
      </c>
      <c r="X288" s="157" t="s">
        <v>57</v>
      </c>
      <c r="Y288" s="145">
        <v>38</v>
      </c>
      <c r="Z288" s="145">
        <v>68</v>
      </c>
      <c r="AA288" s="722">
        <f t="shared" si="91"/>
        <v>17.944444444444443</v>
      </c>
      <c r="AB288" s="389">
        <f>AA288*IncaG</f>
        <v>377.55111111111108</v>
      </c>
      <c r="AC288" s="143">
        <f>Table1[[#This Row],[Substrate SF]]*Paper</f>
        <v>24.278833333333331</v>
      </c>
      <c r="AD288" s="143">
        <f>AA288*IncaC</f>
        <v>30.204088888888887</v>
      </c>
      <c r="AE288" s="104">
        <f>IF(Table1[[#This Row],[Work Center]]="SwissQ",Materials!G$37,IF(Table1[[#This Row],[Work Center]]="Inca",Materials!G$29,IF(Table1[[#This Row],[Work Center]]="Canon",Materials!G$49,Materials!G$45)))</f>
        <v>8</v>
      </c>
      <c r="AF288" s="143">
        <f>'Cali FPS'!C$68</f>
        <v>106.575</v>
      </c>
      <c r="AG288" s="115"/>
      <c r="AH288" s="498">
        <f t="shared" si="96"/>
        <v>35</v>
      </c>
      <c r="AI288" s="498"/>
      <c r="AJ288" s="143">
        <f t="shared" si="90"/>
        <v>204.0579222222222</v>
      </c>
      <c r="AK288" s="650">
        <f t="shared" si="101"/>
        <v>0.70848868253968256</v>
      </c>
      <c r="AL288" s="225">
        <f>Table1[[#This Row],[WSP/Dealer]]/Table1[[#This Row],[OD Sq Inch]]</f>
        <v>0.3888888888888889</v>
      </c>
      <c r="AM288" s="60">
        <f>Table1[[#This Row],[OD Wdth]]*Table1[[#This Row],[OD Hgt]]</f>
        <v>1800</v>
      </c>
      <c r="AN288" s="216">
        <f>Table1[[#This Row],[Min VO]]+Table1[[#This Row],[Max VO]]</f>
        <v>90</v>
      </c>
      <c r="AO288" s="145"/>
      <c r="AP288" s="145"/>
      <c r="AQ288" s="143"/>
      <c r="AR288" s="143"/>
      <c r="AS288" s="143"/>
      <c r="AT288" s="143"/>
      <c r="AU288" s="1371" t="str">
        <f t="shared" si="95"/>
        <v>-</v>
      </c>
    </row>
    <row r="289" spans="1:47" hidden="1" x14ac:dyDescent="0.2">
      <c r="A289" s="68"/>
      <c r="B289" s="1061"/>
      <c r="C289" s="78" t="s">
        <v>903</v>
      </c>
      <c r="D289" s="78"/>
      <c r="E289" s="78" t="s">
        <v>904</v>
      </c>
      <c r="F289" s="84" t="s">
        <v>301</v>
      </c>
      <c r="G289" s="68" t="s">
        <v>905</v>
      </c>
      <c r="H289" s="68" t="s">
        <v>906</v>
      </c>
      <c r="I289" s="68" t="s">
        <v>304</v>
      </c>
      <c r="J289" s="68" t="s">
        <v>257</v>
      </c>
      <c r="K289" s="68" t="s">
        <v>258</v>
      </c>
      <c r="L289" s="68" t="s">
        <v>269</v>
      </c>
      <c r="M289" s="73"/>
      <c r="N289" s="71"/>
      <c r="O289" s="68" t="s">
        <v>260</v>
      </c>
      <c r="P289" s="68"/>
      <c r="Q289" s="68"/>
      <c r="R289" s="68"/>
      <c r="S289" s="68"/>
      <c r="T289" s="68"/>
      <c r="U289" s="68"/>
      <c r="V289" s="917"/>
      <c r="W289" s="917"/>
      <c r="X289" s="189"/>
      <c r="Y289" s="68"/>
      <c r="Z289" s="68"/>
      <c r="AA289" s="699"/>
      <c r="AB289" s="297"/>
      <c r="AC289" s="74"/>
      <c r="AD289" s="67"/>
      <c r="AE289" s="74"/>
      <c r="AF289" s="74"/>
      <c r="AG289" s="115"/>
      <c r="AH289" s="498">
        <f t="shared" si="96"/>
        <v>0</v>
      </c>
      <c r="AI289" s="498"/>
      <c r="AJ289" s="74"/>
      <c r="AK289" s="650" t="e">
        <f t="shared" si="101"/>
        <v>#DIV/0!</v>
      </c>
      <c r="AL289" s="225" t="e">
        <f>Table1[[#This Row],[WSP/Dealer]]/Table1[[#This Row],[OD Sq Inch]]</f>
        <v>#DIV/0!</v>
      </c>
      <c r="AM289" s="101">
        <f>Table1[[#This Row],[OD Wdth]]*Table1[[#This Row],[OD Hgt]]</f>
        <v>0</v>
      </c>
      <c r="AN289" s="216">
        <f>Table1[[#This Row],[Min VO]]+Table1[[#This Row],[Max VO]]</f>
        <v>0</v>
      </c>
      <c r="AO289" s="68"/>
      <c r="AP289" s="68"/>
      <c r="AQ289" s="74"/>
      <c r="AR289" s="74"/>
      <c r="AS289" s="74"/>
      <c r="AT289" s="74"/>
      <c r="AU289" s="1001" t="str">
        <f t="shared" si="95"/>
        <v>-</v>
      </c>
    </row>
    <row r="290" spans="1:47" s="230" customFormat="1" hidden="1" x14ac:dyDescent="0.2">
      <c r="A290" s="86" t="s">
        <v>907</v>
      </c>
      <c r="B290" s="279" t="s">
        <v>591</v>
      </c>
      <c r="C290" s="75" t="s">
        <v>908</v>
      </c>
      <c r="D290" s="75"/>
      <c r="E290" s="85" t="s">
        <v>909</v>
      </c>
      <c r="F290" s="85" t="s">
        <v>650</v>
      </c>
      <c r="G290" s="86" t="s">
        <v>132</v>
      </c>
      <c r="H290" s="86" t="s">
        <v>132</v>
      </c>
      <c r="I290" s="86" t="s">
        <v>52</v>
      </c>
      <c r="J290" s="86" t="s">
        <v>53</v>
      </c>
      <c r="K290" s="86" t="s">
        <v>54</v>
      </c>
      <c r="L290" s="86" t="s">
        <v>55</v>
      </c>
      <c r="M290" s="87">
        <v>650</v>
      </c>
      <c r="N290" s="639">
        <v>720</v>
      </c>
      <c r="O290" s="101" t="s">
        <v>56</v>
      </c>
      <c r="P290" s="273">
        <v>36</v>
      </c>
      <c r="Q290" s="273">
        <v>48</v>
      </c>
      <c r="R290" s="60">
        <v>36</v>
      </c>
      <c r="S290" s="273">
        <v>48</v>
      </c>
      <c r="T290" s="273">
        <f>Table1[[#This Row],[VO Wdth]]</f>
        <v>36</v>
      </c>
      <c r="U290" s="273">
        <f>Table1[[#This Row],[VO Hgt]]</f>
        <v>48</v>
      </c>
      <c r="V290" s="608">
        <f>IF(J290="Canvas",P290+BorderGW,P290)</f>
        <v>44</v>
      </c>
      <c r="W290" s="608">
        <f>IF(J290="Canvas",Q290+BorderGW,Q290)</f>
        <v>56</v>
      </c>
      <c r="X290" s="137">
        <v>122</v>
      </c>
      <c r="Y290" s="101"/>
      <c r="Z290" s="101"/>
      <c r="AA290" s="649">
        <f t="shared" ref="AA290:AA300" si="102">V290*W290/144</f>
        <v>17.111111111111111</v>
      </c>
      <c r="AB290" s="184">
        <f>AA290*IncaG</f>
        <v>360.01777777777778</v>
      </c>
      <c r="AC290" s="104">
        <f t="shared" ref="AC290:AC295" si="103">AA290*Canvas</f>
        <v>11.293333333333333</v>
      </c>
      <c r="AD290" s="107">
        <f>AA290*IncaC</f>
        <v>28.801422222222222</v>
      </c>
      <c r="AE290" s="104">
        <f>IF(Table1[[#This Row],[Work Center]]="SwissQ",Materials!G$37,IF(Table1[[#This Row],[Work Center]]="Inca",Materials!G$29,IF(Table1[[#This Row],[Work Center]]="Canon",Materials!G$49,Materials!G$45)))</f>
        <v>8</v>
      </c>
      <c r="AF290" s="104">
        <f>'Cali FPS'!C$71</f>
        <v>114.31</v>
      </c>
      <c r="AG290" s="115"/>
      <c r="AH290" s="498">
        <f t="shared" si="96"/>
        <v>32.5</v>
      </c>
      <c r="AI290" s="498"/>
      <c r="AJ290" s="104">
        <f t="shared" ref="AJ290:AJ329" si="104">SUM(AC290:AH290)</f>
        <v>194.90475555555554</v>
      </c>
      <c r="AK290" s="650">
        <f t="shared" si="101"/>
        <v>0.70014652991452997</v>
      </c>
      <c r="AL290" s="225">
        <f>Table1[[#This Row],[WSP/Dealer]]/Table1[[#This Row],[OD Sq Inch]]</f>
        <v>0.37615740740740738</v>
      </c>
      <c r="AM290" s="216">
        <f>Table1[[#This Row],[OD Wdth]]*Table1[[#This Row],[OD Hgt]]</f>
        <v>1728</v>
      </c>
      <c r="AN290" s="216">
        <f>Table1[[#This Row],[Min VO]]+Table1[[#This Row],[Max VO]]</f>
        <v>84</v>
      </c>
      <c r="AO290" s="101"/>
      <c r="AP290" s="101"/>
      <c r="AQ290" s="104"/>
      <c r="AR290" s="104"/>
      <c r="AS290" s="104"/>
      <c r="AT290" s="104"/>
      <c r="AU290" s="830" t="str">
        <f t="shared" si="95"/>
        <v>-</v>
      </c>
    </row>
    <row r="291" spans="1:47" s="236" customFormat="1" x14ac:dyDescent="0.2">
      <c r="A291" s="180" t="s">
        <v>58</v>
      </c>
      <c r="B291" s="1061" t="s">
        <v>591</v>
      </c>
      <c r="C291" s="607" t="s">
        <v>910</v>
      </c>
      <c r="D291" s="607" t="s">
        <v>911</v>
      </c>
      <c r="E291" s="284" t="s">
        <v>912</v>
      </c>
      <c r="F291" s="284" t="s">
        <v>650</v>
      </c>
      <c r="G291" s="180" t="s">
        <v>913</v>
      </c>
      <c r="H291" s="180" t="s">
        <v>913</v>
      </c>
      <c r="I291" s="180" t="s">
        <v>52</v>
      </c>
      <c r="J291" s="180" t="s">
        <v>53</v>
      </c>
      <c r="K291" s="180" t="s">
        <v>54</v>
      </c>
      <c r="L291" s="180" t="s">
        <v>55</v>
      </c>
      <c r="M291" s="285">
        <v>1300</v>
      </c>
      <c r="N291" s="1026">
        <v>1300</v>
      </c>
      <c r="O291" s="180" t="s">
        <v>64</v>
      </c>
      <c r="P291" s="813">
        <v>60</v>
      </c>
      <c r="Q291" s="813">
        <v>72</v>
      </c>
      <c r="R291" s="813">
        <v>60</v>
      </c>
      <c r="S291" s="813">
        <v>72</v>
      </c>
      <c r="T291" s="1692">
        <f>Table1[[#This Row],[VO Wdth]]</f>
        <v>60</v>
      </c>
      <c r="U291" s="1692">
        <f>Table1[[#This Row],[VO Hgt]]</f>
        <v>72</v>
      </c>
      <c r="V291" s="947">
        <f>IF(J291="Canvas",P291+BorderGW,P291)</f>
        <v>68</v>
      </c>
      <c r="W291" s="947">
        <f>IF(J291="Canvas",Q291+BorderGW,Q291)</f>
        <v>80</v>
      </c>
      <c r="X291" s="289">
        <v>82</v>
      </c>
      <c r="Y291" s="180"/>
      <c r="Z291" s="180"/>
      <c r="AA291" s="678">
        <f t="shared" si="102"/>
        <v>37.777777777777779</v>
      </c>
      <c r="AB291" s="329">
        <f>AA291*Swiss1</f>
        <v>1069.1111111111111</v>
      </c>
      <c r="AC291" s="176">
        <f t="shared" si="103"/>
        <v>24.933333333333334</v>
      </c>
      <c r="AD291" s="175">
        <f>AA291*Materials!C$37</f>
        <v>105.77777777777777</v>
      </c>
      <c r="AE291" s="176">
        <f>IF(Table1[[#This Row],[Work Center]]="SwissQ",Materials!G$37,IF(Table1[[#This Row],[Work Center]]="Inca",Materials!G$29,IF(Table1[[#This Row],[Work Center]]="Canon",Materials!G$49,Materials!G$45)))</f>
        <v>20</v>
      </c>
      <c r="AF291" s="176">
        <f>'Cali FPS'!C$71</f>
        <v>114.31</v>
      </c>
      <c r="AG291" s="284"/>
      <c r="AH291" s="175">
        <f t="shared" si="96"/>
        <v>65</v>
      </c>
      <c r="AI291" s="175"/>
      <c r="AJ291" s="176">
        <f t="shared" si="104"/>
        <v>330.02111111111111</v>
      </c>
      <c r="AK291" s="676">
        <f t="shared" si="101"/>
        <v>0.74613760683760677</v>
      </c>
      <c r="AL291" s="176">
        <f>Table1[[#This Row],[WSP/Dealer]]/Table1[[#This Row],[OD Sq Inch]]</f>
        <v>0.30092592592592593</v>
      </c>
      <c r="AM291" s="173">
        <f>Table1[[#This Row],[OD Wdth]]*Table1[[#This Row],[OD Hgt]]</f>
        <v>4320</v>
      </c>
      <c r="AN291" s="180">
        <f>Table1[[#This Row],[Min VO]]+Table1[[#This Row],[Max VO]]</f>
        <v>132</v>
      </c>
      <c r="AO291" s="173"/>
      <c r="AP291" s="180"/>
      <c r="AQ291" s="176"/>
      <c r="AR291" s="176"/>
      <c r="AS291" s="176"/>
      <c r="AT291" s="176"/>
      <c r="AU291" s="676" t="str">
        <f t="shared" si="95"/>
        <v>-</v>
      </c>
    </row>
    <row r="292" spans="1:47" s="280" customFormat="1" x14ac:dyDescent="0.2">
      <c r="A292" s="86" t="s">
        <v>58</v>
      </c>
      <c r="B292" s="1061" t="s">
        <v>591</v>
      </c>
      <c r="C292" s="75" t="s">
        <v>914</v>
      </c>
      <c r="D292" s="75"/>
      <c r="E292" s="85" t="s">
        <v>915</v>
      </c>
      <c r="F292" s="85" t="s">
        <v>650</v>
      </c>
      <c r="G292" s="86" t="s">
        <v>132</v>
      </c>
      <c r="H292" s="86" t="s">
        <v>132</v>
      </c>
      <c r="I292" s="86" t="s">
        <v>52</v>
      </c>
      <c r="J292" s="86" t="s">
        <v>53</v>
      </c>
      <c r="K292" s="86" t="s">
        <v>54</v>
      </c>
      <c r="L292" s="86" t="s">
        <v>55</v>
      </c>
      <c r="M292" s="87">
        <v>650</v>
      </c>
      <c r="N292" s="639">
        <v>720</v>
      </c>
      <c r="O292" s="101" t="s">
        <v>56</v>
      </c>
      <c r="P292" s="273">
        <v>36</v>
      </c>
      <c r="Q292" s="273">
        <v>48</v>
      </c>
      <c r="R292" s="60">
        <v>36</v>
      </c>
      <c r="S292" s="273">
        <v>48</v>
      </c>
      <c r="T292" s="273">
        <f>Table1[[#This Row],[VO Wdth]]</f>
        <v>36</v>
      </c>
      <c r="U292" s="273">
        <f>Table1[[#This Row],[VO Hgt]]</f>
        <v>48</v>
      </c>
      <c r="V292" s="106">
        <f>IF(J292="Canvas",P292+BorderGW,P292)</f>
        <v>44</v>
      </c>
      <c r="W292" s="106">
        <f>IF(J292="Canvas",Q292+BorderGW,Q292)</f>
        <v>56</v>
      </c>
      <c r="X292" s="137">
        <v>122</v>
      </c>
      <c r="Y292" s="101"/>
      <c r="Z292" s="101"/>
      <c r="AA292" s="649">
        <f t="shared" si="102"/>
        <v>17.111111111111111</v>
      </c>
      <c r="AB292" s="184">
        <f>AA292*IncaG</f>
        <v>360.01777777777778</v>
      </c>
      <c r="AC292" s="104">
        <f t="shared" si="103"/>
        <v>11.293333333333333</v>
      </c>
      <c r="AD292" s="107">
        <f>AA292*IncaC</f>
        <v>28.801422222222222</v>
      </c>
      <c r="AE292" s="104">
        <f>IF(Table1[[#This Row],[Work Center]]="SwissQ",Materials!G$37,IF(Table1[[#This Row],[Work Center]]="Inca",Materials!G$29,IF(Table1[[#This Row],[Work Center]]="Canon",Materials!G$49,Materials!G$45)))</f>
        <v>8</v>
      </c>
      <c r="AF292" s="104">
        <f>'Cali FPS'!C$71</f>
        <v>114.31</v>
      </c>
      <c r="AG292" s="115"/>
      <c r="AH292" s="498">
        <f t="shared" si="96"/>
        <v>32.5</v>
      </c>
      <c r="AI292" s="498"/>
      <c r="AJ292" s="104">
        <f t="shared" si="104"/>
        <v>194.90475555555554</v>
      </c>
      <c r="AK292" s="650">
        <f t="shared" si="101"/>
        <v>0.70014652991452997</v>
      </c>
      <c r="AL292" s="225">
        <f>Table1[[#This Row],[WSP/Dealer]]/Table1[[#This Row],[OD Sq Inch]]</f>
        <v>0.37615740740740738</v>
      </c>
      <c r="AM292" s="103">
        <f>Table1[[#This Row],[OD Wdth]]*Table1[[#This Row],[OD Hgt]]</f>
        <v>1728</v>
      </c>
      <c r="AN292" s="216">
        <f>Table1[[#This Row],[Min VO]]+Table1[[#This Row],[Max VO]]</f>
        <v>84</v>
      </c>
      <c r="AO292" s="101"/>
      <c r="AP292" s="101"/>
      <c r="AQ292" s="104"/>
      <c r="AR292" s="104"/>
      <c r="AS292" s="104"/>
      <c r="AT292" s="104"/>
      <c r="AU292" s="830" t="str">
        <f t="shared" si="95"/>
        <v>-</v>
      </c>
    </row>
    <row r="293" spans="1:47" s="340" customFormat="1" x14ac:dyDescent="0.2">
      <c r="A293" s="86" t="s">
        <v>58</v>
      </c>
      <c r="B293" s="1061" t="s">
        <v>591</v>
      </c>
      <c r="C293" s="75" t="s">
        <v>916</v>
      </c>
      <c r="D293" s="75"/>
      <c r="E293" s="85" t="s">
        <v>917</v>
      </c>
      <c r="F293" s="85" t="s">
        <v>650</v>
      </c>
      <c r="G293" s="86" t="s">
        <v>913</v>
      </c>
      <c r="H293" s="86" t="s">
        <v>913</v>
      </c>
      <c r="I293" s="86" t="s">
        <v>52</v>
      </c>
      <c r="J293" s="86" t="s">
        <v>53</v>
      </c>
      <c r="K293" s="86" t="s">
        <v>54</v>
      </c>
      <c r="L293" s="86" t="s">
        <v>55</v>
      </c>
      <c r="M293" s="87">
        <v>1300</v>
      </c>
      <c r="N293" s="639">
        <v>1300</v>
      </c>
      <c r="O293" s="60" t="s">
        <v>64</v>
      </c>
      <c r="P293" s="273">
        <v>60</v>
      </c>
      <c r="Q293" s="273">
        <v>72</v>
      </c>
      <c r="R293" s="273">
        <v>60</v>
      </c>
      <c r="S293" s="273">
        <v>72</v>
      </c>
      <c r="T293" s="61">
        <f>Table1[[#This Row],[VO Wdth]]</f>
        <v>60</v>
      </c>
      <c r="U293" s="61">
        <f>Table1[[#This Row],[VO Hgt]]</f>
        <v>72</v>
      </c>
      <c r="V293" s="47">
        <f>IF(J293="Canvas",P293+BorderGW,P293)</f>
        <v>68</v>
      </c>
      <c r="W293" s="47">
        <f>IF(J293="Canvas",Q293+BorderGW,Q293)</f>
        <v>80</v>
      </c>
      <c r="X293" s="137">
        <v>82</v>
      </c>
      <c r="Y293" s="101"/>
      <c r="Z293" s="101"/>
      <c r="AA293" s="717">
        <f t="shared" si="102"/>
        <v>37.777777777777779</v>
      </c>
      <c r="AB293" s="125">
        <f>AA293*Swiss1</f>
        <v>1069.1111111111111</v>
      </c>
      <c r="AC293" s="104">
        <f t="shared" si="103"/>
        <v>24.933333333333334</v>
      </c>
      <c r="AD293" s="48">
        <f>AA293*Materials!C$37</f>
        <v>105.77777777777777</v>
      </c>
      <c r="AE293" s="104">
        <f>IF(Table1[[#This Row],[Work Center]]="SwissQ",Materials!G$37,IF(Table1[[#This Row],[Work Center]]="Inca",Materials!G$29,IF(Table1[[#This Row],[Work Center]]="Canon",Materials!G$49,Materials!G$45)))</f>
        <v>20</v>
      </c>
      <c r="AF293" s="69">
        <f>'Cali FPS'!C$71</f>
        <v>114.31</v>
      </c>
      <c r="AG293" s="115"/>
      <c r="AH293" s="112">
        <f t="shared" si="96"/>
        <v>65</v>
      </c>
      <c r="AI293" s="112"/>
      <c r="AJ293" s="48">
        <f t="shared" si="104"/>
        <v>330.02111111111111</v>
      </c>
      <c r="AK293" s="62">
        <f t="shared" si="101"/>
        <v>0.74613760683760677</v>
      </c>
      <c r="AL293" s="225">
        <f>Table1[[#This Row],[WSP/Dealer]]/Table1[[#This Row],[OD Sq Inch]]</f>
        <v>0.30092592592592593</v>
      </c>
      <c r="AM293" s="97">
        <f>Table1[[#This Row],[OD Wdth]]*Table1[[#This Row],[OD Hgt]]</f>
        <v>4320</v>
      </c>
      <c r="AN293" s="216">
        <f>Table1[[#This Row],[Min VO]]+Table1[[#This Row],[Max VO]]</f>
        <v>132</v>
      </c>
      <c r="AO293" s="101"/>
      <c r="AP293" s="101"/>
      <c r="AQ293" s="104"/>
      <c r="AR293" s="104"/>
      <c r="AS293" s="104"/>
      <c r="AT293" s="104"/>
      <c r="AU293" s="830" t="str">
        <f t="shared" si="95"/>
        <v>-</v>
      </c>
    </row>
    <row r="294" spans="1:47" s="103" customFormat="1" hidden="1" x14ac:dyDescent="0.2">
      <c r="A294" s="101"/>
      <c r="B294" s="1061"/>
      <c r="C294" s="77" t="s">
        <v>918</v>
      </c>
      <c r="D294" s="168"/>
      <c r="E294" s="115" t="s">
        <v>919</v>
      </c>
      <c r="F294" s="115" t="s">
        <v>920</v>
      </c>
      <c r="G294" s="101" t="s">
        <v>921</v>
      </c>
      <c r="H294" s="101"/>
      <c r="I294" s="60" t="s">
        <v>52</v>
      </c>
      <c r="J294" s="59" t="s">
        <v>53</v>
      </c>
      <c r="K294" s="60" t="s">
        <v>54</v>
      </c>
      <c r="L294" s="101" t="s">
        <v>55</v>
      </c>
      <c r="M294" s="299">
        <v>225</v>
      </c>
      <c r="N294" s="71"/>
      <c r="O294" s="101" t="s">
        <v>56</v>
      </c>
      <c r="P294" s="60">
        <v>20</v>
      </c>
      <c r="Q294" s="60">
        <v>28</v>
      </c>
      <c r="R294" s="60">
        <v>20</v>
      </c>
      <c r="S294" s="60">
        <v>28</v>
      </c>
      <c r="T294" s="60">
        <v>20</v>
      </c>
      <c r="U294" s="60">
        <v>28</v>
      </c>
      <c r="V294" s="149">
        <f>IF(J294="Canvas",P294+Border,P294)</f>
        <v>28</v>
      </c>
      <c r="W294" s="149">
        <f>IF(J294="Canvas",Q294+Border,Q294)</f>
        <v>36</v>
      </c>
      <c r="X294" s="137">
        <v>40</v>
      </c>
      <c r="Y294" s="101">
        <v>28</v>
      </c>
      <c r="Z294" s="101">
        <v>36</v>
      </c>
      <c r="AA294" s="649">
        <f t="shared" si="102"/>
        <v>7</v>
      </c>
      <c r="AB294" s="125">
        <f>AA294*Swiss1</f>
        <v>198.1</v>
      </c>
      <c r="AC294" s="69">
        <f t="shared" si="103"/>
        <v>4.62</v>
      </c>
      <c r="AD294" s="107">
        <f>AA294*IncaC</f>
        <v>11.782400000000001</v>
      </c>
      <c r="AE294" s="104">
        <f>IF(Table1[[#This Row],[Work Center]]="SwissQ",Materials!G$37,IF(Table1[[#This Row],[Work Center]]="Inca",Materials!G$29,IF(Table1[[#This Row],[Work Center]]="Canon",Materials!G$49,Materials!G$45)))</f>
        <v>8</v>
      </c>
      <c r="AF294" s="102">
        <f>'Cali FPS'!H27</f>
        <v>52.949999999999996</v>
      </c>
      <c r="AG294" s="121"/>
      <c r="AH294" s="112">
        <f t="shared" si="96"/>
        <v>11.25</v>
      </c>
      <c r="AI294" s="112"/>
      <c r="AJ294" s="107">
        <f t="shared" si="104"/>
        <v>88.602399999999989</v>
      </c>
      <c r="AK294" s="62">
        <f t="shared" si="101"/>
        <v>0.60621155555555561</v>
      </c>
      <c r="AL294" s="225" t="e">
        <f>Table1[[#This Row],[WSP/Dealer]]/Table1[[#This Row],[OD Sq Inch]]</f>
        <v>#DIV/0!</v>
      </c>
      <c r="AM294" s="113"/>
      <c r="AN294" s="216">
        <f>Table1[[#This Row],[Min VO]]+Table1[[#This Row],[Max VO]]</f>
        <v>48</v>
      </c>
      <c r="AO294" s="115"/>
      <c r="AP294" s="115"/>
      <c r="AQ294" s="121"/>
      <c r="AR294" s="121"/>
      <c r="AS294" s="121"/>
      <c r="AT294" s="104"/>
      <c r="AU294" s="1359" t="str">
        <f t="shared" si="95"/>
        <v>-</v>
      </c>
    </row>
    <row r="295" spans="1:47" s="46" customFormat="1" hidden="1" x14ac:dyDescent="0.2">
      <c r="A295" s="458" t="s">
        <v>318</v>
      </c>
      <c r="B295" s="279" t="s">
        <v>96</v>
      </c>
      <c r="C295" s="75" t="s">
        <v>922</v>
      </c>
      <c r="D295" s="302"/>
      <c r="E295" s="83" t="s">
        <v>923</v>
      </c>
      <c r="F295" s="83" t="s">
        <v>50</v>
      </c>
      <c r="G295" s="60" t="s">
        <v>449</v>
      </c>
      <c r="H295" s="60" t="s">
        <v>449</v>
      </c>
      <c r="I295" s="60" t="s">
        <v>52</v>
      </c>
      <c r="J295" s="59" t="s">
        <v>53</v>
      </c>
      <c r="K295" s="60" t="s">
        <v>54</v>
      </c>
      <c r="L295" s="60" t="s">
        <v>55</v>
      </c>
      <c r="M295" s="544">
        <v>400</v>
      </c>
      <c r="N295" s="786">
        <v>950</v>
      </c>
      <c r="O295" s="60" t="s">
        <v>64</v>
      </c>
      <c r="P295" s="273">
        <v>36</v>
      </c>
      <c r="Q295" s="273">
        <v>36</v>
      </c>
      <c r="R295" s="60">
        <v>36</v>
      </c>
      <c r="S295" s="273">
        <v>36</v>
      </c>
      <c r="T295" s="273">
        <v>36</v>
      </c>
      <c r="U295" s="273">
        <v>36</v>
      </c>
      <c r="V295" s="913">
        <f>IF(J295="Canvas",P295+Border,P295)</f>
        <v>44</v>
      </c>
      <c r="W295" s="913">
        <f>IF(J295="Canvas",Q295+Border,Q295)</f>
        <v>44</v>
      </c>
      <c r="X295" s="138">
        <v>53</v>
      </c>
      <c r="Y295" s="60">
        <v>44</v>
      </c>
      <c r="Z295" s="60">
        <v>44</v>
      </c>
      <c r="AA295" s="826">
        <f t="shared" si="102"/>
        <v>13.444444444444445</v>
      </c>
      <c r="AB295" s="723">
        <f>AA295*Swiss1</f>
        <v>380.47777777777782</v>
      </c>
      <c r="AC295" s="69">
        <f t="shared" si="103"/>
        <v>8.8733333333333331</v>
      </c>
      <c r="AD295" s="176">
        <f>Table1[[#This Row],[Substrate SF]]*SWISSC1</f>
        <v>37.644444444444446</v>
      </c>
      <c r="AE295" s="69">
        <f>IF(Table1[[#This Row],[Work Center]]="SwissQ",Materials!G$37,IF(Table1[[#This Row],[Work Center]]="Inca",Materials!G$29,IF(Table1[[#This Row],[Work Center]]="Canon",Materials!G$49,Materials!G$45)))</f>
        <v>20</v>
      </c>
      <c r="AF295" s="548">
        <f>'Cali FPS'!C67</f>
        <v>83.46</v>
      </c>
      <c r="AG295" s="83"/>
      <c r="AH295" s="498">
        <f t="shared" si="96"/>
        <v>20</v>
      </c>
      <c r="AI295" s="498"/>
      <c r="AJ295" s="176">
        <f t="shared" si="104"/>
        <v>169.97777777777776</v>
      </c>
      <c r="AK295" s="650">
        <f t="shared" si="101"/>
        <v>0.57505555555555565</v>
      </c>
      <c r="AL295" s="225">
        <f>Table1[[#This Row],[WSP/Dealer]]/Table1[[#This Row],[OD Sq Inch]]</f>
        <v>0.30864197530864196</v>
      </c>
      <c r="AM295" s="180">
        <f>Table1[[#This Row],[OD Wdth]]*Table1[[#This Row],[OD Hgt]]</f>
        <v>1296</v>
      </c>
      <c r="AN295" s="180" t="str">
        <f>Table1[[#This Row],[Color]]</f>
        <v>GW</v>
      </c>
      <c r="AO295" s="83" t="str">
        <f>Table1[[#This Row],[Print Type]]</f>
        <v>Synograph</v>
      </c>
      <c r="AP295" s="540"/>
      <c r="AQ295" s="540"/>
      <c r="AR295" s="540"/>
      <c r="AS295" s="540"/>
      <c r="AT295" s="69"/>
      <c r="AU295" s="1361" t="str">
        <f t="shared" si="95"/>
        <v>-</v>
      </c>
    </row>
    <row r="296" spans="1:47" s="103" customFormat="1" hidden="1" x14ac:dyDescent="0.2">
      <c r="A296" s="458" t="s">
        <v>187</v>
      </c>
      <c r="B296" s="1061" t="s">
        <v>261</v>
      </c>
      <c r="C296" s="75" t="s">
        <v>924</v>
      </c>
      <c r="D296" s="75"/>
      <c r="E296" s="83" t="s">
        <v>923</v>
      </c>
      <c r="F296" s="83" t="s">
        <v>50</v>
      </c>
      <c r="G296" s="60" t="s">
        <v>925</v>
      </c>
      <c r="H296" s="60" t="s">
        <v>925</v>
      </c>
      <c r="I296" s="60" t="s">
        <v>52</v>
      </c>
      <c r="J296" s="59" t="s">
        <v>280</v>
      </c>
      <c r="K296" s="60" t="s">
        <v>281</v>
      </c>
      <c r="L296" s="60" t="s">
        <v>282</v>
      </c>
      <c r="M296" s="124">
        <v>2200</v>
      </c>
      <c r="N296" s="71"/>
      <c r="O296" s="60" t="s">
        <v>56</v>
      </c>
      <c r="P296" s="273">
        <v>36</v>
      </c>
      <c r="Q296" s="273">
        <v>36</v>
      </c>
      <c r="R296" s="60">
        <v>36</v>
      </c>
      <c r="S296" s="273">
        <v>36</v>
      </c>
      <c r="T296" s="273">
        <f>Table1[[#This Row],[VO Wdth]]</f>
        <v>36</v>
      </c>
      <c r="U296" s="273">
        <f>Table1[[#This Row],[VO Hgt]]</f>
        <v>36</v>
      </c>
      <c r="V296" s="46">
        <f>MIN(Table1[[#This Row],[VO Wdth]:[VO Hgt]])</f>
        <v>36</v>
      </c>
      <c r="W296" s="46">
        <f>MIN(Table1[[#This Row],[VO Wdth]:[VO Hgt]])</f>
        <v>36</v>
      </c>
      <c r="X296" s="138" t="s">
        <v>283</v>
      </c>
      <c r="Y296" s="60"/>
      <c r="Z296" s="60"/>
      <c r="AA296" s="678">
        <f t="shared" si="102"/>
        <v>9</v>
      </c>
      <c r="AB296" s="125">
        <f>AA296*IncaG</f>
        <v>189.35999999999999</v>
      </c>
      <c r="AC296" s="176">
        <f>MDFSHEET</f>
        <v>24.35</v>
      </c>
      <c r="AD296" s="175">
        <f>Table1[[#This Row],[Substrate SF]]*Materials!C$37</f>
        <v>25.2</v>
      </c>
      <c r="AE296" s="69">
        <f>IF(Table1[[#This Row],[Work Center]]="SwissQ",Materials!G$37,IF(Table1[[#This Row],[Work Center]]="Inca",Materials!G$29,IF(Table1[[#This Row],[Work Center]]="Canon",Materials!G$49,Materials!G$45)))</f>
        <v>8</v>
      </c>
      <c r="AF296" s="176">
        <f>'Cali Frames'!H545</f>
        <v>110.15</v>
      </c>
      <c r="AG296" s="83"/>
      <c r="AH296" s="112">
        <f t="shared" si="96"/>
        <v>110</v>
      </c>
      <c r="AI296" s="112"/>
      <c r="AJ296" s="920">
        <f t="shared" si="104"/>
        <v>277.7</v>
      </c>
      <c r="AK296" s="62">
        <f t="shared" si="101"/>
        <v>0.87377272727272726</v>
      </c>
      <c r="AL296" s="225">
        <f>Table1[[#This Row],[WSP/Dealer]]/Table1[[#This Row],[OD Sq Inch]]</f>
        <v>1.6975308641975309</v>
      </c>
      <c r="AM296" s="46">
        <f>Table1[[#This Row],[OD Wdth]]*Table1[[#This Row],[OD Hgt]]</f>
        <v>1296</v>
      </c>
      <c r="AN296" s="216">
        <f>Table1[[#This Row],[Min VO]]+Table1[[#This Row],[Max VO]]</f>
        <v>72</v>
      </c>
      <c r="AO296" s="83"/>
      <c r="AP296" s="83"/>
      <c r="AQ296" s="540"/>
      <c r="AR296" s="540"/>
      <c r="AS296" s="540"/>
      <c r="AT296" s="69"/>
      <c r="AU296" s="1361" t="str">
        <f t="shared" si="95"/>
        <v>-</v>
      </c>
    </row>
    <row r="297" spans="1:47" s="432" customFormat="1" hidden="1" x14ac:dyDescent="0.2">
      <c r="A297" s="458"/>
      <c r="B297" s="1061"/>
      <c r="C297" s="75" t="s">
        <v>926</v>
      </c>
      <c r="D297" s="302"/>
      <c r="E297" s="83" t="s">
        <v>923</v>
      </c>
      <c r="F297" s="83" t="s">
        <v>50</v>
      </c>
      <c r="G297" s="60" t="s">
        <v>925</v>
      </c>
      <c r="H297" s="60" t="s">
        <v>925</v>
      </c>
      <c r="I297" s="60" t="s">
        <v>52</v>
      </c>
      <c r="J297" s="59" t="s">
        <v>280</v>
      </c>
      <c r="K297" s="60" t="s">
        <v>281</v>
      </c>
      <c r="L297" s="60" t="s">
        <v>282</v>
      </c>
      <c r="M297" s="179">
        <v>350</v>
      </c>
      <c r="N297" s="71"/>
      <c r="O297" s="60" t="s">
        <v>56</v>
      </c>
      <c r="P297" s="273">
        <v>36</v>
      </c>
      <c r="Q297" s="273">
        <v>36</v>
      </c>
      <c r="R297" s="60">
        <v>36</v>
      </c>
      <c r="S297" s="273">
        <v>36</v>
      </c>
      <c r="T297" s="273">
        <v>36</v>
      </c>
      <c r="U297" s="273">
        <v>36</v>
      </c>
      <c r="V297" s="913">
        <f>IF(J297="Canvas",P297+Border,P297)</f>
        <v>36</v>
      </c>
      <c r="W297" s="913">
        <f>IF(J297="Canvas",Q297+Border,Q297)</f>
        <v>36</v>
      </c>
      <c r="X297" s="138" t="s">
        <v>283</v>
      </c>
      <c r="Y297" s="60">
        <v>36</v>
      </c>
      <c r="Z297" s="60">
        <v>36</v>
      </c>
      <c r="AA297" s="678">
        <f t="shared" si="102"/>
        <v>9</v>
      </c>
      <c r="AB297" s="125">
        <f>AA297*IncaG</f>
        <v>189.35999999999999</v>
      </c>
      <c r="AC297" s="176">
        <f>MDFSHEET/2</f>
        <v>12.175000000000001</v>
      </c>
      <c r="AD297" s="175">
        <f>Table1[[#This Row],[Substrate SF]]*IncaC</f>
        <v>15.1488</v>
      </c>
      <c r="AE297" s="69">
        <f>IF(Table1[[#This Row],[Work Center]]="SwissQ",Materials!G$37,IF(Table1[[#This Row],[Work Center]]="Inca",Materials!G$29,IF(Table1[[#This Row],[Work Center]]="Canon",Materials!G$49,Materials!G$45)))</f>
        <v>8</v>
      </c>
      <c r="AF297" s="176">
        <f>'Cali Frames'!D545</f>
        <v>139.2475</v>
      </c>
      <c r="AG297" s="83"/>
      <c r="AH297" s="112">
        <f t="shared" si="96"/>
        <v>17.5</v>
      </c>
      <c r="AI297" s="112"/>
      <c r="AJ297" s="176">
        <f t="shared" si="104"/>
        <v>192.07130000000001</v>
      </c>
      <c r="AK297" s="62">
        <f t="shared" si="101"/>
        <v>0.45122485714285709</v>
      </c>
      <c r="AL297" s="225">
        <f>Table1[[#This Row],[WSP/Dealer]]/Table1[[#This Row],[OD Sq Inch]]</f>
        <v>0.27006172839506171</v>
      </c>
      <c r="AM297" s="173">
        <f>Table1[[#This Row],[OD Wdth]]*Table1[[#This Row],[OD Hgt]]</f>
        <v>1296</v>
      </c>
      <c r="AN297" s="180" t="str">
        <f>Table1[[#This Row],[Color]]</f>
        <v>NGM</v>
      </c>
      <c r="AO297" s="83" t="str">
        <f>Table1[[#This Row],[Print Type]]</f>
        <v>Synograph</v>
      </c>
      <c r="AP297" s="83"/>
      <c r="AQ297" s="540"/>
      <c r="AR297" s="540"/>
      <c r="AS297" s="540"/>
      <c r="AT297" s="69"/>
      <c r="AU297" s="1361" t="str">
        <f t="shared" si="95"/>
        <v>-</v>
      </c>
    </row>
    <row r="298" spans="1:47" s="218" customFormat="1" hidden="1" x14ac:dyDescent="0.2">
      <c r="A298" s="60" t="s">
        <v>187</v>
      </c>
      <c r="B298" s="279" t="s">
        <v>261</v>
      </c>
      <c r="C298" s="293" t="s">
        <v>927</v>
      </c>
      <c r="D298" s="281"/>
      <c r="E298" s="293" t="s">
        <v>928</v>
      </c>
      <c r="F298" s="83" t="s">
        <v>50</v>
      </c>
      <c r="G298" s="181" t="s">
        <v>449</v>
      </c>
      <c r="H298" s="60" t="s">
        <v>925</v>
      </c>
      <c r="I298" s="180" t="s">
        <v>108</v>
      </c>
      <c r="J298" s="60" t="s">
        <v>197</v>
      </c>
      <c r="K298" s="180" t="s">
        <v>198</v>
      </c>
      <c r="L298" s="180" t="s">
        <v>199</v>
      </c>
      <c r="M298" s="772">
        <v>60</v>
      </c>
      <c r="N298" s="71"/>
      <c r="O298" s="60" t="s">
        <v>56</v>
      </c>
      <c r="P298" s="273">
        <v>36</v>
      </c>
      <c r="Q298" s="273">
        <v>36</v>
      </c>
      <c r="R298" s="60">
        <v>36</v>
      </c>
      <c r="S298" s="273">
        <v>36</v>
      </c>
      <c r="T298" s="273">
        <f>Table1[[#This Row],[VO Wdth]]</f>
        <v>36</v>
      </c>
      <c r="U298" s="273">
        <f>Table1[[#This Row],[VO Hgt]]</f>
        <v>36</v>
      </c>
      <c r="V298" s="947">
        <f>Table1[[#This Row],[VO Wdth]]+Materials!$C$7</f>
        <v>38</v>
      </c>
      <c r="W298" s="947">
        <f>Table1[[#This Row],[VO Hgt]]+Materials!$C$7</f>
        <v>38</v>
      </c>
      <c r="X298" s="289" t="s">
        <v>197</v>
      </c>
      <c r="Y298" s="60"/>
      <c r="Z298" s="60"/>
      <c r="AA298" s="717">
        <f t="shared" si="102"/>
        <v>10.027777777777779</v>
      </c>
      <c r="AB298" s="297">
        <f>AA298*IncaGR</f>
        <v>10.228333333333333</v>
      </c>
      <c r="AC298" s="69">
        <f>Table1[[#This Row],[Substrate SF]]*POster</f>
        <v>7.4606666666666674</v>
      </c>
      <c r="AD298" s="240">
        <f>Table1[[#This Row],[Ink g/mL]]*IncaCR</f>
        <v>0.8182666666666667</v>
      </c>
      <c r="AE29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98" s="72">
        <v>0</v>
      </c>
      <c r="AG298" s="540">
        <f>Materials!D$76</f>
        <v>10.82</v>
      </c>
      <c r="AH298" s="498">
        <f t="shared" si="96"/>
        <v>3</v>
      </c>
      <c r="AI298" s="498"/>
      <c r="AJ298" s="176">
        <f t="shared" si="104"/>
        <v>32.098933333333335</v>
      </c>
      <c r="AK298" s="650">
        <f t="shared" si="101"/>
        <v>0.46501777777777775</v>
      </c>
      <c r="AL298" s="225">
        <f>Table1[[#This Row],[WSP/Dealer]]/Table1[[#This Row],[OD Sq Inch]]</f>
        <v>4.6296296296296294E-2</v>
      </c>
      <c r="AM298" s="180">
        <f>Table1[[#This Row],[OD Wdth]]*Table1[[#This Row],[OD Hgt]]</f>
        <v>1296</v>
      </c>
      <c r="AN298" s="83"/>
      <c r="AO298" s="83"/>
      <c r="AP298" s="83"/>
      <c r="AQ298" s="540"/>
      <c r="AR298" s="540"/>
      <c r="AS298" s="540"/>
      <c r="AT298" s="69"/>
      <c r="AU298" s="1361" t="str">
        <f t="shared" si="95"/>
        <v>-</v>
      </c>
    </row>
    <row r="299" spans="1:47" s="218" customFormat="1" hidden="1" x14ac:dyDescent="0.2">
      <c r="A299" s="470" t="s">
        <v>318</v>
      </c>
      <c r="B299" s="1061" t="s">
        <v>96</v>
      </c>
      <c r="C299" s="75" t="s">
        <v>929</v>
      </c>
      <c r="D299" s="302">
        <v>196248</v>
      </c>
      <c r="E299" s="83" t="s">
        <v>930</v>
      </c>
      <c r="F299" s="83" t="s">
        <v>50</v>
      </c>
      <c r="G299" s="60" t="s">
        <v>395</v>
      </c>
      <c r="H299" s="60" t="s">
        <v>395</v>
      </c>
      <c r="I299" s="60" t="s">
        <v>52</v>
      </c>
      <c r="J299" s="59" t="s">
        <v>53</v>
      </c>
      <c r="K299" s="60" t="s">
        <v>54</v>
      </c>
      <c r="L299" s="60" t="s">
        <v>55</v>
      </c>
      <c r="M299" s="544">
        <v>900</v>
      </c>
      <c r="N299" s="786">
        <v>2100</v>
      </c>
      <c r="O299" s="60" t="s">
        <v>64</v>
      </c>
      <c r="P299" s="273">
        <v>60</v>
      </c>
      <c r="Q299" s="273">
        <v>60</v>
      </c>
      <c r="R299" s="60">
        <v>60</v>
      </c>
      <c r="S299" s="273">
        <v>60</v>
      </c>
      <c r="T299" s="273">
        <v>60</v>
      </c>
      <c r="U299" s="273">
        <v>60</v>
      </c>
      <c r="V299" s="913">
        <f>IF(J299="Canvas",P299+Border,P299)</f>
        <v>68</v>
      </c>
      <c r="W299" s="913">
        <f>IF(J299="Canvas",Q299+Border,Q299)</f>
        <v>68</v>
      </c>
      <c r="X299" s="138">
        <v>82</v>
      </c>
      <c r="Y299" s="60">
        <v>68</v>
      </c>
      <c r="Z299" s="60">
        <v>68</v>
      </c>
      <c r="AA299" s="717">
        <f t="shared" si="102"/>
        <v>32.111111111111114</v>
      </c>
      <c r="AB299" s="125">
        <f>AA299*Swiss1</f>
        <v>908.74444444444453</v>
      </c>
      <c r="AC299" s="69">
        <f>AA299*Canvas</f>
        <v>21.193333333333335</v>
      </c>
      <c r="AD299" s="175">
        <f>Table1[[#This Row],[Substrate SF]]*SWISSC1</f>
        <v>89.911111111111111</v>
      </c>
      <c r="AE299" s="69">
        <f>IF(Table1[[#This Row],[Work Center]]="SwissQ",Materials!G$37,IF(Table1[[#This Row],[Work Center]]="Inca",Materials!G$29,IF(Table1[[#This Row],[Work Center]]="Canon",Materials!G$49,Materials!G$45)))</f>
        <v>20</v>
      </c>
      <c r="AF299" s="72">
        <f>'Cali FPS'!C158</f>
        <v>196.875</v>
      </c>
      <c r="AG299" s="83"/>
      <c r="AH299" s="498">
        <f t="shared" si="96"/>
        <v>45</v>
      </c>
      <c r="AI299" s="498"/>
      <c r="AJ299" s="176">
        <f t="shared" si="104"/>
        <v>372.97944444444443</v>
      </c>
      <c r="AK299" s="650">
        <f t="shared" si="101"/>
        <v>0.58557839506172837</v>
      </c>
      <c r="AL299" s="225">
        <f>Table1[[#This Row],[WSP/Dealer]]/Table1[[#This Row],[OD Sq Inch]]</f>
        <v>0.25</v>
      </c>
      <c r="AM299" s="180">
        <f>Table1[[#This Row],[OD Wdth]]*Table1[[#This Row],[OD Hgt]]</f>
        <v>3600</v>
      </c>
      <c r="AN299" s="180" t="str">
        <f>Table1[[#This Row],[Color]]</f>
        <v>GW</v>
      </c>
      <c r="AO299" s="83" t="str">
        <f>Table1[[#This Row],[Print Type]]</f>
        <v>Synograph</v>
      </c>
      <c r="AP299" s="540"/>
      <c r="AQ299" s="540"/>
      <c r="AR299" s="540"/>
      <c r="AS299" s="540"/>
      <c r="AT299" s="69"/>
      <c r="AU299" s="1361" t="str">
        <f t="shared" si="95"/>
        <v>-</v>
      </c>
    </row>
    <row r="300" spans="1:47" s="868" customFormat="1" hidden="1" x14ac:dyDescent="0.2">
      <c r="A300" s="458"/>
      <c r="B300" s="279"/>
      <c r="C300" s="75" t="s">
        <v>931</v>
      </c>
      <c r="D300" s="302"/>
      <c r="E300" s="83" t="s">
        <v>932</v>
      </c>
      <c r="F300" s="83" t="s">
        <v>50</v>
      </c>
      <c r="G300" s="60" t="s">
        <v>391</v>
      </c>
      <c r="H300" s="60" t="s">
        <v>391</v>
      </c>
      <c r="I300" s="60" t="s">
        <v>52</v>
      </c>
      <c r="J300" s="59" t="s">
        <v>53</v>
      </c>
      <c r="K300" s="60" t="s">
        <v>54</v>
      </c>
      <c r="L300" s="60" t="s">
        <v>55</v>
      </c>
      <c r="M300" s="544">
        <v>1200</v>
      </c>
      <c r="N300" s="71"/>
      <c r="O300" s="60" t="s">
        <v>64</v>
      </c>
      <c r="P300" s="273">
        <v>72</v>
      </c>
      <c r="Q300" s="273">
        <v>72</v>
      </c>
      <c r="R300" s="60">
        <v>72</v>
      </c>
      <c r="S300" s="273">
        <v>72</v>
      </c>
      <c r="T300" s="273">
        <v>72</v>
      </c>
      <c r="U300" s="273">
        <v>72</v>
      </c>
      <c r="V300" s="149">
        <f>IF(J300="Canvas",P300+Border,P300)</f>
        <v>80</v>
      </c>
      <c r="W300" s="149">
        <f>IF(J300="Canvas",Q300+Border,Q300)</f>
        <v>80</v>
      </c>
      <c r="X300" s="138">
        <v>82</v>
      </c>
      <c r="Y300" s="60">
        <v>80</v>
      </c>
      <c r="Z300" s="60">
        <v>80</v>
      </c>
      <c r="AA300" s="717">
        <f t="shared" si="102"/>
        <v>44.444444444444443</v>
      </c>
      <c r="AB300" s="125">
        <f>AA300*Swiss1</f>
        <v>1257.7777777777778</v>
      </c>
      <c r="AC300" s="69">
        <f>AA300*Canvas</f>
        <v>29.333333333333332</v>
      </c>
      <c r="AD300" s="175">
        <f>Table1[[#This Row],[Substrate SF]]*SWISSC1</f>
        <v>124.44444444444443</v>
      </c>
      <c r="AE300" s="69">
        <f>IF(Table1[[#This Row],[Work Center]]="SwissQ",Materials!G$37,IF(Table1[[#This Row],[Work Center]]="Inca",Materials!G$29,IF(Table1[[#This Row],[Work Center]]="Canon",Materials!G$49,Materials!G$45)))</f>
        <v>20</v>
      </c>
      <c r="AF300" s="72">
        <f>'Cali FPS'!C169</f>
        <v>255.55250000000001</v>
      </c>
      <c r="AG300" s="83"/>
      <c r="AH300" s="498">
        <f t="shared" si="96"/>
        <v>60</v>
      </c>
      <c r="AI300" s="498"/>
      <c r="AJ300" s="176">
        <f t="shared" si="104"/>
        <v>489.33027777777778</v>
      </c>
      <c r="AK300" s="650">
        <f t="shared" si="101"/>
        <v>0.59222476851851846</v>
      </c>
      <c r="AL300" s="225">
        <f>Table1[[#This Row],[WSP/Dealer]]/Table1[[#This Row],[OD Sq Inch]]</f>
        <v>0.23148148148148148</v>
      </c>
      <c r="AM300" s="173">
        <f>Table1[[#This Row],[OD Wdth]]*Table1[[#This Row],[OD Hgt]]</f>
        <v>5184</v>
      </c>
      <c r="AN300" s="180" t="str">
        <f>Table1[[#This Row],[Color]]</f>
        <v>GW</v>
      </c>
      <c r="AO300" s="83" t="str">
        <f>Table1[[#This Row],[Print Type]]</f>
        <v>Synograph</v>
      </c>
      <c r="AP300" s="121"/>
      <c r="AQ300" s="121"/>
      <c r="AR300" s="121"/>
      <c r="AS300" s="121"/>
      <c r="AT300" s="104"/>
      <c r="AU300" s="1361" t="str">
        <f t="shared" si="95"/>
        <v>-</v>
      </c>
    </row>
    <row r="301" spans="1:47" s="897" customFormat="1" hidden="1" x14ac:dyDescent="0.2">
      <c r="A301" s="68" t="s">
        <v>101</v>
      </c>
      <c r="B301" s="1072" t="s">
        <v>102</v>
      </c>
      <c r="C301" s="257" t="s">
        <v>933</v>
      </c>
      <c r="D301" s="78"/>
      <c r="E301" s="84" t="s">
        <v>934</v>
      </c>
      <c r="F301" s="84" t="s">
        <v>105</v>
      </c>
      <c r="G301" s="68" t="s">
        <v>935</v>
      </c>
      <c r="H301" s="68" t="s">
        <v>936</v>
      </c>
      <c r="I301" s="68" t="s">
        <v>256</v>
      </c>
      <c r="J301" s="140" t="s">
        <v>257</v>
      </c>
      <c r="K301" s="68" t="s">
        <v>258</v>
      </c>
      <c r="L301" s="68" t="s">
        <v>259</v>
      </c>
      <c r="M301" s="141">
        <v>155</v>
      </c>
      <c r="N301" s="93"/>
      <c r="O301" s="68" t="s">
        <v>260</v>
      </c>
      <c r="P301" s="623">
        <v>8</v>
      </c>
      <c r="Q301" s="623">
        <v>12</v>
      </c>
      <c r="R301" s="68">
        <v>8</v>
      </c>
      <c r="S301" s="623">
        <v>12</v>
      </c>
      <c r="T301" s="623">
        <v>10</v>
      </c>
      <c r="U301" s="623">
        <v>14</v>
      </c>
      <c r="V301" s="66">
        <f>IF(J301="Canvas",P301+Border,P301)</f>
        <v>8</v>
      </c>
      <c r="W301" s="66">
        <f>IF(J301="Canvas",Q301+Border,Q301)</f>
        <v>12</v>
      </c>
      <c r="X301" s="68" t="s">
        <v>257</v>
      </c>
      <c r="Y301" s="1347">
        <f>Table1[[#This Row],[Print Wth]]+Materials!$C$7</f>
        <v>10</v>
      </c>
      <c r="Z301" s="1347">
        <f>Table1[[#This Row],[Print Ht]]+Materials!$C$7</f>
        <v>14</v>
      </c>
      <c r="AA301" s="1027">
        <f>(Table1[[#This Row],[Cut Width]]*Table1[[#This Row],[Cut Height]])/144</f>
        <v>0.97222222222222221</v>
      </c>
      <c r="AB301" s="690">
        <f>(Table1[[#This Row],[Print Wth]]*Table1[[#This Row],[Print Ht]])/144*canonML</f>
        <v>3.1999999999999997</v>
      </c>
      <c r="AC301" s="74">
        <f>Table1[[#This Row],[Substrate SF]]*Paper</f>
        <v>1.3154166666666667</v>
      </c>
      <c r="AD301" s="67">
        <f>(Table1[[#This Row],[Print Wth]]*Table1[[#This Row],[Print Ht]])/144*CanonC</f>
        <v>0.18</v>
      </c>
      <c r="AE301" s="74">
        <f>IF(Table1[[#This Row],[Work Center]]="SwissQ",Materials!G$37,IF(Table1[[#This Row],[Work Center]]="Inca",Materials!G$29,IF(Table1[[#This Row],[Work Center]]="Canon",Materials!G$49,Materials!G$45)))</f>
        <v>7</v>
      </c>
      <c r="AF301" s="73">
        <f>'Cali Frames'!D7</f>
        <v>68.53</v>
      </c>
      <c r="AG301" s="84"/>
      <c r="AH301" s="74">
        <v>0</v>
      </c>
      <c r="AI301" s="74"/>
      <c r="AJ301" s="278">
        <f t="shared" si="104"/>
        <v>77.025416666666672</v>
      </c>
      <c r="AK301" s="1001">
        <f t="shared" si="101"/>
        <v>0.50306182795698917</v>
      </c>
      <c r="AL301" s="240">
        <f>Table1[[#This Row],[WSP/Dealer]]/Table1[[#This Row],[OD Sq Inch]]</f>
        <v>1.1071428571428572</v>
      </c>
      <c r="AM301" s="170">
        <f>Table1[[#This Row],[OD Wdth]]*Table1[[#This Row],[OD Hgt]]</f>
        <v>140</v>
      </c>
      <c r="AN301" s="274" t="str">
        <f>Table1[[#This Row],[Color]]</f>
        <v>BA</v>
      </c>
      <c r="AO301" s="84"/>
      <c r="AP301" s="126"/>
      <c r="AQ301" s="126"/>
      <c r="AR301" s="126"/>
      <c r="AS301" s="126"/>
      <c r="AT301" s="74"/>
      <c r="AU301" s="1357" t="str">
        <f t="shared" si="95"/>
        <v>-</v>
      </c>
    </row>
    <row r="302" spans="1:47" s="46" customFormat="1" ht="16" x14ac:dyDescent="0.2">
      <c r="A302" s="60" t="s">
        <v>58</v>
      </c>
      <c r="B302" s="1061" t="s">
        <v>587</v>
      </c>
      <c r="C302" s="293" t="s">
        <v>937</v>
      </c>
      <c r="D302" s="281" t="s">
        <v>938</v>
      </c>
      <c r="E302" s="294" t="s">
        <v>939</v>
      </c>
      <c r="F302" s="294" t="s">
        <v>124</v>
      </c>
      <c r="G302" s="295" t="s">
        <v>115</v>
      </c>
      <c r="H302" s="295" t="s">
        <v>115</v>
      </c>
      <c r="I302" s="181" t="s">
        <v>52</v>
      </c>
      <c r="J302" s="181" t="s">
        <v>53</v>
      </c>
      <c r="K302" s="295" t="s">
        <v>54</v>
      </c>
      <c r="L302" s="181" t="s">
        <v>55</v>
      </c>
      <c r="M302" s="292">
        <v>800</v>
      </c>
      <c r="N302" s="639">
        <v>830</v>
      </c>
      <c r="O302" s="60" t="s">
        <v>64</v>
      </c>
      <c r="P302" s="180">
        <v>48</v>
      </c>
      <c r="Q302" s="180">
        <v>48</v>
      </c>
      <c r="R302" s="60">
        <v>48</v>
      </c>
      <c r="S302" s="60">
        <v>48</v>
      </c>
      <c r="T302" s="273">
        <f>Table1[[#This Row],[VO Wdth]]</f>
        <v>48</v>
      </c>
      <c r="U302" s="273">
        <f>Table1[[#This Row],[VO Hgt]]</f>
        <v>48</v>
      </c>
      <c r="V302" s="106">
        <f>IF(J302="Canvas",P302+Border,P302)</f>
        <v>56</v>
      </c>
      <c r="W302" s="106">
        <f>IF(J302="Canvas",Q302+Border,Q302)</f>
        <v>56</v>
      </c>
      <c r="X302" s="289">
        <v>59</v>
      </c>
      <c r="Y302" s="180"/>
      <c r="Z302" s="180"/>
      <c r="AA302" s="722">
        <f t="shared" ref="AA302:AA308" si="105">V302*W302/144</f>
        <v>21.777777777777779</v>
      </c>
      <c r="AB302" s="125">
        <f>AA302*Swiss1</f>
        <v>616.31111111111113</v>
      </c>
      <c r="AC302" s="69">
        <f t="shared" ref="AC302:AC308" si="106">AA302*Canvas</f>
        <v>14.373333333333335</v>
      </c>
      <c r="AD302" s="107">
        <f>Table1[[#This Row],[Substrate SF]]*Materials!D$37</f>
        <v>98</v>
      </c>
      <c r="AE302" s="104">
        <f>IF(Table1[[#This Row],[Work Center]]="SwissQ",Materials!G$37,IF(Table1[[#This Row],[Work Center]]="Inca",Materials!G$29,IF(Table1[[#This Row],[Work Center]]="Canon",Materials!G$49,Materials!G$45)))</f>
        <v>20</v>
      </c>
      <c r="AF302" s="69">
        <f>'Cali FPS'!C117</f>
        <v>119.7</v>
      </c>
      <c r="AG302" s="83"/>
      <c r="AH302" s="112">
        <f t="shared" ref="AH302:AH308" si="107">(M302*0.05)</f>
        <v>40</v>
      </c>
      <c r="AI302" s="112"/>
      <c r="AJ302" s="48">
        <f t="shared" si="104"/>
        <v>292.07333333333332</v>
      </c>
      <c r="AK302" s="62">
        <f t="shared" si="101"/>
        <v>0.6349083333333333</v>
      </c>
      <c r="AL302" s="225">
        <f>Table1[[#This Row],[WSP/Dealer]]/Table1[[#This Row],[OD Sq Inch]]</f>
        <v>0.34722222222222221</v>
      </c>
      <c r="AM302" s="218">
        <f>Table1[[#This Row],[OD Wdth]]*Table1[[#This Row],[OD Hgt]]</f>
        <v>2304</v>
      </c>
      <c r="AN302" s="216">
        <f>Table1[[#This Row],[Min VO]]+Table1[[#This Row],[Max VO]]</f>
        <v>96</v>
      </c>
      <c r="AO302" s="284"/>
      <c r="AP302" s="284"/>
      <c r="AQ302" s="296"/>
      <c r="AR302" s="296"/>
      <c r="AS302" s="296"/>
      <c r="AT302" s="176"/>
      <c r="AU302" s="1358" t="str">
        <f t="shared" si="95"/>
        <v>-</v>
      </c>
    </row>
    <row r="303" spans="1:47" s="170" customFormat="1" ht="16" x14ac:dyDescent="0.2">
      <c r="A303" s="60" t="s">
        <v>58</v>
      </c>
      <c r="B303" s="1061" t="s">
        <v>587</v>
      </c>
      <c r="C303" s="293" t="s">
        <v>940</v>
      </c>
      <c r="D303" s="281"/>
      <c r="E303" s="294" t="s">
        <v>941</v>
      </c>
      <c r="F303" s="294" t="s">
        <v>124</v>
      </c>
      <c r="G303" s="295" t="s">
        <v>391</v>
      </c>
      <c r="H303" s="295" t="s">
        <v>942</v>
      </c>
      <c r="I303" s="181" t="s">
        <v>52</v>
      </c>
      <c r="J303" s="181" t="s">
        <v>53</v>
      </c>
      <c r="K303" s="295" t="s">
        <v>54</v>
      </c>
      <c r="L303" s="181" t="s">
        <v>55</v>
      </c>
      <c r="M303" s="292">
        <v>1600</v>
      </c>
      <c r="N303" s="639">
        <v>1600</v>
      </c>
      <c r="O303" s="60" t="s">
        <v>64</v>
      </c>
      <c r="P303" s="180">
        <v>72</v>
      </c>
      <c r="Q303" s="180">
        <v>72</v>
      </c>
      <c r="R303" s="60">
        <v>72</v>
      </c>
      <c r="S303" s="60">
        <v>72</v>
      </c>
      <c r="T303" s="273">
        <f>Table1[[#This Row],[VO Wdth]]</f>
        <v>72</v>
      </c>
      <c r="U303" s="273">
        <f>Table1[[#This Row],[VO Hgt]]</f>
        <v>72</v>
      </c>
      <c r="V303" s="608">
        <f>IF(J303="Canvas",P303+Border,P303)</f>
        <v>80</v>
      </c>
      <c r="W303" s="608">
        <f>IF(J303="Canvas",Q303+Border,Q303)</f>
        <v>80</v>
      </c>
      <c r="X303" s="289">
        <v>82</v>
      </c>
      <c r="Y303" s="180"/>
      <c r="Z303" s="180"/>
      <c r="AA303" s="722">
        <f t="shared" si="105"/>
        <v>44.444444444444443</v>
      </c>
      <c r="AB303" s="125">
        <f>AA303*Swiss1</f>
        <v>1257.7777777777778</v>
      </c>
      <c r="AC303" s="69">
        <f t="shared" si="106"/>
        <v>29.333333333333332</v>
      </c>
      <c r="AD303" s="107">
        <f>Table1[[#This Row],[Substrate SF]]*Materials!D$37</f>
        <v>200</v>
      </c>
      <c r="AE303" s="104">
        <f>IF(Table1[[#This Row],[Work Center]]="SwissQ",Materials!G$37,IF(Table1[[#This Row],[Work Center]]="Inca",Materials!G$29,IF(Table1[[#This Row],[Work Center]]="Canon",Materials!G$49,Materials!G$45)))</f>
        <v>20</v>
      </c>
      <c r="AF303" s="69">
        <f>'Cali FPS'!C170</f>
        <v>259.57750000000004</v>
      </c>
      <c r="AG303" s="83"/>
      <c r="AH303" s="498">
        <f t="shared" si="107"/>
        <v>80</v>
      </c>
      <c r="AI303" s="498"/>
      <c r="AJ303" s="69">
        <f t="shared" si="104"/>
        <v>588.91083333333336</v>
      </c>
      <c r="AK303" s="650">
        <f t="shared" si="101"/>
        <v>0.6319307291666667</v>
      </c>
      <c r="AL303" s="225">
        <f>Table1[[#This Row],[WSP/Dealer]]/Table1[[#This Row],[OD Sq Inch]]</f>
        <v>0.30864197530864196</v>
      </c>
      <c r="AM303" s="218">
        <f>Table1[[#This Row],[OD Wdth]]*Table1[[#This Row],[OD Hgt]]</f>
        <v>5184</v>
      </c>
      <c r="AN303" s="216">
        <f>Table1[[#This Row],[Min VO]]+Table1[[#This Row],[Max VO]]</f>
        <v>144</v>
      </c>
      <c r="AO303" s="284"/>
      <c r="AP303" s="284"/>
      <c r="AQ303" s="296"/>
      <c r="AR303" s="296"/>
      <c r="AS303" s="296"/>
      <c r="AT303" s="176"/>
      <c r="AU303" s="1358" t="str">
        <f t="shared" si="95"/>
        <v>-</v>
      </c>
    </row>
    <row r="304" spans="1:47" s="286" customFormat="1" x14ac:dyDescent="0.2">
      <c r="A304" s="551" t="s">
        <v>58</v>
      </c>
      <c r="B304" s="1150" t="s">
        <v>59</v>
      </c>
      <c r="C304" s="878" t="s">
        <v>943</v>
      </c>
      <c r="D304" s="77"/>
      <c r="E304" s="653" t="s">
        <v>944</v>
      </c>
      <c r="F304" s="653" t="s">
        <v>50</v>
      </c>
      <c r="G304" s="551" t="s">
        <v>132</v>
      </c>
      <c r="H304" s="551" t="s">
        <v>132</v>
      </c>
      <c r="I304" s="880" t="s">
        <v>52</v>
      </c>
      <c r="J304" s="879" t="s">
        <v>53</v>
      </c>
      <c r="K304" s="551" t="s">
        <v>54</v>
      </c>
      <c r="L304" s="880" t="s">
        <v>55</v>
      </c>
      <c r="M304" s="857">
        <v>650</v>
      </c>
      <c r="N304" s="896"/>
      <c r="O304" s="551" t="s">
        <v>56</v>
      </c>
      <c r="P304" s="551">
        <v>36</v>
      </c>
      <c r="Q304" s="551">
        <v>48</v>
      </c>
      <c r="R304" s="551">
        <v>36</v>
      </c>
      <c r="S304" s="551">
        <v>48</v>
      </c>
      <c r="T304" s="984">
        <v>36</v>
      </c>
      <c r="U304" s="984">
        <v>48</v>
      </c>
      <c r="V304" s="686">
        <f>Table1[[#This Row],[VO Wdth]]+Materials!$C$7</f>
        <v>38</v>
      </c>
      <c r="W304" s="686">
        <f>Table1[[#This Row],[VO Hgt]]+Materials!$C$7</f>
        <v>50</v>
      </c>
      <c r="X304" s="551">
        <v>40</v>
      </c>
      <c r="Y304" s="551">
        <v>38</v>
      </c>
      <c r="Z304" s="551">
        <v>50</v>
      </c>
      <c r="AA304" s="678">
        <f t="shared" si="105"/>
        <v>13.194444444444445</v>
      </c>
      <c r="AB304" s="125">
        <f>AA304*IncaG</f>
        <v>277.61111111111109</v>
      </c>
      <c r="AC304" s="74">
        <f t="shared" si="106"/>
        <v>8.7083333333333339</v>
      </c>
      <c r="AD304" s="176">
        <f>Table1[[#This Row],[Substrate SF]]*IncaC</f>
        <v>22.20888888888889</v>
      </c>
      <c r="AE304" s="69">
        <f>IF(Table1[[#This Row],[Work Center]]="SwissQ",Materials!G$37,IF(Table1[[#This Row],[Work Center]]="Inca",Materials!G$29,IF(Table1[[#This Row],[Work Center]]="Canon",Materials!G$49,Materials!G$45)))</f>
        <v>8</v>
      </c>
      <c r="AF304" s="71">
        <f>'Cali FPS'!C71</f>
        <v>114.31</v>
      </c>
      <c r="AG304" s="653"/>
      <c r="AH304" s="112">
        <f t="shared" si="107"/>
        <v>32.5</v>
      </c>
      <c r="AI304" s="112"/>
      <c r="AJ304" s="176">
        <f t="shared" si="104"/>
        <v>185.72722222222222</v>
      </c>
      <c r="AK304" s="62">
        <f t="shared" si="101"/>
        <v>0.71426581196581196</v>
      </c>
      <c r="AL304" s="225">
        <f>Table1[[#This Row],[WSP/Dealer]]/Table1[[#This Row],[OD Sq Inch]]</f>
        <v>0.37615740740740738</v>
      </c>
      <c r="AM304" s="180">
        <f>Table1[[#This Row],[OD Wdth]]*Table1[[#This Row],[OD Hgt]]</f>
        <v>1728</v>
      </c>
      <c r="AN304" s="180" t="str">
        <f>Table1[[#This Row],[Color]]</f>
        <v>GW</v>
      </c>
      <c r="AO304" s="653"/>
      <c r="AP304" s="653"/>
      <c r="AQ304" s="864"/>
      <c r="AR304" s="864"/>
      <c r="AS304" s="864"/>
      <c r="AT304" s="863"/>
      <c r="AU304" s="1364" t="str">
        <f t="shared" si="95"/>
        <v>-</v>
      </c>
    </row>
    <row r="305" spans="1:47" s="103" customFormat="1" ht="16" x14ac:dyDescent="0.2">
      <c r="A305" s="68" t="s">
        <v>58</v>
      </c>
      <c r="B305" s="1072" t="s">
        <v>59</v>
      </c>
      <c r="C305" s="627" t="s">
        <v>945</v>
      </c>
      <c r="D305" s="1476" t="s">
        <v>946</v>
      </c>
      <c r="E305" s="84" t="s">
        <v>947</v>
      </c>
      <c r="F305" s="84" t="s">
        <v>50</v>
      </c>
      <c r="G305" s="68" t="s">
        <v>948</v>
      </c>
      <c r="H305" s="68" t="s">
        <v>948</v>
      </c>
      <c r="I305" s="363" t="s">
        <v>52</v>
      </c>
      <c r="J305" s="646" t="s">
        <v>53</v>
      </c>
      <c r="K305" s="68" t="s">
        <v>54</v>
      </c>
      <c r="L305" s="363" t="s">
        <v>55</v>
      </c>
      <c r="M305" s="141">
        <v>950</v>
      </c>
      <c r="N305" s="93"/>
      <c r="O305" s="68" t="s">
        <v>56</v>
      </c>
      <c r="P305" s="68">
        <v>48</v>
      </c>
      <c r="Q305" s="68">
        <v>64</v>
      </c>
      <c r="R305" s="68">
        <v>48</v>
      </c>
      <c r="S305" s="68">
        <v>64</v>
      </c>
      <c r="T305" s="623">
        <v>48</v>
      </c>
      <c r="U305" s="623">
        <v>64</v>
      </c>
      <c r="V305" s="277">
        <f>Table1[[#This Row],[VO Wdth]]+Materials!$C$7</f>
        <v>50</v>
      </c>
      <c r="W305" s="277">
        <f>Table1[[#This Row],[VO Hgt]]+Materials!$C$7</f>
        <v>66</v>
      </c>
      <c r="X305" s="68">
        <v>53</v>
      </c>
      <c r="Y305" s="68">
        <v>50</v>
      </c>
      <c r="Z305" s="68">
        <v>66</v>
      </c>
      <c r="AA305" s="727">
        <f t="shared" si="105"/>
        <v>22.916666666666668</v>
      </c>
      <c r="AB305" s="297">
        <f>AA305*IncaG</f>
        <v>482.16666666666669</v>
      </c>
      <c r="AC305" s="74">
        <f t="shared" si="106"/>
        <v>15.125000000000002</v>
      </c>
      <c r="AD305" s="263">
        <f>Table1[[#This Row],[Substrate SF]]*IncaC</f>
        <v>38.573333333333338</v>
      </c>
      <c r="AE305" s="74">
        <f>IF(Table1[[#This Row],[Work Center]]="SwissQ",Materials!G$37,IF(Table1[[#This Row],[Work Center]]="Inca",Materials!G$29,IF(Table1[[#This Row],[Work Center]]="Canon",Materials!G$49,Materials!G$45)))</f>
        <v>8</v>
      </c>
      <c r="AF305" s="73">
        <f>'Cali FPS'!C121</f>
        <v>188.18</v>
      </c>
      <c r="AG305" s="84"/>
      <c r="AH305" s="67">
        <f t="shared" si="107"/>
        <v>47.5</v>
      </c>
      <c r="AI305" s="67"/>
      <c r="AJ305" s="278">
        <f t="shared" si="104"/>
        <v>297.37833333333333</v>
      </c>
      <c r="AK305" s="661">
        <f t="shared" si="101"/>
        <v>0.68697017543859651</v>
      </c>
      <c r="AL305" s="240">
        <f>Table1[[#This Row],[WSP/Dealer]]/Table1[[#This Row],[OD Sq Inch]]</f>
        <v>0.30924479166666669</v>
      </c>
      <c r="AM305" s="170">
        <f>Table1[[#This Row],[OD Wdth]]*Table1[[#This Row],[OD Hgt]]</f>
        <v>3072</v>
      </c>
      <c r="AN305" s="274" t="str">
        <f>Table1[[#This Row],[Color]]</f>
        <v>GW</v>
      </c>
      <c r="AO305" s="84"/>
      <c r="AP305" s="84"/>
      <c r="AQ305" s="126"/>
      <c r="AR305" s="126"/>
      <c r="AS305" s="126"/>
      <c r="AT305" s="74"/>
      <c r="AU305" s="1357" t="str">
        <f t="shared" si="95"/>
        <v>-</v>
      </c>
    </row>
    <row r="306" spans="1:47" s="119" customFormat="1" ht="16" x14ac:dyDescent="0.2">
      <c r="A306" s="68" t="s">
        <v>58</v>
      </c>
      <c r="B306" s="1072" t="s">
        <v>59</v>
      </c>
      <c r="C306" s="627" t="s">
        <v>949</v>
      </c>
      <c r="D306" s="1476" t="s">
        <v>950</v>
      </c>
      <c r="E306" s="84" t="s">
        <v>947</v>
      </c>
      <c r="F306" s="84" t="s">
        <v>50</v>
      </c>
      <c r="G306" s="68" t="s">
        <v>948</v>
      </c>
      <c r="H306" s="68" t="s">
        <v>951</v>
      </c>
      <c r="I306" s="363" t="s">
        <v>52</v>
      </c>
      <c r="J306" s="646" t="s">
        <v>53</v>
      </c>
      <c r="K306" s="68" t="s">
        <v>69</v>
      </c>
      <c r="L306" s="363" t="s">
        <v>73</v>
      </c>
      <c r="M306" s="141">
        <v>1250</v>
      </c>
      <c r="N306" s="114"/>
      <c r="O306" s="68" t="s">
        <v>56</v>
      </c>
      <c r="P306" s="68">
        <v>48</v>
      </c>
      <c r="Q306" s="68">
        <v>64</v>
      </c>
      <c r="R306" s="68">
        <v>48</v>
      </c>
      <c r="S306" s="63">
        <v>64</v>
      </c>
      <c r="T306" s="623">
        <v>49</v>
      </c>
      <c r="U306" s="623">
        <v>65</v>
      </c>
      <c r="V306" s="277">
        <f>Table1[[#This Row],[VO Wdth]]+Materials!$C$7</f>
        <v>50</v>
      </c>
      <c r="W306" s="277">
        <f>Table1[[#This Row],[VO Hgt]]+Materials!$C$7</f>
        <v>66</v>
      </c>
      <c r="X306" s="68">
        <v>53</v>
      </c>
      <c r="Y306" s="68">
        <v>50</v>
      </c>
      <c r="Z306" s="68">
        <v>66</v>
      </c>
      <c r="AA306" s="727">
        <f t="shared" si="105"/>
        <v>22.916666666666668</v>
      </c>
      <c r="AB306" s="297">
        <f>AA306*IncaG</f>
        <v>482.16666666666669</v>
      </c>
      <c r="AC306" s="74">
        <f t="shared" si="106"/>
        <v>15.125000000000002</v>
      </c>
      <c r="AD306" s="263">
        <f>Table1[[#This Row],[Substrate SF]]*IncaC</f>
        <v>38.573333333333338</v>
      </c>
      <c r="AE306" s="74">
        <f>IF(Table1[[#This Row],[Work Center]]="SwissQ",Materials!G$37,IF(Table1[[#This Row],[Work Center]]="Inca",Materials!G$29,IF(Table1[[#This Row],[Work Center]]="Canon",Materials!G$49,Materials!G$45)))</f>
        <v>8</v>
      </c>
      <c r="AF306" s="102">
        <f>'Cali Frames'!D471</f>
        <v>233</v>
      </c>
      <c r="AG306" s="115"/>
      <c r="AH306" s="67">
        <f t="shared" si="107"/>
        <v>62.5</v>
      </c>
      <c r="AI306" s="67"/>
      <c r="AJ306" s="278">
        <f t="shared" si="104"/>
        <v>357.19833333333332</v>
      </c>
      <c r="AK306" s="661">
        <f t="shared" si="101"/>
        <v>0.71424133333333339</v>
      </c>
      <c r="AL306" s="240">
        <f>Table1[[#This Row],[WSP/Dealer]]/Table1[[#This Row],[OD Sq Inch]]</f>
        <v>0.39246467817896391</v>
      </c>
      <c r="AM306" s="170">
        <f>Table1[[#This Row],[OD Wdth]]*Table1[[#This Row],[OD Hgt]]</f>
        <v>3185</v>
      </c>
      <c r="AN306" s="274" t="str">
        <f>Table1[[#This Row],[Color]]</f>
        <v>NF</v>
      </c>
      <c r="AO306" s="115"/>
      <c r="AP306" s="115"/>
      <c r="AQ306" s="121"/>
      <c r="AR306" s="121"/>
      <c r="AS306" s="121"/>
      <c r="AT306" s="104"/>
      <c r="AU306" s="1359" t="str">
        <f t="shared" si="95"/>
        <v>-</v>
      </c>
    </row>
    <row r="307" spans="1:47" s="119" customFormat="1" ht="16" x14ac:dyDescent="0.2">
      <c r="A307" s="68" t="s">
        <v>58</v>
      </c>
      <c r="B307" s="1072" t="s">
        <v>59</v>
      </c>
      <c r="C307" s="627" t="s">
        <v>952</v>
      </c>
      <c r="D307" s="1476" t="s">
        <v>953</v>
      </c>
      <c r="E307" s="84" t="s">
        <v>947</v>
      </c>
      <c r="F307" s="84" t="s">
        <v>50</v>
      </c>
      <c r="G307" s="68" t="s">
        <v>948</v>
      </c>
      <c r="H307" s="68" t="s">
        <v>951</v>
      </c>
      <c r="I307" s="363" t="s">
        <v>52</v>
      </c>
      <c r="J307" s="646" t="s">
        <v>53</v>
      </c>
      <c r="K307" s="68" t="s">
        <v>69</v>
      </c>
      <c r="L307" s="363" t="s">
        <v>76</v>
      </c>
      <c r="M307" s="141">
        <v>1250</v>
      </c>
      <c r="N307" s="114"/>
      <c r="O307" s="68" t="s">
        <v>56</v>
      </c>
      <c r="P307" s="68">
        <v>48</v>
      </c>
      <c r="Q307" s="68">
        <v>64</v>
      </c>
      <c r="R307" s="68">
        <v>48</v>
      </c>
      <c r="S307" s="68">
        <v>64</v>
      </c>
      <c r="T307" s="65">
        <v>49</v>
      </c>
      <c r="U307" s="65">
        <v>65</v>
      </c>
      <c r="V307" s="277">
        <f>Table1[[#This Row],[VO Wdth]]+Materials!$C$7</f>
        <v>50</v>
      </c>
      <c r="W307" s="277">
        <f>Table1[[#This Row],[VO Hgt]]+Materials!$C$7</f>
        <v>66</v>
      </c>
      <c r="X307" s="68">
        <v>53</v>
      </c>
      <c r="Y307" s="68">
        <v>50</v>
      </c>
      <c r="Z307" s="68">
        <v>66</v>
      </c>
      <c r="AA307" s="727">
        <f t="shared" si="105"/>
        <v>22.916666666666668</v>
      </c>
      <c r="AB307" s="297">
        <f>AA307*IncaG</f>
        <v>482.16666666666669</v>
      </c>
      <c r="AC307" s="74">
        <f t="shared" si="106"/>
        <v>15.125000000000002</v>
      </c>
      <c r="AD307" s="263">
        <f>Table1[[#This Row],[Substrate SF]]*IncaC</f>
        <v>38.573333333333338</v>
      </c>
      <c r="AE307" s="74">
        <f>IF(Table1[[#This Row],[Work Center]]="SwissQ",Materials!G$37,IF(Table1[[#This Row],[Work Center]]="Inca",Materials!G$29,IF(Table1[[#This Row],[Work Center]]="Canon",Materials!G$49,Materials!G$45)))</f>
        <v>8</v>
      </c>
      <c r="AF307" s="102">
        <f>'Cali Frames'!D382</f>
        <v>260</v>
      </c>
      <c r="AG307" s="115"/>
      <c r="AH307" s="67">
        <f t="shared" si="107"/>
        <v>62.5</v>
      </c>
      <c r="AI307" s="67"/>
      <c r="AJ307" s="263">
        <f t="shared" si="104"/>
        <v>384.19833333333332</v>
      </c>
      <c r="AK307" s="661">
        <f t="shared" si="101"/>
        <v>0.69264133333333344</v>
      </c>
      <c r="AL307" s="240">
        <f>Table1[[#This Row],[WSP/Dealer]]/Table1[[#This Row],[OD Sq Inch]]</f>
        <v>0.39246467817896391</v>
      </c>
      <c r="AM307" s="170">
        <f>Table1[[#This Row],[OD Wdth]]*Table1[[#This Row],[OD Hgt]]</f>
        <v>3185</v>
      </c>
      <c r="AN307" s="274" t="str">
        <f>Table1[[#This Row],[Color]]</f>
        <v>GF</v>
      </c>
      <c r="AO307" s="115"/>
      <c r="AP307" s="115"/>
      <c r="AQ307" s="121"/>
      <c r="AR307" s="121"/>
      <c r="AS307" s="121"/>
      <c r="AT307" s="104"/>
      <c r="AU307" s="1359" t="str">
        <f t="shared" si="95"/>
        <v>-</v>
      </c>
    </row>
    <row r="308" spans="1:47" s="103" customFormat="1" ht="16" x14ac:dyDescent="0.2">
      <c r="A308" s="68" t="s">
        <v>58</v>
      </c>
      <c r="B308" s="1072" t="s">
        <v>59</v>
      </c>
      <c r="C308" s="627" t="s">
        <v>954</v>
      </c>
      <c r="D308" s="1476" t="s">
        <v>955</v>
      </c>
      <c r="E308" s="84" t="s">
        <v>947</v>
      </c>
      <c r="F308" s="84" t="s">
        <v>50</v>
      </c>
      <c r="G308" s="68" t="s">
        <v>948</v>
      </c>
      <c r="H308" s="68" t="s">
        <v>951</v>
      </c>
      <c r="I308" s="363" t="s">
        <v>52</v>
      </c>
      <c r="J308" s="646" t="s">
        <v>53</v>
      </c>
      <c r="K308" s="68" t="s">
        <v>69</v>
      </c>
      <c r="L308" s="363" t="s">
        <v>70</v>
      </c>
      <c r="M308" s="141">
        <v>1250</v>
      </c>
      <c r="N308" s="114"/>
      <c r="O308" s="68" t="s">
        <v>56</v>
      </c>
      <c r="P308" s="68">
        <v>48</v>
      </c>
      <c r="Q308" s="68">
        <v>64</v>
      </c>
      <c r="R308" s="68">
        <v>48</v>
      </c>
      <c r="S308" s="68">
        <v>64</v>
      </c>
      <c r="T308" s="65">
        <v>49</v>
      </c>
      <c r="U308" s="65">
        <v>65</v>
      </c>
      <c r="V308" s="277">
        <f>Table1[[#This Row],[VO Wdth]]+Materials!$C$7</f>
        <v>50</v>
      </c>
      <c r="W308" s="277">
        <f>Table1[[#This Row],[VO Hgt]]+Materials!$C$7</f>
        <v>66</v>
      </c>
      <c r="X308" s="68">
        <v>53</v>
      </c>
      <c r="Y308" s="68">
        <v>50</v>
      </c>
      <c r="Z308" s="68">
        <v>66</v>
      </c>
      <c r="AA308" s="727">
        <f t="shared" si="105"/>
        <v>22.916666666666668</v>
      </c>
      <c r="AB308" s="297">
        <f>AA308*IncaG</f>
        <v>482.16666666666669</v>
      </c>
      <c r="AC308" s="74">
        <f t="shared" si="106"/>
        <v>15.125000000000002</v>
      </c>
      <c r="AD308" s="263">
        <f>Table1[[#This Row],[Substrate SF]]*IncaC</f>
        <v>38.573333333333338</v>
      </c>
      <c r="AE308" s="74">
        <f>IF(Table1[[#This Row],[Work Center]]="SwissQ",Materials!G$37,IF(Table1[[#This Row],[Work Center]]="Inca",Materials!G$29,IF(Table1[[#This Row],[Work Center]]="Canon",Materials!G$49,Materials!G$45)))</f>
        <v>8</v>
      </c>
      <c r="AF308" s="102">
        <f>'Cali Frames'!D336</f>
        <v>245</v>
      </c>
      <c r="AG308" s="115"/>
      <c r="AH308" s="74">
        <f t="shared" si="107"/>
        <v>62.5</v>
      </c>
      <c r="AI308" s="74"/>
      <c r="AJ308" s="263">
        <f t="shared" si="104"/>
        <v>369.19833333333332</v>
      </c>
      <c r="AK308" s="1001">
        <f t="shared" si="101"/>
        <v>0.70464133333333334</v>
      </c>
      <c r="AL308" s="240">
        <f>Table1[[#This Row],[WSP/Dealer]]/Table1[[#This Row],[OD Sq Inch]]</f>
        <v>0.39246467817896391</v>
      </c>
      <c r="AM308" s="170">
        <f>Table1[[#This Row],[OD Wdth]]*Table1[[#This Row],[OD Hgt]]</f>
        <v>3185</v>
      </c>
      <c r="AN308" s="274" t="str">
        <f>Table1[[#This Row],[Color]]</f>
        <v>BF</v>
      </c>
      <c r="AO308" s="115"/>
      <c r="AP308" s="115"/>
      <c r="AQ308" s="121"/>
      <c r="AR308" s="121"/>
      <c r="AS308" s="121"/>
      <c r="AT308" s="104"/>
      <c r="AU308" s="1359" t="str">
        <f t="shared" si="95"/>
        <v>-</v>
      </c>
    </row>
    <row r="309" spans="1:47" s="170" customFormat="1" hidden="1" x14ac:dyDescent="0.2">
      <c r="A309" s="68" t="s">
        <v>101</v>
      </c>
      <c r="B309" s="1072" t="s">
        <v>102</v>
      </c>
      <c r="C309" s="627" t="s">
        <v>956</v>
      </c>
      <c r="D309" s="94"/>
      <c r="E309" s="84" t="s">
        <v>957</v>
      </c>
      <c r="F309" s="84" t="s">
        <v>105</v>
      </c>
      <c r="G309" s="68" t="s">
        <v>519</v>
      </c>
      <c r="H309" s="68" t="s">
        <v>519</v>
      </c>
      <c r="I309" s="363" t="s">
        <v>108</v>
      </c>
      <c r="J309" s="646" t="s">
        <v>53</v>
      </c>
      <c r="K309" s="68" t="s">
        <v>119</v>
      </c>
      <c r="L309" s="363" t="s">
        <v>120</v>
      </c>
      <c r="M309" s="141">
        <v>177</v>
      </c>
      <c r="N309" s="93"/>
      <c r="O309" s="68" t="s">
        <v>109</v>
      </c>
      <c r="P309" s="68">
        <v>16</v>
      </c>
      <c r="Q309" s="68">
        <v>20</v>
      </c>
      <c r="R309" s="68">
        <v>16</v>
      </c>
      <c r="S309" s="68">
        <v>20</v>
      </c>
      <c r="T309" s="623">
        <v>16</v>
      </c>
      <c r="U309" s="623">
        <v>20</v>
      </c>
      <c r="V309" s="277">
        <f>Table1[[#This Row],[VO Wdth]]+Materials!$C$7</f>
        <v>18</v>
      </c>
      <c r="W309" s="277">
        <f>Table1[[#This Row],[VO Hgt]]+Materials!$C$7</f>
        <v>22</v>
      </c>
      <c r="X309" s="68">
        <v>40</v>
      </c>
      <c r="Y309" s="686">
        <f>Table1[[#This Row],[Print Wth]]</f>
        <v>18</v>
      </c>
      <c r="Z309" s="686">
        <f>Table1[[#This Row],[Print Ht]]</f>
        <v>22</v>
      </c>
      <c r="AA309" s="1027">
        <f>Table1[[#This Row],[Cut Width]]*Table1[[#This Row],[Cut Height]]/144</f>
        <v>2.75</v>
      </c>
      <c r="AB309" s="1130">
        <f>Table1[[#This Row],[Print Wth]]*Table1[[#This Row],[Print Ht]]/144*EPSONM</f>
        <v>12.375</v>
      </c>
      <c r="AC309" s="278">
        <f>Table1[[#This Row],[Substrate SF]]*Canvas</f>
        <v>1.8150000000000002</v>
      </c>
      <c r="AD309" s="263">
        <f>Table1[[#This Row],[Ink g/mL]]*EPSONC</f>
        <v>2.7225000000000001</v>
      </c>
      <c r="AE309" s="74">
        <f>IF(Table1[[#This Row],[Work Center]]="SwissQ",Materials!G$37,IF(Table1[[#This Row],[Work Center]]="Inca",Materials!G$29,IF(Table1[[#This Row],[Work Center]]="Canon",Materials!G$49,Materials!G$45)))</f>
        <v>5</v>
      </c>
      <c r="AF309" s="73">
        <f>'Cali FPS'!C191</f>
        <v>78.89</v>
      </c>
      <c r="AG309" s="84"/>
      <c r="AH309" s="67">
        <v>0</v>
      </c>
      <c r="AI309" s="67"/>
      <c r="AJ309" s="278">
        <f t="shared" si="104"/>
        <v>88.427500000000009</v>
      </c>
      <c r="AK309" s="661">
        <f t="shared" si="101"/>
        <v>0.50040960451977401</v>
      </c>
      <c r="AL309" s="240">
        <f>Table1[[#This Row],[WSP/Dealer]]/Table1[[#This Row],[OD Sq Inch]]</f>
        <v>0.55312499999999998</v>
      </c>
      <c r="AM309" s="170">
        <f>Table1[[#This Row],[OD Wdth]]*Table1[[#This Row],[OD Hgt]]</f>
        <v>320</v>
      </c>
      <c r="AN309" s="274" t="str">
        <f>Table1[[#This Row],[Color]]</f>
        <v>GT</v>
      </c>
      <c r="AO309" s="84"/>
      <c r="AP309" s="84"/>
      <c r="AQ309" s="126"/>
      <c r="AR309" s="126"/>
      <c r="AS309" s="126"/>
      <c r="AT309" s="74"/>
      <c r="AU309" s="1357" t="str">
        <f t="shared" si="95"/>
        <v>-</v>
      </c>
    </row>
    <row r="310" spans="1:47" s="170" customFormat="1" hidden="1" x14ac:dyDescent="0.2">
      <c r="A310" s="68" t="s">
        <v>187</v>
      </c>
      <c r="B310" s="1061" t="s">
        <v>261</v>
      </c>
      <c r="C310" s="436" t="s">
        <v>958</v>
      </c>
      <c r="D310" s="94"/>
      <c r="E310" s="436" t="s">
        <v>959</v>
      </c>
      <c r="F310" s="275" t="s">
        <v>960</v>
      </c>
      <c r="G310" s="258" t="s">
        <v>519</v>
      </c>
      <c r="H310" s="68" t="s">
        <v>520</v>
      </c>
      <c r="I310" s="258" t="s">
        <v>256</v>
      </c>
      <c r="J310" s="140" t="s">
        <v>257</v>
      </c>
      <c r="K310" s="436" t="s">
        <v>265</v>
      </c>
      <c r="L310" s="68" t="s">
        <v>259</v>
      </c>
      <c r="M310" s="420">
        <v>550</v>
      </c>
      <c r="N310" s="71"/>
      <c r="O310" s="274" t="s">
        <v>260</v>
      </c>
      <c r="P310" s="68">
        <v>16</v>
      </c>
      <c r="Q310" s="68">
        <v>20</v>
      </c>
      <c r="R310" s="68">
        <v>16</v>
      </c>
      <c r="S310" s="68">
        <v>20</v>
      </c>
      <c r="T310" s="623">
        <v>18</v>
      </c>
      <c r="U310" s="623">
        <v>22</v>
      </c>
      <c r="V310" s="277">
        <f>Table1[[#This Row],[VO Wdth]]+Materials!$C$7</f>
        <v>18</v>
      </c>
      <c r="W310" s="277">
        <f>Table1[[#This Row],[VO Hgt]]+Materials!$C$7</f>
        <v>22</v>
      </c>
      <c r="X310" s="189" t="s">
        <v>257</v>
      </c>
      <c r="Y310" s="68"/>
      <c r="Z310" s="68"/>
      <c r="AA310" s="699">
        <f t="shared" ref="AA310:AA329" si="108">V310*W310/144</f>
        <v>2.75</v>
      </c>
      <c r="AB310" s="341">
        <f>AA310*CanonC</f>
        <v>0.74250000000000005</v>
      </c>
      <c r="AC310" s="74">
        <f>Table1[[#This Row],[Substrate SF]]*POster</f>
        <v>2.0459999999999998</v>
      </c>
      <c r="AD310" s="263">
        <f>Table1[[#This Row],[Substrate SF]]*CanonC</f>
        <v>0.74250000000000005</v>
      </c>
      <c r="AE310" s="74">
        <f>IF(Table1[[#This Row],[Work Center]]="SwissQ",Materials!G$37,IF(Table1[[#This Row],[Work Center]]="Inca",Materials!G$29,IF(Table1[[#This Row],[Work Center]]="Canon",Materials!G$49,Materials!G$45)))</f>
        <v>7</v>
      </c>
      <c r="AF310" s="73">
        <f>'Cali Frames'!D22</f>
        <v>82.44</v>
      </c>
      <c r="AG310" s="126"/>
      <c r="AH310" s="498">
        <f>(M310*0.05)</f>
        <v>27.5</v>
      </c>
      <c r="AI310" s="498"/>
      <c r="AJ310" s="263">
        <f t="shared" si="104"/>
        <v>119.7285</v>
      </c>
      <c r="AK310" s="650">
        <f t="shared" si="101"/>
        <v>0.78231181818181816</v>
      </c>
      <c r="AL310" s="225">
        <f>Table1[[#This Row],[WSP/Dealer]]/Table1[[#This Row],[OD Sq Inch]]</f>
        <v>1.3888888888888888</v>
      </c>
      <c r="AM310" s="170">
        <f>Table1[[#This Row],[OD Wdth]]*Table1[[#This Row],[OD Hgt]]</f>
        <v>396</v>
      </c>
      <c r="AN310" s="84"/>
      <c r="AO310" s="84"/>
      <c r="AP310" s="84"/>
      <c r="AQ310" s="126"/>
      <c r="AR310" s="126"/>
      <c r="AS310" s="126"/>
      <c r="AT310" s="74"/>
      <c r="AU310" s="1357" t="str">
        <f t="shared" si="95"/>
        <v>-</v>
      </c>
    </row>
    <row r="311" spans="1:47" s="119" customFormat="1" hidden="1" x14ac:dyDescent="0.2">
      <c r="A311" s="68" t="s">
        <v>187</v>
      </c>
      <c r="B311" s="1061" t="s">
        <v>261</v>
      </c>
      <c r="C311" s="436" t="s">
        <v>961</v>
      </c>
      <c r="D311" s="94"/>
      <c r="E311" s="436" t="s">
        <v>959</v>
      </c>
      <c r="F311" s="275" t="s">
        <v>960</v>
      </c>
      <c r="G311" s="258" t="s">
        <v>519</v>
      </c>
      <c r="H311" s="68" t="s">
        <v>520</v>
      </c>
      <c r="I311" s="258" t="s">
        <v>256</v>
      </c>
      <c r="J311" s="140" t="s">
        <v>257</v>
      </c>
      <c r="K311" s="436" t="s">
        <v>268</v>
      </c>
      <c r="L311" s="68" t="s">
        <v>269</v>
      </c>
      <c r="M311" s="420">
        <v>550</v>
      </c>
      <c r="N311" s="71"/>
      <c r="O311" s="274" t="s">
        <v>260</v>
      </c>
      <c r="P311" s="68">
        <v>16</v>
      </c>
      <c r="Q311" s="68">
        <v>20</v>
      </c>
      <c r="R311" s="68">
        <v>16</v>
      </c>
      <c r="S311" s="68">
        <v>20</v>
      </c>
      <c r="T311" s="623">
        <v>18</v>
      </c>
      <c r="U311" s="623">
        <v>22</v>
      </c>
      <c r="V311" s="686">
        <f>Table1[[#This Row],[VO Wdth]]+Materials!$C$7</f>
        <v>18</v>
      </c>
      <c r="W311" s="686">
        <f>Table1[[#This Row],[VO Hgt]]+Materials!$C$7</f>
        <v>22</v>
      </c>
      <c r="X311" s="68" t="s">
        <v>257</v>
      </c>
      <c r="Y311" s="68"/>
      <c r="Z311" s="68"/>
      <c r="AA311" s="699">
        <f t="shared" si="108"/>
        <v>2.75</v>
      </c>
      <c r="AB311" s="341">
        <f>AA311*CanonC</f>
        <v>0.74250000000000005</v>
      </c>
      <c r="AC311" s="74">
        <f>Table1[[#This Row],[Substrate SF]]*POster</f>
        <v>2.0459999999999998</v>
      </c>
      <c r="AD311" s="263">
        <f>Table1[[#This Row],[Substrate SF]]*CanonC</f>
        <v>0.74250000000000005</v>
      </c>
      <c r="AE311" s="74">
        <f>IF(Table1[[#This Row],[Work Center]]="SwissQ",Materials!G$37,IF(Table1[[#This Row],[Work Center]]="Inca",Materials!G$29,IF(Table1[[#This Row],[Work Center]]="Canon",Materials!G$49,Materials!G$45)))</f>
        <v>7</v>
      </c>
      <c r="AF311" s="73">
        <f>'Cali Frames'!D60</f>
        <v>71.837499999999991</v>
      </c>
      <c r="AG311" s="126"/>
      <c r="AH311" s="498">
        <f>(M311*0.05)</f>
        <v>27.5</v>
      </c>
      <c r="AI311" s="498"/>
      <c r="AJ311" s="278">
        <f t="shared" si="104"/>
        <v>109.12599999999999</v>
      </c>
      <c r="AK311" s="650">
        <f t="shared" ref="AK311:AK342" si="109">(M311-AJ311)/M311</f>
        <v>0.80158909090909092</v>
      </c>
      <c r="AL311" s="225">
        <f>Table1[[#This Row],[WSP/Dealer]]/Table1[[#This Row],[OD Sq Inch]]</f>
        <v>1.3888888888888888</v>
      </c>
      <c r="AM311" s="274">
        <f>Table1[[#This Row],[OD Wdth]]*Table1[[#This Row],[OD Hgt]]</f>
        <v>396</v>
      </c>
      <c r="AN311" s="84"/>
      <c r="AO311" s="84"/>
      <c r="AP311" s="84"/>
      <c r="AQ311" s="126"/>
      <c r="AR311" s="126"/>
      <c r="AS311" s="126"/>
      <c r="AT311" s="74"/>
      <c r="AU311" s="1357" t="str">
        <f t="shared" si="95"/>
        <v>-</v>
      </c>
    </row>
    <row r="312" spans="1:47" hidden="1" x14ac:dyDescent="0.2">
      <c r="A312" s="68" t="s">
        <v>187</v>
      </c>
      <c r="B312" s="1061" t="s">
        <v>261</v>
      </c>
      <c r="C312" s="436" t="s">
        <v>962</v>
      </c>
      <c r="D312" s="94"/>
      <c r="E312" s="436" t="s">
        <v>959</v>
      </c>
      <c r="F312" s="275" t="s">
        <v>960</v>
      </c>
      <c r="G312" s="258" t="s">
        <v>519</v>
      </c>
      <c r="H312" s="258" t="s">
        <v>519</v>
      </c>
      <c r="I312" s="258" t="s">
        <v>256</v>
      </c>
      <c r="J312" s="140" t="s">
        <v>257</v>
      </c>
      <c r="K312" s="436" t="s">
        <v>198</v>
      </c>
      <c r="L312" s="68" t="s">
        <v>199</v>
      </c>
      <c r="M312" s="420">
        <v>400</v>
      </c>
      <c r="N312" s="71"/>
      <c r="O312" s="274" t="s">
        <v>260</v>
      </c>
      <c r="P312" s="68">
        <v>16</v>
      </c>
      <c r="Q312" s="68">
        <v>20</v>
      </c>
      <c r="R312" s="68">
        <v>16</v>
      </c>
      <c r="S312" s="68">
        <v>20</v>
      </c>
      <c r="T312" s="623">
        <v>18</v>
      </c>
      <c r="U312" s="623">
        <v>22</v>
      </c>
      <c r="V312" s="686">
        <f>Table1[[#This Row],[VO Wdth]]+Materials!$C$7</f>
        <v>18</v>
      </c>
      <c r="W312" s="686">
        <f>Table1[[#This Row],[VO Hgt]]+Materials!$C$7</f>
        <v>22</v>
      </c>
      <c r="X312" s="189" t="s">
        <v>257</v>
      </c>
      <c r="Y312" s="68"/>
      <c r="Z312" s="68"/>
      <c r="AA312" s="699">
        <f t="shared" si="108"/>
        <v>2.75</v>
      </c>
      <c r="AB312" s="341">
        <f>AA312*CanonC</f>
        <v>0.74250000000000005</v>
      </c>
      <c r="AC312" s="74">
        <f>Table1[[#This Row],[Substrate SF]]*POster</f>
        <v>2.0459999999999998</v>
      </c>
      <c r="AD312" s="263">
        <f>Table1[[#This Row],[Substrate SF]]*CanonC</f>
        <v>0.74250000000000005</v>
      </c>
      <c r="AE312" s="74">
        <f>IF(Table1[[#This Row],[Work Center]]="SwissQ",Materials!G$37,IF(Table1[[#This Row],[Work Center]]="Inca",Materials!G$29,IF(Table1[[#This Row],[Work Center]]="Canon",Materials!G$49,Materials!G$45)))</f>
        <v>7</v>
      </c>
      <c r="AF312" s="73">
        <v>0</v>
      </c>
      <c r="AG312" s="126">
        <f>Materials!D$76</f>
        <v>10.82</v>
      </c>
      <c r="AH312" s="498">
        <f>(M312*0.05)</f>
        <v>20</v>
      </c>
      <c r="AI312" s="498"/>
      <c r="AJ312" s="278">
        <f t="shared" si="104"/>
        <v>40.608499999999999</v>
      </c>
      <c r="AK312" s="650">
        <f t="shared" si="109"/>
        <v>0.89847874999999999</v>
      </c>
      <c r="AL312" s="225">
        <f>Table1[[#This Row],[WSP/Dealer]]/Table1[[#This Row],[OD Sq Inch]]</f>
        <v>1.0101010101010102</v>
      </c>
      <c r="AM312" s="274">
        <f>Table1[[#This Row],[OD Wdth]]*Table1[[#This Row],[OD Hgt]]</f>
        <v>396</v>
      </c>
      <c r="AN312" s="84"/>
      <c r="AO312" s="84"/>
      <c r="AP312" s="84"/>
      <c r="AQ312" s="126"/>
      <c r="AR312" s="126"/>
      <c r="AS312" s="126"/>
      <c r="AT312" s="74"/>
      <c r="AU312" s="1357" t="str">
        <f t="shared" si="95"/>
        <v>-</v>
      </c>
    </row>
    <row r="313" spans="1:47" s="220" customFormat="1" hidden="1" x14ac:dyDescent="0.2">
      <c r="A313" s="101"/>
      <c r="B313" s="1061"/>
      <c r="C313" s="77" t="s">
        <v>963</v>
      </c>
      <c r="D313" s="168"/>
      <c r="E313" s="115" t="s">
        <v>964</v>
      </c>
      <c r="F313" s="115" t="s">
        <v>960</v>
      </c>
      <c r="G313" s="101" t="s">
        <v>965</v>
      </c>
      <c r="H313" s="101"/>
      <c r="I313" s="60" t="s">
        <v>108</v>
      </c>
      <c r="J313" s="59" t="s">
        <v>257</v>
      </c>
      <c r="K313" s="101" t="s">
        <v>258</v>
      </c>
      <c r="L313" s="101" t="s">
        <v>259</v>
      </c>
      <c r="M313" s="299">
        <v>225</v>
      </c>
      <c r="N313" s="71"/>
      <c r="O313" s="101" t="s">
        <v>260</v>
      </c>
      <c r="P313" s="60">
        <v>18</v>
      </c>
      <c r="Q313" s="60">
        <v>24</v>
      </c>
      <c r="R313" s="60">
        <v>18</v>
      </c>
      <c r="S313" s="46">
        <v>24</v>
      </c>
      <c r="T313" s="101">
        <v>20</v>
      </c>
      <c r="U313" s="101">
        <v>26</v>
      </c>
      <c r="V313" s="47">
        <f>Table1[[#This Row],[VO Wdth]]+Materials!$C$50</f>
        <v>20</v>
      </c>
      <c r="W313" s="47">
        <f>Table1[[#This Row],[VO Hgt]]+Materials!$C$50</f>
        <v>26</v>
      </c>
      <c r="X313" s="137" t="s">
        <v>257</v>
      </c>
      <c r="Y313" s="101"/>
      <c r="Z313" s="101"/>
      <c r="AA313" s="717">
        <f t="shared" si="108"/>
        <v>3.6111111111111112</v>
      </c>
      <c r="AB313" s="125">
        <f>AA313*canonML</f>
        <v>17.333333333333332</v>
      </c>
      <c r="AC313" s="69">
        <f>Table1[[#This Row],[Print Wth]]*paper60</f>
        <v>6.8000000000000007</v>
      </c>
      <c r="AD313" s="48">
        <f>Table1[[#This Row],[Ink g/mL]]*CanonC</f>
        <v>4.68</v>
      </c>
      <c r="AE313" s="104">
        <f>IF(Table1[[#This Row],[Work Center]]="SwissQ",Materials!G$37,IF(Table1[[#This Row],[Work Center]]="Inca",Materials!G$29,IF(Table1[[#This Row],[Work Center]]="Canon",Materials!G$49,Materials!G$45)))</f>
        <v>7</v>
      </c>
      <c r="AF313" s="102">
        <f>'Cali Frames'!D26</f>
        <v>86.87</v>
      </c>
      <c r="AG313" s="121"/>
      <c r="AH313" s="498">
        <f>(M313*0.05)</f>
        <v>11.25</v>
      </c>
      <c r="AI313" s="498"/>
      <c r="AJ313" s="104">
        <f t="shared" si="104"/>
        <v>116.60000000000001</v>
      </c>
      <c r="AK313" s="650">
        <f t="shared" si="109"/>
        <v>0.48177777777777775</v>
      </c>
      <c r="AL313" s="225" t="e">
        <f>Table1[[#This Row],[WSP/Dealer]]/Table1[[#This Row],[OD Sq Inch]]</f>
        <v>#DIV/0!</v>
      </c>
      <c r="AM313" s="113"/>
      <c r="AN313" s="216">
        <f>Table1[[#This Row],[Min VO]]+Table1[[#This Row],[Max VO]]</f>
        <v>42</v>
      </c>
      <c r="AO313" s="115"/>
      <c r="AP313" s="115"/>
      <c r="AQ313" s="121"/>
      <c r="AR313" s="121"/>
      <c r="AS313" s="121"/>
      <c r="AT313" s="104"/>
      <c r="AU313" s="1359" t="str">
        <f t="shared" si="95"/>
        <v>-</v>
      </c>
    </row>
    <row r="314" spans="1:47" s="171" customFormat="1" hidden="1" x14ac:dyDescent="0.2">
      <c r="A314" s="101"/>
      <c r="B314" s="1061"/>
      <c r="C314" s="77" t="s">
        <v>966</v>
      </c>
      <c r="D314" s="168"/>
      <c r="E314" s="115" t="s">
        <v>964</v>
      </c>
      <c r="F314" s="115" t="s">
        <v>960</v>
      </c>
      <c r="G314" s="101" t="s">
        <v>965</v>
      </c>
      <c r="H314" s="101"/>
      <c r="I314" s="60" t="s">
        <v>108</v>
      </c>
      <c r="J314" s="59" t="s">
        <v>257</v>
      </c>
      <c r="K314" s="101" t="s">
        <v>258</v>
      </c>
      <c r="L314" s="101" t="s">
        <v>269</v>
      </c>
      <c r="M314" s="299">
        <v>300</v>
      </c>
      <c r="N314" s="71"/>
      <c r="O314" s="101" t="s">
        <v>260</v>
      </c>
      <c r="P314" s="60">
        <v>18</v>
      </c>
      <c r="Q314" s="60">
        <v>24</v>
      </c>
      <c r="R314" s="60">
        <v>18</v>
      </c>
      <c r="S314" s="60">
        <v>24</v>
      </c>
      <c r="T314" s="101">
        <v>20</v>
      </c>
      <c r="U314" s="101">
        <v>26</v>
      </c>
      <c r="V314" s="47">
        <f>Table1[[#This Row],[VO Wdth]]+Materials!$C$50</f>
        <v>20</v>
      </c>
      <c r="W314" s="47">
        <f>Table1[[#This Row],[VO Hgt]]+Materials!$C$50</f>
        <v>26</v>
      </c>
      <c r="X314" s="137" t="s">
        <v>257</v>
      </c>
      <c r="Y314" s="101"/>
      <c r="Z314" s="101"/>
      <c r="AA314" s="717">
        <f t="shared" si="108"/>
        <v>3.6111111111111112</v>
      </c>
      <c r="AB314" s="125">
        <f>AA314*canonML</f>
        <v>17.333333333333332</v>
      </c>
      <c r="AC314" s="69">
        <f>Table1[[#This Row],[Print Wth]]*paper60</f>
        <v>6.8000000000000007</v>
      </c>
      <c r="AD314" s="48">
        <f>Table1[[#This Row],[Ink g/mL]]*CanonC</f>
        <v>4.68</v>
      </c>
      <c r="AE314" s="104">
        <f>IF(Table1[[#This Row],[Work Center]]="SwissQ",Materials!G$37,IF(Table1[[#This Row],[Work Center]]="Inca",Materials!G$29,IF(Table1[[#This Row],[Work Center]]="Canon",Materials!G$49,Materials!G$45)))</f>
        <v>7</v>
      </c>
      <c r="AF314" s="102">
        <f>'Cali Frames'!D62</f>
        <v>99.592500000000001</v>
      </c>
      <c r="AG314" s="121"/>
      <c r="AH314" s="112">
        <f>(M314*0.05)</f>
        <v>15</v>
      </c>
      <c r="AI314" s="112"/>
      <c r="AJ314" s="107">
        <f t="shared" si="104"/>
        <v>133.07249999999999</v>
      </c>
      <c r="AK314" s="62">
        <f t="shared" si="109"/>
        <v>0.55642500000000006</v>
      </c>
      <c r="AL314" s="225" t="e">
        <f>Table1[[#This Row],[WSP/Dealer]]/Table1[[#This Row],[OD Sq Inch]]</f>
        <v>#DIV/0!</v>
      </c>
      <c r="AM314" s="113"/>
      <c r="AN314" s="216">
        <f>Table1[[#This Row],[Min VO]]+Table1[[#This Row],[Max VO]]</f>
        <v>42</v>
      </c>
      <c r="AO314" s="115"/>
      <c r="AP314" s="115"/>
      <c r="AQ314" s="121"/>
      <c r="AR314" s="121"/>
      <c r="AS314" s="121"/>
      <c r="AT314" s="104"/>
      <c r="AU314" s="1359" t="str">
        <f t="shared" si="95"/>
        <v>-</v>
      </c>
    </row>
    <row r="315" spans="1:47" s="171" customFormat="1" hidden="1" x14ac:dyDescent="0.2">
      <c r="A315" s="274" t="s">
        <v>187</v>
      </c>
      <c r="B315" s="1061" t="s">
        <v>801</v>
      </c>
      <c r="C315" s="317" t="s">
        <v>967</v>
      </c>
      <c r="D315" s="323"/>
      <c r="E315" s="275" t="s">
        <v>968</v>
      </c>
      <c r="F315" s="275" t="s">
        <v>105</v>
      </c>
      <c r="G315" s="68" t="s">
        <v>519</v>
      </c>
      <c r="H315" s="68" t="s">
        <v>519</v>
      </c>
      <c r="I315" s="68" t="s">
        <v>52</v>
      </c>
      <c r="J315" s="140" t="s">
        <v>53</v>
      </c>
      <c r="K315" s="68" t="s">
        <v>54</v>
      </c>
      <c r="L315" s="68" t="s">
        <v>55</v>
      </c>
      <c r="M315" s="93">
        <v>300</v>
      </c>
      <c r="N315" s="93"/>
      <c r="O315" s="68" t="s">
        <v>575</v>
      </c>
      <c r="P315" s="68">
        <v>16</v>
      </c>
      <c r="Q315" s="68">
        <v>20</v>
      </c>
      <c r="R315" s="68">
        <v>16</v>
      </c>
      <c r="S315" s="68">
        <v>20</v>
      </c>
      <c r="T315" s="63">
        <v>16</v>
      </c>
      <c r="U315" s="63">
        <v>20</v>
      </c>
      <c r="V315" s="66">
        <f>Table1[[#This Row],[VO Wdth]]+Materials!$C$50</f>
        <v>18</v>
      </c>
      <c r="W315" s="66">
        <f>Table1[[#This Row],[VO Hgt]]+Materials!$C$50</f>
        <v>22</v>
      </c>
      <c r="X315" s="68">
        <v>40</v>
      </c>
      <c r="Y315" s="68">
        <v>18</v>
      </c>
      <c r="Z315" s="68">
        <v>22</v>
      </c>
      <c r="AA315" s="699">
        <f t="shared" si="108"/>
        <v>2.75</v>
      </c>
      <c r="AB315" s="341">
        <f t="shared" ref="AB315:AB322" si="110">AA315*SWISSMLR*3</f>
        <v>16.5</v>
      </c>
      <c r="AC315" s="74">
        <f t="shared" ref="AC315:AD322" si="111">AA315*Canvas</f>
        <v>1.8150000000000002</v>
      </c>
      <c r="AD315" s="67">
        <f t="shared" si="111"/>
        <v>10.89</v>
      </c>
      <c r="AE315" s="428">
        <f>IF(Table1[[#This Row],[Work Center]]="SwissQ",Materials!G$37,IF(Table1[[#This Row],[Work Center]]="Inca",Materials!G$29,IF(Table1[[#This Row],[Work Center]]="Canon",Materials!G$49,Materials!G$45)))</f>
        <v>5</v>
      </c>
      <c r="AF315" s="321">
        <f>'Cali FPS'!C18</f>
        <v>61.15</v>
      </c>
      <c r="AG315" s="275"/>
      <c r="AH315" s="67">
        <v>0</v>
      </c>
      <c r="AI315" s="67"/>
      <c r="AJ315" s="263">
        <f t="shared" si="104"/>
        <v>78.85499999999999</v>
      </c>
      <c r="AK315" s="661">
        <f t="shared" si="109"/>
        <v>0.73715000000000008</v>
      </c>
      <c r="AL315" s="240">
        <f>Table1[[#This Row],[WSP/Dealer]]/Table1[[#This Row],[OD Sq Inch]]</f>
        <v>0.9375</v>
      </c>
      <c r="AM315" s="170">
        <f>Table1[[#This Row],[OD Wdth]]*Table1[[#This Row],[OD Hgt]]</f>
        <v>320</v>
      </c>
      <c r="AN315" s="274">
        <f>Table1[[#This Row],[Min VO]]+Table1[[#This Row],[Max VO]]</f>
        <v>36</v>
      </c>
      <c r="AO315" s="275"/>
      <c r="AP315" s="320"/>
      <c r="AQ315" s="320"/>
      <c r="AR315" s="320"/>
      <c r="AS315" s="320"/>
      <c r="AT315" s="278"/>
      <c r="AU315" s="1368" t="str">
        <f t="shared" si="95"/>
        <v>-</v>
      </c>
    </row>
    <row r="316" spans="1:47" s="171" customFormat="1" hidden="1" x14ac:dyDescent="0.2">
      <c r="A316" s="274" t="s">
        <v>187</v>
      </c>
      <c r="B316" s="1061" t="s">
        <v>801</v>
      </c>
      <c r="C316" s="94" t="s">
        <v>969</v>
      </c>
      <c r="D316" s="100"/>
      <c r="E316" s="275" t="s">
        <v>968</v>
      </c>
      <c r="F316" s="275" t="s">
        <v>105</v>
      </c>
      <c r="G316" s="68" t="s">
        <v>519</v>
      </c>
      <c r="H316" s="68" t="s">
        <v>519</v>
      </c>
      <c r="I316" s="68" t="s">
        <v>52</v>
      </c>
      <c r="J316" s="140" t="s">
        <v>53</v>
      </c>
      <c r="K316" s="68" t="s">
        <v>119</v>
      </c>
      <c r="L316" s="68" t="s">
        <v>120</v>
      </c>
      <c r="M316" s="93">
        <v>375</v>
      </c>
      <c r="N316" s="93"/>
      <c r="O316" s="68" t="s">
        <v>575</v>
      </c>
      <c r="P316" s="68">
        <v>16</v>
      </c>
      <c r="Q316" s="68">
        <v>20</v>
      </c>
      <c r="R316" s="68">
        <v>16</v>
      </c>
      <c r="S316" s="68">
        <v>20</v>
      </c>
      <c r="T316" s="68">
        <v>16</v>
      </c>
      <c r="U316" s="68">
        <v>20</v>
      </c>
      <c r="V316" s="917">
        <f>Table1[[#This Row],[VO Wdth]]+Materials!$C$50</f>
        <v>18</v>
      </c>
      <c r="W316" s="917">
        <f>Table1[[#This Row],[VO Hgt]]+Materials!$C$50</f>
        <v>22</v>
      </c>
      <c r="X316" s="68">
        <v>40</v>
      </c>
      <c r="Y316" s="68">
        <v>18</v>
      </c>
      <c r="Z316" s="68">
        <v>22</v>
      </c>
      <c r="AA316" s="699">
        <f t="shared" si="108"/>
        <v>2.75</v>
      </c>
      <c r="AB316" s="341">
        <f t="shared" si="110"/>
        <v>16.5</v>
      </c>
      <c r="AC316" s="74">
        <f t="shared" si="111"/>
        <v>1.8150000000000002</v>
      </c>
      <c r="AD316" s="74">
        <f t="shared" si="111"/>
        <v>10.89</v>
      </c>
      <c r="AE316" s="278">
        <f>IF(Table1[[#This Row],[Work Center]]="SwissQ",Materials!G$37,IF(Table1[[#This Row],[Work Center]]="Inca",Materials!G$29,IF(Table1[[#This Row],[Work Center]]="Canon",Materials!G$49,Materials!G$45)))</f>
        <v>5</v>
      </c>
      <c r="AF316" s="73">
        <f>'Cali FPS'!C191</f>
        <v>78.89</v>
      </c>
      <c r="AG316" s="115"/>
      <c r="AH316" s="74">
        <v>0</v>
      </c>
      <c r="AI316" s="74"/>
      <c r="AJ316" s="278">
        <f t="shared" si="104"/>
        <v>96.594999999999999</v>
      </c>
      <c r="AK316" s="1001">
        <f t="shared" si="109"/>
        <v>0.74241333333333326</v>
      </c>
      <c r="AL316" s="240">
        <f>Table1[[#This Row],[WSP/Dealer]]/Table1[[#This Row],[OD Sq Inch]]</f>
        <v>1.171875</v>
      </c>
      <c r="AM316" s="274">
        <f>Table1[[#This Row],[OD Wdth]]*Table1[[#This Row],[OD Hgt]]</f>
        <v>320</v>
      </c>
      <c r="AN316" s="274">
        <f>Table1[[#This Row],[Min VO]]+Table1[[#This Row],[Max VO]]</f>
        <v>36</v>
      </c>
      <c r="AO316" s="115"/>
      <c r="AP316" s="121"/>
      <c r="AQ316" s="121"/>
      <c r="AR316" s="121"/>
      <c r="AS316" s="121"/>
      <c r="AT316" s="104"/>
      <c r="AU316" s="1359" t="str">
        <f t="shared" si="95"/>
        <v>-</v>
      </c>
    </row>
    <row r="317" spans="1:47" s="171" customFormat="1" hidden="1" x14ac:dyDescent="0.2">
      <c r="A317" s="274" t="s">
        <v>187</v>
      </c>
      <c r="B317" s="1061" t="s">
        <v>801</v>
      </c>
      <c r="C317" s="94" t="s">
        <v>970</v>
      </c>
      <c r="D317" s="100"/>
      <c r="E317" s="275" t="s">
        <v>968</v>
      </c>
      <c r="F317" s="275" t="s">
        <v>105</v>
      </c>
      <c r="G317" s="68" t="s">
        <v>519</v>
      </c>
      <c r="H317" s="68" t="s">
        <v>688</v>
      </c>
      <c r="I317" s="68" t="s">
        <v>52</v>
      </c>
      <c r="J317" s="140" t="s">
        <v>53</v>
      </c>
      <c r="K317" s="68" t="s">
        <v>69</v>
      </c>
      <c r="L317" s="68" t="s">
        <v>73</v>
      </c>
      <c r="M317" s="93">
        <v>400</v>
      </c>
      <c r="N317" s="93"/>
      <c r="O317" s="68" t="s">
        <v>575</v>
      </c>
      <c r="P317" s="68">
        <v>16</v>
      </c>
      <c r="Q317" s="68">
        <v>20</v>
      </c>
      <c r="R317" s="68">
        <v>16</v>
      </c>
      <c r="S317" s="68">
        <v>20</v>
      </c>
      <c r="T317" s="68">
        <v>17</v>
      </c>
      <c r="U317" s="68">
        <v>21</v>
      </c>
      <c r="V317" s="917">
        <f>Table1[[#This Row],[VO Wdth]]+Materials!$C$50</f>
        <v>18</v>
      </c>
      <c r="W317" s="917">
        <f>Table1[[#This Row],[VO Hgt]]+Materials!$C$50</f>
        <v>22</v>
      </c>
      <c r="X317" s="68">
        <v>40</v>
      </c>
      <c r="Y317" s="68">
        <v>18</v>
      </c>
      <c r="Z317" s="68">
        <v>22</v>
      </c>
      <c r="AA317" s="699">
        <f t="shared" si="108"/>
        <v>2.75</v>
      </c>
      <c r="AB317" s="341">
        <f t="shared" si="110"/>
        <v>16.5</v>
      </c>
      <c r="AC317" s="74">
        <f t="shared" si="111"/>
        <v>1.8150000000000002</v>
      </c>
      <c r="AD317" s="67">
        <f t="shared" si="111"/>
        <v>10.89</v>
      </c>
      <c r="AE317" s="428">
        <f>IF(Table1[[#This Row],[Work Center]]="SwissQ",Materials!G$37,IF(Table1[[#This Row],[Work Center]]="Inca",Materials!G$29,IF(Table1[[#This Row],[Work Center]]="Canon",Materials!G$49,Materials!G$45)))</f>
        <v>5</v>
      </c>
      <c r="AF317" s="102">
        <f>'Cali Frames'!D414</f>
        <v>89.83</v>
      </c>
      <c r="AG317" s="115"/>
      <c r="AH317" s="67">
        <v>0</v>
      </c>
      <c r="AI317" s="67"/>
      <c r="AJ317" s="263">
        <f t="shared" si="104"/>
        <v>107.535</v>
      </c>
      <c r="AK317" s="661">
        <f t="shared" si="109"/>
        <v>0.73116250000000005</v>
      </c>
      <c r="AL317" s="240">
        <f>Table1[[#This Row],[WSP/Dealer]]/Table1[[#This Row],[OD Sq Inch]]</f>
        <v>1.1204481792717087</v>
      </c>
      <c r="AM317" s="170">
        <f>Table1[[#This Row],[OD Wdth]]*Table1[[#This Row],[OD Hgt]]</f>
        <v>357</v>
      </c>
      <c r="AN317" s="274">
        <f>Table1[[#This Row],[Min VO]]+Table1[[#This Row],[Max VO]]</f>
        <v>36</v>
      </c>
      <c r="AO317" s="115"/>
      <c r="AP317" s="121"/>
      <c r="AQ317" s="121"/>
      <c r="AR317" s="121"/>
      <c r="AS317" s="121"/>
      <c r="AT317" s="104"/>
      <c r="AU317" s="1359" t="str">
        <f t="shared" si="95"/>
        <v>-</v>
      </c>
    </row>
    <row r="318" spans="1:47" s="171" customFormat="1" hidden="1" x14ac:dyDescent="0.2">
      <c r="A318" s="274" t="s">
        <v>187</v>
      </c>
      <c r="B318" s="1061" t="s">
        <v>801</v>
      </c>
      <c r="C318" s="94" t="s">
        <v>971</v>
      </c>
      <c r="D318" s="100"/>
      <c r="E318" s="275" t="s">
        <v>968</v>
      </c>
      <c r="F318" s="275" t="s">
        <v>105</v>
      </c>
      <c r="G318" s="68" t="s">
        <v>519</v>
      </c>
      <c r="H318" s="68" t="s">
        <v>688</v>
      </c>
      <c r="I318" s="68" t="s">
        <v>52</v>
      </c>
      <c r="J318" s="140" t="s">
        <v>53</v>
      </c>
      <c r="K318" s="68" t="s">
        <v>69</v>
      </c>
      <c r="L318" s="68" t="s">
        <v>315</v>
      </c>
      <c r="M318" s="93">
        <v>475</v>
      </c>
      <c r="N318" s="93"/>
      <c r="O318" s="68" t="s">
        <v>575</v>
      </c>
      <c r="P318" s="68">
        <v>16</v>
      </c>
      <c r="Q318" s="68">
        <v>20</v>
      </c>
      <c r="R318" s="68">
        <v>16</v>
      </c>
      <c r="S318" s="68">
        <v>20</v>
      </c>
      <c r="T318" s="68">
        <v>17</v>
      </c>
      <c r="U318" s="68">
        <v>21</v>
      </c>
      <c r="V318" s="66">
        <f>Table1[[#This Row],[VO Wdth]]+Materials!$C$50</f>
        <v>18</v>
      </c>
      <c r="W318" s="66">
        <f>Table1[[#This Row],[VO Hgt]]+Materials!$C$50</f>
        <v>22</v>
      </c>
      <c r="X318" s="68">
        <v>40</v>
      </c>
      <c r="Y318" s="68">
        <v>18</v>
      </c>
      <c r="Z318" s="68">
        <v>22</v>
      </c>
      <c r="AA318" s="699">
        <f t="shared" si="108"/>
        <v>2.75</v>
      </c>
      <c r="AB318" s="341">
        <f t="shared" si="110"/>
        <v>16.5</v>
      </c>
      <c r="AC318" s="74">
        <f t="shared" si="111"/>
        <v>1.8150000000000002</v>
      </c>
      <c r="AD318" s="67">
        <f t="shared" si="111"/>
        <v>10.89</v>
      </c>
      <c r="AE318" s="428">
        <f>IF(Table1[[#This Row],[Work Center]]="SwissQ",Materials!G$37,IF(Table1[[#This Row],[Work Center]]="Inca",Materials!G$29,IF(Table1[[#This Row],[Work Center]]="Canon",Materials!G$49,Materials!G$45)))</f>
        <v>5</v>
      </c>
      <c r="AF318" s="102">
        <f>'Cali Frames'!D504</f>
        <v>83.25</v>
      </c>
      <c r="AG318" s="115"/>
      <c r="AH318" s="74">
        <v>0</v>
      </c>
      <c r="AI318" s="67"/>
      <c r="AJ318" s="278">
        <f t="shared" si="104"/>
        <v>100.955</v>
      </c>
      <c r="AK318" s="1001">
        <f t="shared" si="109"/>
        <v>0.78746315789473686</v>
      </c>
      <c r="AL318" s="240">
        <f>Table1[[#This Row],[WSP/Dealer]]/Table1[[#This Row],[OD Sq Inch]]</f>
        <v>1.330532212885154</v>
      </c>
      <c r="AM318" s="170">
        <f>Table1[[#This Row],[OD Wdth]]*Table1[[#This Row],[OD Hgt]]</f>
        <v>357</v>
      </c>
      <c r="AN318" s="274">
        <f>Table1[[#This Row],[Min VO]]+Table1[[#This Row],[Max VO]]</f>
        <v>36</v>
      </c>
      <c r="AO318" s="115"/>
      <c r="AP318" s="121"/>
      <c r="AQ318" s="121"/>
      <c r="AR318" s="121"/>
      <c r="AS318" s="121"/>
      <c r="AT318" s="104"/>
      <c r="AU318" s="1359" t="str">
        <f t="shared" si="95"/>
        <v>-</v>
      </c>
    </row>
    <row r="319" spans="1:47" s="171" customFormat="1" hidden="1" x14ac:dyDescent="0.2">
      <c r="A319" s="274" t="s">
        <v>187</v>
      </c>
      <c r="B319" s="1061" t="s">
        <v>801</v>
      </c>
      <c r="C319" s="94" t="s">
        <v>972</v>
      </c>
      <c r="D319" s="100"/>
      <c r="E319" s="275" t="s">
        <v>968</v>
      </c>
      <c r="F319" s="275" t="s">
        <v>105</v>
      </c>
      <c r="G319" s="68" t="s">
        <v>519</v>
      </c>
      <c r="H319" s="68" t="s">
        <v>688</v>
      </c>
      <c r="I319" s="68" t="s">
        <v>52</v>
      </c>
      <c r="J319" s="140" t="s">
        <v>53</v>
      </c>
      <c r="K319" s="68" t="s">
        <v>69</v>
      </c>
      <c r="L319" s="68" t="s">
        <v>70</v>
      </c>
      <c r="M319" s="93">
        <v>400</v>
      </c>
      <c r="N319" s="93"/>
      <c r="O319" s="68" t="s">
        <v>575</v>
      </c>
      <c r="P319" s="68">
        <v>16</v>
      </c>
      <c r="Q319" s="68">
        <v>20</v>
      </c>
      <c r="R319" s="68">
        <v>16</v>
      </c>
      <c r="S319" s="68">
        <v>20</v>
      </c>
      <c r="T319" s="68">
        <v>17</v>
      </c>
      <c r="U319" s="68">
        <v>21</v>
      </c>
      <c r="V319" s="917">
        <f>Table1[[#This Row],[VO Wdth]]+Materials!$C$50</f>
        <v>18</v>
      </c>
      <c r="W319" s="917">
        <f>Table1[[#This Row],[VO Hgt]]+Materials!$C$50</f>
        <v>22</v>
      </c>
      <c r="X319" s="68">
        <v>40</v>
      </c>
      <c r="Y319" s="68">
        <v>18</v>
      </c>
      <c r="Z319" s="68">
        <v>22</v>
      </c>
      <c r="AA319" s="699">
        <f t="shared" si="108"/>
        <v>2.75</v>
      </c>
      <c r="AB319" s="341">
        <f t="shared" si="110"/>
        <v>16.5</v>
      </c>
      <c r="AC319" s="74">
        <f t="shared" si="111"/>
        <v>1.8150000000000002</v>
      </c>
      <c r="AD319" s="67">
        <f t="shared" si="111"/>
        <v>10.89</v>
      </c>
      <c r="AE319" s="278">
        <f>IF(Table1[[#This Row],[Work Center]]="SwissQ",Materials!G$37,IF(Table1[[#This Row],[Work Center]]="Inca",Materials!G$29,IF(Table1[[#This Row],[Work Center]]="Canon",Materials!G$49,Materials!G$45)))</f>
        <v>5</v>
      </c>
      <c r="AF319" s="102">
        <f>'Cali Frames'!D267</f>
        <v>82.757499999999993</v>
      </c>
      <c r="AG319" s="115"/>
      <c r="AH319" s="74">
        <v>0</v>
      </c>
      <c r="AI319" s="74"/>
      <c r="AJ319" s="278">
        <f t="shared" si="104"/>
        <v>100.46249999999999</v>
      </c>
      <c r="AK319" s="1001">
        <f t="shared" si="109"/>
        <v>0.74884375000000003</v>
      </c>
      <c r="AL319" s="240">
        <f>Table1[[#This Row],[WSP/Dealer]]/Table1[[#This Row],[OD Sq Inch]]</f>
        <v>1.1204481792717087</v>
      </c>
      <c r="AM319" s="170">
        <f>Table1[[#This Row],[OD Wdth]]*Table1[[#This Row],[OD Hgt]]</f>
        <v>357</v>
      </c>
      <c r="AN319" s="274">
        <f>Table1[[#This Row],[Min VO]]+Table1[[#This Row],[Max VO]]</f>
        <v>36</v>
      </c>
      <c r="AO319" s="115"/>
      <c r="AP319" s="121"/>
      <c r="AQ319" s="121"/>
      <c r="AR319" s="121"/>
      <c r="AS319" s="121"/>
      <c r="AT319" s="104"/>
      <c r="AU319" s="1359" t="str">
        <f t="shared" si="95"/>
        <v>-</v>
      </c>
    </row>
    <row r="320" spans="1:47" s="171" customFormat="1" hidden="1" x14ac:dyDescent="0.2">
      <c r="A320" s="274" t="s">
        <v>187</v>
      </c>
      <c r="B320" s="1061" t="s">
        <v>801</v>
      </c>
      <c r="C320" s="94" t="s">
        <v>973</v>
      </c>
      <c r="D320" s="100"/>
      <c r="E320" s="275" t="s">
        <v>968</v>
      </c>
      <c r="F320" s="275" t="s">
        <v>105</v>
      </c>
      <c r="G320" s="68" t="s">
        <v>519</v>
      </c>
      <c r="H320" s="68" t="s">
        <v>974</v>
      </c>
      <c r="I320" s="68" t="s">
        <v>52</v>
      </c>
      <c r="J320" s="140" t="s">
        <v>53</v>
      </c>
      <c r="K320" s="68" t="s">
        <v>82</v>
      </c>
      <c r="L320" s="68" t="s">
        <v>334</v>
      </c>
      <c r="M320" s="93">
        <v>400</v>
      </c>
      <c r="N320" s="93"/>
      <c r="O320" s="68" t="s">
        <v>575</v>
      </c>
      <c r="P320" s="68">
        <v>16</v>
      </c>
      <c r="Q320" s="68">
        <v>20</v>
      </c>
      <c r="R320" s="68">
        <v>16</v>
      </c>
      <c r="S320" s="68">
        <v>20</v>
      </c>
      <c r="T320" s="68">
        <v>18</v>
      </c>
      <c r="U320" s="68">
        <v>22</v>
      </c>
      <c r="V320" s="66">
        <f>Table1[[#This Row],[VO Wdth]]+Materials!$C$50</f>
        <v>18</v>
      </c>
      <c r="W320" s="66">
        <f>Table1[[#This Row],[VO Hgt]]+Materials!$C$50</f>
        <v>22</v>
      </c>
      <c r="X320" s="68">
        <v>40</v>
      </c>
      <c r="Y320" s="68">
        <v>18</v>
      </c>
      <c r="Z320" s="68">
        <v>22</v>
      </c>
      <c r="AA320" s="699">
        <f t="shared" si="108"/>
        <v>2.75</v>
      </c>
      <c r="AB320" s="341">
        <f t="shared" si="110"/>
        <v>16.5</v>
      </c>
      <c r="AC320" s="74">
        <f t="shared" si="111"/>
        <v>1.8150000000000002</v>
      </c>
      <c r="AD320" s="67">
        <f t="shared" si="111"/>
        <v>10.89</v>
      </c>
      <c r="AE320" s="278">
        <f>IF(Table1[[#This Row],[Work Center]]="SwissQ",Materials!G$37,IF(Table1[[#This Row],[Work Center]]="Inca",Materials!G$29,IF(Table1[[#This Row],[Work Center]]="Canon",Materials!G$49,Materials!G$45)))</f>
        <v>5</v>
      </c>
      <c r="AF320" s="102">
        <f>'Cali Frames'!D207</f>
        <v>75</v>
      </c>
      <c r="AG320" s="115"/>
      <c r="AH320" s="74">
        <v>0</v>
      </c>
      <c r="AI320" s="74"/>
      <c r="AJ320" s="278">
        <f t="shared" si="104"/>
        <v>92.704999999999998</v>
      </c>
      <c r="AK320" s="1001">
        <f t="shared" si="109"/>
        <v>0.76823750000000002</v>
      </c>
      <c r="AL320" s="240">
        <f>Table1[[#This Row],[WSP/Dealer]]/Table1[[#This Row],[OD Sq Inch]]</f>
        <v>1.0101010101010102</v>
      </c>
      <c r="AM320" s="170">
        <f>Table1[[#This Row],[OD Wdth]]*Table1[[#This Row],[OD Hgt]]</f>
        <v>396</v>
      </c>
      <c r="AN320" s="274">
        <f>Table1[[#This Row],[Min VO]]+Table1[[#This Row],[Max VO]]</f>
        <v>36</v>
      </c>
      <c r="AO320" s="115"/>
      <c r="AP320" s="121"/>
      <c r="AQ320" s="121"/>
      <c r="AR320" s="121"/>
      <c r="AS320" s="121"/>
      <c r="AT320" s="104"/>
      <c r="AU320" s="1359" t="str">
        <f t="shared" si="95"/>
        <v>-</v>
      </c>
    </row>
    <row r="321" spans="1:53" s="877" customFormat="1" hidden="1" x14ac:dyDescent="0.2">
      <c r="A321" s="274" t="s">
        <v>187</v>
      </c>
      <c r="B321" s="1061" t="s">
        <v>801</v>
      </c>
      <c r="C321" s="94" t="s">
        <v>975</v>
      </c>
      <c r="D321" s="1745"/>
      <c r="E321" s="275" t="s">
        <v>968</v>
      </c>
      <c r="F321" s="275" t="s">
        <v>105</v>
      </c>
      <c r="G321" s="68" t="s">
        <v>519</v>
      </c>
      <c r="H321" s="68" t="s">
        <v>974</v>
      </c>
      <c r="I321" s="68" t="s">
        <v>52</v>
      </c>
      <c r="J321" s="140" t="s">
        <v>53</v>
      </c>
      <c r="K321" s="68" t="s">
        <v>82</v>
      </c>
      <c r="L321" s="68" t="s">
        <v>83</v>
      </c>
      <c r="M321" s="93">
        <v>400</v>
      </c>
      <c r="N321" s="93"/>
      <c r="O321" s="68" t="s">
        <v>575</v>
      </c>
      <c r="P321" s="68">
        <v>16</v>
      </c>
      <c r="Q321" s="68">
        <v>20</v>
      </c>
      <c r="R321" s="68">
        <v>16</v>
      </c>
      <c r="S321" s="68">
        <v>20</v>
      </c>
      <c r="T321" s="68">
        <v>18</v>
      </c>
      <c r="U321" s="68">
        <v>22</v>
      </c>
      <c r="V321" s="66">
        <f>Table1[[#This Row],[VO Wdth]]+Materials!$C$50</f>
        <v>18</v>
      </c>
      <c r="W321" s="66">
        <f>Table1[[#This Row],[VO Hgt]]+Materials!$C$50</f>
        <v>22</v>
      </c>
      <c r="X321" s="68">
        <v>40</v>
      </c>
      <c r="Y321" s="68">
        <v>18</v>
      </c>
      <c r="Z321" s="68">
        <v>22</v>
      </c>
      <c r="AA321" s="699">
        <f t="shared" si="108"/>
        <v>2.75</v>
      </c>
      <c r="AB321" s="341">
        <f t="shared" si="110"/>
        <v>16.5</v>
      </c>
      <c r="AC321" s="74">
        <f t="shared" si="111"/>
        <v>1.8150000000000002</v>
      </c>
      <c r="AD321" s="67">
        <f t="shared" si="111"/>
        <v>10.89</v>
      </c>
      <c r="AE321" s="428">
        <f>IF(Table1[[#This Row],[Work Center]]="SwissQ",Materials!G$37,IF(Table1[[#This Row],[Work Center]]="Inca",Materials!G$29,IF(Table1[[#This Row],[Work Center]]="Canon",Materials!G$49,Materials!G$45)))</f>
        <v>5</v>
      </c>
      <c r="AF321" s="102">
        <f>'Cali Frames'!D113</f>
        <v>90.07</v>
      </c>
      <c r="AG321" s="115"/>
      <c r="AH321" s="67">
        <v>0</v>
      </c>
      <c r="AI321" s="67"/>
      <c r="AJ321" s="278">
        <f t="shared" si="104"/>
        <v>107.77499999999999</v>
      </c>
      <c r="AK321" s="661">
        <f t="shared" si="109"/>
        <v>0.7305625</v>
      </c>
      <c r="AL321" s="240">
        <f>Table1[[#This Row],[WSP/Dealer]]/Table1[[#This Row],[OD Sq Inch]]</f>
        <v>1.0101010101010102</v>
      </c>
      <c r="AM321" s="170">
        <f>Table1[[#This Row],[OD Wdth]]*Table1[[#This Row],[OD Hgt]]</f>
        <v>396</v>
      </c>
      <c r="AN321" s="274">
        <f>Table1[[#This Row],[Min VO]]+Table1[[#This Row],[Max VO]]</f>
        <v>36</v>
      </c>
      <c r="AO321" s="115"/>
      <c r="AP321" s="121"/>
      <c r="AQ321" s="121"/>
      <c r="AR321" s="121"/>
      <c r="AS321" s="121"/>
      <c r="AT321" s="104"/>
      <c r="AU321" s="1359" t="str">
        <f t="shared" si="95"/>
        <v>-</v>
      </c>
    </row>
    <row r="322" spans="1:53" s="46" customFormat="1" hidden="1" x14ac:dyDescent="0.2">
      <c r="A322" s="274" t="s">
        <v>187</v>
      </c>
      <c r="B322" s="1061" t="s">
        <v>801</v>
      </c>
      <c r="C322" s="94" t="s">
        <v>976</v>
      </c>
      <c r="D322" s="1745"/>
      <c r="E322" s="275" t="s">
        <v>968</v>
      </c>
      <c r="F322" s="275" t="s">
        <v>105</v>
      </c>
      <c r="G322" s="68" t="s">
        <v>519</v>
      </c>
      <c r="H322" s="68" t="s">
        <v>517</v>
      </c>
      <c r="I322" s="68" t="s">
        <v>52</v>
      </c>
      <c r="J322" s="140" t="s">
        <v>53</v>
      </c>
      <c r="K322" s="68" t="s">
        <v>814</v>
      </c>
      <c r="L322" s="68" t="s">
        <v>815</v>
      </c>
      <c r="M322" s="93">
        <v>500</v>
      </c>
      <c r="N322" s="93"/>
      <c r="O322" s="68" t="s">
        <v>575</v>
      </c>
      <c r="P322" s="68">
        <v>16</v>
      </c>
      <c r="Q322" s="68">
        <v>20</v>
      </c>
      <c r="R322" s="68">
        <v>16</v>
      </c>
      <c r="S322" s="68">
        <v>20</v>
      </c>
      <c r="T322" s="68">
        <v>19</v>
      </c>
      <c r="U322" s="68">
        <v>23</v>
      </c>
      <c r="V322" s="66">
        <f>Table1[[#This Row],[VO Wdth]]+Materials!$C$50</f>
        <v>18</v>
      </c>
      <c r="W322" s="66">
        <f>Table1[[#This Row],[VO Hgt]]+Materials!$C$50</f>
        <v>22</v>
      </c>
      <c r="X322" s="68">
        <v>40</v>
      </c>
      <c r="Y322" s="68">
        <v>18</v>
      </c>
      <c r="Z322" s="68">
        <v>22</v>
      </c>
      <c r="AA322" s="699">
        <f t="shared" si="108"/>
        <v>2.75</v>
      </c>
      <c r="AB322" s="341">
        <f t="shared" si="110"/>
        <v>16.5</v>
      </c>
      <c r="AC322" s="74">
        <f t="shared" si="111"/>
        <v>1.8150000000000002</v>
      </c>
      <c r="AD322" s="67">
        <f t="shared" si="111"/>
        <v>10.89</v>
      </c>
      <c r="AE322" s="278">
        <f>IF(Table1[[#This Row],[Work Center]]="SwissQ",Materials!G$37,IF(Table1[[#This Row],[Work Center]]="Inca",Materials!G$29,IF(Table1[[#This Row],[Work Center]]="Canon",Materials!G$49,Materials!G$45)))</f>
        <v>5</v>
      </c>
      <c r="AF322" s="102">
        <f>'Cali Frames'!D193</f>
        <v>126.35</v>
      </c>
      <c r="AG322" s="115"/>
      <c r="AH322" s="67">
        <v>0</v>
      </c>
      <c r="AI322" s="67"/>
      <c r="AJ322" s="278">
        <f t="shared" si="104"/>
        <v>144.05500000000001</v>
      </c>
      <c r="AK322" s="661">
        <f t="shared" si="109"/>
        <v>0.71189000000000002</v>
      </c>
      <c r="AL322" s="240">
        <f>Table1[[#This Row],[WSP/Dealer]]/Table1[[#This Row],[OD Sq Inch]]</f>
        <v>1.1441647597254005</v>
      </c>
      <c r="AM322" s="170">
        <f>Table1[[#This Row],[OD Wdth]]*Table1[[#This Row],[OD Hgt]]</f>
        <v>437</v>
      </c>
      <c r="AN322" s="274">
        <f>Table1[[#This Row],[Min VO]]+Table1[[#This Row],[Max VO]]</f>
        <v>36</v>
      </c>
      <c r="AO322" s="115"/>
      <c r="AP322" s="121"/>
      <c r="AQ322" s="121"/>
      <c r="AR322" s="121"/>
      <c r="AS322" s="121"/>
      <c r="AT322" s="104"/>
      <c r="AU322" s="1359" t="str">
        <f t="shared" ref="AU322:AU385" si="112">IF(AQ322=0,"-",(AQ322-AT322)/AQ322)</f>
        <v>-</v>
      </c>
    </row>
    <row r="323" spans="1:53" s="46" customFormat="1" hidden="1" x14ac:dyDescent="0.2">
      <c r="A323" s="470" t="s">
        <v>318</v>
      </c>
      <c r="B323" s="279" t="s">
        <v>96</v>
      </c>
      <c r="C323" s="79" t="s">
        <v>977</v>
      </c>
      <c r="D323" s="1558">
        <v>176005</v>
      </c>
      <c r="E323" s="83" t="s">
        <v>978</v>
      </c>
      <c r="F323" s="83" t="s">
        <v>105</v>
      </c>
      <c r="G323" s="60" t="s">
        <v>731</v>
      </c>
      <c r="H323" s="60" t="s">
        <v>732</v>
      </c>
      <c r="I323" s="60" t="s">
        <v>52</v>
      </c>
      <c r="J323" s="59" t="s">
        <v>53</v>
      </c>
      <c r="K323" s="60" t="s">
        <v>69</v>
      </c>
      <c r="L323" s="60" t="s">
        <v>315</v>
      </c>
      <c r="M323" s="544">
        <v>375</v>
      </c>
      <c r="N323" s="786">
        <v>900</v>
      </c>
      <c r="O323" s="60" t="s">
        <v>575</v>
      </c>
      <c r="P323" s="60">
        <v>30</v>
      </c>
      <c r="Q323" s="60">
        <v>20</v>
      </c>
      <c r="R323" s="60">
        <v>20</v>
      </c>
      <c r="S323" s="60">
        <v>30</v>
      </c>
      <c r="T323" s="60">
        <v>31</v>
      </c>
      <c r="U323" s="60">
        <v>21</v>
      </c>
      <c r="V323" s="913">
        <f>IF(J323="Canvas",P323+Border,P323)</f>
        <v>38</v>
      </c>
      <c r="W323" s="913">
        <f>IF(J323="Canvas",Q323+Border,Q323)</f>
        <v>28</v>
      </c>
      <c r="X323" s="138"/>
      <c r="Y323" s="60">
        <v>38</v>
      </c>
      <c r="Z323" s="60">
        <v>28</v>
      </c>
      <c r="AA323" s="717">
        <f t="shared" si="108"/>
        <v>7.3888888888888893</v>
      </c>
      <c r="AB323" s="125">
        <f>AA323*Swiss1</f>
        <v>209.10555555555558</v>
      </c>
      <c r="AC323" s="69">
        <f>AA323*Canvas</f>
        <v>4.8766666666666669</v>
      </c>
      <c r="AD323" s="176">
        <f>Table1[[#This Row],[Substrate SF]]*SWISSC1</f>
        <v>20.68888888888889</v>
      </c>
      <c r="AE323" s="69">
        <f>IF(Table1[[#This Row],[Work Center]]="SwissQ",Materials!G$37,IF(Table1[[#This Row],[Work Center]]="Inca",Materials!G$29,IF(Table1[[#This Row],[Work Center]]="Canon",Materials!G$49,Materials!G$45)))</f>
        <v>5</v>
      </c>
      <c r="AF323" s="839">
        <f>'Cali Frames'!D508</f>
        <v>84.32</v>
      </c>
      <c r="AG323" s="83"/>
      <c r="AH323" s="498">
        <v>0</v>
      </c>
      <c r="AI323" s="498"/>
      <c r="AJ323" s="176">
        <f t="shared" si="104"/>
        <v>114.88555555555556</v>
      </c>
      <c r="AK323" s="650">
        <f t="shared" si="109"/>
        <v>0.69363851851851843</v>
      </c>
      <c r="AL323" s="225">
        <f>Table1[[#This Row],[WSP/Dealer]]/Table1[[#This Row],[OD Sq Inch]]</f>
        <v>0.57603686635944695</v>
      </c>
      <c r="AM323" s="180">
        <f>Table1[[#This Row],[OD Wdth]]*Table1[[#This Row],[OD Hgt]]</f>
        <v>651</v>
      </c>
      <c r="AN323" s="180" t="str">
        <f>Table1[[#This Row],[Color]]</f>
        <v>WF</v>
      </c>
      <c r="AO323" s="83" t="str">
        <f>Table1[[#This Row],[Print Type]]</f>
        <v>Synograph</v>
      </c>
      <c r="AP323" s="540"/>
      <c r="AQ323" s="540"/>
      <c r="AR323" s="540"/>
      <c r="AS323" s="540"/>
      <c r="AT323" s="69"/>
      <c r="AU323" s="1361" t="str">
        <f t="shared" si="112"/>
        <v>-</v>
      </c>
    </row>
    <row r="324" spans="1:53" s="46" customFormat="1" x14ac:dyDescent="0.2">
      <c r="A324" s="86" t="s">
        <v>58</v>
      </c>
      <c r="B324" s="279" t="s">
        <v>406</v>
      </c>
      <c r="C324" s="76" t="s">
        <v>979</v>
      </c>
      <c r="D324" s="76" t="s">
        <v>980</v>
      </c>
      <c r="E324" s="85" t="s">
        <v>981</v>
      </c>
      <c r="F324" s="85" t="s">
        <v>897</v>
      </c>
      <c r="G324" s="86" t="s">
        <v>982</v>
      </c>
      <c r="H324" s="86" t="s">
        <v>983</v>
      </c>
      <c r="I324" s="86" t="s">
        <v>52</v>
      </c>
      <c r="J324" s="86" t="s">
        <v>53</v>
      </c>
      <c r="K324" s="86" t="s">
        <v>69</v>
      </c>
      <c r="L324" s="86" t="s">
        <v>70</v>
      </c>
      <c r="M324" s="87">
        <v>1300</v>
      </c>
      <c r="N324" s="639">
        <v>1300</v>
      </c>
      <c r="O324" s="551" t="s">
        <v>56</v>
      </c>
      <c r="P324" s="101">
        <v>72</v>
      </c>
      <c r="Q324" s="101">
        <v>48</v>
      </c>
      <c r="R324" s="60">
        <v>48</v>
      </c>
      <c r="S324" s="273">
        <v>72</v>
      </c>
      <c r="T324" s="101">
        <v>73</v>
      </c>
      <c r="U324" s="101">
        <v>49</v>
      </c>
      <c r="V324" s="106">
        <f>IF(J324="Canvas",P324+Border,P324)</f>
        <v>80</v>
      </c>
      <c r="W324" s="106">
        <f>IF(J324="Canvas",Q324+Border,Q324)</f>
        <v>56</v>
      </c>
      <c r="X324" s="137">
        <v>122</v>
      </c>
      <c r="Y324" s="101"/>
      <c r="Z324" s="101"/>
      <c r="AA324" s="649">
        <f t="shared" si="108"/>
        <v>31.111111111111111</v>
      </c>
      <c r="AB324" s="184">
        <f>AA324*IncaG</f>
        <v>654.57777777777778</v>
      </c>
      <c r="AC324" s="104">
        <f>AA324*Canvas</f>
        <v>20.533333333333335</v>
      </c>
      <c r="AD324" s="107">
        <f>AA324*IncaC</f>
        <v>52.36622222222222</v>
      </c>
      <c r="AE324" s="104">
        <f>IF(Table1[[#This Row],[Work Center]]="SwissQ",Materials!G$37,IF(Table1[[#This Row],[Work Center]]="Inca",Materials!G$29,IF(Table1[[#This Row],[Work Center]]="Canon",Materials!G$49,Materials!G$45)))</f>
        <v>8</v>
      </c>
      <c r="AF324" s="104">
        <f>'Cali Frames'!D$337</f>
        <v>263.8</v>
      </c>
      <c r="AG324" s="115"/>
      <c r="AH324" s="498">
        <f>(M324*0.05)</f>
        <v>65</v>
      </c>
      <c r="AI324" s="498"/>
      <c r="AJ324" s="107">
        <f t="shared" si="104"/>
        <v>409.69955555555555</v>
      </c>
      <c r="AK324" s="650">
        <f t="shared" si="109"/>
        <v>0.6848464957264957</v>
      </c>
      <c r="AL324" s="225">
        <f>Table1[[#This Row],[WSP/Dealer]]/Table1[[#This Row],[OD Sq Inch]]</f>
        <v>0.36343304445065699</v>
      </c>
      <c r="AM324" s="218">
        <f>Table1[[#This Row],[OD Wdth]]*Table1[[#This Row],[OD Hgt]]</f>
        <v>3577</v>
      </c>
      <c r="AN324" s="216">
        <f>Table1[[#This Row],[Min VO]]+Table1[[#This Row],[Max VO]]</f>
        <v>120</v>
      </c>
      <c r="AO324" s="101"/>
      <c r="AP324" s="101"/>
      <c r="AQ324" s="104"/>
      <c r="AR324" s="104"/>
      <c r="AS324" s="104"/>
      <c r="AT324" s="104"/>
      <c r="AU324" s="830" t="str">
        <f t="shared" si="112"/>
        <v>-</v>
      </c>
    </row>
    <row r="325" spans="1:53" s="63" customFormat="1" x14ac:dyDescent="0.2">
      <c r="A325" s="86" t="s">
        <v>58</v>
      </c>
      <c r="B325" s="279" t="s">
        <v>406</v>
      </c>
      <c r="C325" s="100" t="s">
        <v>984</v>
      </c>
      <c r="D325" s="100" t="s">
        <v>985</v>
      </c>
      <c r="E325" s="85" t="s">
        <v>986</v>
      </c>
      <c r="F325" s="85" t="s">
        <v>897</v>
      </c>
      <c r="G325" s="86" t="s">
        <v>379</v>
      </c>
      <c r="H325" s="86" t="s">
        <v>379</v>
      </c>
      <c r="I325" s="86" t="s">
        <v>52</v>
      </c>
      <c r="J325" s="86" t="s">
        <v>53</v>
      </c>
      <c r="K325" s="86" t="s">
        <v>54</v>
      </c>
      <c r="L325" s="86" t="s">
        <v>55</v>
      </c>
      <c r="M325" s="87">
        <v>1380</v>
      </c>
      <c r="N325" s="639">
        <v>1120</v>
      </c>
      <c r="O325" s="551" t="s">
        <v>56</v>
      </c>
      <c r="P325" s="101">
        <v>48</v>
      </c>
      <c r="Q325" s="101">
        <v>72</v>
      </c>
      <c r="R325" s="60">
        <v>48</v>
      </c>
      <c r="S325" s="273">
        <v>72</v>
      </c>
      <c r="T325" s="273">
        <f>Table1[[#This Row],[VO Wdth]]</f>
        <v>48</v>
      </c>
      <c r="U325" s="273">
        <f>Table1[[#This Row],[VO Hgt]]</f>
        <v>72</v>
      </c>
      <c r="V325" s="608">
        <f>IF(J325="Canvas",P325+BorderGW,P325)</f>
        <v>56</v>
      </c>
      <c r="W325" s="608">
        <f>IF(J325="Canvas",Q325+BorderGW,Q325)</f>
        <v>80</v>
      </c>
      <c r="X325" s="311" t="s">
        <v>675</v>
      </c>
      <c r="Y325" s="551"/>
      <c r="Z325" s="551"/>
      <c r="AA325" s="649">
        <f t="shared" si="108"/>
        <v>31.111111111111111</v>
      </c>
      <c r="AB325" s="184">
        <f>AA325*IncaG</f>
        <v>654.57777777777778</v>
      </c>
      <c r="AC325" s="104">
        <f>PETG48</f>
        <v>48.66</v>
      </c>
      <c r="AD325" s="104">
        <f>AA325*IncaC</f>
        <v>52.36622222222222</v>
      </c>
      <c r="AE325" s="104">
        <f>IF(Table1[[#This Row],[Work Center]]="SwissQ",Materials!G$37,IF(Table1[[#This Row],[Work Center]]="Inca",Materials!G$29,IF(Table1[[#This Row],[Work Center]]="Canon",Materials!G$49,Materials!G$45)))</f>
        <v>8</v>
      </c>
      <c r="AF325" s="104">
        <f>'Cali FPS'!C$126</f>
        <v>189.88</v>
      </c>
      <c r="AG325" s="115"/>
      <c r="AH325" s="498">
        <f>(M325*0.05)</f>
        <v>69</v>
      </c>
      <c r="AI325" s="498"/>
      <c r="AJ325" s="104">
        <f t="shared" si="104"/>
        <v>367.9062222222222</v>
      </c>
      <c r="AK325" s="650">
        <f t="shared" si="109"/>
        <v>0.73340128824476658</v>
      </c>
      <c r="AL325" s="225">
        <f>Table1[[#This Row],[WSP/Dealer]]/Table1[[#This Row],[OD Sq Inch]]</f>
        <v>0.39930555555555558</v>
      </c>
      <c r="AM325" s="216">
        <f>Table1[[#This Row],[OD Wdth]]*Table1[[#This Row],[OD Hgt]]</f>
        <v>3456</v>
      </c>
      <c r="AN325" s="216">
        <f>Table1[[#This Row],[Min VO]]+Table1[[#This Row],[Max VO]]</f>
        <v>120</v>
      </c>
      <c r="AO325" s="101"/>
      <c r="AP325" s="101"/>
      <c r="AQ325" s="104"/>
      <c r="AR325" s="104"/>
      <c r="AS325" s="104"/>
      <c r="AT325" s="104"/>
      <c r="AU325" s="830" t="str">
        <f t="shared" si="112"/>
        <v>-</v>
      </c>
    </row>
    <row r="326" spans="1:53" s="46" customFormat="1" x14ac:dyDescent="0.2">
      <c r="A326" s="86" t="s">
        <v>58</v>
      </c>
      <c r="B326" s="279" t="s">
        <v>987</v>
      </c>
      <c r="C326" s="100" t="s">
        <v>988</v>
      </c>
      <c r="D326" s="100" t="s">
        <v>989</v>
      </c>
      <c r="E326" s="85" t="s">
        <v>986</v>
      </c>
      <c r="F326" s="85" t="s">
        <v>897</v>
      </c>
      <c r="G326" s="86" t="s">
        <v>379</v>
      </c>
      <c r="H326" s="86" t="s">
        <v>990</v>
      </c>
      <c r="I326" s="86" t="s">
        <v>52</v>
      </c>
      <c r="J326" s="86" t="s">
        <v>280</v>
      </c>
      <c r="K326" s="86" t="s">
        <v>69</v>
      </c>
      <c r="L326" s="86" t="s">
        <v>70</v>
      </c>
      <c r="M326" s="87">
        <v>1430</v>
      </c>
      <c r="N326" s="639">
        <v>1300</v>
      </c>
      <c r="O326" s="551" t="s">
        <v>56</v>
      </c>
      <c r="P326" s="101">
        <v>48</v>
      </c>
      <c r="Q326" s="101">
        <v>72</v>
      </c>
      <c r="R326" s="60">
        <v>48</v>
      </c>
      <c r="S326" s="273">
        <v>72</v>
      </c>
      <c r="T326" s="101">
        <v>49</v>
      </c>
      <c r="U326" s="101">
        <v>73</v>
      </c>
      <c r="V326" s="608">
        <f>IF(J326="Canvas",P326+Border,P326)</f>
        <v>48</v>
      </c>
      <c r="W326" s="608">
        <f>IF(J326="Canvas",Q326+Border,Q326)</f>
        <v>72</v>
      </c>
      <c r="X326" s="311" t="s">
        <v>675</v>
      </c>
      <c r="Y326" s="551"/>
      <c r="Z326" s="551"/>
      <c r="AA326" s="649">
        <f t="shared" si="108"/>
        <v>24</v>
      </c>
      <c r="AB326" s="184">
        <f>AA326*IncaG</f>
        <v>504.96</v>
      </c>
      <c r="AC326" s="104">
        <f>PETG48</f>
        <v>48.66</v>
      </c>
      <c r="AD326" s="104">
        <f>AA326*IncaC</f>
        <v>40.396799999999999</v>
      </c>
      <c r="AE326" s="104">
        <f>IF(Table1[[#This Row],[Work Center]]="SwissQ",Materials!G$37,IF(Table1[[#This Row],[Work Center]]="Inca",Materials!G$29,IF(Table1[[#This Row],[Work Center]]="Canon",Materials!G$49,Materials!G$45)))</f>
        <v>8</v>
      </c>
      <c r="AF326" s="104">
        <f>'Cali Frames'!D$327</f>
        <v>240.625</v>
      </c>
      <c r="AG326" s="115"/>
      <c r="AH326" s="498">
        <f>(M326*0.05)</f>
        <v>71.5</v>
      </c>
      <c r="AI326" s="498"/>
      <c r="AJ326" s="104">
        <f t="shared" si="104"/>
        <v>409.18180000000001</v>
      </c>
      <c r="AK326" s="650">
        <f t="shared" si="109"/>
        <v>0.71385888111888107</v>
      </c>
      <c r="AL326" s="225">
        <f>Table1[[#This Row],[WSP/Dealer]]/Table1[[#This Row],[OD Sq Inch]]</f>
        <v>0.39977634889572267</v>
      </c>
      <c r="AM326" s="216">
        <f>Table1[[#This Row],[OD Wdth]]*Table1[[#This Row],[OD Hgt]]</f>
        <v>3577</v>
      </c>
      <c r="AN326" s="216">
        <f>Table1[[#This Row],[Min VO]]+Table1[[#This Row],[Max VO]]</f>
        <v>120</v>
      </c>
      <c r="AO326" s="101"/>
      <c r="AP326" s="101"/>
      <c r="AQ326" s="104"/>
      <c r="AR326" s="104"/>
      <c r="AS326" s="104"/>
      <c r="AT326" s="104"/>
      <c r="AU326" s="830" t="str">
        <f t="shared" si="112"/>
        <v>-</v>
      </c>
    </row>
    <row r="327" spans="1:53" s="63" customFormat="1" hidden="1" x14ac:dyDescent="0.2">
      <c r="A327" s="458"/>
      <c r="B327" s="279"/>
      <c r="C327" s="79" t="s">
        <v>991</v>
      </c>
      <c r="D327" s="302"/>
      <c r="E327" s="83" t="s">
        <v>992</v>
      </c>
      <c r="F327" s="83" t="s">
        <v>105</v>
      </c>
      <c r="G327" s="60" t="s">
        <v>350</v>
      </c>
      <c r="H327" s="60" t="s">
        <v>993</v>
      </c>
      <c r="I327" s="60" t="s">
        <v>52</v>
      </c>
      <c r="J327" s="59" t="s">
        <v>280</v>
      </c>
      <c r="K327" s="60" t="s">
        <v>814</v>
      </c>
      <c r="L327" s="60" t="s">
        <v>815</v>
      </c>
      <c r="M327" s="179">
        <v>250</v>
      </c>
      <c r="N327" s="71"/>
      <c r="O327" s="145" t="s">
        <v>575</v>
      </c>
      <c r="P327" s="46">
        <v>12</v>
      </c>
      <c r="Q327" s="46">
        <v>16</v>
      </c>
      <c r="R327" s="60">
        <v>12</v>
      </c>
      <c r="S327" s="46">
        <v>16</v>
      </c>
      <c r="T327" s="46">
        <v>14</v>
      </c>
      <c r="U327" s="46">
        <v>18</v>
      </c>
      <c r="V327" s="47">
        <f>IF(J327="Canvas",P327+Border,P327)</f>
        <v>12</v>
      </c>
      <c r="W327" s="47">
        <f>IF(J327="Canvas",Q327+Border,Q327)</f>
        <v>16</v>
      </c>
      <c r="X327" s="138" t="s">
        <v>283</v>
      </c>
      <c r="Y327" s="60">
        <v>12</v>
      </c>
      <c r="Z327" s="60">
        <v>16</v>
      </c>
      <c r="AA327" s="678">
        <f t="shared" si="108"/>
        <v>1.3333333333333333</v>
      </c>
      <c r="AB327" s="329">
        <f>Table1[[#This Row],[Substrate SF]]*Swiss1</f>
        <v>37.733333333333334</v>
      </c>
      <c r="AC327" s="176">
        <f>MDFSHEET/15</f>
        <v>1.6233333333333335</v>
      </c>
      <c r="AD327" s="175">
        <f>Table1[[#This Row],[Substrate SF]]*SWISSC1</f>
        <v>3.7333333333333329</v>
      </c>
      <c r="AE327" s="69">
        <f>IF(Table1[[#This Row],[Work Center]]="SwissQ",Materials!G$37,IF(Table1[[#This Row],[Work Center]]="Inca",Materials!G$29,IF(Table1[[#This Row],[Work Center]]="Canon",Materials!G$49,Materials!G$45)))</f>
        <v>5</v>
      </c>
      <c r="AF327" s="72">
        <f>'Cali Frames'!D185</f>
        <v>114.19</v>
      </c>
      <c r="AG327" s="540"/>
      <c r="AH327" s="498">
        <v>0</v>
      </c>
      <c r="AI327" s="498"/>
      <c r="AJ327" s="176">
        <f t="shared" si="104"/>
        <v>124.54666666666667</v>
      </c>
      <c r="AK327" s="650">
        <f t="shared" si="109"/>
        <v>0.50181333333333333</v>
      </c>
      <c r="AL327" s="225">
        <f>Table1[[#This Row],[WSP/Dealer]]/Table1[[#This Row],[OD Sq Inch]]</f>
        <v>0.99206349206349209</v>
      </c>
      <c r="AM327" s="173">
        <f>Table1[[#This Row],[OD Wdth]]*Table1[[#This Row],[OD Hgt]]</f>
        <v>252</v>
      </c>
      <c r="AN327" s="180" t="str">
        <f>Table1[[#This Row],[Color]]</f>
        <v>CB</v>
      </c>
      <c r="AO327" s="95" t="str">
        <f>Table1[[#This Row],[Print Type]]</f>
        <v>Synograph</v>
      </c>
      <c r="AP327" s="83"/>
      <c r="AQ327" s="540"/>
      <c r="AR327" s="540"/>
      <c r="AS327" s="540"/>
      <c r="AT327" s="69"/>
      <c r="AU327" s="1355" t="str">
        <f t="shared" si="112"/>
        <v>-</v>
      </c>
    </row>
    <row r="328" spans="1:53" s="46" customFormat="1" hidden="1" x14ac:dyDescent="0.2">
      <c r="A328" s="68" t="s">
        <v>644</v>
      </c>
      <c r="B328" s="1061" t="s">
        <v>96</v>
      </c>
      <c r="C328" s="94" t="s">
        <v>994</v>
      </c>
      <c r="D328" s="323"/>
      <c r="E328" s="84" t="s">
        <v>995</v>
      </c>
      <c r="F328" s="84" t="s">
        <v>105</v>
      </c>
      <c r="G328" s="68" t="s">
        <v>519</v>
      </c>
      <c r="H328" s="68" t="s">
        <v>519</v>
      </c>
      <c r="I328" s="68" t="s">
        <v>108</v>
      </c>
      <c r="J328" s="140" t="s">
        <v>53</v>
      </c>
      <c r="K328" s="68" t="s">
        <v>54</v>
      </c>
      <c r="L328" s="68" t="s">
        <v>55</v>
      </c>
      <c r="M328" s="141">
        <v>225</v>
      </c>
      <c r="N328" s="93"/>
      <c r="O328" s="274" t="s">
        <v>109</v>
      </c>
      <c r="P328" s="63">
        <v>16</v>
      </c>
      <c r="Q328" s="63">
        <v>20</v>
      </c>
      <c r="R328" s="68">
        <v>16</v>
      </c>
      <c r="S328" s="63">
        <v>20</v>
      </c>
      <c r="T328" s="68">
        <v>16</v>
      </c>
      <c r="U328" s="63">
        <v>20</v>
      </c>
      <c r="V328" s="277">
        <f>IF(J328="Canvas",P328+BorderL,P328)</f>
        <v>27</v>
      </c>
      <c r="W328" s="277">
        <f>IF(J328="Canvas",Q328+BorderL,Q328)</f>
        <v>31</v>
      </c>
      <c r="X328" s="189">
        <v>40</v>
      </c>
      <c r="Y328" s="68">
        <v>27</v>
      </c>
      <c r="Z328" s="68">
        <v>31</v>
      </c>
      <c r="AA328" s="727">
        <f t="shared" si="108"/>
        <v>5.8125</v>
      </c>
      <c r="AB328" s="341">
        <f>AA328*EPSONM</f>
        <v>26.15625</v>
      </c>
      <c r="AC328" s="278">
        <f>AA328*Canvas</f>
        <v>3.8362500000000002</v>
      </c>
      <c r="AD328" s="263">
        <f>Table1[[#This Row],[Ink g/mL]]*EPSONC</f>
        <v>5.7543750000000005</v>
      </c>
      <c r="AE328" s="278">
        <f>IF(Table1[[#This Row],[Work Center]]="SwissQ",Materials!G$37,IF(Table1[[#This Row],[Work Center]]="Inca",Materials!G$29,IF(Table1[[#This Row],[Work Center]]="Canon",Materials!G$49,Materials!G$45)))</f>
        <v>5</v>
      </c>
      <c r="AF328" s="73">
        <f>'Cali FPS'!C18</f>
        <v>61.15</v>
      </c>
      <c r="AG328" s="126"/>
      <c r="AH328" s="67">
        <v>0</v>
      </c>
      <c r="AI328" s="67"/>
      <c r="AJ328" s="278">
        <f t="shared" si="104"/>
        <v>75.740624999999994</v>
      </c>
      <c r="AK328" s="661">
        <f t="shared" si="109"/>
        <v>0.66337500000000005</v>
      </c>
      <c r="AL328" s="240">
        <f>Table1[[#This Row],[WSP/Dealer]]/Table1[[#This Row],[OD Sq Inch]]</f>
        <v>0.703125</v>
      </c>
      <c r="AM328" s="170">
        <f>Table1[[#This Row],[OD Wdth]]*Table1[[#This Row],[OD Hgt]]</f>
        <v>320</v>
      </c>
      <c r="AN328" s="274">
        <f>Table1[[#This Row],[Min VO]]+Table1[[#This Row],[Max VO]]</f>
        <v>36</v>
      </c>
      <c r="AO328" s="119"/>
      <c r="AP328" s="84"/>
      <c r="AQ328" s="126"/>
      <c r="AR328" s="126"/>
      <c r="AS328" s="126"/>
      <c r="AT328" s="74"/>
      <c r="AU328" s="1356" t="str">
        <f t="shared" si="112"/>
        <v>-</v>
      </c>
    </row>
    <row r="329" spans="1:53" hidden="1" x14ac:dyDescent="0.2">
      <c r="A329" s="101" t="s">
        <v>996</v>
      </c>
      <c r="B329" s="1062" t="s">
        <v>96</v>
      </c>
      <c r="C329" s="168" t="s">
        <v>997</v>
      </c>
      <c r="D329" s="496"/>
      <c r="E329" s="115" t="s">
        <v>995</v>
      </c>
      <c r="F329" s="115" t="s">
        <v>105</v>
      </c>
      <c r="G329" s="101" t="s">
        <v>519</v>
      </c>
      <c r="H329" s="101" t="s">
        <v>517</v>
      </c>
      <c r="I329" s="101" t="s">
        <v>108</v>
      </c>
      <c r="J329" s="487" t="s">
        <v>280</v>
      </c>
      <c r="K329" s="101" t="s">
        <v>814</v>
      </c>
      <c r="L329" s="101" t="s">
        <v>815</v>
      </c>
      <c r="M329" s="299">
        <v>400</v>
      </c>
      <c r="N329" s="794"/>
      <c r="O329" s="188" t="s">
        <v>575</v>
      </c>
      <c r="P329" s="101">
        <v>16</v>
      </c>
      <c r="Q329" s="101">
        <v>20</v>
      </c>
      <c r="R329" s="101">
        <v>16</v>
      </c>
      <c r="S329" s="101">
        <v>20</v>
      </c>
      <c r="T329" s="101">
        <v>19</v>
      </c>
      <c r="U329" s="101">
        <v>23</v>
      </c>
      <c r="V329" s="106">
        <f>IF(J329="Canvas",P329+Border,P329)</f>
        <v>16</v>
      </c>
      <c r="W329" s="106">
        <f>IF(J329="Canvas",Q329+Border,Q329)</f>
        <v>20</v>
      </c>
      <c r="X329" s="1010" t="s">
        <v>283</v>
      </c>
      <c r="Y329" s="101">
        <v>16.25</v>
      </c>
      <c r="Z329" s="101">
        <v>20.25</v>
      </c>
      <c r="AA329" s="1011">
        <f t="shared" si="108"/>
        <v>2.2222222222222223</v>
      </c>
      <c r="AB329" s="1015">
        <f>AA329*SWISSMLR*3</f>
        <v>13.333333333333334</v>
      </c>
      <c r="AC329" s="406">
        <f>MDFSHEET/10</f>
        <v>2.4350000000000001</v>
      </c>
      <c r="AD329" s="405">
        <f>Table1[[#This Row],[Substrate SF]]*SWISSCR*3</f>
        <v>1.4666666666666668</v>
      </c>
      <c r="AE329" s="104">
        <f>IF(Table1[[#This Row],[Work Center]]="SwissQ",Materials!G$37,IF(Table1[[#This Row],[Work Center]]="Inca",Materials!G$29,IF(Table1[[#This Row],[Work Center]]="Canon",Materials!G$49,Materials!G$45)))</f>
        <v>5</v>
      </c>
      <c r="AF329" s="794">
        <f>'Cali Frames'!D193</f>
        <v>126.35</v>
      </c>
      <c r="AG329" s="121"/>
      <c r="AH329" s="107">
        <v>0</v>
      </c>
      <c r="AI329" s="107"/>
      <c r="AJ329" s="405">
        <f t="shared" si="104"/>
        <v>135.25166666666667</v>
      </c>
      <c r="AK329" s="108">
        <f t="shared" si="109"/>
        <v>0.6618708333333333</v>
      </c>
      <c r="AL329" s="660">
        <f>Table1[[#This Row],[WSP/Dealer]]/Table1[[#This Row],[OD Sq Inch]]</f>
        <v>0.91533180778032042</v>
      </c>
      <c r="AM329" s="399">
        <f>Table1[[#This Row],[OD Wdth]]*Table1[[#This Row],[OD Hgt]]</f>
        <v>437</v>
      </c>
      <c r="AN329" s="400" t="str">
        <f>Table1[[#This Row],[Color]]</f>
        <v>CB</v>
      </c>
      <c r="AO329" s="115" t="str">
        <f>Table1[[#This Row],[Print Type]]</f>
        <v>Reductive</v>
      </c>
      <c r="AP329" s="115"/>
      <c r="AQ329" s="121"/>
      <c r="AR329" s="121"/>
      <c r="AS329" s="121"/>
      <c r="AT329" s="104"/>
      <c r="AU329" s="1359" t="str">
        <f t="shared" si="112"/>
        <v>-</v>
      </c>
      <c r="AV329" s="229"/>
      <c r="AW329" s="229"/>
      <c r="AX329" s="229"/>
      <c r="AY329" s="229"/>
      <c r="AZ329" s="229"/>
      <c r="BA329" s="229"/>
    </row>
    <row r="330" spans="1:53" s="399" customFormat="1" hidden="1" x14ac:dyDescent="0.2">
      <c r="A330" s="400" t="s">
        <v>110</v>
      </c>
      <c r="B330" s="1062" t="s">
        <v>250</v>
      </c>
      <c r="C330" s="689" t="s">
        <v>998</v>
      </c>
      <c r="D330" s="496"/>
      <c r="E330" s="401" t="s">
        <v>995</v>
      </c>
      <c r="F330" s="401" t="s">
        <v>105</v>
      </c>
      <c r="G330" s="400" t="s">
        <v>519</v>
      </c>
      <c r="H330" s="400" t="s">
        <v>688</v>
      </c>
      <c r="I330" s="400" t="s">
        <v>108</v>
      </c>
      <c r="J330" s="497" t="s">
        <v>53</v>
      </c>
      <c r="K330" s="400" t="s">
        <v>69</v>
      </c>
      <c r="L330" s="400" t="s">
        <v>70</v>
      </c>
      <c r="M330" s="832">
        <v>300</v>
      </c>
      <c r="N330" s="832"/>
      <c r="O330" s="400" t="s">
        <v>109</v>
      </c>
      <c r="P330" s="101">
        <v>16</v>
      </c>
      <c r="Q330" s="101">
        <v>20</v>
      </c>
      <c r="R330" s="101">
        <v>16</v>
      </c>
      <c r="S330" s="101">
        <v>20</v>
      </c>
      <c r="T330" s="400">
        <v>17</v>
      </c>
      <c r="U330" s="400">
        <v>21</v>
      </c>
      <c r="V330" s="918">
        <f>IF(J330="Canvas",P330+BorderL,P330)</f>
        <v>27</v>
      </c>
      <c r="W330" s="918">
        <f>IF(J330="Canvas",Q330+BorderL,Q330)</f>
        <v>31</v>
      </c>
      <c r="X330" s="137">
        <v>40</v>
      </c>
      <c r="Y330" s="918">
        <f>Table1[[#This Row],[Print Wth]]</f>
        <v>27</v>
      </c>
      <c r="Z330" s="918">
        <f>Table1[[#This Row],[Print Ht]]</f>
        <v>31</v>
      </c>
      <c r="AA330" s="724">
        <f>Table1[[#This Row],[Cut Width]]*Table1[[#This Row],[Cut Height]]/144</f>
        <v>5.8125</v>
      </c>
      <c r="AB330" s="633">
        <f>Table1[[#This Row],[Print Wth]]*Table1[[#This Row],[Print Ht]]/144*EPSONM</f>
        <v>26.15625</v>
      </c>
      <c r="AC330" s="406">
        <f>Table1[[#This Row],[Substrate SF]]*Canvas</f>
        <v>3.8362500000000002</v>
      </c>
      <c r="AD330" s="405">
        <f>Table1[[#This Row],[Ink g/mL]]*EPSONC</f>
        <v>5.7543750000000005</v>
      </c>
      <c r="AE330" s="406">
        <f>IF(Table1[[#This Row],[Work Center]]="SwissQ",Materials!G$37,IF(Table1[[#This Row],[Work Center]]="Inca",Materials!G$29,IF(Table1[[#This Row],[Work Center]]="Canon",Materials!G$49,Materials!G$45)))</f>
        <v>5</v>
      </c>
      <c r="AF330" s="403">
        <f>'Cali Frames'!D267</f>
        <v>82.757499999999993</v>
      </c>
      <c r="AG330" s="1000"/>
      <c r="AH330" s="104">
        <v>0</v>
      </c>
      <c r="AI330" s="406">
        <f>IF(A330="Codarus",(M330*0.13))</f>
        <v>39</v>
      </c>
      <c r="AJ330" s="104">
        <f>SUM(AC330:AI330)</f>
        <v>136.34812499999998</v>
      </c>
      <c r="AK330" s="830">
        <f t="shared" si="109"/>
        <v>0.54550625000000008</v>
      </c>
      <c r="AL330" s="660">
        <f>Table1[[#This Row],[WSP/Dealer]]/Table1[[#This Row],[OD Sq Inch]]</f>
        <v>0.84033613445378152</v>
      </c>
      <c r="AM330" s="103">
        <f>Table1[[#This Row],[OD Wdth]]*Table1[[#This Row],[OD Hgt]]</f>
        <v>357</v>
      </c>
      <c r="AN330" s="266">
        <f>Table1[[#This Row],[Min VO]]+Table1[[#This Row],[Max VO]]</f>
        <v>36</v>
      </c>
      <c r="AO330" s="401"/>
      <c r="AP330" s="1387">
        <v>600</v>
      </c>
      <c r="AQ330" s="121">
        <f>(Table1[[#This Row],[Desgnr/Retail P]]*0.05)</f>
        <v>30</v>
      </c>
      <c r="AR330" s="121">
        <f>IF(A330="Codarus",(AP330*0.13))</f>
        <v>78</v>
      </c>
      <c r="AS330" s="121">
        <f>SUM(Table1[[#This Row],[Substrate $]:[GP FINISH]])+Table1[[#This Row],[Retail Royalty]]+Table1[[#This Row],[Retail$Comm]]</f>
        <v>205.34812499999998</v>
      </c>
      <c r="AT330" s="830">
        <f>IF(AP330=0,"-",(AP330-AS330)/AP330)</f>
        <v>0.65775312500000005</v>
      </c>
      <c r="AU330" s="830">
        <f t="shared" si="112"/>
        <v>0.9780748958333334</v>
      </c>
    </row>
    <row r="331" spans="1:53" hidden="1" x14ac:dyDescent="0.2">
      <c r="A331" s="101" t="s">
        <v>101</v>
      </c>
      <c r="B331" s="1067" t="s">
        <v>111</v>
      </c>
      <c r="C331" s="168" t="s">
        <v>999</v>
      </c>
      <c r="D331" s="100"/>
      <c r="E331" s="115" t="s">
        <v>995</v>
      </c>
      <c r="F331" s="115" t="s">
        <v>105</v>
      </c>
      <c r="G331" s="101" t="s">
        <v>519</v>
      </c>
      <c r="H331" s="101" t="s">
        <v>519</v>
      </c>
      <c r="I331" s="101" t="s">
        <v>574</v>
      </c>
      <c r="J331" s="487" t="s">
        <v>53</v>
      </c>
      <c r="K331" s="101" t="s">
        <v>119</v>
      </c>
      <c r="L331" s="101" t="s">
        <v>120</v>
      </c>
      <c r="M331" s="141">
        <v>187</v>
      </c>
      <c r="N331" s="114"/>
      <c r="O331" s="101" t="s">
        <v>575</v>
      </c>
      <c r="P331" s="101">
        <v>16</v>
      </c>
      <c r="Q331" s="101">
        <v>20</v>
      </c>
      <c r="R331" s="101">
        <v>16</v>
      </c>
      <c r="S331" s="101">
        <v>20</v>
      </c>
      <c r="T331" s="101">
        <v>16</v>
      </c>
      <c r="U331" s="101">
        <v>20</v>
      </c>
      <c r="V331" s="608">
        <f>IF(J331="Canvas",P331+Border,P331)</f>
        <v>24</v>
      </c>
      <c r="W331" s="608">
        <f>IF(J331="Canvas",Q331+Border,Q331)</f>
        <v>28</v>
      </c>
      <c r="X331" s="101">
        <v>40</v>
      </c>
      <c r="Y331" s="881">
        <f>Table1[[#This Row],[Print Wth]]</f>
        <v>24</v>
      </c>
      <c r="Z331" s="881">
        <f>Table1[[#This Row],[Print Ht]]</f>
        <v>28</v>
      </c>
      <c r="AA331" s="892">
        <f>Table1[[#This Row],[Cut Width]]*Table1[[#This Row],[Cut Height]]/144</f>
        <v>4.666666666666667</v>
      </c>
      <c r="AB331" s="898">
        <f>(Table1[[#This Row],[Print Wth]]*Table1[[#This Row],[Print Ht]])/144*SWISSMLR</f>
        <v>9.3333333333333339</v>
      </c>
      <c r="AC331" s="863">
        <f>(Table1[[#This Row],[Cut Width]]*Table1[[#This Row],[Cut Height]])/144*Canvas</f>
        <v>3.0800000000000005</v>
      </c>
      <c r="AD331" s="865">
        <f>(Table1[[#This Row],[Print Wth]]*Table1[[#This Row],[Print Ht]])/144*Materials!$C$42</f>
        <v>1.4933333333333334</v>
      </c>
      <c r="AE331" s="863">
        <v>10</v>
      </c>
      <c r="AF331" s="102">
        <f>'Cali FPS'!C191</f>
        <v>78.89</v>
      </c>
      <c r="AG331" s="121"/>
      <c r="AH331" s="104">
        <v>0</v>
      </c>
      <c r="AI331" s="104"/>
      <c r="AJ331" s="406">
        <f t="shared" ref="AJ331:AJ337" si="113">SUM(AC331:AH331)</f>
        <v>93.463333333333338</v>
      </c>
      <c r="AK331" s="830">
        <f t="shared" si="109"/>
        <v>0.50019607843137248</v>
      </c>
      <c r="AL331" s="660">
        <f>Table1[[#This Row],[WSP/Dealer]]/Table1[[#This Row],[OD Sq Inch]]</f>
        <v>0.58437499999999998</v>
      </c>
      <c r="AM331" s="399">
        <f>Table1[[#This Row],[OD Wdth]]*Table1[[#This Row],[OD Hgt]]</f>
        <v>320</v>
      </c>
      <c r="AN331" s="400" t="str">
        <f>Table1[[#This Row],[Color]]</f>
        <v>GT</v>
      </c>
      <c r="AO331" s="115" t="str">
        <f>Table1[[#This Row],[Print Type]]</f>
        <v>Reductive+</v>
      </c>
      <c r="AP331" s="115"/>
      <c r="AQ331" s="121"/>
      <c r="AR331" s="121"/>
      <c r="AS331" s="121"/>
      <c r="AT331" s="104"/>
      <c r="AU331" s="1359" t="str">
        <f t="shared" si="112"/>
        <v>-</v>
      </c>
    </row>
    <row r="332" spans="1:53" s="173" customFormat="1" hidden="1" x14ac:dyDescent="0.2">
      <c r="A332" s="180" t="s">
        <v>318</v>
      </c>
      <c r="B332" s="1194" t="s">
        <v>305</v>
      </c>
      <c r="C332" s="79" t="s">
        <v>1000</v>
      </c>
      <c r="D332" s="302"/>
      <c r="E332" s="284" t="s">
        <v>1001</v>
      </c>
      <c r="F332" s="284" t="s">
        <v>105</v>
      </c>
      <c r="G332" s="180" t="s">
        <v>1002</v>
      </c>
      <c r="H332" s="180" t="s">
        <v>1003</v>
      </c>
      <c r="I332" s="180" t="s">
        <v>256</v>
      </c>
      <c r="J332" s="310" t="s">
        <v>257</v>
      </c>
      <c r="K332" s="180" t="s">
        <v>258</v>
      </c>
      <c r="L332" s="180" t="s">
        <v>259</v>
      </c>
      <c r="M332" s="285">
        <v>300</v>
      </c>
      <c r="N332" s="285"/>
      <c r="O332" s="180" t="s">
        <v>260</v>
      </c>
      <c r="P332" s="180">
        <v>14</v>
      </c>
      <c r="Q332" s="180">
        <v>20</v>
      </c>
      <c r="R332" s="180">
        <v>14</v>
      </c>
      <c r="S332" s="180">
        <v>20</v>
      </c>
      <c r="T332" s="180">
        <v>16</v>
      </c>
      <c r="U332" s="180">
        <v>22</v>
      </c>
      <c r="V332" s="946">
        <f>IF(J332="Canvas",P332+Border,P332)</f>
        <v>14</v>
      </c>
      <c r="W332" s="946">
        <f>IF(J332="Canvas",Q332+Border,Q332)</f>
        <v>20</v>
      </c>
      <c r="X332" s="180">
        <v>40</v>
      </c>
      <c r="Y332" s="946">
        <f>Table1[[#This Row],[Print Wth]]</f>
        <v>14</v>
      </c>
      <c r="Z332" s="946">
        <f>Table1[[#This Row],[Print Ht]]</f>
        <v>20</v>
      </c>
      <c r="AA332" s="678">
        <f t="shared" ref="AA332:AA337" si="114">V332*W332/144</f>
        <v>1.9444444444444444</v>
      </c>
      <c r="AB332" s="329">
        <f>AA332*canonML</f>
        <v>9.3333333333333321</v>
      </c>
      <c r="AC332" s="69">
        <f>Table1[[#This Row],[Substrate SF]]*Paper</f>
        <v>2.6308333333333334</v>
      </c>
      <c r="AD332" s="175">
        <f>AA332*CanonC</f>
        <v>0.52500000000000002</v>
      </c>
      <c r="AE332" s="176">
        <f>IF(Table1[[#This Row],[Work Center]]="SwissQ",Materials!G$37,IF(Table1[[#This Row],[Work Center]]="Inca",Materials!G$29,IF(Table1[[#This Row],[Work Center]]="Canon",Materials!G$49,Materials!G$45)))</f>
        <v>7</v>
      </c>
      <c r="AF332" s="290">
        <f>'Cali Frames'!D17</f>
        <v>79.31</v>
      </c>
      <c r="AG332" s="296"/>
      <c r="AH332" s="69">
        <v>0</v>
      </c>
      <c r="AI332" s="48"/>
      <c r="AJ332" s="69">
        <f t="shared" si="113"/>
        <v>89.465833333333336</v>
      </c>
      <c r="AK332" s="650">
        <f t="shared" si="109"/>
        <v>0.70178055555555552</v>
      </c>
      <c r="AL332" s="69">
        <f>Table1[[#This Row],[WSP/Dealer]]/Table1[[#This Row],[OD Sq Inch]]</f>
        <v>0.85227272727272729</v>
      </c>
      <c r="AM332" s="46">
        <f>Table1[[#This Row],[OD Wdth]]*Table1[[#This Row],[OD Hgt]]</f>
        <v>352</v>
      </c>
      <c r="AN332" s="60">
        <f>Table1[[#This Row],[Min VO]]+Table1[[#This Row],[Max VO]]</f>
        <v>34</v>
      </c>
      <c r="AO332" s="284"/>
      <c r="AP332" s="284"/>
      <c r="AQ332" s="296">
        <f>(Table1[[#This Row],[Desgnr/Retail P]]*0.05)</f>
        <v>0</v>
      </c>
      <c r="AR332" s="296" t="b">
        <f>IF(A332="Codarus",(AP332*0.13))</f>
        <v>0</v>
      </c>
      <c r="AS332" s="296" t="e" cm="1">
        <f t="array" ref="AS332">SUM(AC332:AG332+AQ+AR)</f>
        <v>#NAME?</v>
      </c>
      <c r="AT332" s="176" t="e">
        <f>(AP332-AS332)/AP332</f>
        <v>#NAME?</v>
      </c>
      <c r="AU332" s="1358" t="str">
        <f t="shared" si="112"/>
        <v>-</v>
      </c>
    </row>
    <row r="333" spans="1:53" s="159" customFormat="1" hidden="1" x14ac:dyDescent="0.2">
      <c r="A333" s="180" t="s">
        <v>318</v>
      </c>
      <c r="B333" s="1073" t="s">
        <v>305</v>
      </c>
      <c r="C333" s="79" t="s">
        <v>1004</v>
      </c>
      <c r="D333" s="302"/>
      <c r="E333" s="284" t="s">
        <v>1005</v>
      </c>
      <c r="F333" s="284" t="s">
        <v>105</v>
      </c>
      <c r="G333" s="180" t="s">
        <v>1002</v>
      </c>
      <c r="H333" s="180" t="s">
        <v>1003</v>
      </c>
      <c r="I333" s="180" t="s">
        <v>256</v>
      </c>
      <c r="J333" s="310" t="s">
        <v>257</v>
      </c>
      <c r="K333" s="180" t="s">
        <v>258</v>
      </c>
      <c r="L333" s="180" t="s">
        <v>259</v>
      </c>
      <c r="M333" s="285">
        <v>300</v>
      </c>
      <c r="N333" s="285"/>
      <c r="O333" s="180" t="s">
        <v>260</v>
      </c>
      <c r="P333" s="180">
        <v>14</v>
      </c>
      <c r="Q333" s="180">
        <v>20</v>
      </c>
      <c r="R333" s="180">
        <v>14</v>
      </c>
      <c r="S333" s="180">
        <v>20</v>
      </c>
      <c r="T333" s="180">
        <v>16</v>
      </c>
      <c r="U333" s="180">
        <v>22</v>
      </c>
      <c r="V333" s="47">
        <f>IF(J333="Canvas",P333+Border,P333)</f>
        <v>14</v>
      </c>
      <c r="W333" s="47">
        <f>IF(J333="Canvas",Q333+Border,Q333)</f>
        <v>20</v>
      </c>
      <c r="X333" s="180">
        <v>40</v>
      </c>
      <c r="Y333" s="946">
        <f>Table1[[#This Row],[Print Wth]]</f>
        <v>14</v>
      </c>
      <c r="Z333" s="946">
        <f>Table1[[#This Row],[Print Ht]]</f>
        <v>20</v>
      </c>
      <c r="AA333" s="678">
        <f t="shared" si="114"/>
        <v>1.9444444444444444</v>
      </c>
      <c r="AB333" s="329">
        <f>AA333*canonML</f>
        <v>9.3333333333333321</v>
      </c>
      <c r="AC333" s="69">
        <f>Table1[[#This Row],[Substrate SF]]*Paper</f>
        <v>2.6308333333333334</v>
      </c>
      <c r="AD333" s="175">
        <f>AA333*CanonC</f>
        <v>0.52500000000000002</v>
      </c>
      <c r="AE333" s="176">
        <f>IF(Table1[[#This Row],[Work Center]]="SwissQ",Materials!G$37,IF(Table1[[#This Row],[Work Center]]="Inca",Materials!G$29,IF(Table1[[#This Row],[Work Center]]="Canon",Materials!G$49,Materials!G$45)))</f>
        <v>7</v>
      </c>
      <c r="AF333" s="290">
        <f>'Cali Frames'!D17</f>
        <v>79.31</v>
      </c>
      <c r="AG333" s="296"/>
      <c r="AH333" s="48">
        <f>(M333*0.05)</f>
        <v>15</v>
      </c>
      <c r="AI333" s="48"/>
      <c r="AJ333" s="69">
        <f t="shared" si="113"/>
        <v>104.46583333333334</v>
      </c>
      <c r="AK333" s="62">
        <f t="shared" si="109"/>
        <v>0.65178055555555559</v>
      </c>
      <c r="AL333" s="69">
        <f>Table1[[#This Row],[WSP/Dealer]]/Table1[[#This Row],[OD Sq Inch]]</f>
        <v>0.85227272727272729</v>
      </c>
      <c r="AM333" s="46">
        <f>Table1[[#This Row],[OD Wdth]]*Table1[[#This Row],[OD Hgt]]</f>
        <v>352</v>
      </c>
      <c r="AN333" s="60">
        <f>Table1[[#This Row],[Min VO]]+Table1[[#This Row],[Max VO]]</f>
        <v>34</v>
      </c>
      <c r="AO333" s="286"/>
      <c r="AP333" s="284"/>
      <c r="AQ333" s="296">
        <f>(Table1[[#This Row],[Desgnr/Retail P]]*0.05)</f>
        <v>0</v>
      </c>
      <c r="AR333" s="296" t="b">
        <f>IF(A333="Codarus",(AP333*0.13))</f>
        <v>0</v>
      </c>
      <c r="AS333" s="296" t="e" cm="1">
        <f t="array" ref="AS333">SUM(AC333:AG333+AQ+AR)</f>
        <v>#NAME?</v>
      </c>
      <c r="AT333" s="176" t="e">
        <f>(AP333-AS333)/AP333</f>
        <v>#NAME?</v>
      </c>
      <c r="AU333" s="1362" t="str">
        <f t="shared" si="112"/>
        <v>-</v>
      </c>
    </row>
    <row r="334" spans="1:53" s="1427" customFormat="1" hidden="1" x14ac:dyDescent="0.2">
      <c r="A334" s="551" t="s">
        <v>140</v>
      </c>
      <c r="B334" s="1061" t="s">
        <v>141</v>
      </c>
      <c r="C334" s="77" t="s">
        <v>1006</v>
      </c>
      <c r="D334" s="805"/>
      <c r="E334" s="653" t="s">
        <v>1007</v>
      </c>
      <c r="F334" s="653" t="s">
        <v>138</v>
      </c>
      <c r="G334" s="551" t="s">
        <v>139</v>
      </c>
      <c r="H334" s="551" t="s">
        <v>139</v>
      </c>
      <c r="I334" s="551" t="s">
        <v>52</v>
      </c>
      <c r="J334" s="856" t="s">
        <v>280</v>
      </c>
      <c r="K334" s="551" t="s">
        <v>281</v>
      </c>
      <c r="L334" s="551" t="s">
        <v>282</v>
      </c>
      <c r="M334" s="857">
        <v>350</v>
      </c>
      <c r="N334" s="858">
        <f>Table1[[#This Row],[WSP/Dealer]]/0.35</f>
        <v>1000.0000000000001</v>
      </c>
      <c r="O334" s="551" t="s">
        <v>56</v>
      </c>
      <c r="P334" s="551">
        <v>24</v>
      </c>
      <c r="Q334" s="551">
        <v>24</v>
      </c>
      <c r="R334" s="551">
        <v>24</v>
      </c>
      <c r="S334" s="1691">
        <v>24</v>
      </c>
      <c r="T334" s="45">
        <v>24</v>
      </c>
      <c r="U334" s="1691">
        <v>24</v>
      </c>
      <c r="V334" s="859">
        <v>24</v>
      </c>
      <c r="W334" s="859">
        <v>24</v>
      </c>
      <c r="X334" s="311" t="s">
        <v>283</v>
      </c>
      <c r="Y334" s="551">
        <v>24</v>
      </c>
      <c r="Z334" s="551">
        <v>24</v>
      </c>
      <c r="AA334" s="860">
        <f t="shared" si="114"/>
        <v>4</v>
      </c>
      <c r="AB334" s="861">
        <f>AA334*IncaG</f>
        <v>84.16</v>
      </c>
      <c r="AC334" s="863">
        <f>AA334*MDF</f>
        <v>3.9568750000000006</v>
      </c>
      <c r="AD334" s="876">
        <f>Table1[[#This Row],[Substrate SF]]*IncaC</f>
        <v>6.7328000000000001</v>
      </c>
      <c r="AE334" s="863">
        <f>IF(Table1[[#This Row],[Work Center]]="SwissQ",Materials!G$37,IF(Table1[[#This Row],[Work Center]]="Inca",Materials!G$29,IF(Table1[[#This Row],[Work Center]]="Canon",Materials!G$49,Materials!G$45)))</f>
        <v>8</v>
      </c>
      <c r="AF334" s="71">
        <f>'Cali Frames'!D538</f>
        <v>90.37</v>
      </c>
      <c r="AG334" s="864"/>
      <c r="AH334" s="865">
        <f>(M334*0.05)</f>
        <v>17.5</v>
      </c>
      <c r="AI334" s="865"/>
      <c r="AJ334" s="867">
        <f t="shared" si="113"/>
        <v>126.559675</v>
      </c>
      <c r="AK334" s="866">
        <f t="shared" si="109"/>
        <v>0.63840092857142861</v>
      </c>
      <c r="AL334" s="867">
        <f>Table1[[#This Row],[WSP/Dealer]]/Table1[[#This Row],[OD Sq Inch]]</f>
        <v>0.60763888888888884</v>
      </c>
      <c r="AM334" s="868">
        <f>Table1[[#This Row],[OD Wdth]]*Table1[[#This Row],[OD Hgt]]</f>
        <v>576</v>
      </c>
      <c r="AN334" s="869">
        <f>Table1[[#This Row],[Min VO]]+Table1[[#This Row],[Max VO]]</f>
        <v>48</v>
      </c>
      <c r="AO334" s="1545"/>
      <c r="AP334" s="653"/>
      <c r="AQ334" s="864"/>
      <c r="AR334" s="864"/>
      <c r="AS334" s="864"/>
      <c r="AT334" s="863"/>
      <c r="AU334" s="1705" t="str">
        <f t="shared" si="112"/>
        <v>-</v>
      </c>
    </row>
    <row r="335" spans="1:53" s="159" customFormat="1" hidden="1" x14ac:dyDescent="0.2">
      <c r="A335" s="60" t="s">
        <v>318</v>
      </c>
      <c r="B335" s="1061" t="s">
        <v>319</v>
      </c>
      <c r="C335" s="79" t="s">
        <v>1006</v>
      </c>
      <c r="D335" s="76"/>
      <c r="E335" s="83" t="s">
        <v>1007</v>
      </c>
      <c r="F335" s="83" t="s">
        <v>138</v>
      </c>
      <c r="G335" s="60" t="s">
        <v>139</v>
      </c>
      <c r="H335" s="60" t="s">
        <v>139</v>
      </c>
      <c r="I335" s="60" t="s">
        <v>52</v>
      </c>
      <c r="J335" s="59" t="s">
        <v>280</v>
      </c>
      <c r="K335" s="60" t="s">
        <v>281</v>
      </c>
      <c r="L335" s="60" t="s">
        <v>282</v>
      </c>
      <c r="M335" s="141">
        <v>280</v>
      </c>
      <c r="N335" s="1055"/>
      <c r="O335" s="60" t="s">
        <v>64</v>
      </c>
      <c r="P335" s="46">
        <v>24</v>
      </c>
      <c r="Q335" s="46">
        <v>24</v>
      </c>
      <c r="R335" s="60">
        <v>24</v>
      </c>
      <c r="S335" s="61">
        <v>24</v>
      </c>
      <c r="T335" s="46">
        <v>24</v>
      </c>
      <c r="U335" s="61">
        <v>24</v>
      </c>
      <c r="V335" s="47">
        <v>24</v>
      </c>
      <c r="W335" s="47">
        <v>24</v>
      </c>
      <c r="X335" s="138" t="s">
        <v>283</v>
      </c>
      <c r="Y335" s="60">
        <v>24</v>
      </c>
      <c r="Z335" s="60">
        <v>24</v>
      </c>
      <c r="AA335" s="717">
        <f t="shared" si="114"/>
        <v>4</v>
      </c>
      <c r="AB335" s="329">
        <f>Table1[[#This Row],[Substrate SF]]*Swiss1</f>
        <v>113.2</v>
      </c>
      <c r="AC335" s="69">
        <f>AA335*MDF</f>
        <v>3.9568750000000006</v>
      </c>
      <c r="AD335" s="175">
        <f>Table1[[#This Row],[Substrate SF]]*SWISSC1</f>
        <v>11.2</v>
      </c>
      <c r="AE335" s="69">
        <f>IF(Table1[[#This Row],[Work Center]]="SwissQ",Materials!G$37,IF(Table1[[#This Row],[Work Center]]="Inca",Materials!G$29,IF(Table1[[#This Row],[Work Center]]="Canon",Materials!G$49,Materials!G$45)))</f>
        <v>20</v>
      </c>
      <c r="AF335" s="72">
        <f>'Cali Frames'!D538</f>
        <v>90.37</v>
      </c>
      <c r="AG335" s="540"/>
      <c r="AH335" s="175">
        <f>(M335*0.05)</f>
        <v>14</v>
      </c>
      <c r="AI335" s="175"/>
      <c r="AJ335" s="175">
        <f t="shared" si="113"/>
        <v>139.52687500000002</v>
      </c>
      <c r="AK335" s="676">
        <f t="shared" si="109"/>
        <v>0.50168973214285706</v>
      </c>
      <c r="AL335" s="176">
        <f>Table1[[#This Row],[WSP/Dealer]]/Table1[[#This Row],[OD Sq Inch]]</f>
        <v>0.4861111111111111</v>
      </c>
      <c r="AM335" s="173">
        <f>Table1[[#This Row],[OD Wdth]]*Table1[[#This Row],[OD Hgt]]</f>
        <v>576</v>
      </c>
      <c r="AN335" s="180">
        <f>Table1[[#This Row],[Min VO]]+Table1[[#This Row],[Max VO]]</f>
        <v>48</v>
      </c>
      <c r="AO335" s="95"/>
      <c r="AP335" s="83"/>
      <c r="AQ335" s="540"/>
      <c r="AR335" s="540"/>
      <c r="AS335" s="540"/>
      <c r="AT335" s="69"/>
      <c r="AU335" s="1355" t="str">
        <f t="shared" si="112"/>
        <v>-</v>
      </c>
    </row>
    <row r="336" spans="1:53" s="159" customFormat="1" x14ac:dyDescent="0.2">
      <c r="A336" s="180" t="s">
        <v>58</v>
      </c>
      <c r="B336" s="279" t="s">
        <v>292</v>
      </c>
      <c r="C336" s="76" t="s">
        <v>1008</v>
      </c>
      <c r="D336" s="302" t="s">
        <v>1009</v>
      </c>
      <c r="E336" s="291" t="s">
        <v>1010</v>
      </c>
      <c r="F336" s="284" t="s">
        <v>289</v>
      </c>
      <c r="G336" s="181" t="s">
        <v>191</v>
      </c>
      <c r="H336" s="181" t="s">
        <v>607</v>
      </c>
      <c r="I336" s="181" t="s">
        <v>256</v>
      </c>
      <c r="J336" s="886" t="s">
        <v>257</v>
      </c>
      <c r="K336" s="181" t="s">
        <v>1011</v>
      </c>
      <c r="L336" s="181" t="s">
        <v>1012</v>
      </c>
      <c r="M336" s="292">
        <v>1210</v>
      </c>
      <c r="N336" s="285"/>
      <c r="O336" s="180" t="s">
        <v>260</v>
      </c>
      <c r="P336" s="180">
        <v>48</v>
      </c>
      <c r="Q336" s="180">
        <v>60</v>
      </c>
      <c r="R336" s="180">
        <v>48</v>
      </c>
      <c r="S336" s="180">
        <v>60</v>
      </c>
      <c r="T336" s="813">
        <v>50</v>
      </c>
      <c r="U336" s="813">
        <v>62</v>
      </c>
      <c r="V336" s="947">
        <f>IF(J336="Canvas",P336+BorderL,P336)</f>
        <v>48</v>
      </c>
      <c r="W336" s="947">
        <f>IF(J336="Canvas",Q336+BorderL,Q336)</f>
        <v>60</v>
      </c>
      <c r="X336" s="180">
        <v>60</v>
      </c>
      <c r="Y336" s="180">
        <v>48</v>
      </c>
      <c r="Z336" s="180">
        <v>60</v>
      </c>
      <c r="AA336" s="678">
        <f t="shared" si="114"/>
        <v>20</v>
      </c>
      <c r="AB336" s="329">
        <f>AA336*canonML</f>
        <v>96</v>
      </c>
      <c r="AC336" s="69">
        <f>Table1[[#This Row],[Substrate SF]]*Paper</f>
        <v>27.06</v>
      </c>
      <c r="AD336" s="176">
        <f>AA336*CanonC</f>
        <v>5.4</v>
      </c>
      <c r="AE336" s="176">
        <f>IF(Table1[[#This Row],[Work Center]]="SwissQ",Materials!G$37,IF(Table1[[#This Row],[Work Center]]="Inca",Materials!G$29,IF(Table1[[#This Row],[Work Center]]="Canon",Materials!G$49,Materials!G$45)))</f>
        <v>7</v>
      </c>
      <c r="AF336" s="290">
        <f>'Cali Frames'!D83</f>
        <v>336.18</v>
      </c>
      <c r="AG336" s="540"/>
      <c r="AH336" s="69">
        <f>(M336*0.05)</f>
        <v>60.5</v>
      </c>
      <c r="AI336" s="69"/>
      <c r="AJ336" s="176">
        <f t="shared" si="113"/>
        <v>436.14</v>
      </c>
      <c r="AK336" s="650">
        <f t="shared" si="109"/>
        <v>0.63955371900826452</v>
      </c>
      <c r="AL336" s="225">
        <f>Table1[[#This Row],[WSP/Dealer]]/Table1[[#This Row],[OD Sq Inch]]</f>
        <v>0.39032258064516129</v>
      </c>
      <c r="AM336" s="180">
        <f>Table1[[#This Row],[OD Wdth]]*Table1[[#This Row],[OD Hgt]]</f>
        <v>3100</v>
      </c>
      <c r="AN336" s="180">
        <f>Table1[[#This Row],[Min VO]]+Table1[[#This Row],[Max VO]]</f>
        <v>108</v>
      </c>
      <c r="AO336" s="284"/>
      <c r="AP336" s="284"/>
      <c r="AQ336" s="296"/>
      <c r="AR336" s="296"/>
      <c r="AS336" s="296"/>
      <c r="AT336" s="176"/>
      <c r="AU336" s="1358" t="str">
        <f t="shared" si="112"/>
        <v>-</v>
      </c>
    </row>
    <row r="337" spans="1:47" s="159" customFormat="1" x14ac:dyDescent="0.2">
      <c r="A337" s="68" t="s">
        <v>58</v>
      </c>
      <c r="B337" s="1473" t="s">
        <v>1013</v>
      </c>
      <c r="C337" s="78" t="s">
        <v>1014</v>
      </c>
      <c r="D337" s="323"/>
      <c r="E337" s="375" t="s">
        <v>1015</v>
      </c>
      <c r="F337" s="275" t="s">
        <v>289</v>
      </c>
      <c r="G337" s="363" t="s">
        <v>1016</v>
      </c>
      <c r="H337" s="363" t="s">
        <v>1017</v>
      </c>
      <c r="I337" s="315" t="s">
        <v>256</v>
      </c>
      <c r="J337" s="636" t="s">
        <v>257</v>
      </c>
      <c r="K337" s="315" t="s">
        <v>1011</v>
      </c>
      <c r="L337" s="315" t="s">
        <v>1012</v>
      </c>
      <c r="M337" s="141">
        <v>2500</v>
      </c>
      <c r="N337" s="93"/>
      <c r="O337" s="68" t="s">
        <v>260</v>
      </c>
      <c r="P337" s="68">
        <v>60</v>
      </c>
      <c r="Q337" s="68">
        <v>75</v>
      </c>
      <c r="R337" s="68">
        <v>60</v>
      </c>
      <c r="S337" s="68">
        <v>75</v>
      </c>
      <c r="T337" s="623">
        <v>65</v>
      </c>
      <c r="U337" s="623">
        <v>80</v>
      </c>
      <c r="V337" s="947">
        <f>IF(J337="Canvas",P337+BorderL,P337)</f>
        <v>60</v>
      </c>
      <c r="W337" s="947">
        <f>IF(J337="Canvas",Q337+BorderL,Q337)</f>
        <v>75</v>
      </c>
      <c r="X337" s="68" t="s">
        <v>1018</v>
      </c>
      <c r="Y337" s="68">
        <v>60</v>
      </c>
      <c r="Z337" s="68">
        <v>75</v>
      </c>
      <c r="AA337" s="678">
        <f t="shared" si="114"/>
        <v>31.25</v>
      </c>
      <c r="AB337" s="329">
        <f>AA337*IncaG</f>
        <v>657.5</v>
      </c>
      <c r="AC337" s="176">
        <f>Table1[[#This Row],[Substrate SF]]*Paper</f>
        <v>42.28125</v>
      </c>
      <c r="AD337" s="175">
        <f>AA337*CanonC</f>
        <v>8.4375</v>
      </c>
      <c r="AE337" s="69">
        <f>IF(Table1[[#This Row],[Work Center]]="SwissQ",Materials!G$37,IF(Table1[[#This Row],[Work Center]]="Inca",Materials!G$29,IF(Table1[[#This Row],[Work Center]]="Canon",Materials!G$49,Materials!G$45)))</f>
        <v>7</v>
      </c>
      <c r="AF337" s="73">
        <f>'Cali Frames'!D84</f>
        <v>772.21</v>
      </c>
      <c r="AG337" s="126"/>
      <c r="AH337" s="69">
        <f>(M337*0.05)</f>
        <v>125</v>
      </c>
      <c r="AI337" s="69"/>
      <c r="AJ337" s="176">
        <f t="shared" si="113"/>
        <v>954.92875000000004</v>
      </c>
      <c r="AK337" s="650">
        <f t="shared" si="109"/>
        <v>0.61802849999999998</v>
      </c>
      <c r="AL337" s="225">
        <f>Table1[[#This Row],[WSP/Dealer]]/Table1[[#This Row],[OD Sq Inch]]</f>
        <v>0.48076923076923078</v>
      </c>
      <c r="AM337" s="173">
        <f>Table1[[#This Row],[OD Wdth]]*Table1[[#This Row],[OD Hgt]]</f>
        <v>5200</v>
      </c>
      <c r="AN337" s="180">
        <f>Table1[[#This Row],[Min VO]]+Table1[[#This Row],[Max VO]]</f>
        <v>135</v>
      </c>
      <c r="AO337" s="84"/>
      <c r="AP337" s="84"/>
      <c r="AQ337" s="126"/>
      <c r="AR337" s="126"/>
      <c r="AS337" s="126"/>
      <c r="AT337" s="74"/>
      <c r="AU337" s="1357" t="str">
        <f t="shared" si="112"/>
        <v>-</v>
      </c>
    </row>
    <row r="338" spans="1:47" s="159" customFormat="1" hidden="1" x14ac:dyDescent="0.2">
      <c r="A338" s="101"/>
      <c r="B338" s="1136"/>
      <c r="C338" s="78"/>
      <c r="D338" s="100"/>
      <c r="E338" s="172" t="s">
        <v>1019</v>
      </c>
      <c r="F338" s="115"/>
      <c r="G338" s="407"/>
      <c r="H338" s="407"/>
      <c r="I338" s="605"/>
      <c r="J338" s="435"/>
      <c r="K338" s="605"/>
      <c r="L338" s="407"/>
      <c r="M338" s="114"/>
      <c r="N338" s="114"/>
      <c r="O338" s="101"/>
      <c r="P338" s="60"/>
      <c r="Q338" s="60"/>
      <c r="R338" s="60"/>
      <c r="S338" s="60"/>
      <c r="T338" s="623"/>
      <c r="U338" s="623"/>
      <c r="V338" s="946"/>
      <c r="W338" s="608"/>
      <c r="X338" s="101"/>
      <c r="Y338" s="101"/>
      <c r="Z338" s="101"/>
      <c r="AA338" s="649"/>
      <c r="AB338" s="184"/>
      <c r="AC338" s="104"/>
      <c r="AD338" s="120"/>
      <c r="AE338" s="121"/>
      <c r="AF338" s="102"/>
      <c r="AG338" s="121"/>
      <c r="AH338" s="121"/>
      <c r="AI338" s="121"/>
      <c r="AJ338" s="121"/>
      <c r="AK338" s="830"/>
      <c r="AL338" s="121"/>
      <c r="AM338" s="113"/>
      <c r="AN338" s="115"/>
      <c r="AO338" s="113"/>
      <c r="AP338" s="115"/>
      <c r="AQ338" s="121">
        <f>(Table1[[#This Row],[Desgnr/Retail P]]*0.05)</f>
        <v>0</v>
      </c>
      <c r="AR338" s="121" t="b">
        <f>IF(A338="Codarus",(AP338*0.13))</f>
        <v>0</v>
      </c>
      <c r="AS338" s="121" t="e" cm="1">
        <f t="array" ref="AS338">SUM(AC338:AG338+AQ+AR)</f>
        <v>#NAME?</v>
      </c>
      <c r="AT338" s="104" t="e">
        <f>(AP338-AS338)/AP338</f>
        <v>#NAME?</v>
      </c>
      <c r="AU338" s="1367" t="str">
        <f t="shared" si="112"/>
        <v>-</v>
      </c>
    </row>
    <row r="339" spans="1:47" s="159" customFormat="1" hidden="1" x14ac:dyDescent="0.2">
      <c r="A339" s="60" t="s">
        <v>1020</v>
      </c>
      <c r="B339" s="1061" t="s">
        <v>1021</v>
      </c>
      <c r="C339" s="76" t="s">
        <v>1022</v>
      </c>
      <c r="D339" s="76"/>
      <c r="E339" s="99" t="s">
        <v>1023</v>
      </c>
      <c r="F339" s="83" t="s">
        <v>289</v>
      </c>
      <c r="G339" s="605" t="s">
        <v>519</v>
      </c>
      <c r="H339" s="605" t="s">
        <v>688</v>
      </c>
      <c r="I339" s="605" t="s">
        <v>52</v>
      </c>
      <c r="J339" s="435" t="s">
        <v>53</v>
      </c>
      <c r="K339" s="605" t="s">
        <v>69</v>
      </c>
      <c r="L339" s="605" t="s">
        <v>70</v>
      </c>
      <c r="M339" s="124">
        <v>325</v>
      </c>
      <c r="N339" s="124"/>
      <c r="O339" s="60" t="s">
        <v>56</v>
      </c>
      <c r="P339" s="60">
        <v>16</v>
      </c>
      <c r="Q339" s="60">
        <v>20</v>
      </c>
      <c r="R339" s="60">
        <v>16</v>
      </c>
      <c r="S339" s="60">
        <v>20</v>
      </c>
      <c r="T339" s="273">
        <v>18</v>
      </c>
      <c r="U339" s="273">
        <v>22</v>
      </c>
      <c r="V339" s="947">
        <f>IF(J339="Canvas",P339+BorderL,P339)</f>
        <v>27</v>
      </c>
      <c r="W339" s="947">
        <f>IF(J339="Canvas",Q339+BorderL,Q339)</f>
        <v>31</v>
      </c>
      <c r="X339" s="60">
        <v>40</v>
      </c>
      <c r="Y339" s="60">
        <v>27</v>
      </c>
      <c r="Z339" s="60">
        <v>31</v>
      </c>
      <c r="AA339" s="678">
        <f t="shared" ref="AA339:AA361" si="115">V339*W339/144</f>
        <v>5.8125</v>
      </c>
      <c r="AB339" s="329">
        <f>AA339*IncaG</f>
        <v>122.295</v>
      </c>
      <c r="AC339" s="176">
        <f>Table1[[#This Row],[Substrate SF]]*Paper</f>
        <v>7.8643124999999996</v>
      </c>
      <c r="AD339" s="175">
        <f>AA339*IncaC</f>
        <v>9.7835999999999999</v>
      </c>
      <c r="AE339" s="69">
        <f>IF(Table1[[#This Row],[Work Center]]="SwissQ",Materials!G$37,IF(Table1[[#This Row],[Work Center]]="Inca",Materials!G$29,IF(Table1[[#This Row],[Work Center]]="Canon",Materials!G$49,Materials!G$45)))</f>
        <v>8</v>
      </c>
      <c r="AF339" s="72">
        <f>'Cali Frames'!D267</f>
        <v>82.757499999999993</v>
      </c>
      <c r="AG339" s="540"/>
      <c r="AH339" s="48">
        <f t="shared" ref="AH339:AH361" si="116">(M339*0.05)</f>
        <v>16.25</v>
      </c>
      <c r="AI339" s="48"/>
      <c r="AJ339" s="176">
        <f t="shared" ref="AJ339:AJ349" si="117">SUM(AC339:AH339)</f>
        <v>124.6554125</v>
      </c>
      <c r="AK339" s="62">
        <f t="shared" ref="AK339:AK402" si="118">(M339-AJ339)/M339</f>
        <v>0.6164448846153846</v>
      </c>
      <c r="AL339" s="225">
        <f>Table1[[#This Row],[WSP/Dealer]]/Table1[[#This Row],[OD Sq Inch]]</f>
        <v>0.82070707070707072</v>
      </c>
      <c r="AM339" s="180">
        <f>Table1[[#This Row],[OD Wdth]]*Table1[[#This Row],[OD Hgt]]</f>
        <v>396</v>
      </c>
      <c r="AN339" s="180">
        <f>Table1[[#This Row],[Min VO]]+Table1[[#This Row],[Max VO]]</f>
        <v>36</v>
      </c>
      <c r="AO339" s="83"/>
      <c r="AP339" s="83"/>
      <c r="AQ339" s="540"/>
      <c r="AR339" s="540"/>
      <c r="AS339" s="540"/>
      <c r="AT339" s="69"/>
      <c r="AU339" s="1361" t="str">
        <f t="shared" si="112"/>
        <v>-</v>
      </c>
    </row>
    <row r="340" spans="1:47" s="159" customFormat="1" hidden="1" x14ac:dyDescent="0.2">
      <c r="A340" s="60" t="s">
        <v>1020</v>
      </c>
      <c r="B340" s="1061" t="s">
        <v>1021</v>
      </c>
      <c r="C340" s="76" t="s">
        <v>1022</v>
      </c>
      <c r="D340" s="76"/>
      <c r="E340" s="99" t="s">
        <v>1023</v>
      </c>
      <c r="F340" s="83" t="s">
        <v>289</v>
      </c>
      <c r="G340" s="605" t="s">
        <v>519</v>
      </c>
      <c r="H340" s="605" t="s">
        <v>688</v>
      </c>
      <c r="I340" s="605" t="s">
        <v>52</v>
      </c>
      <c r="J340" s="435" t="s">
        <v>53</v>
      </c>
      <c r="K340" s="605" t="s">
        <v>69</v>
      </c>
      <c r="L340" s="605" t="s">
        <v>70</v>
      </c>
      <c r="M340" s="124">
        <v>325</v>
      </c>
      <c r="N340" s="124"/>
      <c r="O340" s="60" t="s">
        <v>64</v>
      </c>
      <c r="P340" s="60">
        <v>16</v>
      </c>
      <c r="Q340" s="60">
        <v>20</v>
      </c>
      <c r="R340" s="60">
        <v>16</v>
      </c>
      <c r="S340" s="60">
        <v>20</v>
      </c>
      <c r="T340" s="273">
        <v>18</v>
      </c>
      <c r="U340" s="273">
        <v>22</v>
      </c>
      <c r="V340" s="174">
        <f>IF(J340="Canvas",P340+BorderL,P340)</f>
        <v>27</v>
      </c>
      <c r="W340" s="174">
        <f>IF(J340="Canvas",Q340+BorderL,Q340)</f>
        <v>31</v>
      </c>
      <c r="X340" s="60">
        <v>40</v>
      </c>
      <c r="Y340" s="60">
        <v>27</v>
      </c>
      <c r="Z340" s="60">
        <v>31</v>
      </c>
      <c r="AA340" s="678">
        <f t="shared" si="115"/>
        <v>5.8125</v>
      </c>
      <c r="AB340" s="329">
        <f>Table1[[#This Row],[Substrate SF]]*Swiss1</f>
        <v>164.49375000000001</v>
      </c>
      <c r="AC340" s="175">
        <f>Table1[[#This Row],[Substrate SF]]*Paper</f>
        <v>7.8643124999999996</v>
      </c>
      <c r="AD340" s="175">
        <f>Table1[[#This Row],[Substrate SF]]*SWISSC1</f>
        <v>16.274999999999999</v>
      </c>
      <c r="AE340" s="69">
        <f>IF(Table1[[#This Row],[Work Center]]="SwissQ",Materials!G$37,IF(Table1[[#This Row],[Work Center]]="Inca",Materials!G$29,IF(Table1[[#This Row],[Work Center]]="Canon",Materials!G$49,Materials!G$45)))</f>
        <v>20</v>
      </c>
      <c r="AF340" s="72">
        <f>'Cali Frames'!D269</f>
        <v>82.897499999999994</v>
      </c>
      <c r="AG340" s="540"/>
      <c r="AH340" s="48">
        <f t="shared" si="116"/>
        <v>16.25</v>
      </c>
      <c r="AI340" s="69"/>
      <c r="AJ340" s="176">
        <f t="shared" si="117"/>
        <v>143.2868125</v>
      </c>
      <c r="AK340" s="650">
        <f t="shared" si="118"/>
        <v>0.55911750000000005</v>
      </c>
      <c r="AL340" s="225">
        <f>Table1[[#This Row],[WSP/Dealer]]/Table1[[#This Row],[OD Sq Inch]]</f>
        <v>0.82070707070707072</v>
      </c>
      <c r="AM340" s="173">
        <f>Table1[[#This Row],[OD Wdth]]*Table1[[#This Row],[OD Hgt]]</f>
        <v>396</v>
      </c>
      <c r="AN340" s="180">
        <f>Table1[[#This Row],[Min VO]]+Table1[[#This Row],[Max VO]]</f>
        <v>36</v>
      </c>
      <c r="AO340" s="83"/>
      <c r="AP340" s="83"/>
      <c r="AQ340" s="540"/>
      <c r="AR340" s="540"/>
      <c r="AS340" s="540"/>
      <c r="AT340" s="69"/>
      <c r="AU340" s="1361" t="str">
        <f t="shared" si="112"/>
        <v>-</v>
      </c>
    </row>
    <row r="341" spans="1:47" s="159" customFormat="1" hidden="1" x14ac:dyDescent="0.2">
      <c r="A341" s="60" t="s">
        <v>1020</v>
      </c>
      <c r="B341" s="1061" t="s">
        <v>346</v>
      </c>
      <c r="C341" s="76" t="s">
        <v>1024</v>
      </c>
      <c r="D341" s="76"/>
      <c r="E341" s="99" t="s">
        <v>1025</v>
      </c>
      <c r="F341" s="83" t="s">
        <v>289</v>
      </c>
      <c r="G341" s="605" t="s">
        <v>1026</v>
      </c>
      <c r="H341" s="605" t="s">
        <v>1026</v>
      </c>
      <c r="I341" s="605" t="s">
        <v>52</v>
      </c>
      <c r="J341" s="435" t="s">
        <v>53</v>
      </c>
      <c r="K341" s="605" t="s">
        <v>54</v>
      </c>
      <c r="L341" s="605" t="s">
        <v>55</v>
      </c>
      <c r="M341" s="179">
        <v>400</v>
      </c>
      <c r="N341" s="124"/>
      <c r="O341" s="60" t="s">
        <v>64</v>
      </c>
      <c r="P341" s="60">
        <v>30</v>
      </c>
      <c r="Q341" s="60">
        <v>40</v>
      </c>
      <c r="R341" s="60">
        <v>30</v>
      </c>
      <c r="S341" s="60">
        <v>40</v>
      </c>
      <c r="T341" s="273">
        <v>30</v>
      </c>
      <c r="U341" s="273">
        <v>40</v>
      </c>
      <c r="V341" s="946">
        <f>IF(J341="Canvas",P341+BorderL,P341)</f>
        <v>41</v>
      </c>
      <c r="W341" s="946">
        <f>IF(J341="Canvas",Q341+BorderL,Q341)</f>
        <v>51</v>
      </c>
      <c r="X341" s="60">
        <v>53</v>
      </c>
      <c r="Y341" s="60">
        <v>41</v>
      </c>
      <c r="Z341" s="60">
        <v>51</v>
      </c>
      <c r="AA341" s="678">
        <f t="shared" si="115"/>
        <v>14.520833333333334</v>
      </c>
      <c r="AB341" s="329">
        <f>Table1[[#This Row],[Substrate SF]]*Swiss1</f>
        <v>410.93958333333336</v>
      </c>
      <c r="AC341" s="176">
        <f>Table1[[#This Row],[Substrate SF]]*Paper</f>
        <v>19.646687499999999</v>
      </c>
      <c r="AD341" s="175">
        <f>Table1[[#This Row],[Substrate SF]]*SWISSC1</f>
        <v>40.658333333333331</v>
      </c>
      <c r="AE341" s="69">
        <f>IF(Table1[[#This Row],[Work Center]]="SwissQ",Materials!G$37,IF(Table1[[#This Row],[Work Center]]="Inca",Materials!G$29,IF(Table1[[#This Row],[Work Center]]="Canon",Materials!G$49,Materials!G$45)))</f>
        <v>20</v>
      </c>
      <c r="AF341" s="72">
        <f>'Cali FPS'!C48</f>
        <v>76.3</v>
      </c>
      <c r="AG341" s="540"/>
      <c r="AH341" s="69">
        <f t="shared" si="116"/>
        <v>20</v>
      </c>
      <c r="AI341" s="69"/>
      <c r="AJ341" s="175">
        <f t="shared" si="117"/>
        <v>176.60502083333333</v>
      </c>
      <c r="AK341" s="650">
        <f t="shared" si="118"/>
        <v>0.55848744791666671</v>
      </c>
      <c r="AL341" s="225">
        <f>Table1[[#This Row],[WSP/Dealer]]/Table1[[#This Row],[OD Sq Inch]]</f>
        <v>0.33333333333333331</v>
      </c>
      <c r="AM341" s="173">
        <f>Table1[[#This Row],[OD Wdth]]*Table1[[#This Row],[OD Hgt]]</f>
        <v>1200</v>
      </c>
      <c r="AN341" s="83"/>
      <c r="AO341" s="83"/>
      <c r="AP341" s="83"/>
      <c r="AQ341" s="540"/>
      <c r="AR341" s="540"/>
      <c r="AS341" s="540"/>
      <c r="AT341" s="69"/>
      <c r="AU341" s="1361" t="str">
        <f t="shared" si="112"/>
        <v>-</v>
      </c>
    </row>
    <row r="342" spans="1:47" s="159" customFormat="1" hidden="1" x14ac:dyDescent="0.2">
      <c r="A342" s="60" t="s">
        <v>1020</v>
      </c>
      <c r="B342" s="1061" t="s">
        <v>1021</v>
      </c>
      <c r="C342" s="76" t="s">
        <v>1027</v>
      </c>
      <c r="D342" s="76"/>
      <c r="E342" s="99" t="s">
        <v>1028</v>
      </c>
      <c r="F342" s="83" t="s">
        <v>289</v>
      </c>
      <c r="G342" s="605" t="s">
        <v>519</v>
      </c>
      <c r="H342" s="605" t="s">
        <v>688</v>
      </c>
      <c r="I342" s="605" t="s">
        <v>52</v>
      </c>
      <c r="J342" s="435" t="s">
        <v>53</v>
      </c>
      <c r="K342" s="605" t="s">
        <v>69</v>
      </c>
      <c r="L342" s="605" t="s">
        <v>70</v>
      </c>
      <c r="M342" s="124">
        <v>325</v>
      </c>
      <c r="N342" s="124"/>
      <c r="O342" s="60" t="s">
        <v>56</v>
      </c>
      <c r="P342" s="60">
        <v>16</v>
      </c>
      <c r="Q342" s="60">
        <v>20</v>
      </c>
      <c r="R342" s="60">
        <v>16</v>
      </c>
      <c r="S342" s="46">
        <v>20</v>
      </c>
      <c r="T342" s="61">
        <v>18</v>
      </c>
      <c r="U342" s="61">
        <v>22</v>
      </c>
      <c r="V342" s="174">
        <f>IF(J342="Canvas",P342+BorderL,P342)</f>
        <v>27</v>
      </c>
      <c r="W342" s="174">
        <f>IF(J342="Canvas",Q342+BorderL,Q342)</f>
        <v>31</v>
      </c>
      <c r="X342" s="60">
        <v>40</v>
      </c>
      <c r="Y342" s="60">
        <v>27</v>
      </c>
      <c r="Z342" s="60">
        <v>31</v>
      </c>
      <c r="AA342" s="678">
        <f t="shared" si="115"/>
        <v>5.8125</v>
      </c>
      <c r="AB342" s="329">
        <f>AA342*IncaG</f>
        <v>122.295</v>
      </c>
      <c r="AC342" s="176">
        <f>Table1[[#This Row],[Substrate SF]]*Paper</f>
        <v>7.8643124999999996</v>
      </c>
      <c r="AD342" s="175">
        <f>AA342*IncaC</f>
        <v>9.7835999999999999</v>
      </c>
      <c r="AE342" s="69">
        <f>IF(Table1[[#This Row],[Work Center]]="SwissQ",Materials!G$37,IF(Table1[[#This Row],[Work Center]]="Inca",Materials!G$29,IF(Table1[[#This Row],[Work Center]]="Canon",Materials!G$49,Materials!G$45)))</f>
        <v>8</v>
      </c>
      <c r="AF342" s="72">
        <f>'Cali Frames'!D267</f>
        <v>82.757499999999993</v>
      </c>
      <c r="AG342" s="540"/>
      <c r="AH342" s="48">
        <f t="shared" si="116"/>
        <v>16.25</v>
      </c>
      <c r="AI342" s="48"/>
      <c r="AJ342" s="175">
        <f t="shared" si="117"/>
        <v>124.6554125</v>
      </c>
      <c r="AK342" s="62">
        <f t="shared" si="118"/>
        <v>0.6164448846153846</v>
      </c>
      <c r="AL342" s="225">
        <f>Table1[[#This Row],[WSP/Dealer]]/Table1[[#This Row],[OD Sq Inch]]</f>
        <v>0.82070707070707072</v>
      </c>
      <c r="AM342" s="173">
        <f>Table1[[#This Row],[OD Wdth]]*Table1[[#This Row],[OD Hgt]]</f>
        <v>396</v>
      </c>
      <c r="AN342" s="180">
        <f>Table1[[#This Row],[Min VO]]+Table1[[#This Row],[Max VO]]</f>
        <v>36</v>
      </c>
      <c r="AO342" s="83"/>
      <c r="AP342" s="83"/>
      <c r="AQ342" s="540"/>
      <c r="AR342" s="540"/>
      <c r="AS342" s="540"/>
      <c r="AT342" s="69"/>
      <c r="AU342" s="1361" t="str">
        <f t="shared" si="112"/>
        <v>-</v>
      </c>
    </row>
    <row r="343" spans="1:47" s="422" customFormat="1" x14ac:dyDescent="0.2">
      <c r="A343" s="180" t="s">
        <v>58</v>
      </c>
      <c r="B343" s="1061" t="s">
        <v>445</v>
      </c>
      <c r="C343" s="79" t="s">
        <v>1029</v>
      </c>
      <c r="D343" s="281"/>
      <c r="E343" s="284" t="s">
        <v>1030</v>
      </c>
      <c r="F343" s="284" t="s">
        <v>289</v>
      </c>
      <c r="G343" s="180" t="s">
        <v>51</v>
      </c>
      <c r="H343" s="180" t="s">
        <v>51</v>
      </c>
      <c r="I343" s="180" t="s">
        <v>52</v>
      </c>
      <c r="J343" s="310" t="s">
        <v>53</v>
      </c>
      <c r="K343" s="180" t="s">
        <v>54</v>
      </c>
      <c r="L343" s="180" t="s">
        <v>55</v>
      </c>
      <c r="M343" s="614">
        <v>425</v>
      </c>
      <c r="N343" s="639">
        <v>560</v>
      </c>
      <c r="O343" s="180" t="s">
        <v>56</v>
      </c>
      <c r="P343" s="180">
        <v>30</v>
      </c>
      <c r="Q343" s="180">
        <v>40</v>
      </c>
      <c r="R343" s="180">
        <v>30</v>
      </c>
      <c r="S343" s="180">
        <v>40</v>
      </c>
      <c r="T343" s="180">
        <v>30</v>
      </c>
      <c r="U343" s="180">
        <v>40</v>
      </c>
      <c r="V343" s="47">
        <f>IF(J343="Canvas",P343+BorderGW,P343)</f>
        <v>38</v>
      </c>
      <c r="W343" s="47">
        <f>IF(J343="Canvas",Q343+BorderGW,Q343)</f>
        <v>48</v>
      </c>
      <c r="X343" s="289">
        <v>40</v>
      </c>
      <c r="Y343" s="180">
        <v>30</v>
      </c>
      <c r="Z343" s="180">
        <v>40</v>
      </c>
      <c r="AA343" s="717">
        <f t="shared" si="115"/>
        <v>12.666666666666666</v>
      </c>
      <c r="AB343" s="125">
        <f>AA343*IncaG</f>
        <v>266.50666666666666</v>
      </c>
      <c r="AC343" s="69">
        <f>AA343*Canvas</f>
        <v>8.36</v>
      </c>
      <c r="AD343" s="48">
        <f>AA343*IncaC</f>
        <v>21.320533333333334</v>
      </c>
      <c r="AE343" s="69">
        <f>IF(Table1[[#This Row],[Work Center]]="SwissQ",Materials!G$37,IF(Table1[[#This Row],[Work Center]]="Inca",Materials!G$29,IF(Table1[[#This Row],[Work Center]]="Canon",Materials!G$49,Materials!G$45)))</f>
        <v>8</v>
      </c>
      <c r="AF343" s="290">
        <f>'Cali FPS'!C48</f>
        <v>76.3</v>
      </c>
      <c r="AG343" s="296"/>
      <c r="AH343" s="112">
        <f t="shared" si="116"/>
        <v>21.25</v>
      </c>
      <c r="AI343" s="112"/>
      <c r="AJ343" s="48">
        <f t="shared" si="117"/>
        <v>135.23053333333331</v>
      </c>
      <c r="AK343" s="62">
        <f t="shared" si="118"/>
        <v>0.68181050980392166</v>
      </c>
      <c r="AL343" s="225">
        <f>Table1[[#This Row],[WSP/Dealer]]/Table1[[#This Row],[OD Sq Inch]]</f>
        <v>0.35416666666666669</v>
      </c>
      <c r="AM343" s="218">
        <f>Table1[[#This Row],[OD Wdth]]*Table1[[#This Row],[OD Hgt]]</f>
        <v>1200</v>
      </c>
      <c r="AN343" s="216">
        <f>Table1[[#This Row],[Min VO]]+Table1[[#This Row],[Max VO]]</f>
        <v>70</v>
      </c>
      <c r="AO343" s="284"/>
      <c r="AP343" s="284"/>
      <c r="AQ343" s="296"/>
      <c r="AR343" s="296"/>
      <c r="AS343" s="296"/>
      <c r="AT343" s="176"/>
      <c r="AU343" s="1358" t="str">
        <f t="shared" si="112"/>
        <v>-</v>
      </c>
    </row>
    <row r="344" spans="1:47" s="486" customFormat="1" hidden="1" x14ac:dyDescent="0.2">
      <c r="A344" s="60" t="s">
        <v>1020</v>
      </c>
      <c r="B344" s="1061" t="s">
        <v>1021</v>
      </c>
      <c r="C344" s="76" t="s">
        <v>1031</v>
      </c>
      <c r="D344" s="76"/>
      <c r="E344" s="99" t="s">
        <v>1032</v>
      </c>
      <c r="F344" s="83" t="s">
        <v>289</v>
      </c>
      <c r="G344" s="605" t="s">
        <v>519</v>
      </c>
      <c r="H344" s="605" t="s">
        <v>688</v>
      </c>
      <c r="I344" s="605" t="s">
        <v>52</v>
      </c>
      <c r="J344" s="435" t="s">
        <v>53</v>
      </c>
      <c r="K344" s="605" t="s">
        <v>69</v>
      </c>
      <c r="L344" s="605" t="s">
        <v>70</v>
      </c>
      <c r="M344" s="124">
        <v>325</v>
      </c>
      <c r="N344" s="124"/>
      <c r="O344" s="60" t="s">
        <v>64</v>
      </c>
      <c r="P344" s="60">
        <v>16</v>
      </c>
      <c r="Q344" s="60">
        <v>20</v>
      </c>
      <c r="R344" s="60">
        <v>16</v>
      </c>
      <c r="S344" s="46">
        <v>20</v>
      </c>
      <c r="T344" s="61">
        <v>18</v>
      </c>
      <c r="U344" s="61">
        <v>22</v>
      </c>
      <c r="V344" s="174">
        <f>IF(J344="Canvas",P344+BorderL,P344)</f>
        <v>27</v>
      </c>
      <c r="W344" s="174">
        <f>IF(J344="Canvas",Q344+BorderL,Q344)</f>
        <v>31</v>
      </c>
      <c r="X344" s="60">
        <v>40</v>
      </c>
      <c r="Y344" s="60">
        <v>27</v>
      </c>
      <c r="Z344" s="60">
        <v>31</v>
      </c>
      <c r="AA344" s="678">
        <f t="shared" si="115"/>
        <v>5.8125</v>
      </c>
      <c r="AB344" s="329">
        <f>Table1[[#This Row],[Substrate SF]]*Swiss1</f>
        <v>164.49375000000001</v>
      </c>
      <c r="AC344" s="176">
        <f>Table1[[#This Row],[Substrate SF]]*Paper</f>
        <v>7.8643124999999996</v>
      </c>
      <c r="AD344" s="175">
        <f>Table1[[#This Row],[Substrate SF]]*SWISSC1</f>
        <v>16.274999999999999</v>
      </c>
      <c r="AE344" s="69">
        <f>IF(Table1[[#This Row],[Work Center]]="SwissQ",Materials!G$37,IF(Table1[[#This Row],[Work Center]]="Inca",Materials!G$29,IF(Table1[[#This Row],[Work Center]]="Canon",Materials!G$49,Materials!G$45)))</f>
        <v>20</v>
      </c>
      <c r="AF344" s="72">
        <f>'Cali Frames'!D270</f>
        <v>81.462500000000006</v>
      </c>
      <c r="AG344" s="540"/>
      <c r="AH344" s="48">
        <f t="shared" si="116"/>
        <v>16.25</v>
      </c>
      <c r="AI344" s="48"/>
      <c r="AJ344" s="176">
        <f t="shared" si="117"/>
        <v>141.85181249999999</v>
      </c>
      <c r="AK344" s="62">
        <f t="shared" si="118"/>
        <v>0.56353288461538464</v>
      </c>
      <c r="AL344" s="225">
        <f>Table1[[#This Row],[WSP/Dealer]]/Table1[[#This Row],[OD Sq Inch]]</f>
        <v>0.82070707070707072</v>
      </c>
      <c r="AM344" s="173">
        <f>Table1[[#This Row],[OD Wdth]]*Table1[[#This Row],[OD Hgt]]</f>
        <v>396</v>
      </c>
      <c r="AN344" s="180">
        <f>Table1[[#This Row],[Min VO]]+Table1[[#This Row],[Max VO]]</f>
        <v>36</v>
      </c>
      <c r="AO344" s="83"/>
      <c r="AP344" s="83"/>
      <c r="AQ344" s="540"/>
      <c r="AR344" s="540"/>
      <c r="AS344" s="540"/>
      <c r="AT344" s="69"/>
      <c r="AU344" s="1361" t="str">
        <f t="shared" si="112"/>
        <v>-</v>
      </c>
    </row>
    <row r="345" spans="1:47" s="170" customFormat="1" hidden="1" x14ac:dyDescent="0.2">
      <c r="A345" s="60" t="s">
        <v>1020</v>
      </c>
      <c r="B345" s="1061" t="s">
        <v>346</v>
      </c>
      <c r="C345" s="76" t="s">
        <v>1033</v>
      </c>
      <c r="D345" s="76"/>
      <c r="E345" s="99" t="s">
        <v>1034</v>
      </c>
      <c r="F345" s="83" t="s">
        <v>289</v>
      </c>
      <c r="G345" s="605" t="s">
        <v>1026</v>
      </c>
      <c r="H345" s="605" t="s">
        <v>1026</v>
      </c>
      <c r="I345" s="605" t="s">
        <v>52</v>
      </c>
      <c r="J345" s="435" t="s">
        <v>53</v>
      </c>
      <c r="K345" s="605" t="s">
        <v>54</v>
      </c>
      <c r="L345" s="605" t="s">
        <v>55</v>
      </c>
      <c r="M345" s="179">
        <v>400</v>
      </c>
      <c r="N345" s="124"/>
      <c r="O345" s="60" t="s">
        <v>64</v>
      </c>
      <c r="P345" s="60">
        <v>30</v>
      </c>
      <c r="Q345" s="60">
        <v>40</v>
      </c>
      <c r="R345" s="60">
        <v>30</v>
      </c>
      <c r="S345" s="60">
        <v>40</v>
      </c>
      <c r="T345" s="273">
        <v>30</v>
      </c>
      <c r="U345" s="273">
        <v>40</v>
      </c>
      <c r="V345" s="47">
        <f>IF(J345="Canvas",P345+BorderL,P345)</f>
        <v>41</v>
      </c>
      <c r="W345" s="47">
        <f>IF(J345="Canvas",Q345+BorderL,Q345)</f>
        <v>51</v>
      </c>
      <c r="X345" s="60">
        <v>53</v>
      </c>
      <c r="Y345" s="60">
        <v>41</v>
      </c>
      <c r="Z345" s="60">
        <v>51</v>
      </c>
      <c r="AA345" s="678">
        <f t="shared" si="115"/>
        <v>14.520833333333334</v>
      </c>
      <c r="AB345" s="329">
        <f>Table1[[#This Row],[Substrate SF]]*Swiss1</f>
        <v>410.93958333333336</v>
      </c>
      <c r="AC345" s="176">
        <f>Table1[[#This Row],[Substrate SF]]*Paper</f>
        <v>19.646687499999999</v>
      </c>
      <c r="AD345" s="175">
        <f>Table1[[#This Row],[Substrate SF]]*SWISSC1</f>
        <v>40.658333333333331</v>
      </c>
      <c r="AE345" s="69">
        <f>IF(Table1[[#This Row],[Work Center]]="SwissQ",Materials!G$37,IF(Table1[[#This Row],[Work Center]]="Inca",Materials!G$29,IF(Table1[[#This Row],[Work Center]]="Canon",Materials!G$49,Materials!G$45)))</f>
        <v>20</v>
      </c>
      <c r="AF345" s="72">
        <f>'Cali FPS'!C48</f>
        <v>76.3</v>
      </c>
      <c r="AG345" s="540"/>
      <c r="AH345" s="48">
        <f t="shared" si="116"/>
        <v>20</v>
      </c>
      <c r="AI345" s="48"/>
      <c r="AJ345" s="176">
        <f t="shared" si="117"/>
        <v>176.60502083333333</v>
      </c>
      <c r="AK345" s="62">
        <f t="shared" si="118"/>
        <v>0.55848744791666671</v>
      </c>
      <c r="AL345" s="225">
        <f>Table1[[#This Row],[WSP/Dealer]]/Table1[[#This Row],[OD Sq Inch]]</f>
        <v>0.33333333333333331</v>
      </c>
      <c r="AM345" s="173">
        <f>Table1[[#This Row],[OD Wdth]]*Table1[[#This Row],[OD Hgt]]</f>
        <v>1200</v>
      </c>
      <c r="AN345" s="83"/>
      <c r="AO345" s="83"/>
      <c r="AP345" s="83"/>
      <c r="AQ345" s="540"/>
      <c r="AR345" s="540"/>
      <c r="AS345" s="540"/>
      <c r="AT345" s="69"/>
      <c r="AU345" s="1361" t="str">
        <f t="shared" si="112"/>
        <v>-</v>
      </c>
    </row>
    <row r="346" spans="1:47" s="170" customFormat="1" x14ac:dyDescent="0.2">
      <c r="A346" s="180" t="s">
        <v>58</v>
      </c>
      <c r="B346" s="1061" t="s">
        <v>445</v>
      </c>
      <c r="C346" s="79" t="s">
        <v>1035</v>
      </c>
      <c r="D346" s="281"/>
      <c r="E346" s="284" t="s">
        <v>1036</v>
      </c>
      <c r="F346" s="284" t="s">
        <v>289</v>
      </c>
      <c r="G346" s="180" t="s">
        <v>51</v>
      </c>
      <c r="H346" s="180" t="s">
        <v>51</v>
      </c>
      <c r="I346" s="180" t="s">
        <v>52</v>
      </c>
      <c r="J346" s="310" t="s">
        <v>53</v>
      </c>
      <c r="K346" s="180" t="s">
        <v>54</v>
      </c>
      <c r="L346" s="180" t="s">
        <v>55</v>
      </c>
      <c r="M346" s="614">
        <v>425</v>
      </c>
      <c r="N346" s="639">
        <v>560</v>
      </c>
      <c r="O346" s="180" t="s">
        <v>56</v>
      </c>
      <c r="P346" s="180">
        <v>30</v>
      </c>
      <c r="Q346" s="180">
        <v>40</v>
      </c>
      <c r="R346" s="180">
        <v>30</v>
      </c>
      <c r="S346" s="173">
        <v>40</v>
      </c>
      <c r="T346" s="180">
        <v>30</v>
      </c>
      <c r="U346" s="180">
        <v>40</v>
      </c>
      <c r="V346" s="47">
        <f>IF(J346="Canvas",P346+BorderGW,P346)</f>
        <v>38</v>
      </c>
      <c r="W346" s="47">
        <f>IF(J346="Canvas",Q346+BorderGW,Q346)</f>
        <v>48</v>
      </c>
      <c r="X346" s="289">
        <v>40</v>
      </c>
      <c r="Y346" s="180">
        <v>30</v>
      </c>
      <c r="Z346" s="180">
        <v>40</v>
      </c>
      <c r="AA346" s="717">
        <f t="shared" si="115"/>
        <v>12.666666666666666</v>
      </c>
      <c r="AB346" s="125">
        <f>AA346*IncaG</f>
        <v>266.50666666666666</v>
      </c>
      <c r="AC346" s="69">
        <f>AA346*Canvas</f>
        <v>8.36</v>
      </c>
      <c r="AD346" s="48">
        <f>AA346*IncaC</f>
        <v>21.320533333333334</v>
      </c>
      <c r="AE346" s="69">
        <f>IF(Table1[[#This Row],[Work Center]]="SwissQ",Materials!G$37,IF(Table1[[#This Row],[Work Center]]="Inca",Materials!G$29,IF(Table1[[#This Row],[Work Center]]="Canon",Materials!G$49,Materials!G$45)))</f>
        <v>8</v>
      </c>
      <c r="AF346" s="290">
        <f>'Cali FPS'!C48</f>
        <v>76.3</v>
      </c>
      <c r="AG346" s="296"/>
      <c r="AH346" s="112">
        <f t="shared" si="116"/>
        <v>21.25</v>
      </c>
      <c r="AI346" s="112"/>
      <c r="AJ346" s="69">
        <f t="shared" si="117"/>
        <v>135.23053333333331</v>
      </c>
      <c r="AK346" s="62">
        <f t="shared" si="118"/>
        <v>0.68181050980392166</v>
      </c>
      <c r="AL346" s="225">
        <f>Table1[[#This Row],[WSP/Dealer]]/Table1[[#This Row],[OD Sq Inch]]</f>
        <v>0.35416666666666669</v>
      </c>
      <c r="AM346" s="218">
        <f>Table1[[#This Row],[OD Wdth]]*Table1[[#This Row],[OD Hgt]]</f>
        <v>1200</v>
      </c>
      <c r="AN346" s="216">
        <f>Table1[[#This Row],[Min VO]]+Table1[[#This Row],[Max VO]]</f>
        <v>70</v>
      </c>
      <c r="AO346" s="286"/>
      <c r="AP346" s="284"/>
      <c r="AQ346" s="296"/>
      <c r="AR346" s="296"/>
      <c r="AS346" s="296"/>
      <c r="AT346" s="176"/>
      <c r="AU346" s="1362" t="str">
        <f t="shared" si="112"/>
        <v>-</v>
      </c>
    </row>
    <row r="347" spans="1:47" s="170" customFormat="1" x14ac:dyDescent="0.2">
      <c r="A347" s="145" t="s">
        <v>58</v>
      </c>
      <c r="B347" s="279" t="s">
        <v>533</v>
      </c>
      <c r="C347" s="152" t="s">
        <v>1037</v>
      </c>
      <c r="D347" s="1042" t="s">
        <v>1038</v>
      </c>
      <c r="E347" s="146" t="s">
        <v>1039</v>
      </c>
      <c r="F347" s="147" t="s">
        <v>114</v>
      </c>
      <c r="G347" s="156" t="s">
        <v>405</v>
      </c>
      <c r="H347" s="156" t="s">
        <v>405</v>
      </c>
      <c r="I347" s="156" t="s">
        <v>52</v>
      </c>
      <c r="J347" s="156" t="s">
        <v>53</v>
      </c>
      <c r="K347" s="156" t="s">
        <v>54</v>
      </c>
      <c r="L347" s="156" t="s">
        <v>55</v>
      </c>
      <c r="M347" s="151">
        <v>750</v>
      </c>
      <c r="N347" s="639">
        <v>830</v>
      </c>
      <c r="O347" s="145" t="s">
        <v>64</v>
      </c>
      <c r="P347" s="145">
        <v>48</v>
      </c>
      <c r="Q347" s="145">
        <v>48</v>
      </c>
      <c r="R347" s="145">
        <v>48</v>
      </c>
      <c r="S347" s="145">
        <v>48</v>
      </c>
      <c r="T347" s="698">
        <f>Table1[[#This Row],[VO Wdth]]</f>
        <v>48</v>
      </c>
      <c r="U347" s="698">
        <f>Table1[[#This Row],[VO Hgt]]</f>
        <v>48</v>
      </c>
      <c r="V347" s="913">
        <f t="shared" ref="V347:V359" si="119">IF(J347="Canvas",P347+Border,P347)</f>
        <v>56</v>
      </c>
      <c r="W347" s="913">
        <f t="shared" ref="W347:W359" si="120">IF(J347="Canvas",Q347+Border,Q347)</f>
        <v>56</v>
      </c>
      <c r="X347" s="157" t="s">
        <v>1040</v>
      </c>
      <c r="Y347" s="145"/>
      <c r="Z347" s="145"/>
      <c r="AA347" s="722">
        <f t="shared" si="115"/>
        <v>21.777777777777779</v>
      </c>
      <c r="AB347" s="389">
        <f>AA347*Swiss1</f>
        <v>616.31111111111113</v>
      </c>
      <c r="AC347" s="143">
        <f>Table1[[#This Row],[Substrate SF]]*Canvas</f>
        <v>14.373333333333335</v>
      </c>
      <c r="AD347" s="606">
        <f>Table1[[#This Row],[Substrate SF]]*Materials!C$37</f>
        <v>60.977777777777774</v>
      </c>
      <c r="AE347" s="104">
        <f>IF(Table1[[#This Row],[Work Center]]="SwissQ",Materials!G$37,IF(Table1[[#This Row],[Work Center]]="Inca",Materials!G$29,IF(Table1[[#This Row],[Work Center]]="Canon",Materials!G$49,Materials!G$45)))</f>
        <v>20</v>
      </c>
      <c r="AF347" s="143">
        <f>'Cali FPS'!C117</f>
        <v>119.7</v>
      </c>
      <c r="AG347" s="115"/>
      <c r="AH347" s="498">
        <f t="shared" si="116"/>
        <v>37.5</v>
      </c>
      <c r="AI347" s="498"/>
      <c r="AJ347" s="143">
        <f t="shared" si="117"/>
        <v>252.55111111111111</v>
      </c>
      <c r="AK347" s="650">
        <f t="shared" si="118"/>
        <v>0.66326518518518518</v>
      </c>
      <c r="AL347" s="225">
        <f>Table1[[#This Row],[WSP/Dealer]]/Table1[[#This Row],[OD Sq Inch]]</f>
        <v>0.32552083333333331</v>
      </c>
      <c r="AM347" s="216">
        <f>Table1[[#This Row],[OD Wdth]]*Table1[[#This Row],[OD Hgt]]</f>
        <v>2304</v>
      </c>
      <c r="AN347" s="216">
        <f>Table1[[#This Row],[Min VO]]+Table1[[#This Row],[Max VO]]</f>
        <v>96</v>
      </c>
      <c r="AO347" s="145"/>
      <c r="AP347" s="145"/>
      <c r="AQ347" s="143"/>
      <c r="AR347" s="143"/>
      <c r="AS347" s="143"/>
      <c r="AT347" s="143"/>
      <c r="AU347" s="1371" t="str">
        <f t="shared" si="112"/>
        <v>-</v>
      </c>
    </row>
    <row r="348" spans="1:47" s="399" customFormat="1" hidden="1" x14ac:dyDescent="0.2">
      <c r="A348" s="274" t="s">
        <v>272</v>
      </c>
      <c r="B348" s="279" t="s">
        <v>261</v>
      </c>
      <c r="C348" s="323" t="s">
        <v>1037</v>
      </c>
      <c r="D348" s="323"/>
      <c r="E348" s="317" t="s">
        <v>1039</v>
      </c>
      <c r="F348" s="275" t="s">
        <v>114</v>
      </c>
      <c r="G348" s="315" t="s">
        <v>405</v>
      </c>
      <c r="H348" s="315" t="s">
        <v>405</v>
      </c>
      <c r="I348" s="315" t="s">
        <v>108</v>
      </c>
      <c r="J348" s="315" t="s">
        <v>53</v>
      </c>
      <c r="K348" s="315" t="s">
        <v>54</v>
      </c>
      <c r="L348" s="315" t="s">
        <v>55</v>
      </c>
      <c r="M348" s="321">
        <v>375</v>
      </c>
      <c r="N348" s="321"/>
      <c r="O348" s="274" t="s">
        <v>64</v>
      </c>
      <c r="P348" s="170">
        <v>48</v>
      </c>
      <c r="Q348" s="170">
        <v>48</v>
      </c>
      <c r="R348" s="274">
        <v>48</v>
      </c>
      <c r="S348" s="170">
        <v>48</v>
      </c>
      <c r="T348" s="276">
        <f>Table1[[#This Row],[VO Wdth]]</f>
        <v>48</v>
      </c>
      <c r="U348" s="276">
        <f>Table1[[#This Row],[VO Hgt]]</f>
        <v>48</v>
      </c>
      <c r="V348" s="277">
        <f t="shared" si="119"/>
        <v>56</v>
      </c>
      <c r="W348" s="277">
        <f t="shared" si="120"/>
        <v>56</v>
      </c>
      <c r="X348" s="343" t="s">
        <v>1040</v>
      </c>
      <c r="Y348" s="274"/>
      <c r="Z348" s="274"/>
      <c r="AA348" s="727">
        <f t="shared" si="115"/>
        <v>21.777777777777779</v>
      </c>
      <c r="AB348" s="341">
        <f>AA348*SWISSRML</f>
        <v>43.555555555555557</v>
      </c>
      <c r="AC348" s="263">
        <f>Table1[[#This Row],[Substrate SF]]*Canvas</f>
        <v>14.373333333333335</v>
      </c>
      <c r="AD348" s="263">
        <f>Table1[[#This Row],[Substrate SF]]*Materials!C$41</f>
        <v>4.7911111111111113</v>
      </c>
      <c r="AE348" s="104">
        <f>IF(Table1[[#This Row],[Work Center]]="SwissQ",Materials!G$37,IF(Table1[[#This Row],[Work Center]]="Inca",Materials!G$29,IF(Table1[[#This Row],[Work Center]]="Canon",Materials!G$49,Materials!G$45)))</f>
        <v>20</v>
      </c>
      <c r="AF348" s="278">
        <f>'Cali FPS'!C117</f>
        <v>119.7</v>
      </c>
      <c r="AG348" s="275"/>
      <c r="AH348" s="498">
        <f t="shared" si="116"/>
        <v>18.75</v>
      </c>
      <c r="AI348" s="498"/>
      <c r="AJ348" s="263">
        <f t="shared" si="117"/>
        <v>177.61444444444444</v>
      </c>
      <c r="AK348" s="650">
        <f t="shared" si="118"/>
        <v>0.52636148148148143</v>
      </c>
      <c r="AL348" s="225">
        <f>Table1[[#This Row],[WSP/Dealer]]/Table1[[#This Row],[OD Sq Inch]]</f>
        <v>0.16276041666666666</v>
      </c>
      <c r="AM348" s="170">
        <f>Table1[[#This Row],[OD Wdth]]*Table1[[#This Row],[OD Hgt]]</f>
        <v>2304</v>
      </c>
      <c r="AN348" s="274">
        <f>Table1[[#This Row],[Min VO]]+Table1[[#This Row],[Max VO]]</f>
        <v>96</v>
      </c>
      <c r="AO348" s="274"/>
      <c r="AP348" s="274"/>
      <c r="AQ348" s="278"/>
      <c r="AR348" s="278"/>
      <c r="AS348" s="278"/>
      <c r="AT348" s="278"/>
      <c r="AU348" s="1192" t="str">
        <f t="shared" si="112"/>
        <v>-</v>
      </c>
    </row>
    <row r="349" spans="1:47" s="173" customFormat="1" hidden="1" x14ac:dyDescent="0.2">
      <c r="A349" s="60" t="s">
        <v>318</v>
      </c>
      <c r="B349" s="1106" t="s">
        <v>305</v>
      </c>
      <c r="C349" s="76" t="s">
        <v>1041</v>
      </c>
      <c r="D349" s="76"/>
      <c r="E349" s="99" t="s">
        <v>1042</v>
      </c>
      <c r="F349" s="83" t="s">
        <v>322</v>
      </c>
      <c r="G349" s="605" t="s">
        <v>191</v>
      </c>
      <c r="H349" s="605" t="s">
        <v>193</v>
      </c>
      <c r="I349" s="605" t="s">
        <v>52</v>
      </c>
      <c r="J349" s="435" t="s">
        <v>53</v>
      </c>
      <c r="K349" s="605" t="s">
        <v>69</v>
      </c>
      <c r="L349" s="605" t="s">
        <v>70</v>
      </c>
      <c r="M349" s="124">
        <v>800</v>
      </c>
      <c r="N349" s="124"/>
      <c r="O349" s="60" t="s">
        <v>64</v>
      </c>
      <c r="P349" s="60">
        <v>48</v>
      </c>
      <c r="Q349" s="60">
        <v>60</v>
      </c>
      <c r="R349" s="60">
        <v>48</v>
      </c>
      <c r="S349" s="60">
        <v>60</v>
      </c>
      <c r="T349" s="273">
        <v>41</v>
      </c>
      <c r="U349" s="273">
        <v>61</v>
      </c>
      <c r="V349" s="47">
        <f t="shared" si="119"/>
        <v>56</v>
      </c>
      <c r="W349" s="47">
        <f t="shared" si="120"/>
        <v>68</v>
      </c>
      <c r="X349" s="60">
        <v>69</v>
      </c>
      <c r="Y349" s="60">
        <v>56</v>
      </c>
      <c r="Z349" s="60">
        <v>68</v>
      </c>
      <c r="AA349" s="678">
        <f t="shared" si="115"/>
        <v>26.444444444444443</v>
      </c>
      <c r="AB349" s="329">
        <f>Table1[[#This Row],[Substrate SF]]*Swiss1</f>
        <v>748.37777777777774</v>
      </c>
      <c r="AC349" s="176">
        <f>AA349*Canvas</f>
        <v>17.453333333333333</v>
      </c>
      <c r="AD349" s="175">
        <f>Table1[[#This Row],[Substrate SF]]*SWISSC1</f>
        <v>74.044444444444437</v>
      </c>
      <c r="AE349" s="69">
        <f>IF(Table1[[#This Row],[Work Center]]="SwissQ",Materials!G$37,IF(Table1[[#This Row],[Work Center]]="Inca",Materials!G$29,IF(Table1[[#This Row],[Work Center]]="Canon",Materials!G$49,Materials!G$45)))</f>
        <v>20</v>
      </c>
      <c r="AF349" s="72">
        <f>'Cali Frames'!D335</f>
        <v>258.27999999999997</v>
      </c>
      <c r="AG349" s="540"/>
      <c r="AH349" s="69">
        <f t="shared" si="116"/>
        <v>40</v>
      </c>
      <c r="AI349" s="69"/>
      <c r="AJ349" s="175">
        <f t="shared" si="117"/>
        <v>409.77777777777771</v>
      </c>
      <c r="AK349" s="650">
        <f t="shared" si="118"/>
        <v>0.48777777777777787</v>
      </c>
      <c r="AL349" s="225">
        <f>Table1[[#This Row],[WSP/Dealer]]/Table1[[#This Row],[OD Sq Inch]]</f>
        <v>0.31987205117952822</v>
      </c>
      <c r="AM349" s="173">
        <f>Table1[[#This Row],[OD Wdth]]*Table1[[#This Row],[OD Hgt]]</f>
        <v>2501</v>
      </c>
      <c r="AN349" s="180" t="str">
        <f>Table1[[#This Row],[Color]]</f>
        <v>BF</v>
      </c>
      <c r="AO349" s="83" t="str">
        <f>Table1[[#This Row],[Print Type]]</f>
        <v>Synograph</v>
      </c>
      <c r="AP349" s="821"/>
      <c r="AQ349" s="540">
        <f>(Table1[[#This Row],[Desgnr/Retail P]]*0.05)</f>
        <v>0</v>
      </c>
      <c r="AR349" s="540" t="b">
        <f>IF(A349="Codarus",(AP349*0.13))</f>
        <v>0</v>
      </c>
      <c r="AS349" s="540" t="e" cm="1">
        <f t="array" ref="AS349">SUM(AC349:AG349+AQ+AR)</f>
        <v>#NAME?</v>
      </c>
      <c r="AT349" s="69" t="e">
        <f>(AP349-AS349)/AP349</f>
        <v>#NAME?</v>
      </c>
      <c r="AU349" s="1361" t="str">
        <f t="shared" si="112"/>
        <v>-</v>
      </c>
    </row>
    <row r="350" spans="1:47" s="170" customFormat="1" hidden="1" x14ac:dyDescent="0.2">
      <c r="A350" s="101" t="s">
        <v>110</v>
      </c>
      <c r="B350" s="1064" t="s">
        <v>250</v>
      </c>
      <c r="C350" s="100" t="s">
        <v>1043</v>
      </c>
      <c r="D350" s="100"/>
      <c r="E350" s="169" t="s">
        <v>1042</v>
      </c>
      <c r="F350" s="115" t="s">
        <v>322</v>
      </c>
      <c r="G350" s="407" t="s">
        <v>191</v>
      </c>
      <c r="H350" s="407" t="s">
        <v>193</v>
      </c>
      <c r="I350" s="407" t="s">
        <v>52</v>
      </c>
      <c r="J350" s="658" t="s">
        <v>53</v>
      </c>
      <c r="K350" s="407" t="s">
        <v>69</v>
      </c>
      <c r="L350" s="407" t="s">
        <v>73</v>
      </c>
      <c r="M350" s="114">
        <v>800</v>
      </c>
      <c r="N350" s="114"/>
      <c r="O350" s="101" t="s">
        <v>56</v>
      </c>
      <c r="P350" s="101">
        <v>48</v>
      </c>
      <c r="Q350" s="101">
        <v>60</v>
      </c>
      <c r="R350" s="101">
        <v>48</v>
      </c>
      <c r="S350" s="101">
        <v>60</v>
      </c>
      <c r="T350" s="116">
        <v>41</v>
      </c>
      <c r="U350" s="116">
        <v>61</v>
      </c>
      <c r="V350" s="106">
        <f t="shared" si="119"/>
        <v>56</v>
      </c>
      <c r="W350" s="106">
        <f t="shared" si="120"/>
        <v>68</v>
      </c>
      <c r="X350" s="101">
        <v>59</v>
      </c>
      <c r="Y350" s="101">
        <v>56</v>
      </c>
      <c r="Z350" s="101">
        <v>68</v>
      </c>
      <c r="AA350" s="724">
        <f t="shared" si="115"/>
        <v>26.444444444444443</v>
      </c>
      <c r="AB350" s="633">
        <f>AA350*IncaG</f>
        <v>556.39111111111106</v>
      </c>
      <c r="AC350" s="406">
        <f>Table1[[#This Row],[Substrate SF]]*Paper</f>
        <v>35.779333333333334</v>
      </c>
      <c r="AD350" s="405">
        <f>AA350*IncaC</f>
        <v>44.511288888888885</v>
      </c>
      <c r="AE350" s="406">
        <f>IF(Table1[[#This Row],[Work Center]]="SwissQ",Materials!G$37,IF(Table1[[#This Row],[Work Center]]="Inca",Materials!G$29,IF(Table1[[#This Row],[Work Center]]="Canon",Materials!G$49,Materials!G$45)))</f>
        <v>8</v>
      </c>
      <c r="AF350" s="102">
        <f>'Cali Frames'!D470</f>
        <v>263.70999999999998</v>
      </c>
      <c r="AG350" s="121"/>
      <c r="AH350" s="104">
        <f t="shared" si="116"/>
        <v>40</v>
      </c>
      <c r="AI350" s="406">
        <f>IF(A350="Codarus",(M350*0.13))</f>
        <v>104</v>
      </c>
      <c r="AJ350" s="406">
        <f>SUM(AC350:AI350)</f>
        <v>496.0006222222222</v>
      </c>
      <c r="AK350" s="830">
        <f t="shared" si="118"/>
        <v>0.37999922222222227</v>
      </c>
      <c r="AL350" s="660">
        <f>Table1[[#This Row],[WSP/Dealer]]/Table1[[#This Row],[OD Sq Inch]]</f>
        <v>0.31987205117952822</v>
      </c>
      <c r="AM350" s="399">
        <f>Table1[[#This Row],[OD Wdth]]*Table1[[#This Row],[OD Hgt]]</f>
        <v>2501</v>
      </c>
      <c r="AN350" s="400" t="str">
        <f>Table1[[#This Row],[Color]]</f>
        <v>NF</v>
      </c>
      <c r="AO350" s="115" t="str">
        <f>Table1[[#This Row],[Print Type]]</f>
        <v>Synograph</v>
      </c>
      <c r="AP350" s="1388">
        <v>1600</v>
      </c>
      <c r="AQ350" s="121">
        <f>(Table1[[#This Row],[Desgnr/Retail P]]*0.05)</f>
        <v>80</v>
      </c>
      <c r="AR350" s="121">
        <f>IF(A350="Codarus",(AP350*0.13))</f>
        <v>208</v>
      </c>
      <c r="AS350" s="121">
        <f>SUM(Table1[[#This Row],[Substrate $]:[GP FINISH]])+Table1[[#This Row],[Retail Royalty]]+Table1[[#This Row],[Retail$Comm]]</f>
        <v>640.0006222222222</v>
      </c>
      <c r="AT350" s="830">
        <f>IF(AP350=0,"-",(AP350-AS350)/AP350)</f>
        <v>0.59999961111111111</v>
      </c>
      <c r="AU350" s="830">
        <f t="shared" si="112"/>
        <v>0.99250000486111101</v>
      </c>
    </row>
    <row r="351" spans="1:47" s="173" customFormat="1" hidden="1" x14ac:dyDescent="0.2">
      <c r="A351" s="374"/>
      <c r="B351" s="279"/>
      <c r="C351" s="1258"/>
      <c r="D351" s="302"/>
      <c r="E351" s="375" t="s">
        <v>1044</v>
      </c>
      <c r="F351" s="84" t="s">
        <v>322</v>
      </c>
      <c r="G351" s="315" t="s">
        <v>395</v>
      </c>
      <c r="H351" s="315" t="s">
        <v>396</v>
      </c>
      <c r="I351" s="315" t="s">
        <v>52</v>
      </c>
      <c r="J351" s="636" t="s">
        <v>53</v>
      </c>
      <c r="K351" s="315" t="s">
        <v>69</v>
      </c>
      <c r="L351" s="315" t="s">
        <v>73</v>
      </c>
      <c r="M351" s="178">
        <v>925</v>
      </c>
      <c r="N351" s="71"/>
      <c r="O351" s="274" t="s">
        <v>64</v>
      </c>
      <c r="P351" s="274">
        <v>60</v>
      </c>
      <c r="Q351" s="274">
        <v>60</v>
      </c>
      <c r="R351" s="274">
        <v>60</v>
      </c>
      <c r="S351" s="274">
        <v>60</v>
      </c>
      <c r="T351" s="783">
        <v>61</v>
      </c>
      <c r="U351" s="783">
        <v>61</v>
      </c>
      <c r="V351" s="66">
        <f t="shared" si="119"/>
        <v>68</v>
      </c>
      <c r="W351" s="66">
        <f t="shared" si="120"/>
        <v>68</v>
      </c>
      <c r="X351" s="343"/>
      <c r="Y351" s="274">
        <v>68</v>
      </c>
      <c r="Z351" s="274">
        <v>68</v>
      </c>
      <c r="AA351" s="727">
        <f t="shared" si="115"/>
        <v>32.111111111111114</v>
      </c>
      <c r="AB351" s="341">
        <f>Table1[[#This Row],[Substrate SF]]*Swiss1</f>
        <v>908.74444444444453</v>
      </c>
      <c r="AC351" s="278">
        <f>AA351*Canvas</f>
        <v>21.193333333333335</v>
      </c>
      <c r="AD351" s="263">
        <f>Table1[[#This Row],[Substrate SF]]*SWISSC1</f>
        <v>89.911111111111111</v>
      </c>
      <c r="AE351" s="74">
        <f>IF(Table1[[#This Row],[Work Center]]="SwissQ",Materials!G$37,IF(Table1[[#This Row],[Work Center]]="Inca",Materials!G$29,IF(Table1[[#This Row],[Work Center]]="Canon",Materials!G$49,Materials!G$45)))</f>
        <v>20</v>
      </c>
      <c r="AF351" s="321">
        <f>'Cali Frames'!D481</f>
        <v>235.28749999999997</v>
      </c>
      <c r="AG351" s="126"/>
      <c r="AH351" s="112">
        <f t="shared" si="116"/>
        <v>46.25</v>
      </c>
      <c r="AI351" s="112"/>
      <c r="AJ351" s="263">
        <f t="shared" ref="AJ351:AJ358" si="121">SUM(AC351:AH351)</f>
        <v>412.64194444444445</v>
      </c>
      <c r="AK351" s="62">
        <f t="shared" si="118"/>
        <v>0.55390060060060065</v>
      </c>
      <c r="AL351" s="225">
        <f>Table1[[#This Row],[WSP/Dealer]]/Table1[[#This Row],[OD Sq Inch]]</f>
        <v>0.24858908895458209</v>
      </c>
      <c r="AM351" s="170">
        <f>Table1[[#This Row],[OD Wdth]]*Table1[[#This Row],[OD Hgt]]</f>
        <v>3721</v>
      </c>
      <c r="AN351" s="274" t="str">
        <f>Table1[[#This Row],[Color]]</f>
        <v>NF</v>
      </c>
      <c r="AO351" s="84" t="str">
        <f>Table1[[#This Row],[Print Type]]</f>
        <v>Synograph</v>
      </c>
      <c r="AP351" s="275"/>
      <c r="AQ351" s="320"/>
      <c r="AR351" s="320"/>
      <c r="AS351" s="320"/>
      <c r="AT351" s="278"/>
      <c r="AU351" s="1368" t="str">
        <f t="shared" si="112"/>
        <v>-</v>
      </c>
    </row>
    <row r="352" spans="1:47" s="173" customFormat="1" x14ac:dyDescent="0.2">
      <c r="A352" s="145" t="s">
        <v>58</v>
      </c>
      <c r="B352" s="279" t="s">
        <v>533</v>
      </c>
      <c r="C352" s="146" t="s">
        <v>1045</v>
      </c>
      <c r="D352" s="1042" t="s">
        <v>1046</v>
      </c>
      <c r="E352" s="146" t="s">
        <v>1047</v>
      </c>
      <c r="F352" s="147" t="s">
        <v>386</v>
      </c>
      <c r="G352" s="156" t="s">
        <v>1048</v>
      </c>
      <c r="H352" s="156" t="s">
        <v>1048</v>
      </c>
      <c r="I352" s="156" t="s">
        <v>52</v>
      </c>
      <c r="J352" s="156" t="s">
        <v>53</v>
      </c>
      <c r="K352" s="156" t="s">
        <v>54</v>
      </c>
      <c r="L352" s="156" t="s">
        <v>55</v>
      </c>
      <c r="M352" s="151">
        <v>950</v>
      </c>
      <c r="N352" s="639">
        <v>950</v>
      </c>
      <c r="O352" s="145" t="s">
        <v>56</v>
      </c>
      <c r="P352" s="145">
        <v>48</v>
      </c>
      <c r="Q352" s="145">
        <v>60</v>
      </c>
      <c r="R352" s="145">
        <v>48</v>
      </c>
      <c r="S352" s="145">
        <v>60</v>
      </c>
      <c r="T352" s="698">
        <f>Table1[[#This Row],[VO Wdth]]</f>
        <v>48</v>
      </c>
      <c r="U352" s="698">
        <f>Table1[[#This Row],[VO Hgt]]</f>
        <v>60</v>
      </c>
      <c r="V352" s="149">
        <f t="shared" si="119"/>
        <v>56</v>
      </c>
      <c r="W352" s="149">
        <f t="shared" si="120"/>
        <v>68</v>
      </c>
      <c r="X352" s="157">
        <v>69</v>
      </c>
      <c r="Y352" s="145"/>
      <c r="Z352" s="145"/>
      <c r="AA352" s="722">
        <f t="shared" si="115"/>
        <v>26.444444444444443</v>
      </c>
      <c r="AB352" s="389">
        <f t="shared" ref="AB352:AB358" si="122">AA352*IncaG</f>
        <v>556.39111111111106</v>
      </c>
      <c r="AC352" s="143">
        <f>Table1[[#This Row],[Substrate SF]]*Paper</f>
        <v>35.779333333333334</v>
      </c>
      <c r="AD352" s="150">
        <f t="shared" ref="AD352:AD358" si="123">AA352*IncaC</f>
        <v>44.511288888888885</v>
      </c>
      <c r="AE352" s="104">
        <f>IF(Table1[[#This Row],[Work Center]]="SwissQ",Materials!G$37,IF(Table1[[#This Row],[Work Center]]="Inca",Materials!G$29,IF(Table1[[#This Row],[Work Center]]="Canon",Materials!G$49,Materials!G$45)))</f>
        <v>8</v>
      </c>
      <c r="AF352" s="143">
        <f>'Cali FPS'!C$121</f>
        <v>188.18</v>
      </c>
      <c r="AG352" s="115"/>
      <c r="AH352" s="112">
        <f t="shared" si="116"/>
        <v>47.5</v>
      </c>
      <c r="AI352" s="112"/>
      <c r="AJ352" s="150">
        <f t="shared" si="121"/>
        <v>323.97062222222223</v>
      </c>
      <c r="AK352" s="62">
        <f t="shared" si="118"/>
        <v>0.65897829239766081</v>
      </c>
      <c r="AL352" s="225">
        <f>Table1[[#This Row],[WSP/Dealer]]/Table1[[#This Row],[OD Sq Inch]]</f>
        <v>0.3298611111111111</v>
      </c>
      <c r="AM352" s="103">
        <f>Table1[[#This Row],[OD Wdth]]*Table1[[#This Row],[OD Hgt]]</f>
        <v>2880</v>
      </c>
      <c r="AN352" s="216">
        <f>Table1[[#This Row],[Min VO]]+Table1[[#This Row],[Max VO]]</f>
        <v>108</v>
      </c>
      <c r="AO352" s="145"/>
      <c r="AP352" s="145"/>
      <c r="AQ352" s="143"/>
      <c r="AR352" s="143"/>
      <c r="AS352" s="143"/>
      <c r="AT352" s="143"/>
      <c r="AU352" s="1371" t="str">
        <f t="shared" si="112"/>
        <v>-</v>
      </c>
    </row>
    <row r="353" spans="1:47" s="173" customFormat="1" x14ac:dyDescent="0.2">
      <c r="A353" s="145" t="s">
        <v>58</v>
      </c>
      <c r="B353" s="279" t="s">
        <v>533</v>
      </c>
      <c r="C353" s="146" t="s">
        <v>1049</v>
      </c>
      <c r="D353" s="1042" t="s">
        <v>1050</v>
      </c>
      <c r="E353" s="146" t="s">
        <v>1051</v>
      </c>
      <c r="F353" s="154" t="s">
        <v>386</v>
      </c>
      <c r="G353" s="145" t="s">
        <v>1048</v>
      </c>
      <c r="H353" s="145" t="s">
        <v>1048</v>
      </c>
      <c r="I353" s="145" t="s">
        <v>52</v>
      </c>
      <c r="J353" s="145" t="s">
        <v>53</v>
      </c>
      <c r="K353" s="145" t="s">
        <v>54</v>
      </c>
      <c r="L353" s="145" t="s">
        <v>55</v>
      </c>
      <c r="M353" s="151">
        <v>950</v>
      </c>
      <c r="N353" s="639">
        <v>950</v>
      </c>
      <c r="O353" s="145" t="s">
        <v>56</v>
      </c>
      <c r="P353" s="145">
        <v>48</v>
      </c>
      <c r="Q353" s="145">
        <v>60</v>
      </c>
      <c r="R353" s="145">
        <v>48</v>
      </c>
      <c r="S353" s="145">
        <v>60</v>
      </c>
      <c r="T353" s="698">
        <f>Table1[[#This Row],[VO Wdth]]</f>
        <v>48</v>
      </c>
      <c r="U353" s="698">
        <f>Table1[[#This Row],[VO Hgt]]</f>
        <v>60</v>
      </c>
      <c r="V353" s="149">
        <f t="shared" si="119"/>
        <v>56</v>
      </c>
      <c r="W353" s="149">
        <f t="shared" si="120"/>
        <v>68</v>
      </c>
      <c r="X353" s="157">
        <v>69</v>
      </c>
      <c r="Y353" s="145"/>
      <c r="Z353" s="145"/>
      <c r="AA353" s="722">
        <f t="shared" si="115"/>
        <v>26.444444444444443</v>
      </c>
      <c r="AB353" s="389">
        <f t="shared" si="122"/>
        <v>556.39111111111106</v>
      </c>
      <c r="AC353" s="143">
        <f>Table1[[#This Row],[Substrate SF]]*Paper</f>
        <v>35.779333333333334</v>
      </c>
      <c r="AD353" s="150">
        <f t="shared" si="123"/>
        <v>44.511288888888885</v>
      </c>
      <c r="AE353" s="104">
        <f>IF(Table1[[#This Row],[Work Center]]="SwissQ",Materials!G$37,IF(Table1[[#This Row],[Work Center]]="Inca",Materials!G$29,IF(Table1[[#This Row],[Work Center]]="Canon",Materials!G$49,Materials!G$45)))</f>
        <v>8</v>
      </c>
      <c r="AF353" s="143">
        <f>'Cali FPS'!C$121</f>
        <v>188.18</v>
      </c>
      <c r="AG353" s="115"/>
      <c r="AH353" s="112">
        <f t="shared" si="116"/>
        <v>47.5</v>
      </c>
      <c r="AI353" s="112"/>
      <c r="AJ353" s="150">
        <f t="shared" si="121"/>
        <v>323.97062222222223</v>
      </c>
      <c r="AK353" s="62">
        <f t="shared" si="118"/>
        <v>0.65897829239766081</v>
      </c>
      <c r="AL353" s="225">
        <f>Table1[[#This Row],[WSP/Dealer]]/Table1[[#This Row],[OD Sq Inch]]</f>
        <v>0.3298611111111111</v>
      </c>
      <c r="AM353" s="218">
        <f>Table1[[#This Row],[OD Wdth]]*Table1[[#This Row],[OD Hgt]]</f>
        <v>2880</v>
      </c>
      <c r="AN353" s="216">
        <f>Table1[[#This Row],[Min VO]]+Table1[[#This Row],[Max VO]]</f>
        <v>108</v>
      </c>
      <c r="AO353" s="145"/>
      <c r="AP353" s="145"/>
      <c r="AQ353" s="143"/>
      <c r="AR353" s="143"/>
      <c r="AS353" s="143"/>
      <c r="AT353" s="143"/>
      <c r="AU353" s="1371" t="str">
        <f t="shared" si="112"/>
        <v>-</v>
      </c>
    </row>
    <row r="354" spans="1:47" s="173" customFormat="1" x14ac:dyDescent="0.2">
      <c r="A354" s="60" t="s">
        <v>58</v>
      </c>
      <c r="B354" s="1106" t="s">
        <v>111</v>
      </c>
      <c r="C354" s="79" t="s">
        <v>1052</v>
      </c>
      <c r="D354" s="76"/>
      <c r="E354" s="99" t="s">
        <v>1053</v>
      </c>
      <c r="F354" s="99" t="s">
        <v>567</v>
      </c>
      <c r="G354" s="60" t="s">
        <v>1048</v>
      </c>
      <c r="H354" s="60" t="s">
        <v>191</v>
      </c>
      <c r="I354" s="60" t="s">
        <v>52</v>
      </c>
      <c r="J354" s="59" t="s">
        <v>53</v>
      </c>
      <c r="K354" s="60" t="s">
        <v>54</v>
      </c>
      <c r="L354" s="60" t="s">
        <v>55</v>
      </c>
      <c r="M354" s="124">
        <v>950</v>
      </c>
      <c r="N354" s="124"/>
      <c r="O354" s="60" t="s">
        <v>56</v>
      </c>
      <c r="P354" s="145">
        <v>48</v>
      </c>
      <c r="Q354" s="145">
        <v>60</v>
      </c>
      <c r="R354" s="145">
        <v>48</v>
      </c>
      <c r="S354" s="145">
        <v>60</v>
      </c>
      <c r="T354" s="698">
        <f>Table1[[#This Row],[VO Wdth]]</f>
        <v>48</v>
      </c>
      <c r="U354" s="698">
        <f>Table1[[#This Row],[VO Hgt]]</f>
        <v>60</v>
      </c>
      <c r="V354" s="913">
        <f t="shared" si="119"/>
        <v>56</v>
      </c>
      <c r="W354" s="913">
        <f t="shared" si="120"/>
        <v>68</v>
      </c>
      <c r="X354" s="157">
        <v>69</v>
      </c>
      <c r="Y354" s="60">
        <v>56</v>
      </c>
      <c r="Z354" s="60">
        <v>68</v>
      </c>
      <c r="AA354" s="678">
        <f t="shared" si="115"/>
        <v>26.444444444444443</v>
      </c>
      <c r="AB354" s="329">
        <f t="shared" si="122"/>
        <v>556.39111111111106</v>
      </c>
      <c r="AC354" s="176">
        <f>Table1[[#This Row],[Substrate SF]]*Paper</f>
        <v>35.779333333333334</v>
      </c>
      <c r="AD354" s="175">
        <f t="shared" si="123"/>
        <v>44.511288888888885</v>
      </c>
      <c r="AE354" s="176">
        <f>IF(Table1[[#This Row],[Work Center]]="SwissQ",Materials!G$37,IF(Table1[[#This Row],[Work Center]]="Inca",Materials!G$29,IF(Table1[[#This Row],[Work Center]]="Canon",Materials!G$49,Materials!G$45)))</f>
        <v>8</v>
      </c>
      <c r="AF354" s="72">
        <f>'Cali FPS'!C121</f>
        <v>188.18</v>
      </c>
      <c r="AG354" s="83"/>
      <c r="AH354" s="176">
        <f t="shared" si="116"/>
        <v>47.5</v>
      </c>
      <c r="AI354" s="176"/>
      <c r="AJ354" s="175">
        <f t="shared" si="121"/>
        <v>323.97062222222223</v>
      </c>
      <c r="AK354" s="1201">
        <f t="shared" si="118"/>
        <v>0.65897829239766081</v>
      </c>
      <c r="AL354" s="176">
        <f>Table1[[#This Row],[WSP/Dealer]]/Table1[[#This Row],[OD Sq Inch]]</f>
        <v>0.3298611111111111</v>
      </c>
      <c r="AM354" s="173">
        <f>Table1[[#This Row],[OD Wdth]]*Table1[[#This Row],[OD Hgt]]</f>
        <v>2880</v>
      </c>
      <c r="AN354" s="180">
        <f>Table1[[#This Row],[Min VO]]+Table1[[#This Row],[Max VO]]</f>
        <v>108</v>
      </c>
      <c r="AO354" s="83"/>
      <c r="AP354" s="83"/>
      <c r="AQ354" s="69"/>
      <c r="AR354" s="69"/>
      <c r="AS354" s="69"/>
      <c r="AT354" s="69"/>
      <c r="AU354" s="1361" t="str">
        <f t="shared" si="112"/>
        <v>-</v>
      </c>
    </row>
    <row r="355" spans="1:47" s="170" customFormat="1" x14ac:dyDescent="0.2">
      <c r="A355" s="145" t="s">
        <v>58</v>
      </c>
      <c r="B355" s="279" t="s">
        <v>533</v>
      </c>
      <c r="C355" s="146" t="s">
        <v>1054</v>
      </c>
      <c r="D355" s="1042" t="s">
        <v>1055</v>
      </c>
      <c r="E355" s="146" t="s">
        <v>1056</v>
      </c>
      <c r="F355" s="154" t="s">
        <v>531</v>
      </c>
      <c r="G355" s="145" t="s">
        <v>1057</v>
      </c>
      <c r="H355" s="145" t="s">
        <v>1057</v>
      </c>
      <c r="I355" s="145" t="s">
        <v>52</v>
      </c>
      <c r="J355" s="145" t="s">
        <v>53</v>
      </c>
      <c r="K355" s="145" t="s">
        <v>54</v>
      </c>
      <c r="L355" s="145" t="s">
        <v>55</v>
      </c>
      <c r="M355" s="151">
        <v>1120</v>
      </c>
      <c r="N355" s="639">
        <v>1120</v>
      </c>
      <c r="O355" s="145" t="s">
        <v>56</v>
      </c>
      <c r="P355" s="145">
        <v>54</v>
      </c>
      <c r="Q355" s="145">
        <v>63</v>
      </c>
      <c r="R355" s="145">
        <v>54</v>
      </c>
      <c r="S355" s="145">
        <v>63</v>
      </c>
      <c r="T355" s="698">
        <f>Table1[[#This Row],[VO Wdth]]</f>
        <v>54</v>
      </c>
      <c r="U355" s="698">
        <f>Table1[[#This Row],[VO Hgt]]</f>
        <v>63</v>
      </c>
      <c r="V355" s="913">
        <f t="shared" si="119"/>
        <v>62</v>
      </c>
      <c r="W355" s="913">
        <f t="shared" si="120"/>
        <v>71</v>
      </c>
      <c r="X355" s="157">
        <v>63</v>
      </c>
      <c r="Y355" s="145"/>
      <c r="Z355" s="145"/>
      <c r="AA355" s="722">
        <f t="shared" si="115"/>
        <v>30.569444444444443</v>
      </c>
      <c r="AB355" s="389">
        <f t="shared" si="122"/>
        <v>643.18111111111102</v>
      </c>
      <c r="AC355" s="143">
        <f>Table1[[#This Row],[Substrate SF]]*Paper</f>
        <v>41.360458333333334</v>
      </c>
      <c r="AD355" s="143">
        <f t="shared" si="123"/>
        <v>51.454488888888889</v>
      </c>
      <c r="AE355" s="104">
        <f>IF(Table1[[#This Row],[Work Center]]="SwissQ",Materials!G$37,IF(Table1[[#This Row],[Work Center]]="Inca",Materials!G$29,IF(Table1[[#This Row],[Work Center]]="Canon",Materials!G$49,Materials!G$45)))</f>
        <v>8</v>
      </c>
      <c r="AF355" s="143">
        <f>'Cali FPS'!C143</f>
        <v>178.15</v>
      </c>
      <c r="AG355" s="115"/>
      <c r="AH355" s="498">
        <f t="shared" si="116"/>
        <v>56</v>
      </c>
      <c r="AI355" s="498"/>
      <c r="AJ355" s="143">
        <f t="shared" si="121"/>
        <v>334.96494722222224</v>
      </c>
      <c r="AK355" s="650">
        <f t="shared" si="118"/>
        <v>0.70092415426587296</v>
      </c>
      <c r="AL355" s="225">
        <f>Table1[[#This Row],[WSP/Dealer]]/Table1[[#This Row],[OD Sq Inch]]</f>
        <v>0.32921810699588477</v>
      </c>
      <c r="AM355" s="216">
        <f>Table1[[#This Row],[OD Wdth]]*Table1[[#This Row],[OD Hgt]]</f>
        <v>3402</v>
      </c>
      <c r="AN355" s="216">
        <f>Table1[[#This Row],[Min VO]]+Table1[[#This Row],[Max VO]]</f>
        <v>117</v>
      </c>
      <c r="AO355" s="145"/>
      <c r="AP355" s="145"/>
      <c r="AQ355" s="143"/>
      <c r="AR355" s="143"/>
      <c r="AS355" s="143"/>
      <c r="AT355" s="143"/>
      <c r="AU355" s="1371" t="str">
        <f t="shared" si="112"/>
        <v>-</v>
      </c>
    </row>
    <row r="356" spans="1:47" s="173" customFormat="1" hidden="1" x14ac:dyDescent="0.2">
      <c r="A356" s="274" t="s">
        <v>272</v>
      </c>
      <c r="B356" s="279" t="s">
        <v>261</v>
      </c>
      <c r="C356" s="317" t="s">
        <v>1058</v>
      </c>
      <c r="D356" s="323"/>
      <c r="E356" s="317" t="s">
        <v>1056</v>
      </c>
      <c r="F356" s="375" t="s">
        <v>531</v>
      </c>
      <c r="G356" s="274" t="s">
        <v>1057</v>
      </c>
      <c r="H356" s="274" t="s">
        <v>1057</v>
      </c>
      <c r="I356" s="274" t="s">
        <v>108</v>
      </c>
      <c r="J356" s="274" t="s">
        <v>53</v>
      </c>
      <c r="K356" s="274" t="s">
        <v>54</v>
      </c>
      <c r="L356" s="274" t="s">
        <v>55</v>
      </c>
      <c r="M356" s="321">
        <v>450</v>
      </c>
      <c r="N356" s="321"/>
      <c r="O356" s="274" t="s">
        <v>56</v>
      </c>
      <c r="P356" s="274">
        <v>54</v>
      </c>
      <c r="Q356" s="274">
        <v>63</v>
      </c>
      <c r="R356" s="274">
        <v>54</v>
      </c>
      <c r="S356" s="274">
        <v>63</v>
      </c>
      <c r="T356" s="783">
        <f>Table1[[#This Row],[VO Wdth]]</f>
        <v>54</v>
      </c>
      <c r="U356" s="783">
        <f>Table1[[#This Row],[VO Hgt]]</f>
        <v>63</v>
      </c>
      <c r="V356" s="277">
        <f t="shared" si="119"/>
        <v>62</v>
      </c>
      <c r="W356" s="277">
        <f t="shared" si="120"/>
        <v>71</v>
      </c>
      <c r="X356" s="343">
        <v>63</v>
      </c>
      <c r="Y356" s="274"/>
      <c r="Z356" s="274"/>
      <c r="AA356" s="727">
        <f t="shared" si="115"/>
        <v>30.569444444444443</v>
      </c>
      <c r="AB356" s="341">
        <f t="shared" si="122"/>
        <v>643.18111111111102</v>
      </c>
      <c r="AC356" s="278">
        <f>Table1[[#This Row],[Substrate SF]]*Paper</f>
        <v>41.360458333333334</v>
      </c>
      <c r="AD356" s="263">
        <f t="shared" si="123"/>
        <v>51.454488888888889</v>
      </c>
      <c r="AE356" s="104">
        <f>IF(Table1[[#This Row],[Work Center]]="SwissQ",Materials!G$37,IF(Table1[[#This Row],[Work Center]]="Inca",Materials!G$29,IF(Table1[[#This Row],[Work Center]]="Canon",Materials!G$49,Materials!G$45)))</f>
        <v>8</v>
      </c>
      <c r="AF356" s="278">
        <f>'Cali FPS'!C143</f>
        <v>178.15</v>
      </c>
      <c r="AG356" s="275"/>
      <c r="AH356" s="112">
        <f t="shared" si="116"/>
        <v>22.5</v>
      </c>
      <c r="AI356" s="112"/>
      <c r="AJ356" s="263">
        <f t="shared" si="121"/>
        <v>301.46494722222224</v>
      </c>
      <c r="AK356" s="62">
        <f t="shared" si="118"/>
        <v>0.33007789506172835</v>
      </c>
      <c r="AL356" s="225">
        <f>Table1[[#This Row],[WSP/Dealer]]/Table1[[#This Row],[OD Sq Inch]]</f>
        <v>0.13227513227513227</v>
      </c>
      <c r="AM356" s="170">
        <f>Table1[[#This Row],[OD Wdth]]*Table1[[#This Row],[OD Hgt]]</f>
        <v>3402</v>
      </c>
      <c r="AN356" s="274">
        <f>Table1[[#This Row],[Min VO]]+Table1[[#This Row],[Max VO]]</f>
        <v>117</v>
      </c>
      <c r="AO356" s="274"/>
      <c r="AP356" s="274"/>
      <c r="AQ356" s="278"/>
      <c r="AR356" s="278"/>
      <c r="AS356" s="278"/>
      <c r="AT356" s="278"/>
      <c r="AU356" s="1192" t="str">
        <f t="shared" si="112"/>
        <v>-</v>
      </c>
    </row>
    <row r="357" spans="1:47" s="173" customFormat="1" x14ac:dyDescent="0.2">
      <c r="A357" s="145" t="s">
        <v>58</v>
      </c>
      <c r="B357" s="279" t="s">
        <v>533</v>
      </c>
      <c r="C357" s="146" t="s">
        <v>1059</v>
      </c>
      <c r="D357" s="1042" t="s">
        <v>1060</v>
      </c>
      <c r="E357" s="146" t="s">
        <v>1061</v>
      </c>
      <c r="F357" s="147" t="s">
        <v>531</v>
      </c>
      <c r="G357" s="145" t="s">
        <v>1057</v>
      </c>
      <c r="H357" s="145" t="s">
        <v>1057</v>
      </c>
      <c r="I357" s="156" t="s">
        <v>52</v>
      </c>
      <c r="J357" s="156" t="s">
        <v>53</v>
      </c>
      <c r="K357" s="156" t="s">
        <v>54</v>
      </c>
      <c r="L357" s="156" t="s">
        <v>55</v>
      </c>
      <c r="M357" s="151">
        <v>1120</v>
      </c>
      <c r="N357" s="639">
        <v>1120</v>
      </c>
      <c r="O357" s="145" t="s">
        <v>56</v>
      </c>
      <c r="P357" s="145">
        <v>54</v>
      </c>
      <c r="Q357" s="145">
        <v>63</v>
      </c>
      <c r="R357" s="145">
        <v>54</v>
      </c>
      <c r="S357" s="145">
        <v>63</v>
      </c>
      <c r="T357" s="698">
        <f>Table1[[#This Row],[VO Wdth]]</f>
        <v>54</v>
      </c>
      <c r="U357" s="698">
        <f>Table1[[#This Row],[VO Hgt]]</f>
        <v>63</v>
      </c>
      <c r="V357" s="913">
        <f t="shared" si="119"/>
        <v>62</v>
      </c>
      <c r="W357" s="913">
        <f t="shared" si="120"/>
        <v>71</v>
      </c>
      <c r="X357" s="157">
        <v>63</v>
      </c>
      <c r="Y357" s="145"/>
      <c r="Z357" s="145"/>
      <c r="AA357" s="722">
        <f t="shared" si="115"/>
        <v>30.569444444444443</v>
      </c>
      <c r="AB357" s="389">
        <f t="shared" si="122"/>
        <v>643.18111111111102</v>
      </c>
      <c r="AC357" s="143">
        <f>Table1[[#This Row],[Substrate SF]]*Paper</f>
        <v>41.360458333333334</v>
      </c>
      <c r="AD357" s="150">
        <f t="shared" si="123"/>
        <v>51.454488888888889</v>
      </c>
      <c r="AE357" s="104">
        <f>IF(Table1[[#This Row],[Work Center]]="SwissQ",Materials!G$37,IF(Table1[[#This Row],[Work Center]]="Inca",Materials!G$29,IF(Table1[[#This Row],[Work Center]]="Canon",Materials!G$49,Materials!G$45)))</f>
        <v>8</v>
      </c>
      <c r="AF357" s="143">
        <f>'Cali FPS'!C$108</f>
        <v>175.1925</v>
      </c>
      <c r="AG357" s="115"/>
      <c r="AH357" s="498">
        <f t="shared" si="116"/>
        <v>56</v>
      </c>
      <c r="AI357" s="498"/>
      <c r="AJ357" s="143">
        <f t="shared" si="121"/>
        <v>332.00744722222225</v>
      </c>
      <c r="AK357" s="650">
        <f t="shared" si="118"/>
        <v>0.70356477926587302</v>
      </c>
      <c r="AL357" s="225">
        <f>Table1[[#This Row],[WSP/Dealer]]/Table1[[#This Row],[OD Sq Inch]]</f>
        <v>0.32921810699588477</v>
      </c>
      <c r="AM357" s="101">
        <f>Table1[[#This Row],[OD Wdth]]*Table1[[#This Row],[OD Hgt]]</f>
        <v>3402</v>
      </c>
      <c r="AN357" s="216">
        <f>Table1[[#This Row],[Min VO]]+Table1[[#This Row],[Max VO]]</f>
        <v>117</v>
      </c>
      <c r="AO357" s="145"/>
      <c r="AP357" s="145"/>
      <c r="AQ357" s="143"/>
      <c r="AR357" s="143"/>
      <c r="AS357" s="143"/>
      <c r="AT357" s="143"/>
      <c r="AU357" s="1371" t="str">
        <f t="shared" si="112"/>
        <v>-</v>
      </c>
    </row>
    <row r="358" spans="1:47" s="173" customFormat="1" hidden="1" x14ac:dyDescent="0.2">
      <c r="A358" s="180" t="s">
        <v>272</v>
      </c>
      <c r="B358" s="279" t="s">
        <v>1062</v>
      </c>
      <c r="C358" s="287" t="s">
        <v>1063</v>
      </c>
      <c r="D358" s="302" t="s">
        <v>1064</v>
      </c>
      <c r="E358" s="287" t="s">
        <v>1061</v>
      </c>
      <c r="F358" s="806" t="s">
        <v>531</v>
      </c>
      <c r="G358" s="531" t="s">
        <v>1057</v>
      </c>
      <c r="H358" s="531" t="s">
        <v>1057</v>
      </c>
      <c r="I358" s="549" t="s">
        <v>108</v>
      </c>
      <c r="J358" s="549" t="s">
        <v>53</v>
      </c>
      <c r="K358" s="549" t="s">
        <v>54</v>
      </c>
      <c r="L358" s="549" t="s">
        <v>55</v>
      </c>
      <c r="M358" s="288">
        <v>450</v>
      </c>
      <c r="N358" s="290"/>
      <c r="O358" s="531" t="s">
        <v>56</v>
      </c>
      <c r="P358" s="531">
        <v>54</v>
      </c>
      <c r="Q358" s="531">
        <v>63</v>
      </c>
      <c r="R358" s="531">
        <v>54</v>
      </c>
      <c r="S358" s="531">
        <v>63</v>
      </c>
      <c r="T358" s="1660">
        <f>Table1[[#This Row],[VO Wdth]]</f>
        <v>54</v>
      </c>
      <c r="U358" s="1660">
        <f>Table1[[#This Row],[VO Hgt]]</f>
        <v>63</v>
      </c>
      <c r="V358" s="1785">
        <f t="shared" si="119"/>
        <v>62</v>
      </c>
      <c r="W358" s="1785">
        <f t="shared" si="120"/>
        <v>71</v>
      </c>
      <c r="X358" s="289">
        <v>63</v>
      </c>
      <c r="Y358" s="180"/>
      <c r="Z358" s="180"/>
      <c r="AA358" s="835">
        <f t="shared" si="115"/>
        <v>30.569444444444443</v>
      </c>
      <c r="AB358" s="329">
        <f t="shared" si="122"/>
        <v>643.18111111111102</v>
      </c>
      <c r="AC358" s="920">
        <f>Table1[[#This Row],[Substrate SF]]*Paper</f>
        <v>41.360458333333334</v>
      </c>
      <c r="AD358" s="1495">
        <f t="shared" si="123"/>
        <v>51.454488888888889</v>
      </c>
      <c r="AE358" s="104">
        <f>IF(Table1[[#This Row],[Work Center]]="SwissQ",Materials!G$37,IF(Table1[[#This Row],[Work Center]]="Inca",Materials!G$29,IF(Table1[[#This Row],[Work Center]]="Canon",Materials!G$49,Materials!G$45)))</f>
        <v>8</v>
      </c>
      <c r="AF358" s="920">
        <f>'Cali FPS'!C$108</f>
        <v>175.1925</v>
      </c>
      <c r="AG358" s="284"/>
      <c r="AH358" s="498">
        <f t="shared" si="116"/>
        <v>22.5</v>
      </c>
      <c r="AI358" s="498"/>
      <c r="AJ358" s="920">
        <f t="shared" si="121"/>
        <v>298.50744722222225</v>
      </c>
      <c r="AK358" s="650">
        <f t="shared" si="118"/>
        <v>0.33665011728395056</v>
      </c>
      <c r="AL358" s="225">
        <f>Table1[[#This Row],[WSP/Dealer]]/Table1[[#This Row],[OD Sq Inch]]</f>
        <v>0.13227513227513227</v>
      </c>
      <c r="AM358" s="173">
        <f>Table1[[#This Row],[OD Wdth]]*Table1[[#This Row],[OD Hgt]]</f>
        <v>3402</v>
      </c>
      <c r="AN358" s="216">
        <f>Table1[[#This Row],[Min VO]]+Table1[[#This Row],[Max VO]]</f>
        <v>117</v>
      </c>
      <c r="AO358" s="531"/>
      <c r="AP358" s="531"/>
      <c r="AQ358" s="920"/>
      <c r="AR358" s="920"/>
      <c r="AS358" s="920"/>
      <c r="AT358" s="920"/>
      <c r="AU358" s="1668" t="str">
        <f t="shared" si="112"/>
        <v>-</v>
      </c>
    </row>
    <row r="359" spans="1:47" s="399" customFormat="1" hidden="1" x14ac:dyDescent="0.2">
      <c r="A359" s="101" t="s">
        <v>110</v>
      </c>
      <c r="B359" s="1064" t="s">
        <v>250</v>
      </c>
      <c r="C359" s="100" t="s">
        <v>1065</v>
      </c>
      <c r="D359" s="100"/>
      <c r="E359" s="115" t="s">
        <v>1066</v>
      </c>
      <c r="F359" s="115" t="s">
        <v>789</v>
      </c>
      <c r="G359" s="101" t="s">
        <v>139</v>
      </c>
      <c r="H359" s="101" t="s">
        <v>1067</v>
      </c>
      <c r="I359" s="101" t="s">
        <v>52</v>
      </c>
      <c r="J359" s="487" t="s">
        <v>53</v>
      </c>
      <c r="K359" s="101" t="s">
        <v>69</v>
      </c>
      <c r="L359" s="101" t="s">
        <v>73</v>
      </c>
      <c r="M359" s="114">
        <v>400</v>
      </c>
      <c r="N359" s="114"/>
      <c r="O359" s="101" t="s">
        <v>64</v>
      </c>
      <c r="P359" s="101">
        <v>24</v>
      </c>
      <c r="Q359" s="101">
        <v>24</v>
      </c>
      <c r="R359" s="101">
        <v>24</v>
      </c>
      <c r="S359" s="697">
        <v>24</v>
      </c>
      <c r="T359" s="101">
        <v>25</v>
      </c>
      <c r="U359" s="101">
        <v>25</v>
      </c>
      <c r="V359" s="106">
        <f t="shared" si="119"/>
        <v>32</v>
      </c>
      <c r="W359" s="106">
        <f t="shared" si="120"/>
        <v>32</v>
      </c>
      <c r="X359" s="101">
        <v>40</v>
      </c>
      <c r="Y359" s="101">
        <v>32</v>
      </c>
      <c r="Z359" s="101">
        <v>32</v>
      </c>
      <c r="AA359" s="649">
        <f t="shared" si="115"/>
        <v>7.1111111111111107</v>
      </c>
      <c r="AB359" s="184">
        <f>AA359*Swiss1</f>
        <v>201.24444444444444</v>
      </c>
      <c r="AC359" s="104">
        <f>AA359*Canvas</f>
        <v>4.6933333333333334</v>
      </c>
      <c r="AD359" s="107">
        <f>Table1[[#This Row],[Substrate SF]]*Materials!C$37</f>
        <v>19.911111111111108</v>
      </c>
      <c r="AE359" s="104">
        <f>IF(Table1[[#This Row],[Work Center]]="SwissQ",Materials!G$37,IF(Table1[[#This Row],[Work Center]]="Inca",Materials!G$29,IF(Table1[[#This Row],[Work Center]]="Canon",Materials!G$49,Materials!G$45)))</f>
        <v>20</v>
      </c>
      <c r="AF359" s="102">
        <f>'Cali Frames'!D421</f>
        <v>83.685000000000002</v>
      </c>
      <c r="AG359" s="115"/>
      <c r="AH359" s="406">
        <f t="shared" si="116"/>
        <v>20</v>
      </c>
      <c r="AI359" s="406">
        <f>IF(A359="Codarus",(M359*0.13))</f>
        <v>52</v>
      </c>
      <c r="AJ359" s="405">
        <f>SUM(AC359:AI359)</f>
        <v>200.28944444444443</v>
      </c>
      <c r="AK359" s="1065">
        <f t="shared" si="118"/>
        <v>0.49927638888888892</v>
      </c>
      <c r="AL359" s="406">
        <f>Table1[[#This Row],[WSP/Dealer]]/Table1[[#This Row],[OD Sq Inch]]</f>
        <v>0.64</v>
      </c>
      <c r="AM359" s="399">
        <f>Table1[[#This Row],[OD Wdth]]*Table1[[#This Row],[OD Hgt]]</f>
        <v>625</v>
      </c>
      <c r="AN359" s="400">
        <f>Table1[[#This Row],[Min VO]]+Table1[[#This Row],[Max VO]]</f>
        <v>48</v>
      </c>
      <c r="AO359" s="115"/>
      <c r="AP359" s="1388">
        <v>800</v>
      </c>
      <c r="AQ359" s="121">
        <f>(Table1[[#This Row],[Desgnr/Retail P]]*0.05)</f>
        <v>40</v>
      </c>
      <c r="AR359" s="121">
        <f>IF(A359="Codarus",(AP359*0.13))</f>
        <v>104</v>
      </c>
      <c r="AS359" s="121">
        <f>SUM(Table1[[#This Row],[Substrate $]:[GP FINISH]])+Table1[[#This Row],[Retail Royalty]]+Table1[[#This Row],[Retail$Comm]]</f>
        <v>272.28944444444443</v>
      </c>
      <c r="AT359" s="830">
        <f>IF(AP359=0,"-",(AP359-AS359)/AP359)</f>
        <v>0.65963819444444449</v>
      </c>
      <c r="AU359" s="830">
        <f t="shared" si="112"/>
        <v>0.98350904513888882</v>
      </c>
    </row>
    <row r="360" spans="1:47" s="170" customFormat="1" hidden="1" x14ac:dyDescent="0.2">
      <c r="A360" s="86"/>
      <c r="B360" s="274"/>
      <c r="C360" s="100" t="s">
        <v>1068</v>
      </c>
      <c r="D360" s="100"/>
      <c r="E360" s="85" t="s">
        <v>1066</v>
      </c>
      <c r="F360" s="85" t="s">
        <v>789</v>
      </c>
      <c r="G360" s="86" t="s">
        <v>1069</v>
      </c>
      <c r="H360" s="86" t="s">
        <v>1069</v>
      </c>
      <c r="I360" s="86" t="s">
        <v>52</v>
      </c>
      <c r="J360" s="86" t="s">
        <v>53</v>
      </c>
      <c r="K360" s="86" t="s">
        <v>54</v>
      </c>
      <c r="L360" s="86" t="s">
        <v>55</v>
      </c>
      <c r="M360" s="87">
        <v>308</v>
      </c>
      <c r="N360" s="71"/>
      <c r="O360" s="101" t="s">
        <v>56</v>
      </c>
      <c r="P360" s="101">
        <v>24</v>
      </c>
      <c r="Q360" s="101">
        <v>24</v>
      </c>
      <c r="R360" s="60">
        <v>24</v>
      </c>
      <c r="S360" s="273">
        <v>24</v>
      </c>
      <c r="T360" s="101">
        <v>24</v>
      </c>
      <c r="U360" s="101">
        <v>24</v>
      </c>
      <c r="V360" s="106">
        <f>IF(J360="Canvas",P360+BorderGW,P360)</f>
        <v>32</v>
      </c>
      <c r="W360" s="106">
        <f>IF(J360="Canvas",Q360+BorderGW,Q360)</f>
        <v>32</v>
      </c>
      <c r="X360" s="157" t="s">
        <v>1070</v>
      </c>
      <c r="Y360" s="60">
        <v>32</v>
      </c>
      <c r="Z360" s="60">
        <v>96</v>
      </c>
      <c r="AA360" s="649">
        <f t="shared" si="115"/>
        <v>7.1111111111111107</v>
      </c>
      <c r="AB360" s="184">
        <f>AA360*IncaG</f>
        <v>149.61777777777777</v>
      </c>
      <c r="AC360" s="69">
        <f>AA360*Canvas</f>
        <v>4.6933333333333334</v>
      </c>
      <c r="AD360" s="107">
        <f>AA360*IncaC</f>
        <v>11.969422222222223</v>
      </c>
      <c r="AE360" s="104">
        <f>IF(Table1[[#This Row],[Work Center]]="SwissQ",Materials!G$37,IF(Table1[[#This Row],[Work Center]]="Inca",Materials!G$29,IF(Table1[[#This Row],[Work Center]]="Canon",Materials!G$49,Materials!G$45)))</f>
        <v>8</v>
      </c>
      <c r="AF360" s="69">
        <f>'Cali FPS'!C$32</f>
        <v>63.47</v>
      </c>
      <c r="AG360" s="115"/>
      <c r="AH360" s="498">
        <f t="shared" si="116"/>
        <v>15.4</v>
      </c>
      <c r="AI360" s="498"/>
      <c r="AJ360" s="104">
        <f t="shared" ref="AJ360:AJ372" si="124">SUM(AC360:AH360)</f>
        <v>103.53275555555555</v>
      </c>
      <c r="AK360" s="650">
        <f t="shared" si="118"/>
        <v>0.66385468975468975</v>
      </c>
      <c r="AL360" s="225">
        <f>Table1[[#This Row],[WSP/Dealer]]/Table1[[#This Row],[OD Sq Inch]]</f>
        <v>0.53472222222222221</v>
      </c>
      <c r="AM360" s="103">
        <f>Table1[[#This Row],[OD Wdth]]*Table1[[#This Row],[OD Hgt]]</f>
        <v>576</v>
      </c>
      <c r="AN360" s="216">
        <f>Table1[[#This Row],[Min VO]]+Table1[[#This Row],[Max VO]]</f>
        <v>48</v>
      </c>
      <c r="AO360" s="101"/>
      <c r="AP360" s="101"/>
      <c r="AQ360" s="104"/>
      <c r="AR360" s="104"/>
      <c r="AS360" s="104"/>
      <c r="AT360" s="104"/>
      <c r="AU360" s="830" t="str">
        <f t="shared" si="112"/>
        <v>-</v>
      </c>
    </row>
    <row r="361" spans="1:47" s="173" customFormat="1" hidden="1" x14ac:dyDescent="0.2">
      <c r="A361" s="485" t="s">
        <v>318</v>
      </c>
      <c r="B361" s="279" t="s">
        <v>96</v>
      </c>
      <c r="C361" s="100" t="s">
        <v>1071</v>
      </c>
      <c r="D361" s="302">
        <v>195232</v>
      </c>
      <c r="E361" s="115" t="s">
        <v>1072</v>
      </c>
      <c r="F361" s="115" t="s">
        <v>131</v>
      </c>
      <c r="G361" s="101" t="s">
        <v>1073</v>
      </c>
      <c r="H361" s="101" t="s">
        <v>890</v>
      </c>
      <c r="I361" s="101" t="s">
        <v>108</v>
      </c>
      <c r="J361" s="487" t="s">
        <v>53</v>
      </c>
      <c r="K361" s="101" t="s">
        <v>69</v>
      </c>
      <c r="L361" s="101" t="s">
        <v>73</v>
      </c>
      <c r="M361" s="542">
        <v>300</v>
      </c>
      <c r="N361" s="786">
        <v>750</v>
      </c>
      <c r="O361" s="101" t="s">
        <v>109</v>
      </c>
      <c r="P361" s="101">
        <v>24</v>
      </c>
      <c r="Q361" s="101">
        <v>36</v>
      </c>
      <c r="R361" s="101">
        <v>24</v>
      </c>
      <c r="S361" s="697">
        <v>36</v>
      </c>
      <c r="T361" s="101">
        <v>25</v>
      </c>
      <c r="U361" s="101">
        <v>37</v>
      </c>
      <c r="V361" s="106">
        <f>IF(J361="Canvas",P361+Border,P361)</f>
        <v>32</v>
      </c>
      <c r="W361" s="106">
        <f>IF(J361="Canvas",Q361+Border,Q361)</f>
        <v>44</v>
      </c>
      <c r="X361" s="137"/>
      <c r="Y361" s="101">
        <v>32</v>
      </c>
      <c r="Z361" s="101">
        <v>44</v>
      </c>
      <c r="AA361" s="724">
        <f t="shared" si="115"/>
        <v>9.7777777777777786</v>
      </c>
      <c r="AB361" s="184">
        <f>AA361*EPSONML</f>
        <v>44</v>
      </c>
      <c r="AC361" s="104">
        <f>AA361*Canvas</f>
        <v>6.453333333333334</v>
      </c>
      <c r="AD361" s="405">
        <f>Table1[[#This Row],[Substrate SF]]*EPSONC</f>
        <v>2.1511111111111112</v>
      </c>
      <c r="AE361" s="104">
        <f>IF(Table1[[#This Row],[Work Center]]="SwissQ",Materials!G$37,IF(Table1[[#This Row],[Work Center]]="Inca",Materials!G$29,IF(Table1[[#This Row],[Work Center]]="Canon",Materials!G$49,Materials!G$45)))</f>
        <v>5</v>
      </c>
      <c r="AF361" s="406">
        <f>'Cali Frames'!D424</f>
        <v>105.77</v>
      </c>
      <c r="AG361" s="121"/>
      <c r="AH361" s="112">
        <f t="shared" si="116"/>
        <v>15</v>
      </c>
      <c r="AI361" s="112"/>
      <c r="AJ361" s="406">
        <f t="shared" si="124"/>
        <v>134.37444444444444</v>
      </c>
      <c r="AK361" s="62">
        <f t="shared" si="118"/>
        <v>0.55208518518518523</v>
      </c>
      <c r="AL361" s="225">
        <f>Table1[[#This Row],[WSP/Dealer]]/Table1[[#This Row],[OD Sq Inch]]</f>
        <v>0.32432432432432434</v>
      </c>
      <c r="AM361" s="399">
        <f>Table1[[#This Row],[OD Wdth]]*Table1[[#This Row],[OD Hgt]]</f>
        <v>925</v>
      </c>
      <c r="AN361" s="400" t="str">
        <f>Table1[[#This Row],[Color]]</f>
        <v>NF</v>
      </c>
      <c r="AO361" s="115" t="str">
        <f>Table1[[#This Row],[Print Type]]</f>
        <v>Reductive</v>
      </c>
      <c r="AP361" s="121"/>
      <c r="AQ361" s="121"/>
      <c r="AR361" s="121"/>
      <c r="AS361" s="121"/>
      <c r="AT361" s="104"/>
      <c r="AU361" s="1359" t="str">
        <f t="shared" si="112"/>
        <v>-</v>
      </c>
    </row>
    <row r="362" spans="1:47" s="170" customFormat="1" hidden="1" x14ac:dyDescent="0.2">
      <c r="A362" s="400" t="s">
        <v>101</v>
      </c>
      <c r="B362" s="279" t="s">
        <v>102</v>
      </c>
      <c r="C362" s="496" t="s">
        <v>1074</v>
      </c>
      <c r="D362" s="496"/>
      <c r="E362" s="401" t="s">
        <v>1075</v>
      </c>
      <c r="F362" s="401" t="s">
        <v>105</v>
      </c>
      <c r="G362" s="400" t="s">
        <v>643</v>
      </c>
      <c r="H362" s="400" t="s">
        <v>813</v>
      </c>
      <c r="I362" s="400" t="s">
        <v>574</v>
      </c>
      <c r="J362" s="497" t="s">
        <v>280</v>
      </c>
      <c r="K362" s="400" t="s">
        <v>814</v>
      </c>
      <c r="L362" s="400" t="s">
        <v>815</v>
      </c>
      <c r="M362" s="141">
        <v>262</v>
      </c>
      <c r="N362" s="1014"/>
      <c r="O362" s="400" t="s">
        <v>575</v>
      </c>
      <c r="P362" s="400">
        <v>20</v>
      </c>
      <c r="Q362" s="400">
        <v>16</v>
      </c>
      <c r="R362" s="400">
        <v>16</v>
      </c>
      <c r="S362" s="1244">
        <v>20</v>
      </c>
      <c r="T362" s="400">
        <v>23</v>
      </c>
      <c r="U362" s="400">
        <v>19</v>
      </c>
      <c r="V362" s="106">
        <f>IF(J362="Canvas",P362+Border,P362)</f>
        <v>20</v>
      </c>
      <c r="W362" s="106">
        <f>IF(J362="Canvas",Q362+Border,Q362)</f>
        <v>16</v>
      </c>
      <c r="X362" s="1028" t="s">
        <v>283</v>
      </c>
      <c r="Y362" s="918">
        <f>Table1[[#This Row],[Print Wth]]</f>
        <v>20</v>
      </c>
      <c r="Z362" s="918">
        <f>Table1[[#This Row],[Print Ht]]</f>
        <v>16</v>
      </c>
      <c r="AA362" s="724">
        <f>Table1[[#This Row],[Cut Width]]*Table1[[#This Row],[Cut Height]]/144</f>
        <v>2.2222222222222223</v>
      </c>
      <c r="AB362" s="1015">
        <f>(Table1[[#This Row],[Print Wth]]*Table1[[#This Row],[Print Ht]])/144*Materials!$C$40</f>
        <v>4.4444444444444446</v>
      </c>
      <c r="AC362" s="406">
        <f>MDFSHEET/10</f>
        <v>2.4350000000000001</v>
      </c>
      <c r="AD362" s="405">
        <f>Table1[[#This Row],[Substrate SF]]*Materials!$C$42</f>
        <v>0.71111111111111114</v>
      </c>
      <c r="AE362" s="104">
        <v>10</v>
      </c>
      <c r="AF362" s="794">
        <f>'Cali Frames'!D193</f>
        <v>126.35</v>
      </c>
      <c r="AG362" s="1000"/>
      <c r="AH362" s="107">
        <v>0</v>
      </c>
      <c r="AI362" s="107"/>
      <c r="AJ362" s="405">
        <f t="shared" si="124"/>
        <v>139.49611111111111</v>
      </c>
      <c r="AK362" s="108">
        <f t="shared" si="118"/>
        <v>0.46757209499575914</v>
      </c>
      <c r="AL362" s="660">
        <f>Table1[[#This Row],[WSP/Dealer]]/Table1[[#This Row],[OD Sq Inch]]</f>
        <v>0.5995423340961098</v>
      </c>
      <c r="AM362" s="399">
        <f>Table1[[#This Row],[OD Wdth]]*Table1[[#This Row],[OD Hgt]]</f>
        <v>437</v>
      </c>
      <c r="AN362" s="400">
        <f>Table1[[#This Row],[Min VO]]+Table1[[#This Row],[Max VO]]</f>
        <v>36</v>
      </c>
      <c r="AO362" s="401"/>
      <c r="AP362" s="1000"/>
      <c r="AQ362" s="1000"/>
      <c r="AR362" s="1000"/>
      <c r="AS362" s="1000"/>
      <c r="AT362" s="406"/>
      <c r="AU362" s="1366" t="str">
        <f t="shared" si="112"/>
        <v>-</v>
      </c>
    </row>
    <row r="363" spans="1:47" s="228" customFormat="1" x14ac:dyDescent="0.2">
      <c r="A363" s="86" t="s">
        <v>58</v>
      </c>
      <c r="B363" s="279" t="s">
        <v>619</v>
      </c>
      <c r="C363" s="75" t="s">
        <v>1076</v>
      </c>
      <c r="D363" s="75" t="s">
        <v>1077</v>
      </c>
      <c r="E363" s="85" t="s">
        <v>1078</v>
      </c>
      <c r="F363" s="85" t="s">
        <v>124</v>
      </c>
      <c r="G363" s="86" t="s">
        <v>191</v>
      </c>
      <c r="H363" s="86" t="s">
        <v>191</v>
      </c>
      <c r="I363" s="86" t="s">
        <v>52</v>
      </c>
      <c r="J363" s="86" t="s">
        <v>53</v>
      </c>
      <c r="K363" s="86" t="s">
        <v>54</v>
      </c>
      <c r="L363" s="86" t="s">
        <v>55</v>
      </c>
      <c r="M363" s="87">
        <v>0</v>
      </c>
      <c r="N363" s="639">
        <v>950</v>
      </c>
      <c r="O363" s="101" t="s">
        <v>64</v>
      </c>
      <c r="P363" s="273">
        <v>48</v>
      </c>
      <c r="Q363" s="273">
        <v>60</v>
      </c>
      <c r="R363" s="60">
        <v>48</v>
      </c>
      <c r="S363" s="273">
        <v>60</v>
      </c>
      <c r="T363" s="273">
        <f>Table1[[#This Row],[VO Wdth]]</f>
        <v>48</v>
      </c>
      <c r="U363" s="273">
        <f>Table1[[#This Row],[VO Hgt]]</f>
        <v>60</v>
      </c>
      <c r="V363" s="608">
        <f>IF(J363="Canvas",P363+BorderGW,P363)</f>
        <v>56</v>
      </c>
      <c r="W363" s="608">
        <f>IF(J363="Canvas",Q363+BorderGW,Q363)</f>
        <v>68</v>
      </c>
      <c r="X363" s="137" t="s">
        <v>152</v>
      </c>
      <c r="Y363" s="101"/>
      <c r="Z363" s="101"/>
      <c r="AA363" s="649">
        <f>V363*W363/144</f>
        <v>26.444444444444443</v>
      </c>
      <c r="AB363" s="125">
        <f>AA363*Swiss1</f>
        <v>748.37777777777774</v>
      </c>
      <c r="AC363" s="104">
        <f>AA363*Canvas</f>
        <v>17.453333333333333</v>
      </c>
      <c r="AD363" s="104">
        <f>Table1[[#This Row],[Substrate SF]]*Materials!C$37</f>
        <v>74.044444444444437</v>
      </c>
      <c r="AE363" s="104">
        <f>IF(Table1[[#This Row],[Work Center]]="SwissQ",Materials!G$37,IF(Table1[[#This Row],[Work Center]]="Inca",Materials!G$29,IF(Table1[[#This Row],[Work Center]]="Canon",Materials!G$49,Materials!G$45)))</f>
        <v>20</v>
      </c>
      <c r="AF363" s="104">
        <f>'Cali FPS'!C$121</f>
        <v>188.18</v>
      </c>
      <c r="AG363" s="115"/>
      <c r="AH363" s="498">
        <f>(M363*0.05)</f>
        <v>0</v>
      </c>
      <c r="AI363" s="498"/>
      <c r="AJ363" s="104">
        <f t="shared" si="124"/>
        <v>299.67777777777781</v>
      </c>
      <c r="AK363" s="650" t="e">
        <f t="shared" si="118"/>
        <v>#DIV/0!</v>
      </c>
      <c r="AL363" s="225">
        <f>Table1[[#This Row],[WSP/Dealer]]/Table1[[#This Row],[OD Sq Inch]]</f>
        <v>0</v>
      </c>
      <c r="AM363" s="101">
        <f>Table1[[#This Row],[OD Wdth]]*Table1[[#This Row],[OD Hgt]]</f>
        <v>2880</v>
      </c>
      <c r="AN363" s="216">
        <f>Table1[[#This Row],[Min VO]]+Table1[[#This Row],[Max VO]]</f>
        <v>108</v>
      </c>
      <c r="AO363" s="101"/>
      <c r="AP363" s="101"/>
      <c r="AQ363" s="104"/>
      <c r="AR363" s="104"/>
      <c r="AS363" s="104"/>
      <c r="AT363" s="104"/>
      <c r="AU363" s="830" t="str">
        <f t="shared" si="112"/>
        <v>-</v>
      </c>
    </row>
    <row r="364" spans="1:47" s="171" customFormat="1" x14ac:dyDescent="0.2">
      <c r="A364" s="101" t="s">
        <v>58</v>
      </c>
      <c r="B364" s="1064" t="s">
        <v>1013</v>
      </c>
      <c r="C364" s="719" t="s">
        <v>1079</v>
      </c>
      <c r="D364" s="168" t="s">
        <v>1080</v>
      </c>
      <c r="E364" s="115" t="s">
        <v>1081</v>
      </c>
      <c r="F364" s="115" t="s">
        <v>124</v>
      </c>
      <c r="G364" s="101" t="s">
        <v>1082</v>
      </c>
      <c r="H364" s="101" t="s">
        <v>1082</v>
      </c>
      <c r="I364" s="101" t="s">
        <v>52</v>
      </c>
      <c r="J364" s="487" t="s">
        <v>53</v>
      </c>
      <c r="K364" s="101" t="s">
        <v>54</v>
      </c>
      <c r="L364" s="101" t="s">
        <v>55</v>
      </c>
      <c r="M364" s="114">
        <v>1000</v>
      </c>
      <c r="N364" s="114"/>
      <c r="O364" s="101" t="s">
        <v>64</v>
      </c>
      <c r="P364" s="697">
        <v>56</v>
      </c>
      <c r="Q364" s="697">
        <v>70</v>
      </c>
      <c r="R364" s="101">
        <v>56</v>
      </c>
      <c r="S364" s="697">
        <v>70</v>
      </c>
      <c r="T364" s="697">
        <v>56</v>
      </c>
      <c r="U364" s="697">
        <v>70</v>
      </c>
      <c r="V364" s="608">
        <f t="shared" ref="V364:V370" si="125">IF(J364="Canvas",P364+Border,P364)</f>
        <v>64</v>
      </c>
      <c r="W364" s="608">
        <f t="shared" ref="W364:W370" si="126">IF(J364="Canvas",Q364+Border,Q364)</f>
        <v>78</v>
      </c>
      <c r="X364" s="101">
        <v>82</v>
      </c>
      <c r="Y364" s="101">
        <v>64</v>
      </c>
      <c r="Z364" s="101">
        <v>78</v>
      </c>
      <c r="AA364" s="649">
        <f>V364*W364/144</f>
        <v>34.666666666666664</v>
      </c>
      <c r="AB364" s="184">
        <f>AA364*Swiss1</f>
        <v>981.06666666666661</v>
      </c>
      <c r="AC364" s="104">
        <f>AA364*Canvas</f>
        <v>22.88</v>
      </c>
      <c r="AD364" s="107">
        <f>Table1[[#This Row],[Substrate SF]]*Materials!C$37</f>
        <v>97.066666666666649</v>
      </c>
      <c r="AE364" s="406">
        <f>IF(Table1[[#This Row],[Work Center]]="SwissQ",Materials!G$37,IF(Table1[[#This Row],[Work Center]]="Inca",Materials!G$29,IF(Table1[[#This Row],[Work Center]]="Canon",Materials!G$49,Materials!G$45)))</f>
        <v>20</v>
      </c>
      <c r="AF364" s="102">
        <f>'Cali FPS'!C149</f>
        <v>231.14000000000001</v>
      </c>
      <c r="AG364" s="115"/>
      <c r="AH364" s="104">
        <f>(M364*0.05)</f>
        <v>50</v>
      </c>
      <c r="AI364" s="104"/>
      <c r="AJ364" s="107">
        <f t="shared" si="124"/>
        <v>421.0866666666667</v>
      </c>
      <c r="AK364" s="830">
        <f t="shared" si="118"/>
        <v>0.57891333333333328</v>
      </c>
      <c r="AL364" s="660">
        <f>Table1[[#This Row],[WSP/Dealer]]/Table1[[#This Row],[OD Sq Inch]]</f>
        <v>0.25510204081632654</v>
      </c>
      <c r="AM364" s="103">
        <f>Table1[[#This Row],[OD Wdth]]*Table1[[#This Row],[OD Hgt]]</f>
        <v>3920</v>
      </c>
      <c r="AN364" s="115"/>
      <c r="AO364" s="115"/>
      <c r="AP364" s="115"/>
      <c r="AQ364" s="121"/>
      <c r="AR364" s="121"/>
      <c r="AS364" s="121"/>
      <c r="AT364" s="104"/>
      <c r="AU364" s="1359" t="str">
        <f t="shared" si="112"/>
        <v>-</v>
      </c>
    </row>
    <row r="365" spans="1:47" s="286" customFormat="1" hidden="1" x14ac:dyDescent="0.2">
      <c r="A365" s="274" t="s">
        <v>101</v>
      </c>
      <c r="B365" s="279" t="s">
        <v>102</v>
      </c>
      <c r="C365" s="1037" t="s">
        <v>1083</v>
      </c>
      <c r="D365" s="317"/>
      <c r="E365" s="275" t="s">
        <v>1084</v>
      </c>
      <c r="F365" s="275" t="s">
        <v>105</v>
      </c>
      <c r="G365" s="274" t="s">
        <v>643</v>
      </c>
      <c r="H365" s="274" t="s">
        <v>643</v>
      </c>
      <c r="I365" s="274" t="s">
        <v>108</v>
      </c>
      <c r="J365" s="344" t="s">
        <v>53</v>
      </c>
      <c r="K365" s="274" t="s">
        <v>119</v>
      </c>
      <c r="L365" s="274" t="s">
        <v>120</v>
      </c>
      <c r="M365" s="141">
        <v>184</v>
      </c>
      <c r="N365" s="318"/>
      <c r="O365" s="274" t="s">
        <v>109</v>
      </c>
      <c r="P365" s="783">
        <v>20</v>
      </c>
      <c r="Q365" s="783">
        <v>16</v>
      </c>
      <c r="R365" s="274">
        <v>16</v>
      </c>
      <c r="S365" s="783">
        <v>20</v>
      </c>
      <c r="T365" s="783">
        <v>20</v>
      </c>
      <c r="U365" s="783">
        <v>16</v>
      </c>
      <c r="V365" s="66">
        <f t="shared" si="125"/>
        <v>28</v>
      </c>
      <c r="W365" s="66">
        <f t="shared" si="126"/>
        <v>24</v>
      </c>
      <c r="X365" s="274">
        <v>40</v>
      </c>
      <c r="Y365" s="686">
        <f>Table1[[#This Row],[Print Wth]]</f>
        <v>28</v>
      </c>
      <c r="Z365" s="686">
        <f>Table1[[#This Row],[Print Ht]]</f>
        <v>24</v>
      </c>
      <c r="AA365" s="727">
        <f>Table1[[#This Row],[Cut Width]]*Table1[[#This Row],[Cut Height]]/144</f>
        <v>4.666666666666667</v>
      </c>
      <c r="AB365" s="1130">
        <f>Table1[[#This Row],[Print Wth]]*Table1[[#This Row],[Print Ht]]/144*EPSONM</f>
        <v>21</v>
      </c>
      <c r="AC365" s="278">
        <f>Table1[[#This Row],[Substrate SF]]*Canvas</f>
        <v>3.0800000000000005</v>
      </c>
      <c r="AD365" s="263">
        <f>Table1[[#This Row],[Ink g/mL]]*EPSONC</f>
        <v>4.62</v>
      </c>
      <c r="AE365" s="74">
        <f>IF(Table1[[#This Row],[Work Center]]="SwissQ",Materials!G$37,IF(Table1[[#This Row],[Work Center]]="Inca",Materials!G$29,IF(Table1[[#This Row],[Work Center]]="Canon",Materials!G$49,Materials!G$45)))</f>
        <v>5</v>
      </c>
      <c r="AF365" s="321">
        <f>'Cali FPS'!C191</f>
        <v>78.89</v>
      </c>
      <c r="AG365" s="275"/>
      <c r="AH365" s="278">
        <v>0</v>
      </c>
      <c r="AI365" s="278"/>
      <c r="AJ365" s="263">
        <f t="shared" si="124"/>
        <v>91.59</v>
      </c>
      <c r="AK365" s="1192">
        <f t="shared" si="118"/>
        <v>0.50222826086956518</v>
      </c>
      <c r="AL365" s="278">
        <f>Table1[[#This Row],[WSP/Dealer]]/Table1[[#This Row],[OD Sq Inch]]</f>
        <v>0.57499999999999996</v>
      </c>
      <c r="AM365" s="170">
        <f>Table1[[#This Row],[OD Wdth]]*Table1[[#This Row],[OD Hgt]]</f>
        <v>320</v>
      </c>
      <c r="AN365" s="275"/>
      <c r="AO365" s="275"/>
      <c r="AP365" s="275"/>
      <c r="AQ365" s="320"/>
      <c r="AR365" s="320"/>
      <c r="AS365" s="320"/>
      <c r="AT365" s="278"/>
      <c r="AU365" s="1368" t="str">
        <f t="shared" si="112"/>
        <v>-</v>
      </c>
    </row>
    <row r="366" spans="1:47" s="286" customFormat="1" hidden="1" x14ac:dyDescent="0.2">
      <c r="A366" s="60" t="s">
        <v>318</v>
      </c>
      <c r="B366" s="1106" t="s">
        <v>305</v>
      </c>
      <c r="C366" s="75" t="s">
        <v>1085</v>
      </c>
      <c r="D366" s="79"/>
      <c r="E366" s="83" t="s">
        <v>1086</v>
      </c>
      <c r="F366" s="284" t="s">
        <v>105</v>
      </c>
      <c r="G366" s="60" t="s">
        <v>350</v>
      </c>
      <c r="H366" s="60" t="s">
        <v>1087</v>
      </c>
      <c r="I366" s="60" t="s">
        <v>256</v>
      </c>
      <c r="J366" s="59" t="s">
        <v>257</v>
      </c>
      <c r="K366" s="60" t="s">
        <v>82</v>
      </c>
      <c r="L366" s="60" t="s">
        <v>83</v>
      </c>
      <c r="M366" s="124">
        <v>250</v>
      </c>
      <c r="N366" s="124"/>
      <c r="O366" s="60" t="s">
        <v>260</v>
      </c>
      <c r="P366" s="60">
        <v>12</v>
      </c>
      <c r="Q366" s="60">
        <v>16</v>
      </c>
      <c r="R366" s="60">
        <v>12</v>
      </c>
      <c r="S366" s="60">
        <v>16</v>
      </c>
      <c r="T366" s="60">
        <v>14</v>
      </c>
      <c r="U366" s="60">
        <v>18</v>
      </c>
      <c r="V366" s="946">
        <f t="shared" si="125"/>
        <v>12</v>
      </c>
      <c r="W366" s="946">
        <f t="shared" si="126"/>
        <v>16</v>
      </c>
      <c r="X366" s="60">
        <v>44</v>
      </c>
      <c r="Y366" s="946">
        <v>12</v>
      </c>
      <c r="Z366" s="946">
        <v>16</v>
      </c>
      <c r="AA366" s="678">
        <f>V366*W366/144</f>
        <v>1.3333333333333333</v>
      </c>
      <c r="AB366" s="125">
        <f>AA366*canonML</f>
        <v>6.3999999999999995</v>
      </c>
      <c r="AC366" s="69">
        <f>Table1[[#This Row],[Substrate SF]]*Paper</f>
        <v>1.8039999999999998</v>
      </c>
      <c r="AD366" s="48">
        <f>Table1[[#This Row],[Ink g/mL]]*CanonC</f>
        <v>1.728</v>
      </c>
      <c r="AE366" s="69">
        <f>IF(Table1[[#This Row],[Work Center]]="SwissQ",Materials!G$37,IF(Table1[[#This Row],[Work Center]]="Inca",Materials!G$29,IF(Table1[[#This Row],[Work Center]]="Canon",Materials!G$49,Materials!G$45)))</f>
        <v>7</v>
      </c>
      <c r="AF366" s="72">
        <f>'Cali Frames'!D112</f>
        <v>85</v>
      </c>
      <c r="AG366" s="83"/>
      <c r="AH366" s="69">
        <v>0</v>
      </c>
      <c r="AI366" s="69"/>
      <c r="AJ366" s="69">
        <f t="shared" si="124"/>
        <v>95.531999999999996</v>
      </c>
      <c r="AK366" s="650">
        <f t="shared" si="118"/>
        <v>0.61787200000000009</v>
      </c>
      <c r="AL366" s="69">
        <f>Table1[[#This Row],[WSP/Dealer]]/Table1[[#This Row],[OD Sq Inch]]</f>
        <v>0.99206349206349209</v>
      </c>
      <c r="AM366" s="46">
        <f>Table1[[#This Row],[OD Wdth]]*Table1[[#This Row],[OD Hgt]]</f>
        <v>252</v>
      </c>
      <c r="AN366" s="60">
        <f>Table1[[#This Row],[Min VO]]+Table1[[#This Row],[Max VO]]</f>
        <v>28</v>
      </c>
      <c r="AO366" s="83"/>
      <c r="AP366" s="83"/>
      <c r="AQ366" s="540">
        <f>(Table1[[#This Row],[Desgnr/Retail P]]*0.05)</f>
        <v>0</v>
      </c>
      <c r="AR366" s="540" t="b">
        <f>IF(A366="Codarus",(AP366*0.13))</f>
        <v>0</v>
      </c>
      <c r="AS366" s="540" t="e" cm="1">
        <f t="array" ref="AS366">SUM(AC366:AG366+AQ+AR)</f>
        <v>#NAME?</v>
      </c>
      <c r="AT366" s="69" t="e">
        <f>(AP366-AS366)/AP366</f>
        <v>#NAME?</v>
      </c>
      <c r="AU366" s="1361" t="str">
        <f t="shared" si="112"/>
        <v>-</v>
      </c>
    </row>
    <row r="367" spans="1:47" s="170" customFormat="1" hidden="1" x14ac:dyDescent="0.2">
      <c r="A367" s="60" t="s">
        <v>318</v>
      </c>
      <c r="B367" s="1106" t="s">
        <v>305</v>
      </c>
      <c r="C367" s="75" t="s">
        <v>1088</v>
      </c>
      <c r="D367" s="79"/>
      <c r="E367" s="83" t="s">
        <v>1086</v>
      </c>
      <c r="F367" s="284" t="s">
        <v>105</v>
      </c>
      <c r="G367" s="60" t="s">
        <v>350</v>
      </c>
      <c r="H367" s="60" t="s">
        <v>993</v>
      </c>
      <c r="I367" s="60" t="s">
        <v>256</v>
      </c>
      <c r="J367" s="59" t="s">
        <v>257</v>
      </c>
      <c r="K367" s="60" t="s">
        <v>814</v>
      </c>
      <c r="L367" s="60" t="s">
        <v>1089</v>
      </c>
      <c r="M367" s="124">
        <v>375</v>
      </c>
      <c r="N367" s="124"/>
      <c r="O367" s="60" t="s">
        <v>260</v>
      </c>
      <c r="P367" s="273">
        <v>12</v>
      </c>
      <c r="Q367" s="273">
        <v>16</v>
      </c>
      <c r="R367" s="60">
        <v>12</v>
      </c>
      <c r="S367" s="273">
        <v>26</v>
      </c>
      <c r="T367" s="273">
        <v>15</v>
      </c>
      <c r="U367" s="273">
        <v>19</v>
      </c>
      <c r="V367" s="946">
        <f t="shared" si="125"/>
        <v>12</v>
      </c>
      <c r="W367" s="946">
        <f t="shared" si="126"/>
        <v>16</v>
      </c>
      <c r="X367" s="60">
        <v>44</v>
      </c>
      <c r="Y367" s="946">
        <v>12</v>
      </c>
      <c r="Z367" s="946">
        <v>16</v>
      </c>
      <c r="AA367" s="678">
        <f>V367*W367/144</f>
        <v>1.3333333333333333</v>
      </c>
      <c r="AB367" s="125">
        <f>AA367*canonML</f>
        <v>6.3999999999999995</v>
      </c>
      <c r="AC367" s="69">
        <f>Table1[[#This Row],[Substrate SF]]*Paper</f>
        <v>1.8039999999999998</v>
      </c>
      <c r="AD367" s="48">
        <f>Table1[[#This Row],[Ink g/mL]]*CanonC</f>
        <v>1.728</v>
      </c>
      <c r="AE367" s="69">
        <f>IF(Table1[[#This Row],[Work Center]]="SwissQ",Materials!G$37,IF(Table1[[#This Row],[Work Center]]="Inca",Materials!G$29,IF(Table1[[#This Row],[Work Center]]="Canon",Materials!G$49,Materials!G$45)))</f>
        <v>7</v>
      </c>
      <c r="AF367" s="72">
        <f>'Cali Frames'!D186</f>
        <v>144.19999999999999</v>
      </c>
      <c r="AG367" s="83"/>
      <c r="AH367" s="69">
        <v>0</v>
      </c>
      <c r="AI367" s="69"/>
      <c r="AJ367" s="48">
        <f t="shared" si="124"/>
        <v>154.732</v>
      </c>
      <c r="AK367" s="650">
        <f t="shared" si="118"/>
        <v>0.58738133333333331</v>
      </c>
      <c r="AL367" s="69">
        <f>Table1[[#This Row],[WSP/Dealer]]/Table1[[#This Row],[OD Sq Inch]]</f>
        <v>1.3157894736842106</v>
      </c>
      <c r="AM367" s="46">
        <f>Table1[[#This Row],[OD Wdth]]*Table1[[#This Row],[OD Hgt]]</f>
        <v>285</v>
      </c>
      <c r="AN367" s="60">
        <f>Table1[[#This Row],[Min VO]]+Table1[[#This Row],[Max VO]]</f>
        <v>38</v>
      </c>
      <c r="AO367" s="83"/>
      <c r="AP367" s="83"/>
      <c r="AQ367" s="540">
        <f>(Table1[[#This Row],[Desgnr/Retail P]]*0.05)</f>
        <v>0</v>
      </c>
      <c r="AR367" s="540" t="b">
        <f>IF(A367="Codarus",(AP367*0.13))</f>
        <v>0</v>
      </c>
      <c r="AS367" s="540" t="e" cm="1">
        <f t="array" ref="AS367">SUM(AC367:AG367+AQ+AR)</f>
        <v>#NAME?</v>
      </c>
      <c r="AT367" s="69" t="e">
        <f>(AP367-AS367)/AP367</f>
        <v>#NAME?</v>
      </c>
      <c r="AU367" s="1361" t="str">
        <f t="shared" si="112"/>
        <v>-</v>
      </c>
    </row>
    <row r="368" spans="1:47" s="170" customFormat="1" hidden="1" x14ac:dyDescent="0.2">
      <c r="A368" s="869" t="s">
        <v>140</v>
      </c>
      <c r="B368" s="279" t="s">
        <v>141</v>
      </c>
      <c r="C368" s="653" t="s">
        <v>1090</v>
      </c>
      <c r="D368" s="94"/>
      <c r="E368" s="872" t="s">
        <v>1091</v>
      </c>
      <c r="F368" s="872" t="s">
        <v>349</v>
      </c>
      <c r="G368" s="869" t="s">
        <v>139</v>
      </c>
      <c r="H368" s="869" t="s">
        <v>1092</v>
      </c>
      <c r="I368" s="869" t="s">
        <v>52</v>
      </c>
      <c r="J368" s="873" t="s">
        <v>53</v>
      </c>
      <c r="K368" s="869" t="s">
        <v>69</v>
      </c>
      <c r="L368" s="869" t="s">
        <v>73</v>
      </c>
      <c r="M368" s="874">
        <v>560</v>
      </c>
      <c r="N368" s="858">
        <f>Table1[[#This Row],[WSP/Dealer]]/0.35</f>
        <v>1600</v>
      </c>
      <c r="O368" s="869" t="s">
        <v>56</v>
      </c>
      <c r="P368" s="869">
        <v>24</v>
      </c>
      <c r="Q368" s="869">
        <v>24</v>
      </c>
      <c r="R368" s="869">
        <v>24</v>
      </c>
      <c r="S368" s="869">
        <v>24</v>
      </c>
      <c r="T368" s="869">
        <v>25</v>
      </c>
      <c r="U368" s="869">
        <v>25</v>
      </c>
      <c r="V368" s="881">
        <f t="shared" si="125"/>
        <v>32</v>
      </c>
      <c r="W368" s="881">
        <f t="shared" si="126"/>
        <v>32</v>
      </c>
      <c r="X368" s="875" t="s">
        <v>1093</v>
      </c>
      <c r="Y368" s="869">
        <v>32</v>
      </c>
      <c r="Z368" s="869">
        <v>32</v>
      </c>
      <c r="AA368" s="860">
        <f>V368*W368/144</f>
        <v>7.1111111111111107</v>
      </c>
      <c r="AB368" s="861">
        <f>AA368*IncaG</f>
        <v>149.61777777777777</v>
      </c>
      <c r="AC368" s="863">
        <f>AA368*Canvas</f>
        <v>4.6933333333333334</v>
      </c>
      <c r="AD368" s="876">
        <f>Table1[[#This Row],[Substrate SF]]*IncaC</f>
        <v>11.969422222222223</v>
      </c>
      <c r="AE368" s="867">
        <f>IF(Table1[[#This Row],[Work Center]]="SwissQ",Materials!G$37,IF(Table1[[#This Row],[Work Center]]="Inca",Materials!G$29,IF(Table1[[#This Row],[Work Center]]="Canon",Materials!G$49,Materials!G$45)))</f>
        <v>8</v>
      </c>
      <c r="AF368" s="71">
        <f>'Cali Frames'!D421</f>
        <v>83.685000000000002</v>
      </c>
      <c r="AG368" s="994"/>
      <c r="AH368" s="867">
        <f>(M368*0.05)</f>
        <v>28</v>
      </c>
      <c r="AI368" s="867"/>
      <c r="AJ368" s="867">
        <f t="shared" si="124"/>
        <v>136.34775555555555</v>
      </c>
      <c r="AK368" s="1087">
        <f t="shared" si="118"/>
        <v>0.75652186507936514</v>
      </c>
      <c r="AL368" s="867">
        <f>Table1[[#This Row],[WSP/Dealer]]/Table1[[#This Row],[OD Sq Inch]]</f>
        <v>0.89600000000000002</v>
      </c>
      <c r="AM368" s="868">
        <f>Table1[[#This Row],[OD Wdth]]*Table1[[#This Row],[OD Hgt]]</f>
        <v>625</v>
      </c>
      <c r="AN368" s="869">
        <f>Table1[[#This Row],[Min VO]]+Table1[[#This Row],[Max VO]]</f>
        <v>48</v>
      </c>
      <c r="AO368" s="872"/>
      <c r="AP368" s="872"/>
      <c r="AQ368" s="994"/>
      <c r="AR368" s="994"/>
      <c r="AS368" s="994"/>
      <c r="AT368" s="867"/>
      <c r="AU368" s="1373" t="str">
        <f t="shared" si="112"/>
        <v>-</v>
      </c>
    </row>
    <row r="369" spans="1:47" s="218" customFormat="1" hidden="1" x14ac:dyDescent="0.2">
      <c r="A369" s="68" t="s">
        <v>187</v>
      </c>
      <c r="B369" s="279" t="s">
        <v>292</v>
      </c>
      <c r="C369" s="653" t="s">
        <v>1094</v>
      </c>
      <c r="D369" s="94"/>
      <c r="E369" s="84" t="s">
        <v>1095</v>
      </c>
      <c r="F369" s="84" t="s">
        <v>349</v>
      </c>
      <c r="G369" s="68" t="s">
        <v>1096</v>
      </c>
      <c r="H369" s="68" t="s">
        <v>1097</v>
      </c>
      <c r="I369" s="68" t="s">
        <v>52</v>
      </c>
      <c r="J369" s="68" t="s">
        <v>53</v>
      </c>
      <c r="K369" s="68" t="s">
        <v>54</v>
      </c>
      <c r="L369" s="68" t="s">
        <v>70</v>
      </c>
      <c r="M369" s="93">
        <v>1500</v>
      </c>
      <c r="N369" s="71"/>
      <c r="O369" s="68" t="s">
        <v>56</v>
      </c>
      <c r="P369" s="68">
        <v>32</v>
      </c>
      <c r="Q369" s="68">
        <v>36</v>
      </c>
      <c r="R369" s="68">
        <v>32</v>
      </c>
      <c r="S369" s="68">
        <v>36</v>
      </c>
      <c r="T369" s="68">
        <v>32</v>
      </c>
      <c r="U369" s="68">
        <v>37</v>
      </c>
      <c r="V369" s="917">
        <f t="shared" si="125"/>
        <v>40</v>
      </c>
      <c r="W369" s="917">
        <f t="shared" si="126"/>
        <v>44</v>
      </c>
      <c r="X369" s="189"/>
      <c r="Y369" s="68"/>
      <c r="Z369" s="68"/>
      <c r="AA369" s="699">
        <f>V369*W369/144</f>
        <v>12.222222222222221</v>
      </c>
      <c r="AB369" s="297">
        <f>AA369*IncaG</f>
        <v>257.15555555555551</v>
      </c>
      <c r="AC369" s="74">
        <f>AA369*Canvas</f>
        <v>8.0666666666666664</v>
      </c>
      <c r="AD369" s="320">
        <f>Table1[[#This Row],[Substrate SF]]*IncaC</f>
        <v>20.572444444444443</v>
      </c>
      <c r="AE369" s="278">
        <f>IF(Table1[[#This Row],[Work Center]]="SwissQ",Materials!G$37,IF(Table1[[#This Row],[Work Center]]="Inca",Materials!G$29,IF(Table1[[#This Row],[Work Center]]="Canon",Materials!G$49,Materials!G$45)))</f>
        <v>8</v>
      </c>
      <c r="AF369" s="321">
        <f>'Cali Frames'!D$280</f>
        <v>110.0575</v>
      </c>
      <c r="AG369" s="126"/>
      <c r="AH369" s="278">
        <f>(M369*0.05)</f>
        <v>75</v>
      </c>
      <c r="AI369" s="278"/>
      <c r="AJ369" s="278">
        <f t="shared" si="124"/>
        <v>221.69661111111111</v>
      </c>
      <c r="AK369" s="650">
        <f t="shared" si="118"/>
        <v>0.8522022592592593</v>
      </c>
      <c r="AL369" s="225">
        <f>Table1[[#This Row],[WSP/Dealer]]/Table1[[#This Row],[OD Sq Inch]]</f>
        <v>1.2668918918918919</v>
      </c>
      <c r="AM369" s="274">
        <f>Table1[[#This Row],[OD Wdth]]*Table1[[#This Row],[OD Hgt]]</f>
        <v>1184</v>
      </c>
      <c r="AN369" s="216">
        <f>Table1[[#This Row],[Min VO]]+Table1[[#This Row],[Max VO]]</f>
        <v>68</v>
      </c>
      <c r="AO369" s="84"/>
      <c r="AP369" s="84"/>
      <c r="AQ369" s="126"/>
      <c r="AR369" s="126"/>
      <c r="AS369" s="126"/>
      <c r="AT369" s="74"/>
      <c r="AU369" s="1357" t="str">
        <f t="shared" si="112"/>
        <v>-</v>
      </c>
    </row>
    <row r="370" spans="1:47" s="399" customFormat="1" hidden="1" x14ac:dyDescent="0.2">
      <c r="A370" s="68" t="s">
        <v>101</v>
      </c>
      <c r="B370" s="1152" t="s">
        <v>102</v>
      </c>
      <c r="C370" s="84" t="s">
        <v>1098</v>
      </c>
      <c r="D370" s="94"/>
      <c r="E370" s="84" t="s">
        <v>1099</v>
      </c>
      <c r="F370" s="84" t="s">
        <v>105</v>
      </c>
      <c r="G370" s="68" t="s">
        <v>935</v>
      </c>
      <c r="H370" s="68" t="s">
        <v>1100</v>
      </c>
      <c r="I370" s="68" t="s">
        <v>108</v>
      </c>
      <c r="J370" s="140" t="s">
        <v>53</v>
      </c>
      <c r="K370" s="68" t="s">
        <v>69</v>
      </c>
      <c r="L370" s="68" t="s">
        <v>315</v>
      </c>
      <c r="M370" s="141">
        <v>178</v>
      </c>
      <c r="N370" s="93"/>
      <c r="O370" s="68" t="s">
        <v>109</v>
      </c>
      <c r="P370" s="68">
        <v>8</v>
      </c>
      <c r="Q370" s="68">
        <v>12</v>
      </c>
      <c r="R370" s="68">
        <v>8</v>
      </c>
      <c r="S370" s="68">
        <v>12</v>
      </c>
      <c r="T370" s="68">
        <v>9</v>
      </c>
      <c r="U370" s="68">
        <v>13</v>
      </c>
      <c r="V370" s="917">
        <f t="shared" si="125"/>
        <v>16</v>
      </c>
      <c r="W370" s="917">
        <f t="shared" si="126"/>
        <v>20</v>
      </c>
      <c r="X370" s="68">
        <v>40</v>
      </c>
      <c r="Y370" s="686">
        <f>Table1[[#This Row],[Print Wth]]</f>
        <v>16</v>
      </c>
      <c r="Z370" s="686">
        <f>Table1[[#This Row],[Print Ht]]</f>
        <v>20</v>
      </c>
      <c r="AA370" s="727">
        <f>Table1[[#This Row],[Cut Width]]*Table1[[#This Row],[Cut Height]]/144</f>
        <v>2.2222222222222223</v>
      </c>
      <c r="AB370" s="1130">
        <f>Table1[[#This Row],[Print Wth]]*Table1[[#This Row],[Print Ht]]/144*EPSONM</f>
        <v>10</v>
      </c>
      <c r="AC370" s="278">
        <f>Table1[[#This Row],[Substrate SF]]*Canvas</f>
        <v>1.4666666666666668</v>
      </c>
      <c r="AD370" s="278">
        <f>Table1[[#This Row],[Ink g/mL]]*EPSONC</f>
        <v>2.2000000000000002</v>
      </c>
      <c r="AE370" s="74">
        <f>IF(Table1[[#This Row],[Work Center]]="SwissQ",Materials!G$37,IF(Table1[[#This Row],[Work Center]]="Inca",Materials!G$29,IF(Table1[[#This Row],[Work Center]]="Canon",Materials!G$49,Materials!G$45)))</f>
        <v>5</v>
      </c>
      <c r="AF370" s="73">
        <f>'Cali Frames'!D492</f>
        <v>80</v>
      </c>
      <c r="AG370" s="126"/>
      <c r="AH370" s="278">
        <v>0</v>
      </c>
      <c r="AI370" s="278"/>
      <c r="AJ370" s="278">
        <f t="shared" si="124"/>
        <v>88.666666666666671</v>
      </c>
      <c r="AK370" s="650">
        <f t="shared" si="118"/>
        <v>0.50187265917602997</v>
      </c>
      <c r="AL370" s="225">
        <f>Table1[[#This Row],[WSP/Dealer]]/Table1[[#This Row],[OD Sq Inch]]</f>
        <v>1.5213675213675213</v>
      </c>
      <c r="AM370" s="274">
        <f>Table1[[#This Row],[OD Wdth]]*Table1[[#This Row],[OD Hgt]]</f>
        <v>117</v>
      </c>
      <c r="AN370" s="216">
        <f>Table1[[#This Row],[Min VO]]+Table1[[#This Row],[Max VO]]</f>
        <v>20</v>
      </c>
      <c r="AO370" s="84"/>
      <c r="AP370" s="84"/>
      <c r="AQ370" s="126"/>
      <c r="AR370" s="126"/>
      <c r="AS370" s="126"/>
      <c r="AT370" s="74"/>
      <c r="AU370" s="1357" t="str">
        <f t="shared" si="112"/>
        <v>-</v>
      </c>
    </row>
    <row r="371" spans="1:47" s="173" customFormat="1" hidden="1" x14ac:dyDescent="0.2">
      <c r="A371" s="101"/>
      <c r="B371" s="279"/>
      <c r="C371" s="77" t="s">
        <v>1101</v>
      </c>
      <c r="D371" s="94"/>
      <c r="E371" s="115" t="s">
        <v>1102</v>
      </c>
      <c r="F371" s="115" t="s">
        <v>1103</v>
      </c>
      <c r="G371" s="101" t="s">
        <v>1104</v>
      </c>
      <c r="H371" s="101"/>
      <c r="I371" s="60" t="s">
        <v>108</v>
      </c>
      <c r="J371" s="59" t="s">
        <v>257</v>
      </c>
      <c r="K371" s="101" t="s">
        <v>258</v>
      </c>
      <c r="L371" s="101" t="s">
        <v>259</v>
      </c>
      <c r="M371" s="299">
        <v>250</v>
      </c>
      <c r="N371" s="71"/>
      <c r="O371" s="101" t="s">
        <v>260</v>
      </c>
      <c r="P371" s="60">
        <v>9</v>
      </c>
      <c r="Q371" s="60">
        <v>9</v>
      </c>
      <c r="R371" s="60">
        <v>9</v>
      </c>
      <c r="S371" s="60">
        <v>9</v>
      </c>
      <c r="T371" s="101">
        <v>11</v>
      </c>
      <c r="U371" s="101">
        <v>11</v>
      </c>
      <c r="V371" s="946">
        <f>Table1[[#This Row],[VO Wdth]]+Materials!$C$50</f>
        <v>11</v>
      </c>
      <c r="W371" s="946">
        <f>Table1[[#This Row],[VO Hgt]]+Materials!$C$50</f>
        <v>11</v>
      </c>
      <c r="X371" s="137" t="s">
        <v>257</v>
      </c>
      <c r="Y371" s="101"/>
      <c r="Z371" s="101"/>
      <c r="AA371" s="717">
        <f>V371*W371/144</f>
        <v>0.84027777777777779</v>
      </c>
      <c r="AB371" s="125">
        <f>AA371*canonML</f>
        <v>4.0333333333333332</v>
      </c>
      <c r="AC371" s="69">
        <f>Table1[[#This Row],[Print Wth]]*paper60</f>
        <v>3.74</v>
      </c>
      <c r="AD371" s="69">
        <f>Table1[[#This Row],[Ink g/mL]]*CanonC</f>
        <v>1.089</v>
      </c>
      <c r="AE371" s="104">
        <f>IF(Table1[[#This Row],[Work Center]]="SwissQ",Materials!G$37,IF(Table1[[#This Row],[Work Center]]="Inca",Materials!G$29,IF(Table1[[#This Row],[Work Center]]="Canon",Materials!G$49,Materials!G$45)))</f>
        <v>7</v>
      </c>
      <c r="AF371" s="102">
        <f>'Cali Frames'!D22</f>
        <v>82.44</v>
      </c>
      <c r="AG371" s="121"/>
      <c r="AH371" s="498">
        <f t="shared" ref="AH371:AH384" si="127">(M371*0.05)</f>
        <v>12.5</v>
      </c>
      <c r="AI371" s="498"/>
      <c r="AJ371" s="104">
        <f t="shared" si="124"/>
        <v>106.76900000000001</v>
      </c>
      <c r="AK371" s="650">
        <f t="shared" si="118"/>
        <v>0.57292399999999999</v>
      </c>
      <c r="AL371" s="225" t="e">
        <f>Table1[[#This Row],[WSP/Dealer]]/Table1[[#This Row],[OD Sq Inch]]</f>
        <v>#DIV/0!</v>
      </c>
      <c r="AM371" s="115"/>
      <c r="AN371" s="216">
        <f>Table1[[#This Row],[Min VO]]+Table1[[#This Row],[Max VO]]</f>
        <v>18</v>
      </c>
      <c r="AO371" s="115"/>
      <c r="AP371" s="115"/>
      <c r="AQ371" s="121"/>
      <c r="AR371" s="121"/>
      <c r="AS371" s="121"/>
      <c r="AT371" s="104"/>
      <c r="AU371" s="1359" t="str">
        <f t="shared" si="112"/>
        <v>-</v>
      </c>
    </row>
    <row r="372" spans="1:47" hidden="1" x14ac:dyDescent="0.2">
      <c r="A372" s="101"/>
      <c r="B372" s="279"/>
      <c r="C372" s="77" t="s">
        <v>1105</v>
      </c>
      <c r="D372" s="94"/>
      <c r="E372" s="115" t="s">
        <v>1102</v>
      </c>
      <c r="F372" s="115" t="s">
        <v>1103</v>
      </c>
      <c r="G372" s="101" t="s">
        <v>1104</v>
      </c>
      <c r="H372" s="101"/>
      <c r="I372" s="60" t="s">
        <v>108</v>
      </c>
      <c r="J372" s="59" t="s">
        <v>257</v>
      </c>
      <c r="K372" s="101" t="s">
        <v>258</v>
      </c>
      <c r="L372" s="101" t="s">
        <v>269</v>
      </c>
      <c r="M372" s="299">
        <v>275</v>
      </c>
      <c r="N372" s="71"/>
      <c r="O372" s="101" t="s">
        <v>260</v>
      </c>
      <c r="P372" s="60">
        <v>9</v>
      </c>
      <c r="Q372" s="60">
        <v>9</v>
      </c>
      <c r="R372" s="60">
        <v>9</v>
      </c>
      <c r="S372" s="60">
        <v>9</v>
      </c>
      <c r="T372" s="101">
        <v>11</v>
      </c>
      <c r="U372" s="101">
        <v>11</v>
      </c>
      <c r="V372" s="946">
        <f>Table1[[#This Row],[VO Wdth]]+Materials!$C$50</f>
        <v>11</v>
      </c>
      <c r="W372" s="946">
        <f>Table1[[#This Row],[VO Hgt]]+Materials!$C$50</f>
        <v>11</v>
      </c>
      <c r="X372" s="137" t="s">
        <v>257</v>
      </c>
      <c r="Y372" s="101"/>
      <c r="Z372" s="101"/>
      <c r="AA372" s="717">
        <f>V372*W372/144</f>
        <v>0.84027777777777779</v>
      </c>
      <c r="AB372" s="125">
        <f>AA372*canonML</f>
        <v>4.0333333333333332</v>
      </c>
      <c r="AC372" s="69">
        <f>Table1[[#This Row],[Print Wth]]*paper60</f>
        <v>3.74</v>
      </c>
      <c r="AD372" s="48">
        <f>Table1[[#This Row],[Ink g/mL]]*CanonC</f>
        <v>1.089</v>
      </c>
      <c r="AE372" s="104">
        <f>IF(Table1[[#This Row],[Work Center]]="SwissQ",Materials!G$37,IF(Table1[[#This Row],[Work Center]]="Inca",Materials!G$29,IF(Table1[[#This Row],[Work Center]]="Canon",Materials!G$49,Materials!G$45)))</f>
        <v>7</v>
      </c>
      <c r="AF372" s="102">
        <v>55</v>
      </c>
      <c r="AG372" s="121"/>
      <c r="AH372" s="498">
        <f t="shared" si="127"/>
        <v>13.75</v>
      </c>
      <c r="AI372" s="498"/>
      <c r="AJ372" s="104">
        <f t="shared" si="124"/>
        <v>80.579000000000008</v>
      </c>
      <c r="AK372" s="650">
        <f t="shared" si="118"/>
        <v>0.70698545454545447</v>
      </c>
      <c r="AL372" s="225" t="e">
        <f>Table1[[#This Row],[WSP/Dealer]]/Table1[[#This Row],[OD Sq Inch]]</f>
        <v>#DIV/0!</v>
      </c>
      <c r="AM372" s="113"/>
      <c r="AN372" s="216">
        <f>Table1[[#This Row],[Min VO]]+Table1[[#This Row],[Max VO]]</f>
        <v>18</v>
      </c>
      <c r="AO372" s="115"/>
      <c r="AP372" s="115"/>
      <c r="AQ372" s="121"/>
      <c r="AR372" s="121"/>
      <c r="AS372" s="121"/>
      <c r="AT372" s="104"/>
      <c r="AU372" s="1359" t="str">
        <f t="shared" si="112"/>
        <v>-</v>
      </c>
    </row>
    <row r="373" spans="1:47" s="170" customFormat="1" hidden="1" x14ac:dyDescent="0.2">
      <c r="A373" s="68"/>
      <c r="B373" s="279"/>
      <c r="C373" s="78" t="s">
        <v>1106</v>
      </c>
      <c r="D373" s="94"/>
      <c r="E373" s="78" t="s">
        <v>1107</v>
      </c>
      <c r="F373" s="84" t="s">
        <v>301</v>
      </c>
      <c r="G373" s="68" t="s">
        <v>905</v>
      </c>
      <c r="H373" s="68" t="s">
        <v>906</v>
      </c>
      <c r="I373" s="68" t="s">
        <v>304</v>
      </c>
      <c r="J373" s="68" t="s">
        <v>257</v>
      </c>
      <c r="K373" s="68" t="s">
        <v>258</v>
      </c>
      <c r="L373" s="68" t="s">
        <v>269</v>
      </c>
      <c r="M373" s="73"/>
      <c r="N373" s="71"/>
      <c r="O373" s="68" t="s">
        <v>260</v>
      </c>
      <c r="P373" s="68"/>
      <c r="Q373" s="68"/>
      <c r="R373" s="68"/>
      <c r="S373" s="68"/>
      <c r="T373" s="68"/>
      <c r="U373" s="68"/>
      <c r="V373" s="917"/>
      <c r="W373" s="917"/>
      <c r="X373" s="189"/>
      <c r="Y373" s="68"/>
      <c r="Z373" s="68"/>
      <c r="AA373" s="699"/>
      <c r="AB373" s="297"/>
      <c r="AC373" s="74"/>
      <c r="AD373" s="74"/>
      <c r="AE373" s="74"/>
      <c r="AF373" s="74"/>
      <c r="AG373" s="115"/>
      <c r="AH373" s="498">
        <f t="shared" si="127"/>
        <v>0</v>
      </c>
      <c r="AI373" s="498"/>
      <c r="AJ373" s="74"/>
      <c r="AK373" s="650" t="e">
        <f t="shared" si="118"/>
        <v>#DIV/0!</v>
      </c>
      <c r="AL373" s="225" t="e">
        <f>Table1[[#This Row],[WSP/Dealer]]/Table1[[#This Row],[OD Sq Inch]]</f>
        <v>#DIV/0!</v>
      </c>
      <c r="AM373" s="101">
        <f>Table1[[#This Row],[OD Wdth]]*Table1[[#This Row],[OD Hgt]]</f>
        <v>0</v>
      </c>
      <c r="AN373" s="216">
        <f>Table1[[#This Row],[Min VO]]+Table1[[#This Row],[Max VO]]</f>
        <v>0</v>
      </c>
      <c r="AO373" s="68"/>
      <c r="AP373" s="68"/>
      <c r="AQ373" s="74"/>
      <c r="AR373" s="74"/>
      <c r="AS373" s="74"/>
      <c r="AT373" s="74"/>
      <c r="AU373" s="1001" t="str">
        <f t="shared" si="112"/>
        <v>-</v>
      </c>
    </row>
    <row r="374" spans="1:47" s="235" customFormat="1" hidden="1" x14ac:dyDescent="0.2">
      <c r="A374" s="101"/>
      <c r="B374" s="1061"/>
      <c r="C374" s="77" t="s">
        <v>1108</v>
      </c>
      <c r="D374" s="94"/>
      <c r="E374" s="115" t="s">
        <v>1109</v>
      </c>
      <c r="F374" s="115" t="s">
        <v>1110</v>
      </c>
      <c r="G374" s="101" t="s">
        <v>1111</v>
      </c>
      <c r="H374" s="101"/>
      <c r="I374" s="60" t="s">
        <v>108</v>
      </c>
      <c r="J374" s="59" t="s">
        <v>257</v>
      </c>
      <c r="K374" s="101" t="s">
        <v>258</v>
      </c>
      <c r="L374" s="101" t="s">
        <v>259</v>
      </c>
      <c r="M374" s="299">
        <v>500</v>
      </c>
      <c r="N374" s="71"/>
      <c r="O374" s="101" t="s">
        <v>260</v>
      </c>
      <c r="P374" s="60">
        <v>30</v>
      </c>
      <c r="Q374" s="60">
        <v>20</v>
      </c>
      <c r="R374" s="60">
        <v>20</v>
      </c>
      <c r="S374" s="60">
        <v>30</v>
      </c>
      <c r="T374" s="101">
        <v>32</v>
      </c>
      <c r="U374" s="101">
        <v>22</v>
      </c>
      <c r="V374" s="47">
        <f>Table1[[#This Row],[VO Wdth]]+Materials!$C$50</f>
        <v>32</v>
      </c>
      <c r="W374" s="47">
        <f>Table1[[#This Row],[VO Hgt]]+Materials!$C$50</f>
        <v>22</v>
      </c>
      <c r="X374" s="137" t="s">
        <v>257</v>
      </c>
      <c r="Y374" s="101"/>
      <c r="Z374" s="101"/>
      <c r="AA374" s="717">
        <f t="shared" ref="AA374:AA382" si="128">V374*W374/144</f>
        <v>4.8888888888888893</v>
      </c>
      <c r="AB374" s="125">
        <f>AA374*canonML</f>
        <v>23.466666666666669</v>
      </c>
      <c r="AC374" s="69">
        <f>Table1[[#This Row],[Print Wth]]*paper60</f>
        <v>10.88</v>
      </c>
      <c r="AD374" s="48">
        <f>Table1[[#This Row],[Ink g/mL]]*CanonC</f>
        <v>6.3360000000000012</v>
      </c>
      <c r="AE374" s="104">
        <f>IF(Table1[[#This Row],[Work Center]]="SwissQ",Materials!G$37,IF(Table1[[#This Row],[Work Center]]="Inca",Materials!G$29,IF(Table1[[#This Row],[Work Center]]="Canon",Materials!G$49,Materials!G$45)))</f>
        <v>7</v>
      </c>
      <c r="AF374" s="102">
        <f>'Cali Frames'!D35</f>
        <v>110.5475</v>
      </c>
      <c r="AG374" s="121"/>
      <c r="AH374" s="498">
        <f t="shared" si="127"/>
        <v>25</v>
      </c>
      <c r="AI374" s="498"/>
      <c r="AJ374" s="104">
        <f>SUM(AC374:AH374)</f>
        <v>159.76349999999999</v>
      </c>
      <c r="AK374" s="650">
        <f t="shared" si="118"/>
        <v>0.68047299999999999</v>
      </c>
      <c r="AL374" s="225" t="e">
        <f>Table1[[#This Row],[WSP/Dealer]]/Table1[[#This Row],[OD Sq Inch]]</f>
        <v>#DIV/0!</v>
      </c>
      <c r="AM374" s="113"/>
      <c r="AN374" s="216">
        <f>Table1[[#This Row],[Min VO]]+Table1[[#This Row],[Max VO]]</f>
        <v>50</v>
      </c>
      <c r="AO374" s="115"/>
      <c r="AP374" s="115"/>
      <c r="AQ374" s="121"/>
      <c r="AR374" s="121"/>
      <c r="AS374" s="121"/>
      <c r="AT374" s="104"/>
      <c r="AU374" s="1359" t="str">
        <f t="shared" si="112"/>
        <v>-</v>
      </c>
    </row>
    <row r="375" spans="1:47" s="170" customFormat="1" hidden="1" x14ac:dyDescent="0.2">
      <c r="A375" s="101"/>
      <c r="B375" s="279"/>
      <c r="C375" s="77" t="s">
        <v>1112</v>
      </c>
      <c r="D375" s="94"/>
      <c r="E375" s="115" t="s">
        <v>1109</v>
      </c>
      <c r="F375" s="115" t="s">
        <v>1110</v>
      </c>
      <c r="G375" s="101" t="s">
        <v>1111</v>
      </c>
      <c r="H375" s="101"/>
      <c r="I375" s="60" t="s">
        <v>108</v>
      </c>
      <c r="J375" s="59" t="s">
        <v>257</v>
      </c>
      <c r="K375" s="101" t="s">
        <v>258</v>
      </c>
      <c r="L375" s="101" t="s">
        <v>269</v>
      </c>
      <c r="M375" s="299">
        <v>525</v>
      </c>
      <c r="N375" s="71"/>
      <c r="O375" s="101" t="s">
        <v>260</v>
      </c>
      <c r="P375" s="60">
        <v>30</v>
      </c>
      <c r="Q375" s="60">
        <v>20</v>
      </c>
      <c r="R375" s="60">
        <v>20</v>
      </c>
      <c r="S375" s="60">
        <v>30</v>
      </c>
      <c r="T375" s="101">
        <v>32</v>
      </c>
      <c r="U375" s="101">
        <v>22</v>
      </c>
      <c r="V375" s="47">
        <f>Table1[[#This Row],[VO Wdth]]+Materials!$C$50</f>
        <v>32</v>
      </c>
      <c r="W375" s="47">
        <f>Table1[[#This Row],[VO Hgt]]+Materials!$C$50</f>
        <v>22</v>
      </c>
      <c r="X375" s="137" t="s">
        <v>257</v>
      </c>
      <c r="Y375" s="101"/>
      <c r="Z375" s="101"/>
      <c r="AA375" s="717">
        <f t="shared" si="128"/>
        <v>4.8888888888888893</v>
      </c>
      <c r="AB375" s="125">
        <f>AA375*canonML</f>
        <v>23.466666666666669</v>
      </c>
      <c r="AC375" s="69">
        <f>Table1[[#This Row],[Print Wth]]*paper60</f>
        <v>10.88</v>
      </c>
      <c r="AD375" s="48">
        <f>Table1[[#This Row],[Ink g/mL]]*CanonC</f>
        <v>6.3360000000000012</v>
      </c>
      <c r="AE375" s="104">
        <f>IF(Table1[[#This Row],[Work Center]]="SwissQ",Materials!G$37,IF(Table1[[#This Row],[Work Center]]="Inca",Materials!G$29,IF(Table1[[#This Row],[Work Center]]="Canon",Materials!G$49,Materials!G$45)))</f>
        <v>7</v>
      </c>
      <c r="AF375" s="102">
        <f>'Cali Frames'!D63</f>
        <v>123.0425</v>
      </c>
      <c r="AG375" s="121"/>
      <c r="AH375" s="112">
        <f t="shared" si="127"/>
        <v>26.25</v>
      </c>
      <c r="AI375" s="112"/>
      <c r="AJ375" s="104">
        <f>SUM(AC375:AH375)</f>
        <v>173.5085</v>
      </c>
      <c r="AK375" s="62">
        <f t="shared" si="118"/>
        <v>0.66950761904761902</v>
      </c>
      <c r="AL375" s="225" t="e">
        <f>Table1[[#This Row],[WSP/Dealer]]/Table1[[#This Row],[OD Sq Inch]]</f>
        <v>#DIV/0!</v>
      </c>
      <c r="AM375" s="113"/>
      <c r="AN375" s="216">
        <f>Table1[[#This Row],[Min VO]]+Table1[[#This Row],[Max VO]]</f>
        <v>50</v>
      </c>
      <c r="AO375" s="115"/>
      <c r="AP375" s="115"/>
      <c r="AQ375" s="121"/>
      <c r="AR375" s="121"/>
      <c r="AS375" s="121"/>
      <c r="AT375" s="104"/>
      <c r="AU375" s="1359" t="str">
        <f t="shared" si="112"/>
        <v>-</v>
      </c>
    </row>
    <row r="376" spans="1:47" s="899" customFormat="1" hidden="1" x14ac:dyDescent="0.2">
      <c r="A376" s="68" t="s">
        <v>187</v>
      </c>
      <c r="B376" s="1061" t="s">
        <v>292</v>
      </c>
      <c r="C376" s="653" t="s">
        <v>1113</v>
      </c>
      <c r="D376" s="94"/>
      <c r="E376" s="84" t="s">
        <v>1114</v>
      </c>
      <c r="F376" s="84" t="s">
        <v>349</v>
      </c>
      <c r="G376" s="68" t="s">
        <v>1115</v>
      </c>
      <c r="H376" s="68" t="s">
        <v>1116</v>
      </c>
      <c r="I376" s="68" t="s">
        <v>52</v>
      </c>
      <c r="J376" s="68" t="s">
        <v>53</v>
      </c>
      <c r="K376" s="68" t="s">
        <v>54</v>
      </c>
      <c r="L376" s="68" t="s">
        <v>70</v>
      </c>
      <c r="M376" s="93">
        <v>2400</v>
      </c>
      <c r="N376" s="71"/>
      <c r="O376" s="68" t="s">
        <v>56</v>
      </c>
      <c r="P376" s="68">
        <v>54</v>
      </c>
      <c r="Q376" s="68">
        <v>42</v>
      </c>
      <c r="R376" s="68">
        <v>42</v>
      </c>
      <c r="S376" s="68">
        <v>54</v>
      </c>
      <c r="T376" s="68">
        <v>55</v>
      </c>
      <c r="U376" s="68">
        <v>43</v>
      </c>
      <c r="V376" s="917">
        <f t="shared" ref="V376:V387" si="129">IF(J376="Canvas",P376+Border,P376)</f>
        <v>62</v>
      </c>
      <c r="W376" s="917">
        <f t="shared" ref="W376:W387" si="130">IF(J376="Canvas",Q376+Border,Q376)</f>
        <v>50</v>
      </c>
      <c r="X376" s="189"/>
      <c r="Y376" s="68"/>
      <c r="Z376" s="68"/>
      <c r="AA376" s="699">
        <f t="shared" si="128"/>
        <v>21.527777777777779</v>
      </c>
      <c r="AB376" s="297">
        <f t="shared" ref="AB376:AB382" si="131">AA376*IncaG</f>
        <v>452.94444444444446</v>
      </c>
      <c r="AC376" s="74">
        <f t="shared" ref="AC376:AC382" si="132">AA376*Canvas</f>
        <v>14.208333333333334</v>
      </c>
      <c r="AD376" s="320">
        <f>Table1[[#This Row],[Substrate SF]]*IncaC</f>
        <v>36.235555555555557</v>
      </c>
      <c r="AE376" s="278">
        <f>IF(Table1[[#This Row],[Work Center]]="SwissQ",Materials!G$37,IF(Table1[[#This Row],[Work Center]]="Inca",Materials!G$29,IF(Table1[[#This Row],[Work Center]]="Canon",Materials!G$49,Materials!G$45)))</f>
        <v>8</v>
      </c>
      <c r="AF376" s="321">
        <f>'Cali Frames'!D$321</f>
        <v>160.19499999999999</v>
      </c>
      <c r="AG376" s="126"/>
      <c r="AH376" s="278">
        <f t="shared" si="127"/>
        <v>120</v>
      </c>
      <c r="AI376" s="278"/>
      <c r="AJ376" s="278">
        <f>SUM(AC376:AH376)</f>
        <v>338.63888888888891</v>
      </c>
      <c r="AK376" s="650">
        <f t="shared" si="118"/>
        <v>0.85890046296296307</v>
      </c>
      <c r="AL376" s="225">
        <f>Table1[[#This Row],[WSP/Dealer]]/Table1[[#This Row],[OD Sq Inch]]</f>
        <v>1.014799154334038</v>
      </c>
      <c r="AM376" s="274">
        <f>Table1[[#This Row],[OD Wdth]]*Table1[[#This Row],[OD Hgt]]</f>
        <v>2365</v>
      </c>
      <c r="AN376" s="216">
        <f>Table1[[#This Row],[Min VO]]+Table1[[#This Row],[Max VO]]</f>
        <v>96</v>
      </c>
      <c r="AO376" s="84"/>
      <c r="AP376" s="84"/>
      <c r="AQ376" s="126"/>
      <c r="AR376" s="126"/>
      <c r="AS376" s="126"/>
      <c r="AT376" s="74"/>
      <c r="AU376" s="1357" t="str">
        <f t="shared" si="112"/>
        <v>-</v>
      </c>
    </row>
    <row r="377" spans="1:47" s="1016" customFormat="1" hidden="1" x14ac:dyDescent="0.2">
      <c r="A377" s="869" t="s">
        <v>140</v>
      </c>
      <c r="B377" s="279" t="s">
        <v>141</v>
      </c>
      <c r="C377" s="653" t="s">
        <v>1117</v>
      </c>
      <c r="D377" s="94"/>
      <c r="E377" s="653" t="s">
        <v>1118</v>
      </c>
      <c r="F377" s="653" t="s">
        <v>349</v>
      </c>
      <c r="G377" s="551" t="s">
        <v>637</v>
      </c>
      <c r="H377" s="551" t="s">
        <v>1119</v>
      </c>
      <c r="I377" s="869" t="s">
        <v>52</v>
      </c>
      <c r="J377" s="873" t="s">
        <v>53</v>
      </c>
      <c r="K377" s="869" t="s">
        <v>69</v>
      </c>
      <c r="L377" s="551" t="s">
        <v>73</v>
      </c>
      <c r="M377" s="857">
        <v>1100</v>
      </c>
      <c r="N377" s="858">
        <f>Table1[[#This Row],[WSP/Dealer]]/0.35</f>
        <v>3142.8571428571431</v>
      </c>
      <c r="O377" s="551" t="s">
        <v>56</v>
      </c>
      <c r="P377" s="551">
        <v>60</v>
      </c>
      <c r="Q377" s="551">
        <v>48</v>
      </c>
      <c r="R377" s="551">
        <v>48</v>
      </c>
      <c r="S377" s="551">
        <v>60</v>
      </c>
      <c r="T377" s="551">
        <v>61</v>
      </c>
      <c r="U377" s="551">
        <v>49</v>
      </c>
      <c r="V377" s="859">
        <f t="shared" si="129"/>
        <v>68</v>
      </c>
      <c r="W377" s="859">
        <f t="shared" si="130"/>
        <v>56</v>
      </c>
      <c r="X377" s="311">
        <v>69</v>
      </c>
      <c r="Y377" s="551">
        <v>68</v>
      </c>
      <c r="Z377" s="551">
        <v>56</v>
      </c>
      <c r="AA377" s="860">
        <f t="shared" si="128"/>
        <v>26.444444444444443</v>
      </c>
      <c r="AB377" s="861">
        <f t="shared" si="131"/>
        <v>556.39111111111106</v>
      </c>
      <c r="AC377" s="863">
        <f t="shared" si="132"/>
        <v>17.453333333333333</v>
      </c>
      <c r="AD377" s="876">
        <f>Table1[[#This Row],[Substrate SF]]*IncaC</f>
        <v>44.511288888888885</v>
      </c>
      <c r="AE377" s="867">
        <f>IF(Table1[[#This Row],[Work Center]]="SwissQ",Materials!G$37,IF(Table1[[#This Row],[Work Center]]="Inca",Materials!G$29,IF(Table1[[#This Row],[Work Center]]="Canon",Materials!G$49,Materials!G$45)))</f>
        <v>8</v>
      </c>
      <c r="AF377" s="71">
        <f>'Cali Frames'!D470</f>
        <v>263.70999999999998</v>
      </c>
      <c r="AG377" s="864"/>
      <c r="AH377" s="867">
        <f t="shared" si="127"/>
        <v>55</v>
      </c>
      <c r="AI377" s="867"/>
      <c r="AJ377" s="867">
        <f>SUM(AC377:AH377)</f>
        <v>388.67462222222218</v>
      </c>
      <c r="AK377" s="1087">
        <f t="shared" si="118"/>
        <v>0.64665943434343442</v>
      </c>
      <c r="AL377" s="867">
        <f>Table1[[#This Row],[WSP/Dealer]]/Table1[[#This Row],[OD Sq Inch]]</f>
        <v>0.36801605888256944</v>
      </c>
      <c r="AM377" s="868">
        <f>Table1[[#This Row],[OD Wdth]]*Table1[[#This Row],[OD Hgt]]</f>
        <v>2989</v>
      </c>
      <c r="AN377" s="869">
        <f>Table1[[#This Row],[Min VO]]+Table1[[#This Row],[Max VO]]</f>
        <v>108</v>
      </c>
      <c r="AO377" s="653"/>
      <c r="AP377" s="653"/>
      <c r="AQ377" s="864"/>
      <c r="AR377" s="864"/>
      <c r="AS377" s="864"/>
      <c r="AT377" s="863"/>
      <c r="AU377" s="1364" t="str">
        <f t="shared" si="112"/>
        <v>-</v>
      </c>
    </row>
    <row r="378" spans="1:47" s="1016" customFormat="1" hidden="1" x14ac:dyDescent="0.2">
      <c r="A378" s="101" t="s">
        <v>110</v>
      </c>
      <c r="B378" s="1322" t="s">
        <v>134</v>
      </c>
      <c r="C378" s="115" t="s">
        <v>1120</v>
      </c>
      <c r="D378" s="168"/>
      <c r="E378" s="115" t="s">
        <v>1118</v>
      </c>
      <c r="F378" s="115" t="s">
        <v>349</v>
      </c>
      <c r="G378" s="101" t="s">
        <v>637</v>
      </c>
      <c r="H378" s="101" t="s">
        <v>637</v>
      </c>
      <c r="I378" s="101" t="s">
        <v>52</v>
      </c>
      <c r="J378" s="487" t="s">
        <v>53</v>
      </c>
      <c r="K378" s="101" t="s">
        <v>54</v>
      </c>
      <c r="L378" s="101" t="s">
        <v>55</v>
      </c>
      <c r="M378" s="1008">
        <v>900</v>
      </c>
      <c r="N378" s="1009"/>
      <c r="O378" s="101" t="s">
        <v>56</v>
      </c>
      <c r="P378" s="101">
        <v>60</v>
      </c>
      <c r="Q378" s="101">
        <v>48</v>
      </c>
      <c r="R378" s="101">
        <v>48</v>
      </c>
      <c r="S378" s="101">
        <v>60</v>
      </c>
      <c r="T378" s="101">
        <v>60</v>
      </c>
      <c r="U378" s="101">
        <v>48</v>
      </c>
      <c r="V378" s="608">
        <f t="shared" si="129"/>
        <v>68</v>
      </c>
      <c r="W378" s="608">
        <f t="shared" si="130"/>
        <v>56</v>
      </c>
      <c r="X378" s="137">
        <v>69</v>
      </c>
      <c r="Y378" s="101">
        <v>68</v>
      </c>
      <c r="Z378" s="101">
        <v>56</v>
      </c>
      <c r="AA378" s="1011">
        <f t="shared" si="128"/>
        <v>26.444444444444443</v>
      </c>
      <c r="AB378" s="184">
        <f t="shared" si="131"/>
        <v>556.39111111111106</v>
      </c>
      <c r="AC378" s="104">
        <f t="shared" si="132"/>
        <v>17.453333333333333</v>
      </c>
      <c r="AD378" s="107">
        <f>AA378*IncaC</f>
        <v>44.511288888888885</v>
      </c>
      <c r="AE378" s="104">
        <f>IF(Table1[[#This Row],[Work Center]]="SwissQ",Materials!G$37,IF(Table1[[#This Row],[Work Center]]="Inca",Materials!G$29,IF(Table1[[#This Row],[Work Center]]="Canon",Materials!G$49,Materials!G$45)))</f>
        <v>8</v>
      </c>
      <c r="AF378" s="1012">
        <f>'Cali FPS'!C121</f>
        <v>188.18</v>
      </c>
      <c r="AG378" s="121"/>
      <c r="AH378" s="104">
        <f t="shared" si="127"/>
        <v>45</v>
      </c>
      <c r="AI378" s="406">
        <f>IF(A378="Codarus",(M378*0.13))</f>
        <v>117</v>
      </c>
      <c r="AJ378" s="104">
        <f t="shared" ref="AJ378:AJ383" si="133">SUM(AC378:AI378)</f>
        <v>420.14462222222221</v>
      </c>
      <c r="AK378" s="830">
        <f t="shared" si="118"/>
        <v>0.53317264197530867</v>
      </c>
      <c r="AL378" s="660">
        <f>Table1[[#This Row],[WSP/Dealer]]/Table1[[#This Row],[OD Sq Inch]]</f>
        <v>0.3125</v>
      </c>
      <c r="AM378" s="399">
        <f>Table1[[#This Row],[OD Wdth]]*Table1[[#This Row],[OD Hgt]]</f>
        <v>2880</v>
      </c>
      <c r="AN378" s="400">
        <f>Table1[[#This Row],[Min VO]]+Table1[[#This Row],[Max VO]]</f>
        <v>108</v>
      </c>
      <c r="AO378" s="115"/>
      <c r="AP378" s="1307">
        <f>(M378*2)</f>
        <v>1800</v>
      </c>
      <c r="AQ378" s="121">
        <f>(Table1[[#This Row],[Desgnr/Retail P]]*0.05)</f>
        <v>90</v>
      </c>
      <c r="AR378" s="121">
        <f>IF(A378="Codarus",(AP378*0.13))</f>
        <v>234</v>
      </c>
      <c r="AS378" s="121">
        <f>SUM(Table1[[#This Row],[Substrate $]:[GP FINISH]])+Table1[[#This Row],[Retail Royalty]]+Table1[[#This Row],[Retail$Comm]]</f>
        <v>582.14462222222221</v>
      </c>
      <c r="AT378" s="830">
        <f>IF(AP378=0,"-",(AP378-AS378)/AP378)</f>
        <v>0.67658632098765437</v>
      </c>
      <c r="AU378" s="1359">
        <f t="shared" si="112"/>
        <v>0.9924823742112483</v>
      </c>
    </row>
    <row r="379" spans="1:47" s="1016" customFormat="1" hidden="1" x14ac:dyDescent="0.2">
      <c r="A379" s="101" t="s">
        <v>110</v>
      </c>
      <c r="B379" s="1064" t="s">
        <v>134</v>
      </c>
      <c r="C379" s="168" t="s">
        <v>1121</v>
      </c>
      <c r="D379" s="168"/>
      <c r="E379" s="115" t="s">
        <v>1118</v>
      </c>
      <c r="F379" s="115" t="s">
        <v>349</v>
      </c>
      <c r="G379" s="101" t="s">
        <v>637</v>
      </c>
      <c r="H379" s="101" t="s">
        <v>1119</v>
      </c>
      <c r="I379" s="101" t="s">
        <v>52</v>
      </c>
      <c r="J379" s="487" t="s">
        <v>53</v>
      </c>
      <c r="K379" s="101" t="s">
        <v>69</v>
      </c>
      <c r="L379" s="101" t="s">
        <v>70</v>
      </c>
      <c r="M379" s="114">
        <v>850</v>
      </c>
      <c r="N379" s="114"/>
      <c r="O379" s="101" t="s">
        <v>56</v>
      </c>
      <c r="P379" s="101">
        <v>60</v>
      </c>
      <c r="Q379" s="101">
        <v>48</v>
      </c>
      <c r="R379" s="101">
        <v>48</v>
      </c>
      <c r="S379" s="101">
        <v>60</v>
      </c>
      <c r="T379" s="101">
        <v>61</v>
      </c>
      <c r="U379" s="101">
        <v>49</v>
      </c>
      <c r="V379" s="106">
        <f t="shared" si="129"/>
        <v>68</v>
      </c>
      <c r="W379" s="106">
        <f t="shared" si="130"/>
        <v>56</v>
      </c>
      <c r="X379" s="137">
        <v>69</v>
      </c>
      <c r="Y379" s="101">
        <v>68</v>
      </c>
      <c r="Z379" s="101">
        <v>56</v>
      </c>
      <c r="AA379" s="649">
        <f t="shared" si="128"/>
        <v>26.444444444444443</v>
      </c>
      <c r="AB379" s="184">
        <f t="shared" si="131"/>
        <v>556.39111111111106</v>
      </c>
      <c r="AC379" s="104">
        <f t="shared" si="132"/>
        <v>17.453333333333333</v>
      </c>
      <c r="AD379" s="107">
        <f>AA379*IncaC</f>
        <v>44.511288888888885</v>
      </c>
      <c r="AE379" s="104">
        <f>IF(Table1[[#This Row],[Work Center]]="SwissQ",Materials!G$37,IF(Table1[[#This Row],[Work Center]]="Inca",Materials!G$29,IF(Table1[[#This Row],[Work Center]]="Canon",Materials!G$49,Materials!G$45)))</f>
        <v>8</v>
      </c>
      <c r="AF379" s="102">
        <f>'Cali Frames'!D335</f>
        <v>258.27999999999997</v>
      </c>
      <c r="AG379" s="121"/>
      <c r="AH379" s="406">
        <f t="shared" si="127"/>
        <v>42.5</v>
      </c>
      <c r="AI379" s="406">
        <f>IF(A379="Codarus",(M379*0.13))</f>
        <v>110.5</v>
      </c>
      <c r="AJ379" s="104">
        <f t="shared" si="133"/>
        <v>481.24462222222218</v>
      </c>
      <c r="AK379" s="1065">
        <f t="shared" si="118"/>
        <v>0.43382985620915038</v>
      </c>
      <c r="AL379" s="406">
        <f>Table1[[#This Row],[WSP/Dealer]]/Table1[[#This Row],[OD Sq Inch]]</f>
        <v>0.28437604550016726</v>
      </c>
      <c r="AM379" s="399">
        <f>Table1[[#This Row],[OD Wdth]]*Table1[[#This Row],[OD Hgt]]</f>
        <v>2989</v>
      </c>
      <c r="AN379" s="400">
        <f>Table1[[#This Row],[Min VO]]+Table1[[#This Row],[Max VO]]</f>
        <v>108</v>
      </c>
      <c r="AO379" s="115"/>
      <c r="AP379" s="121">
        <v>1700</v>
      </c>
      <c r="AQ379" s="121">
        <f>(Table1[[#This Row],[Desgnr/Retail P]]*0.05)</f>
        <v>85</v>
      </c>
      <c r="AR379" s="121">
        <f>IF(A379="Codarus",(AP379*0.13))</f>
        <v>221</v>
      </c>
      <c r="AS379" s="121">
        <f>SUM(Table1[[#This Row],[Substrate $]:[GP FINISH]])+Table1[[#This Row],[Retail Royalty]]+Table1[[#This Row],[Retail$Comm]]</f>
        <v>634.24462222222223</v>
      </c>
      <c r="AT379" s="830">
        <f>IF(AP379=0,"-",(AP379-AS379)/AP379)</f>
        <v>0.62691492810457516</v>
      </c>
      <c r="AU379" s="1359">
        <f t="shared" si="112"/>
        <v>0.99262453025759334</v>
      </c>
    </row>
    <row r="380" spans="1:47" s="103" customFormat="1" hidden="1" x14ac:dyDescent="0.2">
      <c r="A380" s="101" t="s">
        <v>110</v>
      </c>
      <c r="B380" s="1064" t="s">
        <v>134</v>
      </c>
      <c r="C380" s="168" t="s">
        <v>1117</v>
      </c>
      <c r="D380" s="168"/>
      <c r="E380" s="115" t="s">
        <v>1118</v>
      </c>
      <c r="F380" s="115" t="s">
        <v>349</v>
      </c>
      <c r="G380" s="101" t="s">
        <v>637</v>
      </c>
      <c r="H380" s="101" t="s">
        <v>1119</v>
      </c>
      <c r="I380" s="101" t="s">
        <v>52</v>
      </c>
      <c r="J380" s="487" t="s">
        <v>53</v>
      </c>
      <c r="K380" s="101" t="s">
        <v>69</v>
      </c>
      <c r="L380" s="101" t="s">
        <v>73</v>
      </c>
      <c r="M380" s="114">
        <v>850</v>
      </c>
      <c r="N380" s="114"/>
      <c r="O380" s="101" t="s">
        <v>56</v>
      </c>
      <c r="P380" s="101">
        <v>60</v>
      </c>
      <c r="Q380" s="101">
        <v>48</v>
      </c>
      <c r="R380" s="101">
        <v>48</v>
      </c>
      <c r="S380" s="101">
        <v>60</v>
      </c>
      <c r="T380" s="101">
        <v>61</v>
      </c>
      <c r="U380" s="101">
        <v>49</v>
      </c>
      <c r="V380" s="106">
        <f t="shared" si="129"/>
        <v>68</v>
      </c>
      <c r="W380" s="106">
        <f t="shared" si="130"/>
        <v>56</v>
      </c>
      <c r="X380" s="137">
        <v>69</v>
      </c>
      <c r="Y380" s="101">
        <v>68</v>
      </c>
      <c r="Z380" s="101">
        <v>56</v>
      </c>
      <c r="AA380" s="649">
        <f t="shared" si="128"/>
        <v>26.444444444444443</v>
      </c>
      <c r="AB380" s="184">
        <f t="shared" si="131"/>
        <v>556.39111111111106</v>
      </c>
      <c r="AC380" s="104">
        <f t="shared" si="132"/>
        <v>17.453333333333333</v>
      </c>
      <c r="AD380" s="107">
        <f>AA380*IncaC</f>
        <v>44.511288888888885</v>
      </c>
      <c r="AE380" s="104">
        <f>IF(Table1[[#This Row],[Work Center]]="SwissQ",Materials!G$37,IF(Table1[[#This Row],[Work Center]]="Inca",Materials!G$29,IF(Table1[[#This Row],[Work Center]]="Canon",Materials!G$49,Materials!G$45)))</f>
        <v>8</v>
      </c>
      <c r="AF380" s="102">
        <f>'Cali Frames'!D470</f>
        <v>263.70999999999998</v>
      </c>
      <c r="AG380" s="121"/>
      <c r="AH380" s="406">
        <f t="shared" si="127"/>
        <v>42.5</v>
      </c>
      <c r="AI380" s="406">
        <f>IF(A380="Codarus",(M380*0.13))</f>
        <v>110.5</v>
      </c>
      <c r="AJ380" s="104">
        <f t="shared" si="133"/>
        <v>486.67462222222218</v>
      </c>
      <c r="AK380" s="1065">
        <f t="shared" si="118"/>
        <v>0.42744162091503274</v>
      </c>
      <c r="AL380" s="406">
        <f>Table1[[#This Row],[WSP/Dealer]]/Table1[[#This Row],[OD Sq Inch]]</f>
        <v>0.28437604550016726</v>
      </c>
      <c r="AM380" s="399">
        <f>Table1[[#This Row],[OD Wdth]]*Table1[[#This Row],[OD Hgt]]</f>
        <v>2989</v>
      </c>
      <c r="AN380" s="400">
        <f>Table1[[#This Row],[Min VO]]+Table1[[#This Row],[Max VO]]</f>
        <v>108</v>
      </c>
      <c r="AO380" s="115"/>
      <c r="AP380" s="121">
        <v>1700</v>
      </c>
      <c r="AQ380" s="121">
        <f>(Table1[[#This Row],[Desgnr/Retail P]]*0.05)</f>
        <v>85</v>
      </c>
      <c r="AR380" s="121">
        <f>IF(A380="Codarus",(AP380*0.13))</f>
        <v>221</v>
      </c>
      <c r="AS380" s="121">
        <f>SUM(Table1[[#This Row],[Substrate $]:[GP FINISH]])+Table1[[#This Row],[Retail Royalty]]+Table1[[#This Row],[Retail$Comm]]</f>
        <v>639.67462222222218</v>
      </c>
      <c r="AT380" s="830">
        <f>IF(AP380=0,"-",(AP380-AS380)/AP380)</f>
        <v>0.62372081045751626</v>
      </c>
      <c r="AU380" s="1359">
        <f t="shared" si="112"/>
        <v>0.99266210811226452</v>
      </c>
    </row>
    <row r="381" spans="1:47" s="244" customFormat="1" hidden="1" x14ac:dyDescent="0.2">
      <c r="A381" s="101" t="s">
        <v>110</v>
      </c>
      <c r="B381" s="1067" t="s">
        <v>134</v>
      </c>
      <c r="C381" s="168" t="s">
        <v>1122</v>
      </c>
      <c r="D381" s="168"/>
      <c r="E381" s="115" t="s">
        <v>1118</v>
      </c>
      <c r="F381" s="115" t="s">
        <v>349</v>
      </c>
      <c r="G381" s="101" t="s">
        <v>637</v>
      </c>
      <c r="H381" s="101" t="s">
        <v>640</v>
      </c>
      <c r="I381" s="101" t="s">
        <v>52</v>
      </c>
      <c r="J381" s="487" t="s">
        <v>53</v>
      </c>
      <c r="K381" s="101" t="s">
        <v>82</v>
      </c>
      <c r="L381" s="101" t="s">
        <v>83</v>
      </c>
      <c r="M381" s="114">
        <v>850</v>
      </c>
      <c r="N381" s="114"/>
      <c r="O381" s="101" t="s">
        <v>56</v>
      </c>
      <c r="P381" s="101">
        <v>60</v>
      </c>
      <c r="Q381" s="101">
        <v>48</v>
      </c>
      <c r="R381" s="101">
        <v>48</v>
      </c>
      <c r="S381" s="101">
        <v>60</v>
      </c>
      <c r="T381" s="101">
        <v>62</v>
      </c>
      <c r="U381" s="101">
        <v>50</v>
      </c>
      <c r="V381" s="608">
        <f t="shared" si="129"/>
        <v>68</v>
      </c>
      <c r="W381" s="608">
        <f t="shared" si="130"/>
        <v>56</v>
      </c>
      <c r="X381" s="137">
        <v>69</v>
      </c>
      <c r="Y381" s="101">
        <v>68</v>
      </c>
      <c r="Z381" s="101">
        <v>56</v>
      </c>
      <c r="AA381" s="649">
        <f t="shared" si="128"/>
        <v>26.444444444444443</v>
      </c>
      <c r="AB381" s="184">
        <f t="shared" si="131"/>
        <v>556.39111111111106</v>
      </c>
      <c r="AC381" s="104">
        <f t="shared" si="132"/>
        <v>17.453333333333333</v>
      </c>
      <c r="AD381" s="107">
        <f>AA381*IncaC</f>
        <v>44.511288888888885</v>
      </c>
      <c r="AE381" s="104">
        <f>IF(Table1[[#This Row],[Work Center]]="SwissQ",Materials!G$37,IF(Table1[[#This Row],[Work Center]]="Inca",Materials!G$29,IF(Table1[[#This Row],[Work Center]]="Canon",Materials!G$49,Materials!G$45)))</f>
        <v>8</v>
      </c>
      <c r="AF381" s="102">
        <f>'Cali Frames'!D155</f>
        <v>265.04000000000002</v>
      </c>
      <c r="AG381" s="121"/>
      <c r="AH381" s="406">
        <f t="shared" si="127"/>
        <v>42.5</v>
      </c>
      <c r="AI381" s="405">
        <f>IF(A381="Codarus",(M381*0.13))</f>
        <v>110.5</v>
      </c>
      <c r="AJ381" s="104">
        <f t="shared" si="133"/>
        <v>488.00462222222222</v>
      </c>
      <c r="AK381" s="1065">
        <f t="shared" si="118"/>
        <v>0.42587691503267971</v>
      </c>
      <c r="AL381" s="406">
        <f>Table1[[#This Row],[WSP/Dealer]]/Table1[[#This Row],[OD Sq Inch]]</f>
        <v>0.27419354838709675</v>
      </c>
      <c r="AM381" s="399">
        <f>Table1[[#This Row],[OD Wdth]]*Table1[[#This Row],[OD Hgt]]</f>
        <v>3100</v>
      </c>
      <c r="AN381" s="400">
        <f>Table1[[#This Row],[Min VO]]+Table1[[#This Row],[Max VO]]</f>
        <v>108</v>
      </c>
      <c r="AO381" s="115"/>
      <c r="AP381" s="121">
        <v>1700</v>
      </c>
      <c r="AQ381" s="121">
        <f>(Table1[[#This Row],[Desgnr/Retail P]]*0.05)</f>
        <v>85</v>
      </c>
      <c r="AR381" s="121">
        <f>IF(A381="Codarus",(AP381*0.13))</f>
        <v>221</v>
      </c>
      <c r="AS381" s="121">
        <f>SUM(Table1[[#This Row],[Substrate $]:[GP FINISH]])+Table1[[#This Row],[Retail Royalty]]+Table1[[#This Row],[Retail$Comm]]</f>
        <v>641.00462222222222</v>
      </c>
      <c r="AT381" s="830">
        <f>IF(AP381=0,"-",(AP381-AS381)/AP381)</f>
        <v>0.62293845751633992</v>
      </c>
      <c r="AU381" s="1359">
        <f t="shared" si="112"/>
        <v>0.99267131226451366</v>
      </c>
    </row>
    <row r="382" spans="1:47" s="1389" customFormat="1" hidden="1" x14ac:dyDescent="0.2">
      <c r="A382" s="101" t="s">
        <v>110</v>
      </c>
      <c r="B382" s="1067" t="s">
        <v>134</v>
      </c>
      <c r="C382" s="168" t="s">
        <v>1123</v>
      </c>
      <c r="D382" s="168"/>
      <c r="E382" s="115" t="s">
        <v>1118</v>
      </c>
      <c r="F382" s="115" t="s">
        <v>349</v>
      </c>
      <c r="G382" s="101" t="s">
        <v>637</v>
      </c>
      <c r="H382" s="101" t="s">
        <v>640</v>
      </c>
      <c r="I382" s="101" t="s">
        <v>52</v>
      </c>
      <c r="J382" s="487" t="s">
        <v>53</v>
      </c>
      <c r="K382" s="101" t="s">
        <v>82</v>
      </c>
      <c r="L382" s="101" t="s">
        <v>334</v>
      </c>
      <c r="M382" s="114">
        <v>850</v>
      </c>
      <c r="N382" s="114"/>
      <c r="O382" s="101" t="s">
        <v>56</v>
      </c>
      <c r="P382" s="101">
        <v>60</v>
      </c>
      <c r="Q382" s="101">
        <v>48</v>
      </c>
      <c r="R382" s="101">
        <v>48</v>
      </c>
      <c r="S382" s="101">
        <v>60</v>
      </c>
      <c r="T382" s="101">
        <v>62</v>
      </c>
      <c r="U382" s="101">
        <v>50</v>
      </c>
      <c r="V382" s="608">
        <f t="shared" si="129"/>
        <v>68</v>
      </c>
      <c r="W382" s="608">
        <f t="shared" si="130"/>
        <v>56</v>
      </c>
      <c r="X382" s="137">
        <v>69</v>
      </c>
      <c r="Y382" s="101">
        <v>68</v>
      </c>
      <c r="Z382" s="101">
        <v>56</v>
      </c>
      <c r="AA382" s="649">
        <f t="shared" si="128"/>
        <v>26.444444444444443</v>
      </c>
      <c r="AB382" s="184">
        <f t="shared" si="131"/>
        <v>556.39111111111106</v>
      </c>
      <c r="AC382" s="104">
        <f t="shared" si="132"/>
        <v>17.453333333333333</v>
      </c>
      <c r="AD382" s="107">
        <f>AA382*IncaC</f>
        <v>44.511288888888885</v>
      </c>
      <c r="AE382" s="104">
        <f>IF(Table1[[#This Row],[Work Center]]="SwissQ",Materials!G$37,IF(Table1[[#This Row],[Work Center]]="Inca",Materials!G$29,IF(Table1[[#This Row],[Work Center]]="Canon",Materials!G$49,Materials!G$45)))</f>
        <v>8</v>
      </c>
      <c r="AF382" s="102">
        <f>'Cali Frames'!D216</f>
        <v>230.23</v>
      </c>
      <c r="AG382" s="121"/>
      <c r="AH382" s="405">
        <f t="shared" si="127"/>
        <v>42.5</v>
      </c>
      <c r="AI382" s="405">
        <f>IF(A382="Codarus",(M382*0.13))</f>
        <v>110.5</v>
      </c>
      <c r="AJ382" s="104">
        <f t="shared" si="133"/>
        <v>453.19462222222222</v>
      </c>
      <c r="AK382" s="1068">
        <f t="shared" si="118"/>
        <v>0.46682985620915035</v>
      </c>
      <c r="AL382" s="406">
        <f>Table1[[#This Row],[WSP/Dealer]]/Table1[[#This Row],[OD Sq Inch]]</f>
        <v>0.27419354838709675</v>
      </c>
      <c r="AM382" s="399">
        <f>Table1[[#This Row],[OD Wdth]]*Table1[[#This Row],[OD Hgt]]</f>
        <v>3100</v>
      </c>
      <c r="AN382" s="400">
        <f>Table1[[#This Row],[Min VO]]+Table1[[#This Row],[Max VO]]</f>
        <v>108</v>
      </c>
      <c r="AO382" s="115"/>
      <c r="AP382" s="121">
        <v>1700</v>
      </c>
      <c r="AQ382" s="121">
        <f>(Table1[[#This Row],[Desgnr/Retail P]]*0.05)</f>
        <v>85</v>
      </c>
      <c r="AR382" s="121">
        <f>IF(A382="Codarus",(AP382*0.13))</f>
        <v>221</v>
      </c>
      <c r="AS382" s="121">
        <f>SUM(Table1[[#This Row],[Substrate $]:[GP FINISH]])+Table1[[#This Row],[Retail Royalty]]+Table1[[#This Row],[Retail$Comm]]</f>
        <v>606.19462222222228</v>
      </c>
      <c r="AT382" s="830">
        <f>IF(AP382=0,"-",(AP382-AS382)/AP382)</f>
        <v>0.64341492810457512</v>
      </c>
      <c r="AU382" s="1359">
        <f t="shared" si="112"/>
        <v>0.99243041261053444</v>
      </c>
    </row>
    <row r="383" spans="1:47" s="399" customFormat="1" hidden="1" x14ac:dyDescent="0.2">
      <c r="A383" s="101" t="s">
        <v>101</v>
      </c>
      <c r="B383" s="1062" t="s">
        <v>111</v>
      </c>
      <c r="C383" s="115" t="s">
        <v>1120</v>
      </c>
      <c r="D383" s="168"/>
      <c r="E383" s="115" t="s">
        <v>1118</v>
      </c>
      <c r="F383" s="115" t="s">
        <v>349</v>
      </c>
      <c r="G383" s="101" t="s">
        <v>637</v>
      </c>
      <c r="H383" s="101" t="s">
        <v>637</v>
      </c>
      <c r="I383" s="101" t="s">
        <v>52</v>
      </c>
      <c r="J383" s="487" t="s">
        <v>53</v>
      </c>
      <c r="K383" s="101" t="s">
        <v>54</v>
      </c>
      <c r="L383" s="101" t="s">
        <v>55</v>
      </c>
      <c r="M383" s="141">
        <v>547</v>
      </c>
      <c r="N383" s="1009"/>
      <c r="O383" s="101" t="s">
        <v>56</v>
      </c>
      <c r="P383" s="101">
        <v>60</v>
      </c>
      <c r="Q383" s="101">
        <v>48</v>
      </c>
      <c r="R383" s="101">
        <v>48</v>
      </c>
      <c r="S383" s="101">
        <v>60</v>
      </c>
      <c r="T383" s="101">
        <v>60</v>
      </c>
      <c r="U383" s="101">
        <v>48</v>
      </c>
      <c r="V383" s="608">
        <f t="shared" si="129"/>
        <v>68</v>
      </c>
      <c r="W383" s="608">
        <f t="shared" si="130"/>
        <v>56</v>
      </c>
      <c r="X383" s="137">
        <v>69</v>
      </c>
      <c r="Y383" s="608">
        <f>Table1[[#This Row],[Print Wth]]</f>
        <v>68</v>
      </c>
      <c r="Z383" s="608">
        <f>Table1[[#This Row],[Print Ht]]</f>
        <v>56</v>
      </c>
      <c r="AA383" s="903">
        <f>Table1[[#This Row],[Cut Width]]*Table1[[#This Row],[Cut Height]]/144</f>
        <v>26.444444444444443</v>
      </c>
      <c r="AB383" s="898">
        <f>Table1[[#This Row],[Print Wth]]*Table1[[#This Row],[Print Ht]]/144*IncaG</f>
        <v>556.39111111111106</v>
      </c>
      <c r="AC383" s="867">
        <f>Table1[[#This Row],[Substrate SF]]*Canvas</f>
        <v>17.453333333333333</v>
      </c>
      <c r="AD383" s="865">
        <f>(Table1[[#This Row],[Print Wth]]*Table1[[#This Row],[Print Ht]])/144*IncaC</f>
        <v>44.511288888888885</v>
      </c>
      <c r="AE383" s="104">
        <f>IF(Table1[[#This Row],[Work Center]]="SwissQ",Materials!G$37,IF(Table1[[#This Row],[Work Center]]="Inca",Materials!G$29,IF(Table1[[#This Row],[Work Center]]="Canon",Materials!G$49,Materials!G$45)))</f>
        <v>8</v>
      </c>
      <c r="AF383" s="1012">
        <f>'Cali FPS'!C121</f>
        <v>188.18</v>
      </c>
      <c r="AG383" s="121"/>
      <c r="AH383" s="104">
        <f t="shared" si="127"/>
        <v>27.35</v>
      </c>
      <c r="AI383" s="405"/>
      <c r="AJ383" s="104">
        <f t="shared" si="133"/>
        <v>285.49462222222223</v>
      </c>
      <c r="AK383" s="830">
        <f t="shared" si="118"/>
        <v>0.47807198862482225</v>
      </c>
      <c r="AL383" s="660">
        <f>Table1[[#This Row],[WSP/Dealer]]/Table1[[#This Row],[OD Sq Inch]]</f>
        <v>0.18993055555555555</v>
      </c>
      <c r="AM383" s="399">
        <f>Table1[[#This Row],[OD Wdth]]*Table1[[#This Row],[OD Hgt]]</f>
        <v>2880</v>
      </c>
      <c r="AN383" s="400">
        <f>Table1[[#This Row],[Min VO]]+Table1[[#This Row],[Max VO]]</f>
        <v>108</v>
      </c>
      <c r="AO383" s="115"/>
      <c r="AP383" s="121"/>
      <c r="AQ383" s="121"/>
      <c r="AR383" s="406"/>
      <c r="AS383" s="1247"/>
      <c r="AT383" s="1227"/>
      <c r="AU383" s="1359" t="str">
        <f t="shared" si="112"/>
        <v>-</v>
      </c>
    </row>
    <row r="384" spans="1:47" s="220" customFormat="1" hidden="1" x14ac:dyDescent="0.2">
      <c r="A384" s="101" t="s">
        <v>996</v>
      </c>
      <c r="B384" s="1062" t="s">
        <v>484</v>
      </c>
      <c r="C384" s="115" t="s">
        <v>1120</v>
      </c>
      <c r="D384" s="168"/>
      <c r="E384" s="115" t="s">
        <v>1118</v>
      </c>
      <c r="F384" s="115" t="s">
        <v>349</v>
      </c>
      <c r="G384" s="101" t="s">
        <v>637</v>
      </c>
      <c r="H384" s="101" t="s">
        <v>637</v>
      </c>
      <c r="I384" s="101" t="s">
        <v>108</v>
      </c>
      <c r="J384" s="487" t="s">
        <v>53</v>
      </c>
      <c r="K384" s="101" t="s">
        <v>54</v>
      </c>
      <c r="L384" s="101" t="s">
        <v>55</v>
      </c>
      <c r="M384" s="1008">
        <v>900</v>
      </c>
      <c r="N384" s="1009"/>
      <c r="O384" s="101" t="s">
        <v>109</v>
      </c>
      <c r="P384" s="101">
        <v>60</v>
      </c>
      <c r="Q384" s="101">
        <v>48</v>
      </c>
      <c r="R384" s="101">
        <v>48</v>
      </c>
      <c r="S384" s="101">
        <v>60</v>
      </c>
      <c r="T384" s="101">
        <v>60</v>
      </c>
      <c r="U384" s="101">
        <v>48</v>
      </c>
      <c r="V384" s="608">
        <f t="shared" si="129"/>
        <v>68</v>
      </c>
      <c r="W384" s="608">
        <f t="shared" si="130"/>
        <v>56</v>
      </c>
      <c r="X384" s="1010">
        <v>69</v>
      </c>
      <c r="Y384" s="101">
        <v>68</v>
      </c>
      <c r="Z384" s="101">
        <v>56</v>
      </c>
      <c r="AA384" s="1011">
        <f>V384*W384/144</f>
        <v>26.444444444444443</v>
      </c>
      <c r="AB384" s="184">
        <f>AA384*EPSONML</f>
        <v>119</v>
      </c>
      <c r="AC384" s="104">
        <f>AA384*Canvas</f>
        <v>17.453333333333333</v>
      </c>
      <c r="AD384" s="107">
        <f>AA384*EPSONC</f>
        <v>5.8177777777777777</v>
      </c>
      <c r="AE384" s="104">
        <f>IF(Table1[[#This Row],[Work Center]]="SwissQ",Materials!G$37,IF(Table1[[#This Row],[Work Center]]="Inca",Materials!G$29,IF(Table1[[#This Row],[Work Center]]="Canon",Materials!G$49,Materials!G$45)))</f>
        <v>5</v>
      </c>
      <c r="AF384" s="1012">
        <f>'Cali FPS'!C122</f>
        <v>175.91</v>
      </c>
      <c r="AG384" s="121"/>
      <c r="AH384" s="104">
        <f t="shared" si="127"/>
        <v>45</v>
      </c>
      <c r="AI384" s="104"/>
      <c r="AJ384" s="406">
        <f>SUM(AC384:AH384)</f>
        <v>249.18111111111111</v>
      </c>
      <c r="AK384" s="830">
        <f t="shared" si="118"/>
        <v>0.72313209876543205</v>
      </c>
      <c r="AL384" s="660">
        <f>Table1[[#This Row],[WSP/Dealer]]/Table1[[#This Row],[OD Sq Inch]]</f>
        <v>0.3125</v>
      </c>
      <c r="AM384" s="399">
        <f>Table1[[#This Row],[OD Wdth]]*Table1[[#This Row],[OD Hgt]]</f>
        <v>2880</v>
      </c>
      <c r="AN384" s="400">
        <f>Table1[[#This Row],[Min VO]]+Table1[[#This Row],[Max VO]]</f>
        <v>108</v>
      </c>
      <c r="AO384" s="115"/>
      <c r="AP384" s="115"/>
      <c r="AQ384" s="121"/>
      <c r="AR384" s="121"/>
      <c r="AS384" s="121"/>
      <c r="AT384" s="104"/>
      <c r="AU384" s="1359" t="str">
        <f t="shared" si="112"/>
        <v>-</v>
      </c>
    </row>
    <row r="385" spans="1:47" s="103" customFormat="1" hidden="1" x14ac:dyDescent="0.2">
      <c r="A385" s="68" t="s">
        <v>101</v>
      </c>
      <c r="B385" s="1072" t="s">
        <v>102</v>
      </c>
      <c r="C385" s="84" t="s">
        <v>1124</v>
      </c>
      <c r="D385" s="94"/>
      <c r="E385" s="84" t="s">
        <v>1125</v>
      </c>
      <c r="F385" s="84" t="s">
        <v>105</v>
      </c>
      <c r="G385" s="68" t="s">
        <v>1126</v>
      </c>
      <c r="H385" s="68" t="s">
        <v>106</v>
      </c>
      <c r="I385" s="68" t="s">
        <v>256</v>
      </c>
      <c r="J385" s="140" t="s">
        <v>257</v>
      </c>
      <c r="K385" s="68" t="s">
        <v>258</v>
      </c>
      <c r="L385" s="68" t="s">
        <v>506</v>
      </c>
      <c r="M385" s="141">
        <v>150</v>
      </c>
      <c r="N385" s="93"/>
      <c r="O385" s="68" t="s">
        <v>260</v>
      </c>
      <c r="P385" s="68">
        <v>12</v>
      </c>
      <c r="Q385" s="68">
        <v>8</v>
      </c>
      <c r="R385" s="68">
        <v>8</v>
      </c>
      <c r="S385" s="68">
        <v>12</v>
      </c>
      <c r="T385" s="68">
        <v>14</v>
      </c>
      <c r="U385" s="68">
        <v>10</v>
      </c>
      <c r="V385" s="917">
        <f t="shared" si="129"/>
        <v>12</v>
      </c>
      <c r="W385" s="917">
        <f t="shared" si="130"/>
        <v>8</v>
      </c>
      <c r="X385" s="68" t="s">
        <v>257</v>
      </c>
      <c r="Y385" s="1347">
        <f>Table1[[#This Row],[Print Wth]]+Materials!$C$7</f>
        <v>14</v>
      </c>
      <c r="Z385" s="1347">
        <f>Table1[[#This Row],[Print Ht]]+Materials!$C$7</f>
        <v>10</v>
      </c>
      <c r="AA385" s="1027">
        <f>(Table1[[#This Row],[Cut Width]]*Table1[[#This Row],[Cut Height]])/144</f>
        <v>0.97222222222222221</v>
      </c>
      <c r="AB385" s="297">
        <f>(Table1[[#This Row],[Print Wth]]*Table1[[#This Row],[Print Ht]])/144*canonML</f>
        <v>3.1999999999999997</v>
      </c>
      <c r="AC385" s="74">
        <f>Table1[[#This Row],[Substrate SF]]*Paper</f>
        <v>1.3154166666666667</v>
      </c>
      <c r="AD385" s="74">
        <f>(Table1[[#This Row],[Print Wth]]*Table1[[#This Row],[Print Ht]])/144*CanonC</f>
        <v>0.18</v>
      </c>
      <c r="AE385" s="74">
        <f>IF(Table1[[#This Row],[Work Center]]="SwissQ",Materials!G$37,IF(Table1[[#This Row],[Work Center]]="Inca",Materials!G$29,IF(Table1[[#This Row],[Work Center]]="Canon",Materials!G$49,Materials!G$45)))</f>
        <v>7</v>
      </c>
      <c r="AF385" s="73">
        <f>'Cali Frames'!D72</f>
        <v>66.33</v>
      </c>
      <c r="AG385" s="126"/>
      <c r="AH385" s="67">
        <v>0</v>
      </c>
      <c r="AI385" s="263"/>
      <c r="AJ385" s="74">
        <f>SUM(AC385:AI385)</f>
        <v>74.825416666666669</v>
      </c>
      <c r="AK385" s="661">
        <f t="shared" si="118"/>
        <v>0.50116388888888885</v>
      </c>
      <c r="AL385" s="240">
        <f>Table1[[#This Row],[WSP/Dealer]]/Table1[[#This Row],[OD Sq Inch]]</f>
        <v>1.0714285714285714</v>
      </c>
      <c r="AM385" s="274">
        <f>Table1[[#This Row],[OD Wdth]]*Table1[[#This Row],[OD Hgt]]</f>
        <v>140</v>
      </c>
      <c r="AN385" s="274">
        <f>Table1[[#This Row],[Min VO]]+Table1[[#This Row],[Max VO]]</f>
        <v>20</v>
      </c>
      <c r="AO385" s="84"/>
      <c r="AP385" s="126"/>
      <c r="AQ385" s="126"/>
      <c r="AR385" s="74"/>
      <c r="AS385" s="1158"/>
      <c r="AT385" s="1187"/>
      <c r="AU385" s="1357" t="str">
        <f t="shared" si="112"/>
        <v>-</v>
      </c>
    </row>
    <row r="386" spans="1:47" s="103" customFormat="1" hidden="1" x14ac:dyDescent="0.2">
      <c r="A386" s="101" t="s">
        <v>110</v>
      </c>
      <c r="B386" s="1062" t="s">
        <v>484</v>
      </c>
      <c r="C386" s="168" t="s">
        <v>1127</v>
      </c>
      <c r="D386" s="168"/>
      <c r="E386" s="115" t="s">
        <v>1128</v>
      </c>
      <c r="F386" s="115" t="s">
        <v>1129</v>
      </c>
      <c r="G386" s="101" t="s">
        <v>100</v>
      </c>
      <c r="H386" s="101" t="s">
        <v>890</v>
      </c>
      <c r="I386" s="101" t="s">
        <v>52</v>
      </c>
      <c r="J386" s="487" t="s">
        <v>53</v>
      </c>
      <c r="K386" s="101" t="s">
        <v>69</v>
      </c>
      <c r="L386" s="101" t="s">
        <v>73</v>
      </c>
      <c r="M386" s="1009">
        <v>600</v>
      </c>
      <c r="N386" s="1009"/>
      <c r="O386" s="101" t="s">
        <v>56</v>
      </c>
      <c r="P386" s="101">
        <v>24</v>
      </c>
      <c r="Q386" s="101">
        <v>36</v>
      </c>
      <c r="R386" s="101">
        <v>24</v>
      </c>
      <c r="S386" s="101">
        <v>36</v>
      </c>
      <c r="T386" s="101">
        <v>24</v>
      </c>
      <c r="U386" s="101">
        <v>36</v>
      </c>
      <c r="V386" s="608">
        <f t="shared" si="129"/>
        <v>32</v>
      </c>
      <c r="W386" s="608">
        <f t="shared" si="130"/>
        <v>44</v>
      </c>
      <c r="X386" s="1010">
        <v>40</v>
      </c>
      <c r="Y386" s="101">
        <v>32</v>
      </c>
      <c r="Z386" s="101">
        <v>44</v>
      </c>
      <c r="AA386" s="1011">
        <f>V386*W386/144</f>
        <v>9.7777777777777786</v>
      </c>
      <c r="AB386" s="184">
        <f>AA386*IncaG</f>
        <v>205.72444444444446</v>
      </c>
      <c r="AC386" s="104">
        <f>AA386*Canvas</f>
        <v>6.453333333333334</v>
      </c>
      <c r="AD386" s="104">
        <f>AA386*IncaC</f>
        <v>16.457955555555557</v>
      </c>
      <c r="AE386" s="104">
        <f>IF(Table1[[#This Row],[Work Center]]="SwissQ",Materials!G$37,IF(Table1[[#This Row],[Work Center]]="Inca",Materials!G$29,IF(Table1[[#This Row],[Work Center]]="Canon",Materials!G$49,Materials!G$45)))</f>
        <v>8</v>
      </c>
      <c r="AF386" s="1012">
        <f>'Cali Frames'!D424</f>
        <v>105.77</v>
      </c>
      <c r="AG386" s="121"/>
      <c r="AH386" s="104">
        <f t="shared" ref="AH386:AH401" si="134">(M386*0.05)</f>
        <v>30</v>
      </c>
      <c r="AI386" s="406">
        <f>IF(A386="Codarus",(M386*0.13))</f>
        <v>78</v>
      </c>
      <c r="AJ386" s="406">
        <f>SUM(AC386:AH386)</f>
        <v>166.6812888888889</v>
      </c>
      <c r="AK386" s="830">
        <f t="shared" si="118"/>
        <v>0.72219785185185181</v>
      </c>
      <c r="AL386" s="660">
        <f>Table1[[#This Row],[WSP/Dealer]]/Table1[[#This Row],[OD Sq Inch]]</f>
        <v>0.69444444444444442</v>
      </c>
      <c r="AM386" s="400">
        <f>Table1[[#This Row],[OD Wdth]]*Table1[[#This Row],[OD Hgt]]</f>
        <v>864</v>
      </c>
      <c r="AN386" s="400">
        <f>Table1[[#This Row],[Min VO]]+Table1[[#This Row],[Max VO]]</f>
        <v>60</v>
      </c>
      <c r="AO386" s="115"/>
      <c r="AP386" s="115">
        <v>1200</v>
      </c>
      <c r="AQ386" s="121">
        <f>(Table1[[#This Row],[Desgnr/Retail P]]*0.05)</f>
        <v>60</v>
      </c>
      <c r="AR386" s="121">
        <f>IF(A386="Codarus",(AP386*0.13))</f>
        <v>156</v>
      </c>
      <c r="AS386" s="121">
        <f>SUM(Table1[[#This Row],[Substrate $]:[GP FINISH]])+Table1[[#This Row],[Retail Royalty]]+Table1[[#This Row],[Retail$Comm]]</f>
        <v>352.6812888888889</v>
      </c>
      <c r="AT386" s="830">
        <f>IF(AP386=0,"-",(AP386-AS386)/AP386)</f>
        <v>0.70609892592592582</v>
      </c>
      <c r="AU386" s="1359">
        <f t="shared" ref="AU386:AU449" si="135">IF(AQ386=0,"-",(AQ386-AT386)/AQ386)</f>
        <v>0.98823168456790123</v>
      </c>
    </row>
    <row r="387" spans="1:47" s="46" customFormat="1" hidden="1" x14ac:dyDescent="0.2">
      <c r="A387" s="101" t="s">
        <v>996</v>
      </c>
      <c r="B387" s="1062" t="s">
        <v>484</v>
      </c>
      <c r="C387" s="168" t="s">
        <v>1130</v>
      </c>
      <c r="D387" s="168"/>
      <c r="E387" s="115" t="s">
        <v>1128</v>
      </c>
      <c r="F387" s="115" t="s">
        <v>1129</v>
      </c>
      <c r="G387" s="101" t="s">
        <v>100</v>
      </c>
      <c r="H387" s="101" t="s">
        <v>890</v>
      </c>
      <c r="I387" s="101" t="s">
        <v>52</v>
      </c>
      <c r="J387" s="487" t="s">
        <v>53</v>
      </c>
      <c r="K387" s="101" t="s">
        <v>54</v>
      </c>
      <c r="L387" s="101" t="s">
        <v>55</v>
      </c>
      <c r="M387" s="1009">
        <v>500</v>
      </c>
      <c r="N387" s="1009"/>
      <c r="O387" s="101" t="s">
        <v>56</v>
      </c>
      <c r="P387" s="101">
        <v>24</v>
      </c>
      <c r="Q387" s="101">
        <v>36</v>
      </c>
      <c r="R387" s="101">
        <v>24</v>
      </c>
      <c r="S387" s="103">
        <v>36</v>
      </c>
      <c r="T387" s="103">
        <v>24</v>
      </c>
      <c r="U387" s="103">
        <v>36</v>
      </c>
      <c r="V387" s="608">
        <f t="shared" si="129"/>
        <v>32</v>
      </c>
      <c r="W387" s="608">
        <f t="shared" si="130"/>
        <v>44</v>
      </c>
      <c r="X387" s="1010">
        <v>40</v>
      </c>
      <c r="Y387" s="101">
        <v>32</v>
      </c>
      <c r="Z387" s="101">
        <v>44</v>
      </c>
      <c r="AA387" s="1011">
        <f>V387*W387/144</f>
        <v>9.7777777777777786</v>
      </c>
      <c r="AB387" s="184">
        <f>AA387*IncaG</f>
        <v>205.72444444444446</v>
      </c>
      <c r="AC387" s="104">
        <f>AA387*Canvas</f>
        <v>6.453333333333334</v>
      </c>
      <c r="AD387" s="107">
        <f>AA387*IncaC</f>
        <v>16.457955555555557</v>
      </c>
      <c r="AE387" s="104">
        <f>IF(Table1[[#This Row],[Work Center]]="SwissQ",Materials!G$37,IF(Table1[[#This Row],[Work Center]]="Inca",Materials!G$29,IF(Table1[[#This Row],[Work Center]]="Canon",Materials!G$49,Materials!G$45)))</f>
        <v>8</v>
      </c>
      <c r="AF387" s="1012">
        <f>'Cali FPS'!C37</f>
        <v>75.162500000000009</v>
      </c>
      <c r="AG387" s="121"/>
      <c r="AH387" s="104">
        <f t="shared" si="134"/>
        <v>25</v>
      </c>
      <c r="AI387" s="104"/>
      <c r="AJ387" s="406">
        <f>SUM(AC387:AH387)</f>
        <v>131.07378888888888</v>
      </c>
      <c r="AK387" s="830">
        <f t="shared" si="118"/>
        <v>0.73785242222222225</v>
      </c>
      <c r="AL387" s="660">
        <f>Table1[[#This Row],[WSP/Dealer]]/Table1[[#This Row],[OD Sq Inch]]</f>
        <v>0.57870370370370372</v>
      </c>
      <c r="AM387" s="399">
        <f>Table1[[#This Row],[OD Wdth]]*Table1[[#This Row],[OD Hgt]]</f>
        <v>864</v>
      </c>
      <c r="AN387" s="400">
        <f>Table1[[#This Row],[Min VO]]+Table1[[#This Row],[Max VO]]</f>
        <v>60</v>
      </c>
      <c r="AO387" s="113"/>
      <c r="AP387" s="115"/>
      <c r="AQ387" s="121"/>
      <c r="AR387" s="121"/>
      <c r="AS387" s="121"/>
      <c r="AT387" s="104"/>
      <c r="AU387" s="1367" t="str">
        <f t="shared" si="135"/>
        <v>-</v>
      </c>
    </row>
    <row r="388" spans="1:47" s="46" customFormat="1" x14ac:dyDescent="0.2">
      <c r="A388" s="60" t="s">
        <v>58</v>
      </c>
      <c r="B388" s="1061" t="s">
        <v>734</v>
      </c>
      <c r="C388" s="79" t="s">
        <v>1131</v>
      </c>
      <c r="D388" s="94"/>
      <c r="E388" s="83" t="s">
        <v>1132</v>
      </c>
      <c r="F388" s="83" t="s">
        <v>1129</v>
      </c>
      <c r="G388" s="60" t="s">
        <v>1133</v>
      </c>
      <c r="H388" s="60" t="s">
        <v>1133</v>
      </c>
      <c r="I388" s="60" t="s">
        <v>52</v>
      </c>
      <c r="J388" s="59" t="s">
        <v>53</v>
      </c>
      <c r="K388" s="60" t="s">
        <v>54</v>
      </c>
      <c r="L388" s="60" t="s">
        <v>55</v>
      </c>
      <c r="M388" s="124">
        <v>350</v>
      </c>
      <c r="N388" s="639">
        <v>720</v>
      </c>
      <c r="O388" s="60" t="s">
        <v>56</v>
      </c>
      <c r="P388" s="60">
        <v>36</v>
      </c>
      <c r="Q388" s="60">
        <v>47</v>
      </c>
      <c r="R388" s="60">
        <v>36</v>
      </c>
      <c r="S388" s="60">
        <v>47</v>
      </c>
      <c r="T388" s="60">
        <v>36</v>
      </c>
      <c r="U388" s="60">
        <v>47</v>
      </c>
      <c r="V388" s="222">
        <f>IF(J388="Canvas",P388+BorderGW,P388)</f>
        <v>44</v>
      </c>
      <c r="W388" s="222">
        <f>IF(J388="Canvas",Q388+BorderGW,Q388)</f>
        <v>55</v>
      </c>
      <c r="X388" s="138">
        <v>59</v>
      </c>
      <c r="Y388" s="60">
        <v>44</v>
      </c>
      <c r="Z388" s="60">
        <v>55</v>
      </c>
      <c r="AA388" s="718">
        <f>V388*W388/144</f>
        <v>16.805555555555557</v>
      </c>
      <c r="AB388" s="233">
        <f>AA388*IncaG</f>
        <v>353.5888888888889</v>
      </c>
      <c r="AC388" s="225">
        <f>AA388*Canvas</f>
        <v>11.091666666666669</v>
      </c>
      <c r="AD388" s="206">
        <f>Table1[[#This Row],[Ink g/mL]]*Materials!$C$29</f>
        <v>28.287111111111113</v>
      </c>
      <c r="AE388" s="69">
        <f>IF(Table1[[#This Row],[Work Center]]="SwissQ",Materials!G$37,IF(Table1[[#This Row],[Work Center]]="Inca",Materials!G$29,IF(Table1[[#This Row],[Work Center]]="Canon",Materials!G$49,Materials!G$45)))</f>
        <v>8</v>
      </c>
      <c r="AF388" s="72">
        <f>'Cali FPS'!C70</f>
        <v>107.2925</v>
      </c>
      <c r="AG388" s="540"/>
      <c r="AH388" s="112">
        <f t="shared" si="134"/>
        <v>17.5</v>
      </c>
      <c r="AI388" s="112"/>
      <c r="AJ388" s="225">
        <f>SUM(AC388:AH388)</f>
        <v>172.17127777777779</v>
      </c>
      <c r="AK388" s="62">
        <f t="shared" si="118"/>
        <v>0.50808206349206342</v>
      </c>
      <c r="AL388" s="225">
        <f>Table1[[#This Row],[WSP/Dealer]]/Table1[[#This Row],[OD Sq Inch]]</f>
        <v>0.20685579196217493</v>
      </c>
      <c r="AM388" s="46">
        <f>Table1[[#This Row],[OD Wdth]]*Table1[[#This Row],[OD Hgt]]</f>
        <v>1692</v>
      </c>
      <c r="AN388" s="83"/>
      <c r="AO388" s="83"/>
      <c r="AP388" s="83"/>
      <c r="AQ388" s="540"/>
      <c r="AR388" s="540"/>
      <c r="AS388" s="540"/>
      <c r="AT388" s="69"/>
      <c r="AU388" s="1361" t="str">
        <f t="shared" si="135"/>
        <v>-</v>
      </c>
    </row>
    <row r="389" spans="1:47" s="63" customFormat="1" x14ac:dyDescent="0.2">
      <c r="A389" s="60" t="s">
        <v>58</v>
      </c>
      <c r="B389" s="279" t="s">
        <v>734</v>
      </c>
      <c r="C389" s="79" t="s">
        <v>1134</v>
      </c>
      <c r="D389" s="94"/>
      <c r="E389" s="83" t="s">
        <v>1135</v>
      </c>
      <c r="F389" s="83" t="s">
        <v>1129</v>
      </c>
      <c r="G389" s="60" t="s">
        <v>1136</v>
      </c>
      <c r="H389" s="60" t="s">
        <v>1136</v>
      </c>
      <c r="I389" s="60" t="s">
        <v>52</v>
      </c>
      <c r="J389" s="59" t="s">
        <v>53</v>
      </c>
      <c r="K389" s="60" t="s">
        <v>54</v>
      </c>
      <c r="L389" s="60" t="s">
        <v>55</v>
      </c>
      <c r="M389" s="124">
        <v>425</v>
      </c>
      <c r="N389" s="639">
        <v>825</v>
      </c>
      <c r="O389" s="60" t="s">
        <v>56</v>
      </c>
      <c r="P389" s="60">
        <v>47</v>
      </c>
      <c r="Q389" s="60">
        <v>47</v>
      </c>
      <c r="R389" s="60">
        <v>47</v>
      </c>
      <c r="S389" s="60">
        <v>47</v>
      </c>
      <c r="T389" s="60">
        <v>47</v>
      </c>
      <c r="U389" s="60">
        <v>47</v>
      </c>
      <c r="V389" s="907">
        <f>IF(J389="Canvas",P389+BorderGW,P389)</f>
        <v>55</v>
      </c>
      <c r="W389" s="907">
        <f>IF(J389="Canvas",Q389+BorderGW,Q389)</f>
        <v>55</v>
      </c>
      <c r="X389" s="138">
        <v>59</v>
      </c>
      <c r="Y389" s="60">
        <v>55</v>
      </c>
      <c r="Z389" s="60">
        <v>55</v>
      </c>
      <c r="AA389" s="718">
        <f>V389*W389/144</f>
        <v>21.006944444444443</v>
      </c>
      <c r="AB389" s="233">
        <f>AA389*IncaG</f>
        <v>441.98611111111109</v>
      </c>
      <c r="AC389" s="225">
        <f>AA389*Canvas</f>
        <v>13.864583333333332</v>
      </c>
      <c r="AD389" s="986">
        <f>Table1[[#This Row],[Ink g/mL]]*Materials!$C$29</f>
        <v>35.358888888888885</v>
      </c>
      <c r="AE389" s="69">
        <f>IF(Table1[[#This Row],[Work Center]]="SwissQ",Materials!G$37,IF(Table1[[#This Row],[Work Center]]="Inca",Materials!G$29,IF(Table1[[#This Row],[Work Center]]="Canon",Materials!G$49,Materials!G$45)))</f>
        <v>8</v>
      </c>
      <c r="AF389" s="72">
        <f>'Cali FPS'!C110</f>
        <v>109.00749999999999</v>
      </c>
      <c r="AG389" s="540"/>
      <c r="AH389" s="498">
        <f t="shared" si="134"/>
        <v>21.25</v>
      </c>
      <c r="AI389" s="498"/>
      <c r="AJ389" s="225">
        <f>SUM(AC389:AH389)</f>
        <v>187.48097222222219</v>
      </c>
      <c r="AK389" s="650">
        <f t="shared" si="118"/>
        <v>0.55886830065359483</v>
      </c>
      <c r="AL389" s="225">
        <f>Table1[[#This Row],[WSP/Dealer]]/Table1[[#This Row],[OD Sq Inch]]</f>
        <v>0.1923947487550928</v>
      </c>
      <c r="AM389" s="60">
        <f>Table1[[#This Row],[OD Wdth]]*Table1[[#This Row],[OD Hgt]]</f>
        <v>2209</v>
      </c>
      <c r="AN389" s="83"/>
      <c r="AO389" s="83"/>
      <c r="AP389" s="83"/>
      <c r="AQ389" s="540"/>
      <c r="AR389" s="540"/>
      <c r="AS389" s="540"/>
      <c r="AT389" s="69"/>
      <c r="AU389" s="1361" t="str">
        <f t="shared" si="135"/>
        <v>-</v>
      </c>
    </row>
    <row r="390" spans="1:47" s="103" customFormat="1" x14ac:dyDescent="0.2">
      <c r="A390" s="101" t="s">
        <v>58</v>
      </c>
      <c r="B390" s="1061"/>
      <c r="C390" s="94" t="s">
        <v>1137</v>
      </c>
      <c r="D390" s="94"/>
      <c r="E390" s="83" t="s">
        <v>1138</v>
      </c>
      <c r="F390" s="84" t="s">
        <v>1129</v>
      </c>
      <c r="G390" s="68" t="s">
        <v>449</v>
      </c>
      <c r="H390" s="68" t="s">
        <v>449</v>
      </c>
      <c r="I390" s="68" t="s">
        <v>52</v>
      </c>
      <c r="J390" s="140" t="s">
        <v>53</v>
      </c>
      <c r="K390" s="68" t="s">
        <v>54</v>
      </c>
      <c r="L390" s="68" t="s">
        <v>55</v>
      </c>
      <c r="M390" s="93"/>
      <c r="N390" s="639"/>
      <c r="O390" s="68"/>
      <c r="P390" s="68">
        <v>36</v>
      </c>
      <c r="Q390" s="68">
        <v>36</v>
      </c>
      <c r="R390" s="68">
        <v>36</v>
      </c>
      <c r="S390" s="68">
        <v>36</v>
      </c>
      <c r="T390" s="68">
        <v>36</v>
      </c>
      <c r="U390" s="68">
        <v>36</v>
      </c>
      <c r="V390" s="917"/>
      <c r="W390" s="917"/>
      <c r="X390" s="189"/>
      <c r="Y390" s="68"/>
      <c r="Z390" s="68"/>
      <c r="AA390" s="699"/>
      <c r="AB390" s="297"/>
      <c r="AC390" s="74"/>
      <c r="AD390" s="126"/>
      <c r="AE390" s="126"/>
      <c r="AF390" s="73"/>
      <c r="AG390" s="126"/>
      <c r="AH390" s="498">
        <f t="shared" si="134"/>
        <v>0</v>
      </c>
      <c r="AI390" s="498"/>
      <c r="AJ390" s="126"/>
      <c r="AK390" s="650" t="e">
        <f t="shared" si="118"/>
        <v>#DIV/0!</v>
      </c>
      <c r="AL390" s="225">
        <f>Table1[[#This Row],[WSP/Dealer]]/Table1[[#This Row],[OD Sq Inch]]</f>
        <v>0</v>
      </c>
      <c r="AM390" s="60">
        <f>Table1[[#This Row],[OD Wdth]]*Table1[[#This Row],[OD Hgt]]</f>
        <v>1296</v>
      </c>
      <c r="AN390" s="84"/>
      <c r="AO390" s="84"/>
      <c r="AP390" s="84"/>
      <c r="AQ390" s="126"/>
      <c r="AR390" s="126"/>
      <c r="AS390" s="126"/>
      <c r="AT390" s="74"/>
      <c r="AU390" s="1357" t="str">
        <f t="shared" si="135"/>
        <v>-</v>
      </c>
    </row>
    <row r="391" spans="1:47" s="63" customFormat="1" x14ac:dyDescent="0.2">
      <c r="A391" s="60" t="s">
        <v>58</v>
      </c>
      <c r="B391" s="1061" t="s">
        <v>734</v>
      </c>
      <c r="C391" s="79" t="s">
        <v>1139</v>
      </c>
      <c r="D391" s="94"/>
      <c r="E391" s="83" t="s">
        <v>1140</v>
      </c>
      <c r="F391" s="83" t="s">
        <v>1129</v>
      </c>
      <c r="G391" s="60" t="s">
        <v>849</v>
      </c>
      <c r="H391" s="60" t="s">
        <v>849</v>
      </c>
      <c r="I391" s="60" t="s">
        <v>52</v>
      </c>
      <c r="J391" s="59" t="s">
        <v>53</v>
      </c>
      <c r="K391" s="60" t="s">
        <v>54</v>
      </c>
      <c r="L391" s="60" t="s">
        <v>55</v>
      </c>
      <c r="M391" s="124">
        <v>350</v>
      </c>
      <c r="N391" s="639">
        <v>760</v>
      </c>
      <c r="O391" s="60" t="s">
        <v>56</v>
      </c>
      <c r="P391" s="60">
        <v>39</v>
      </c>
      <c r="Q391" s="60">
        <v>47</v>
      </c>
      <c r="R391" s="60">
        <v>39</v>
      </c>
      <c r="S391" s="60">
        <v>47</v>
      </c>
      <c r="T391" s="60">
        <v>39</v>
      </c>
      <c r="U391" s="60">
        <v>47</v>
      </c>
      <c r="V391" s="907">
        <f>IF(J391="Canvas",P391+BorderGW,P391)</f>
        <v>47</v>
      </c>
      <c r="W391" s="907">
        <f>IF(J391="Canvas",Q391+BorderGW,Q391)</f>
        <v>55</v>
      </c>
      <c r="X391" s="138">
        <v>59</v>
      </c>
      <c r="Y391" s="60">
        <v>47</v>
      </c>
      <c r="Z391" s="60">
        <v>55</v>
      </c>
      <c r="AA391" s="718">
        <f t="shared" ref="AA391:AA402" si="136">V391*W391/144</f>
        <v>17.951388888888889</v>
      </c>
      <c r="AB391" s="233">
        <f>AA391*IncaG</f>
        <v>377.69722222222219</v>
      </c>
      <c r="AC391" s="225">
        <f t="shared" ref="AC391:AC401" si="137">AA391*Canvas</f>
        <v>11.847916666666668</v>
      </c>
      <c r="AD391" s="986">
        <f>Table1[[#This Row],[Ink g/mL]]*Materials!$C$29</f>
        <v>30.215777777777777</v>
      </c>
      <c r="AE391" s="69">
        <f>IF(Table1[[#This Row],[Work Center]]="SwissQ",Materials!G$37,IF(Table1[[#This Row],[Work Center]]="Inca",Materials!G$29,IF(Table1[[#This Row],[Work Center]]="Canon",Materials!G$49,Materials!G$45)))</f>
        <v>8</v>
      </c>
      <c r="AF391" s="72">
        <f>'Cali FPS'!C81</f>
        <v>107.41500000000001</v>
      </c>
      <c r="AG391" s="540"/>
      <c r="AH391" s="112">
        <f t="shared" si="134"/>
        <v>17.5</v>
      </c>
      <c r="AI391" s="112"/>
      <c r="AJ391" s="225">
        <f t="shared" ref="AJ391:AJ430" si="138">SUM(AC391:AH391)</f>
        <v>174.97869444444444</v>
      </c>
      <c r="AK391" s="62">
        <f t="shared" si="118"/>
        <v>0.50006087301587299</v>
      </c>
      <c r="AL391" s="225">
        <f>Table1[[#This Row],[WSP/Dealer]]/Table1[[#This Row],[OD Sq Inch]]</f>
        <v>0.19094380796508456</v>
      </c>
      <c r="AM391" s="60">
        <f>Table1[[#This Row],[OD Wdth]]*Table1[[#This Row],[OD Hgt]]</f>
        <v>1833</v>
      </c>
      <c r="AN391" s="83"/>
      <c r="AO391" s="83"/>
      <c r="AP391" s="83"/>
      <c r="AQ391" s="540"/>
      <c r="AR391" s="540"/>
      <c r="AS391" s="540"/>
      <c r="AT391" s="69"/>
      <c r="AU391" s="1361" t="str">
        <f t="shared" si="135"/>
        <v>-</v>
      </c>
    </row>
    <row r="392" spans="1:47" s="45" customFormat="1" x14ac:dyDescent="0.2">
      <c r="A392" s="86" t="s">
        <v>58</v>
      </c>
      <c r="B392" s="1061" t="s">
        <v>406</v>
      </c>
      <c r="C392" s="100" t="s">
        <v>1141</v>
      </c>
      <c r="D392" s="94" t="s">
        <v>1142</v>
      </c>
      <c r="E392" s="85" t="s">
        <v>1143</v>
      </c>
      <c r="F392" s="85" t="s">
        <v>561</v>
      </c>
      <c r="G392" s="86" t="s">
        <v>132</v>
      </c>
      <c r="H392" s="86" t="s">
        <v>132</v>
      </c>
      <c r="I392" s="86" t="s">
        <v>52</v>
      </c>
      <c r="J392" s="86" t="s">
        <v>53</v>
      </c>
      <c r="K392" s="86" t="s">
        <v>54</v>
      </c>
      <c r="L392" s="86" t="s">
        <v>55</v>
      </c>
      <c r="M392" s="87">
        <v>604.5</v>
      </c>
      <c r="N392" s="639">
        <v>720</v>
      </c>
      <c r="O392" s="551" t="s">
        <v>56</v>
      </c>
      <c r="P392" s="101">
        <v>36</v>
      </c>
      <c r="Q392" s="101">
        <v>48</v>
      </c>
      <c r="R392" s="60">
        <v>36</v>
      </c>
      <c r="S392" s="273">
        <v>48</v>
      </c>
      <c r="T392" s="273">
        <f>Table1[[#This Row],[VO Wdth]]</f>
        <v>36</v>
      </c>
      <c r="U392" s="273">
        <f>Table1[[#This Row],[VO Hgt]]</f>
        <v>48</v>
      </c>
      <c r="V392" s="608">
        <f>IF(J392="Canvas",P392+BorderGW,P392)</f>
        <v>44</v>
      </c>
      <c r="W392" s="608">
        <f>IF(J392="Canvas",Q392+BorderGW,Q392)</f>
        <v>56</v>
      </c>
      <c r="X392" s="311">
        <v>122</v>
      </c>
      <c r="Y392" s="551"/>
      <c r="Z392" s="551"/>
      <c r="AA392" s="649">
        <f t="shared" si="136"/>
        <v>17.111111111111111</v>
      </c>
      <c r="AB392" s="184">
        <f>AA392*IncaG</f>
        <v>360.01777777777778</v>
      </c>
      <c r="AC392" s="104">
        <f t="shared" si="137"/>
        <v>11.293333333333333</v>
      </c>
      <c r="AD392" s="104">
        <f>AA392*IncaC</f>
        <v>28.801422222222222</v>
      </c>
      <c r="AE392" s="104">
        <f>IF(Table1[[#This Row],[Work Center]]="SwissQ",Materials!G$37,IF(Table1[[#This Row],[Work Center]]="Inca",Materials!G$29,IF(Table1[[#This Row],[Work Center]]="Canon",Materials!G$49,Materials!G$45)))</f>
        <v>8</v>
      </c>
      <c r="AF392" s="104">
        <f>'Cali FPS'!C$71</f>
        <v>114.31</v>
      </c>
      <c r="AG392" s="115"/>
      <c r="AH392" s="498">
        <f t="shared" si="134"/>
        <v>30.225000000000001</v>
      </c>
      <c r="AI392" s="498"/>
      <c r="AJ392" s="104">
        <f t="shared" si="138"/>
        <v>192.62975555555553</v>
      </c>
      <c r="AK392" s="650">
        <f t="shared" si="118"/>
        <v>0.68134035474680632</v>
      </c>
      <c r="AL392" s="225">
        <f>Table1[[#This Row],[WSP/Dealer]]/Table1[[#This Row],[OD Sq Inch]]</f>
        <v>0.3498263888888889</v>
      </c>
      <c r="AM392" s="216">
        <f>Table1[[#This Row],[OD Wdth]]*Table1[[#This Row],[OD Hgt]]</f>
        <v>1728</v>
      </c>
      <c r="AN392" s="216">
        <f>Table1[[#This Row],[Min VO]]+Table1[[#This Row],[Max VO]]</f>
        <v>84</v>
      </c>
      <c r="AO392" s="101"/>
      <c r="AP392" s="101"/>
      <c r="AQ392" s="104"/>
      <c r="AR392" s="104"/>
      <c r="AS392" s="104"/>
      <c r="AT392" s="104"/>
      <c r="AU392" s="830" t="str">
        <f t="shared" si="135"/>
        <v>-</v>
      </c>
    </row>
    <row r="393" spans="1:47" s="63" customFormat="1" x14ac:dyDescent="0.2">
      <c r="A393" s="86" t="s">
        <v>58</v>
      </c>
      <c r="B393" s="1061" t="s">
        <v>366</v>
      </c>
      <c r="C393" s="100" t="s">
        <v>1144</v>
      </c>
      <c r="D393" s="94" t="s">
        <v>1145</v>
      </c>
      <c r="E393" s="85" t="s">
        <v>1143</v>
      </c>
      <c r="F393" s="85" t="s">
        <v>561</v>
      </c>
      <c r="G393" s="86" t="s">
        <v>132</v>
      </c>
      <c r="H393" s="86" t="s">
        <v>264</v>
      </c>
      <c r="I393" s="86" t="s">
        <v>52</v>
      </c>
      <c r="J393" s="86" t="s">
        <v>53</v>
      </c>
      <c r="K393" s="86" t="s">
        <v>82</v>
      </c>
      <c r="L393" s="86" t="s">
        <v>83</v>
      </c>
      <c r="M393" s="87">
        <v>654.5</v>
      </c>
      <c r="N393" s="639">
        <v>780</v>
      </c>
      <c r="O393" s="551" t="s">
        <v>56</v>
      </c>
      <c r="P393" s="101">
        <v>36</v>
      </c>
      <c r="Q393" s="101">
        <v>48</v>
      </c>
      <c r="R393" s="60">
        <v>36</v>
      </c>
      <c r="S393" s="273">
        <v>48</v>
      </c>
      <c r="T393" s="101">
        <v>38</v>
      </c>
      <c r="U393" s="101" t="str">
        <f>RIGHT(H393,2)</f>
        <v>50</v>
      </c>
      <c r="V393" s="106">
        <f t="shared" ref="V393:V430" si="139">IF(J393="Canvas",P393+Border,P393)</f>
        <v>44</v>
      </c>
      <c r="W393" s="106">
        <f t="shared" ref="W393:W430" si="140">IF(J393="Canvas",Q393+Border,Q393)</f>
        <v>56</v>
      </c>
      <c r="X393" s="311">
        <v>122</v>
      </c>
      <c r="Y393" s="551"/>
      <c r="Z393" s="551"/>
      <c r="AA393" s="649">
        <f t="shared" si="136"/>
        <v>17.111111111111111</v>
      </c>
      <c r="AB393" s="184">
        <f>AA393*IncaG</f>
        <v>360.01777777777778</v>
      </c>
      <c r="AC393" s="104">
        <f t="shared" si="137"/>
        <v>11.293333333333333</v>
      </c>
      <c r="AD393" s="107">
        <f>AA393*IncaC</f>
        <v>28.801422222222222</v>
      </c>
      <c r="AE393" s="104">
        <f>IF(Table1[[#This Row],[Work Center]]="SwissQ",Materials!G$37,IF(Table1[[#This Row],[Work Center]]="Inca",Materials!G$29,IF(Table1[[#This Row],[Work Center]]="Canon",Materials!G$49,Materials!G$45)))</f>
        <v>8</v>
      </c>
      <c r="AF393" s="104">
        <f>'Cali Frames'!D$133</f>
        <v>148.8725</v>
      </c>
      <c r="AG393" s="115"/>
      <c r="AH393" s="112">
        <f t="shared" si="134"/>
        <v>32.725000000000001</v>
      </c>
      <c r="AI393" s="112"/>
      <c r="AJ393" s="104">
        <f t="shared" si="138"/>
        <v>229.69225555555553</v>
      </c>
      <c r="AK393" s="62">
        <f t="shared" si="118"/>
        <v>0.64905690518631698</v>
      </c>
      <c r="AL393" s="225">
        <f>Table1[[#This Row],[WSP/Dealer]]/Table1[[#This Row],[OD Sq Inch]]</f>
        <v>0.34447368421052632</v>
      </c>
      <c r="AM393" s="103">
        <f>Table1[[#This Row],[OD Wdth]]*Table1[[#This Row],[OD Hgt]]</f>
        <v>1900</v>
      </c>
      <c r="AN393" s="216">
        <f>Table1[[#This Row],[Min VO]]+Table1[[#This Row],[Max VO]]</f>
        <v>84</v>
      </c>
      <c r="AO393" s="101"/>
      <c r="AP393" s="101"/>
      <c r="AQ393" s="104"/>
      <c r="AR393" s="104"/>
      <c r="AS393" s="104"/>
      <c r="AT393" s="104"/>
      <c r="AU393" s="830" t="str">
        <f t="shared" si="135"/>
        <v>-</v>
      </c>
    </row>
    <row r="394" spans="1:47" s="103" customFormat="1" hidden="1" x14ac:dyDescent="0.2">
      <c r="A394" s="68" t="s">
        <v>187</v>
      </c>
      <c r="B394" s="1061" t="s">
        <v>292</v>
      </c>
      <c r="C394" s="653" t="s">
        <v>1146</v>
      </c>
      <c r="D394" s="94"/>
      <c r="E394" s="84" t="s">
        <v>1147</v>
      </c>
      <c r="F394" s="84" t="s">
        <v>349</v>
      </c>
      <c r="G394" s="68" t="s">
        <v>1148</v>
      </c>
      <c r="H394" s="68" t="s">
        <v>1149</v>
      </c>
      <c r="I394" s="68" t="s">
        <v>52</v>
      </c>
      <c r="J394" s="68" t="s">
        <v>53</v>
      </c>
      <c r="K394" s="68" t="s">
        <v>54</v>
      </c>
      <c r="L394" s="68" t="s">
        <v>70</v>
      </c>
      <c r="M394" s="93">
        <v>400</v>
      </c>
      <c r="N394" s="71"/>
      <c r="O394" s="68" t="s">
        <v>56</v>
      </c>
      <c r="P394" s="68">
        <v>9</v>
      </c>
      <c r="Q394" s="68">
        <v>10</v>
      </c>
      <c r="R394" s="68">
        <v>9</v>
      </c>
      <c r="S394" s="68">
        <v>10</v>
      </c>
      <c r="T394" s="68">
        <v>10</v>
      </c>
      <c r="U394" s="68">
        <v>11</v>
      </c>
      <c r="V394" s="66">
        <f t="shared" si="139"/>
        <v>17</v>
      </c>
      <c r="W394" s="66">
        <f t="shared" si="140"/>
        <v>18</v>
      </c>
      <c r="X394" s="189"/>
      <c r="Y394" s="68"/>
      <c r="Z394" s="68"/>
      <c r="AA394" s="699">
        <f t="shared" si="136"/>
        <v>2.125</v>
      </c>
      <c r="AB394" s="297">
        <f>AA394*IncaG</f>
        <v>44.71</v>
      </c>
      <c r="AC394" s="74">
        <f t="shared" si="137"/>
        <v>1.4025000000000001</v>
      </c>
      <c r="AD394" s="319">
        <f>Table1[[#This Row],[Substrate SF]]*IncaC</f>
        <v>3.5768</v>
      </c>
      <c r="AE394" s="278">
        <f>IF(Table1[[#This Row],[Work Center]]="SwissQ",Materials!G$37,IF(Table1[[#This Row],[Work Center]]="Inca",Materials!G$29,IF(Table1[[#This Row],[Work Center]]="Canon",Materials!G$49,Materials!G$45)))</f>
        <v>8</v>
      </c>
      <c r="AF394" s="321">
        <f>'Cali Frames'!D$256</f>
        <v>76.37</v>
      </c>
      <c r="AG394" s="126"/>
      <c r="AH394" s="263">
        <f t="shared" si="134"/>
        <v>20</v>
      </c>
      <c r="AI394" s="263"/>
      <c r="AJ394" s="278">
        <f t="shared" si="138"/>
        <v>109.3493</v>
      </c>
      <c r="AK394" s="62">
        <f t="shared" si="118"/>
        <v>0.7266267500000001</v>
      </c>
      <c r="AL394" s="225">
        <f>Table1[[#This Row],[WSP/Dealer]]/Table1[[#This Row],[OD Sq Inch]]</f>
        <v>3.6363636363636362</v>
      </c>
      <c r="AM394" s="170">
        <f>Table1[[#This Row],[OD Wdth]]*Table1[[#This Row],[OD Hgt]]</f>
        <v>110</v>
      </c>
      <c r="AN394" s="216">
        <f>Table1[[#This Row],[Min VO]]+Table1[[#This Row],[Max VO]]</f>
        <v>19</v>
      </c>
      <c r="AO394" s="84"/>
      <c r="AP394" s="84"/>
      <c r="AQ394" s="126"/>
      <c r="AR394" s="126"/>
      <c r="AS394" s="126"/>
      <c r="AT394" s="74"/>
      <c r="AU394" s="1357" t="str">
        <f t="shared" si="135"/>
        <v>-</v>
      </c>
    </row>
    <row r="395" spans="1:47" s="103" customFormat="1" ht="16" x14ac:dyDescent="0.2">
      <c r="A395" s="60" t="s">
        <v>58</v>
      </c>
      <c r="B395" s="1061" t="s">
        <v>587</v>
      </c>
      <c r="C395" s="293" t="s">
        <v>1150</v>
      </c>
      <c r="D395" s="94"/>
      <c r="E395" s="294" t="s">
        <v>1151</v>
      </c>
      <c r="F395" s="294" t="s">
        <v>124</v>
      </c>
      <c r="G395" s="295" t="s">
        <v>1152</v>
      </c>
      <c r="H395" s="295" t="s">
        <v>1152</v>
      </c>
      <c r="I395" s="181" t="s">
        <v>52</v>
      </c>
      <c r="J395" s="181" t="s">
        <v>53</v>
      </c>
      <c r="K395" s="295" t="s">
        <v>54</v>
      </c>
      <c r="L395" s="181" t="s">
        <v>55</v>
      </c>
      <c r="M395" s="292">
        <v>475</v>
      </c>
      <c r="N395" s="639">
        <v>475</v>
      </c>
      <c r="O395" s="180" t="s">
        <v>56</v>
      </c>
      <c r="P395" s="180">
        <v>38</v>
      </c>
      <c r="Q395" s="180">
        <v>23</v>
      </c>
      <c r="R395" s="60">
        <v>23</v>
      </c>
      <c r="S395" s="60">
        <v>38</v>
      </c>
      <c r="T395" s="698">
        <f>Table1[[#This Row],[VO Wdth]]</f>
        <v>38</v>
      </c>
      <c r="U395" s="698">
        <f>Table1[[#This Row],[VO Hgt]]</f>
        <v>23</v>
      </c>
      <c r="V395" s="149">
        <f t="shared" si="139"/>
        <v>46</v>
      </c>
      <c r="W395" s="149">
        <f t="shared" si="140"/>
        <v>31</v>
      </c>
      <c r="X395" s="289" t="s">
        <v>1153</v>
      </c>
      <c r="Y395" s="180"/>
      <c r="Z395" s="180"/>
      <c r="AA395" s="722">
        <f t="shared" si="136"/>
        <v>9.9027777777777786</v>
      </c>
      <c r="AB395" s="125">
        <f>AA395*IncaG</f>
        <v>208.35444444444445</v>
      </c>
      <c r="AC395" s="69">
        <f t="shared" si="137"/>
        <v>6.5358333333333345</v>
      </c>
      <c r="AD395" s="48">
        <f>AA395*IncaC</f>
        <v>16.668355555555557</v>
      </c>
      <c r="AE395" s="104">
        <f>IF(Table1[[#This Row],[Work Center]]="SwissQ",Materials!G$37,IF(Table1[[#This Row],[Work Center]]="Inca",Materials!G$29,IF(Table1[[#This Row],[Work Center]]="Canon",Materials!G$49,Materials!G$45)))</f>
        <v>8</v>
      </c>
      <c r="AF395" s="296">
        <f>'Cali FPS'!C31</f>
        <v>75.25</v>
      </c>
      <c r="AG395" s="83"/>
      <c r="AH395" s="112">
        <f t="shared" si="134"/>
        <v>23.75</v>
      </c>
      <c r="AI395" s="112"/>
      <c r="AJ395" s="69">
        <f t="shared" si="138"/>
        <v>130.20418888888889</v>
      </c>
      <c r="AK395" s="62">
        <f t="shared" si="118"/>
        <v>0.72588591812865499</v>
      </c>
      <c r="AL395" s="225">
        <f>Table1[[#This Row],[WSP/Dealer]]/Table1[[#This Row],[OD Sq Inch]]</f>
        <v>0.54347826086956519</v>
      </c>
      <c r="AM395" s="218">
        <f>Table1[[#This Row],[OD Wdth]]*Table1[[#This Row],[OD Hgt]]</f>
        <v>874</v>
      </c>
      <c r="AN395" s="216">
        <f>Table1[[#This Row],[Min VO]]+Table1[[#This Row],[Max VO]]</f>
        <v>61</v>
      </c>
      <c r="AO395" s="284"/>
      <c r="AP395" s="284"/>
      <c r="AQ395" s="296"/>
      <c r="AR395" s="296"/>
      <c r="AS395" s="296"/>
      <c r="AT395" s="176"/>
      <c r="AU395" s="1358" t="str">
        <f t="shared" si="135"/>
        <v>-</v>
      </c>
    </row>
    <row r="396" spans="1:47" s="46" customFormat="1" ht="16" x14ac:dyDescent="0.2">
      <c r="A396" s="60" t="s">
        <v>58</v>
      </c>
      <c r="B396" s="1061" t="s">
        <v>1154</v>
      </c>
      <c r="C396" s="293" t="s">
        <v>1155</v>
      </c>
      <c r="D396" s="94"/>
      <c r="E396" s="294" t="s">
        <v>1151</v>
      </c>
      <c r="F396" s="294" t="s">
        <v>124</v>
      </c>
      <c r="G396" s="295" t="s">
        <v>1152</v>
      </c>
      <c r="H396" s="295" t="s">
        <v>1152</v>
      </c>
      <c r="I396" s="181" t="s">
        <v>108</v>
      </c>
      <c r="J396" s="181" t="s">
        <v>53</v>
      </c>
      <c r="K396" s="295" t="s">
        <v>54</v>
      </c>
      <c r="L396" s="181" t="s">
        <v>55</v>
      </c>
      <c r="M396" s="292">
        <v>475</v>
      </c>
      <c r="N396" s="639">
        <v>475</v>
      </c>
      <c r="O396" s="180" t="s">
        <v>109</v>
      </c>
      <c r="P396" s="180">
        <v>38</v>
      </c>
      <c r="Q396" s="180">
        <v>23</v>
      </c>
      <c r="R396" s="60">
        <v>23</v>
      </c>
      <c r="S396" s="60">
        <v>38</v>
      </c>
      <c r="T396" s="698">
        <f>Table1[[#This Row],[VO Wdth]]</f>
        <v>38</v>
      </c>
      <c r="U396" s="698">
        <f>Table1[[#This Row],[VO Hgt]]</f>
        <v>23</v>
      </c>
      <c r="V396" s="149">
        <f t="shared" si="139"/>
        <v>46</v>
      </c>
      <c r="W396" s="149">
        <f t="shared" si="140"/>
        <v>31</v>
      </c>
      <c r="X396" s="289" t="s">
        <v>1153</v>
      </c>
      <c r="Y396" s="180"/>
      <c r="Z396" s="180"/>
      <c r="AA396" s="722">
        <f t="shared" si="136"/>
        <v>9.9027777777777786</v>
      </c>
      <c r="AB396" s="125">
        <f>AA396*EPSONML</f>
        <v>44.5625</v>
      </c>
      <c r="AC396" s="69">
        <f t="shared" si="137"/>
        <v>6.5358333333333345</v>
      </c>
      <c r="AD396" s="48">
        <f>AA396*EPSONML</f>
        <v>44.5625</v>
      </c>
      <c r="AE396" s="69">
        <f>IF(Table1[[#This Row],[Work Center]]="SwissQ",Materials!G$37,IF(Table1[[#This Row],[Work Center]]="Inca",Materials!G$29,IF(Table1[[#This Row],[Work Center]]="Canon",Materials!G$49,Materials!G$45)))</f>
        <v>5</v>
      </c>
      <c r="AF396" s="296">
        <f>'Cali FPS'!C32</f>
        <v>63.47</v>
      </c>
      <c r="AG396" s="83"/>
      <c r="AH396" s="112">
        <f t="shared" si="134"/>
        <v>23.75</v>
      </c>
      <c r="AI396" s="112"/>
      <c r="AJ396" s="69">
        <f t="shared" si="138"/>
        <v>143.31833333333333</v>
      </c>
      <c r="AK396" s="62">
        <f t="shared" si="118"/>
        <v>0.69827719298245616</v>
      </c>
      <c r="AL396" s="225">
        <f>Table1[[#This Row],[WSP/Dealer]]/Table1[[#This Row],[OD Sq Inch]]</f>
        <v>0.54347826086956519</v>
      </c>
      <c r="AM396" s="218">
        <f>Table1[[#This Row],[OD Wdth]]*Table1[[#This Row],[OD Hgt]]</f>
        <v>874</v>
      </c>
      <c r="AN396" s="216">
        <f>Table1[[#This Row],[Min VO]]+Table1[[#This Row],[Max VO]]</f>
        <v>61</v>
      </c>
      <c r="AO396" s="284"/>
      <c r="AP396" s="284"/>
      <c r="AQ396" s="296"/>
      <c r="AR396" s="296"/>
      <c r="AS396" s="296"/>
      <c r="AT396" s="176"/>
      <c r="AU396" s="1358" t="str">
        <f t="shared" si="135"/>
        <v>-</v>
      </c>
    </row>
    <row r="397" spans="1:47" s="46" customFormat="1" ht="16" x14ac:dyDescent="0.2">
      <c r="A397" s="60" t="s">
        <v>58</v>
      </c>
      <c r="B397" s="1061" t="s">
        <v>587</v>
      </c>
      <c r="C397" s="293" t="s">
        <v>1156</v>
      </c>
      <c r="D397" s="94"/>
      <c r="E397" s="294" t="s">
        <v>1157</v>
      </c>
      <c r="F397" s="294" t="s">
        <v>124</v>
      </c>
      <c r="G397" s="295" t="s">
        <v>519</v>
      </c>
      <c r="H397" s="295" t="s">
        <v>519</v>
      </c>
      <c r="I397" s="181" t="s">
        <v>52</v>
      </c>
      <c r="J397" s="181" t="s">
        <v>53</v>
      </c>
      <c r="K397" s="295" t="s">
        <v>54</v>
      </c>
      <c r="L397" s="181" t="s">
        <v>55</v>
      </c>
      <c r="M397" s="292">
        <v>200</v>
      </c>
      <c r="N397" s="639">
        <v>225</v>
      </c>
      <c r="O397" s="180" t="s">
        <v>56</v>
      </c>
      <c r="P397" s="180">
        <v>16</v>
      </c>
      <c r="Q397" s="180">
        <v>20</v>
      </c>
      <c r="R397" s="60">
        <v>16</v>
      </c>
      <c r="S397" s="46">
        <v>20</v>
      </c>
      <c r="T397" s="1777">
        <f>Table1[[#This Row],[VO Wdth]]</f>
        <v>16</v>
      </c>
      <c r="U397" s="1777">
        <f>Table1[[#This Row],[VO Hgt]]</f>
        <v>20</v>
      </c>
      <c r="V397" s="913">
        <f t="shared" si="139"/>
        <v>24</v>
      </c>
      <c r="W397" s="913">
        <f t="shared" si="140"/>
        <v>28</v>
      </c>
      <c r="X397" s="289" t="s">
        <v>1158</v>
      </c>
      <c r="Y397" s="180"/>
      <c r="Z397" s="180"/>
      <c r="AA397" s="722">
        <f t="shared" si="136"/>
        <v>4.666666666666667</v>
      </c>
      <c r="AB397" s="125">
        <f>AA397*IncaG</f>
        <v>98.186666666666667</v>
      </c>
      <c r="AC397" s="69">
        <f t="shared" si="137"/>
        <v>3.0800000000000005</v>
      </c>
      <c r="AD397" s="48">
        <f>AA397*IncaC</f>
        <v>7.8549333333333342</v>
      </c>
      <c r="AE397" s="104">
        <f>IF(Table1[[#This Row],[Work Center]]="SwissQ",Materials!G$37,IF(Table1[[#This Row],[Work Center]]="Inca",Materials!G$29,IF(Table1[[#This Row],[Work Center]]="Canon",Materials!G$49,Materials!G$45)))</f>
        <v>8</v>
      </c>
      <c r="AF397" s="296">
        <f>'Cali FPS'!C18</f>
        <v>61.15</v>
      </c>
      <c r="AG397" s="83"/>
      <c r="AH397" s="498">
        <f t="shared" si="134"/>
        <v>10</v>
      </c>
      <c r="AI397" s="498"/>
      <c r="AJ397" s="69">
        <f t="shared" si="138"/>
        <v>90.084933333333339</v>
      </c>
      <c r="AK397" s="650">
        <f t="shared" si="118"/>
        <v>0.5495753333333333</v>
      </c>
      <c r="AL397" s="225">
        <f>Table1[[#This Row],[WSP/Dealer]]/Table1[[#This Row],[OD Sq Inch]]</f>
        <v>0.625</v>
      </c>
      <c r="AM397" s="46">
        <f>Table1[[#This Row],[OD Wdth]]*Table1[[#This Row],[OD Hgt]]</f>
        <v>320</v>
      </c>
      <c r="AN397" s="216">
        <f>Table1[[#This Row],[Min VO]]+Table1[[#This Row],[Max VO]]</f>
        <v>36</v>
      </c>
      <c r="AO397" s="286"/>
      <c r="AP397" s="284"/>
      <c r="AQ397" s="296"/>
      <c r="AR397" s="296"/>
      <c r="AS397" s="296"/>
      <c r="AT397" s="176"/>
      <c r="AU397" s="1362" t="str">
        <f t="shared" si="135"/>
        <v>-</v>
      </c>
    </row>
    <row r="398" spans="1:47" s="103" customFormat="1" ht="16" hidden="1" x14ac:dyDescent="0.2">
      <c r="A398" s="68" t="s">
        <v>272</v>
      </c>
      <c r="B398" s="279" t="s">
        <v>261</v>
      </c>
      <c r="C398" s="316" t="s">
        <v>1159</v>
      </c>
      <c r="D398" s="94"/>
      <c r="E398" s="313" t="s">
        <v>1157</v>
      </c>
      <c r="F398" s="313" t="s">
        <v>124</v>
      </c>
      <c r="G398" s="314" t="s">
        <v>519</v>
      </c>
      <c r="H398" s="314" t="s">
        <v>519</v>
      </c>
      <c r="I398" s="315" t="s">
        <v>108</v>
      </c>
      <c r="J398" s="315" t="s">
        <v>53</v>
      </c>
      <c r="K398" s="314" t="s">
        <v>54</v>
      </c>
      <c r="L398" s="315" t="s">
        <v>55</v>
      </c>
      <c r="M398" s="178">
        <v>125</v>
      </c>
      <c r="N398" s="318"/>
      <c r="O398" s="274" t="s">
        <v>56</v>
      </c>
      <c r="P398" s="274">
        <v>16</v>
      </c>
      <c r="Q398" s="274">
        <v>20</v>
      </c>
      <c r="R398" s="68">
        <v>16</v>
      </c>
      <c r="S398" s="68">
        <v>20</v>
      </c>
      <c r="T398" s="916">
        <f>Table1[[#This Row],[VO Wdth]]</f>
        <v>16</v>
      </c>
      <c r="U398" s="916">
        <f>Table1[[#This Row],[VO Hgt]]</f>
        <v>20</v>
      </c>
      <c r="V398" s="1198">
        <f t="shared" si="139"/>
        <v>24</v>
      </c>
      <c r="W398" s="1198">
        <f t="shared" si="140"/>
        <v>28</v>
      </c>
      <c r="X398" s="343" t="s">
        <v>1158</v>
      </c>
      <c r="Y398" s="274"/>
      <c r="Z398" s="274"/>
      <c r="AA398" s="766">
        <f t="shared" si="136"/>
        <v>4.666666666666667</v>
      </c>
      <c r="AB398" s="297">
        <f>AA398*IncaG</f>
        <v>98.186666666666667</v>
      </c>
      <c r="AC398" s="74">
        <f t="shared" si="137"/>
        <v>3.0800000000000005</v>
      </c>
      <c r="AD398" s="74">
        <f>AA398*IncaCR</f>
        <v>0.37333333333333335</v>
      </c>
      <c r="AE398" s="104">
        <f>IF(Table1[[#This Row],[Work Center]]="SwissQ",Materials!G$37,IF(Table1[[#This Row],[Work Center]]="Inca",Materials!G$29,IF(Table1[[#This Row],[Work Center]]="Canon",Materials!G$49,Materials!G$45)))</f>
        <v>8</v>
      </c>
      <c r="AF398" s="320">
        <f>'Cali FPS'!C18</f>
        <v>61.15</v>
      </c>
      <c r="AG398" s="84"/>
      <c r="AH398" s="498">
        <f t="shared" si="134"/>
        <v>6.25</v>
      </c>
      <c r="AI398" s="498"/>
      <c r="AJ398" s="74">
        <f t="shared" si="138"/>
        <v>78.853333333333325</v>
      </c>
      <c r="AK398" s="650">
        <f t="shared" si="118"/>
        <v>0.36917333333333341</v>
      </c>
      <c r="AL398" s="225">
        <f>Table1[[#This Row],[WSP/Dealer]]/Table1[[#This Row],[OD Sq Inch]]</f>
        <v>0.390625</v>
      </c>
      <c r="AM398" s="68">
        <f>Table1[[#This Row],[OD Wdth]]*Table1[[#This Row],[OD Hgt]]</f>
        <v>320</v>
      </c>
      <c r="AN398" s="238">
        <f>Table1[[#This Row],[Min VO]]+Table1[[#This Row],[Max VO]]</f>
        <v>36</v>
      </c>
      <c r="AO398" s="275"/>
      <c r="AP398" s="275"/>
      <c r="AQ398" s="320"/>
      <c r="AR398" s="320"/>
      <c r="AS398" s="320"/>
      <c r="AT398" s="278"/>
      <c r="AU398" s="1368" t="str">
        <f t="shared" si="135"/>
        <v>-</v>
      </c>
    </row>
    <row r="399" spans="1:47" s="103" customFormat="1" ht="16" x14ac:dyDescent="0.2">
      <c r="A399" s="60" t="s">
        <v>58</v>
      </c>
      <c r="B399" s="1061" t="s">
        <v>587</v>
      </c>
      <c r="C399" s="293" t="s">
        <v>1160</v>
      </c>
      <c r="D399" s="94"/>
      <c r="E399" s="294" t="s">
        <v>1161</v>
      </c>
      <c r="F399" s="294" t="s">
        <v>124</v>
      </c>
      <c r="G399" s="295" t="s">
        <v>1162</v>
      </c>
      <c r="H399" s="295" t="s">
        <v>1162</v>
      </c>
      <c r="I399" s="181" t="s">
        <v>52</v>
      </c>
      <c r="J399" s="181" t="s">
        <v>53</v>
      </c>
      <c r="K399" s="295" t="s">
        <v>54</v>
      </c>
      <c r="L399" s="181" t="s">
        <v>55</v>
      </c>
      <c r="M399" s="292">
        <v>575</v>
      </c>
      <c r="N399" s="639">
        <v>575</v>
      </c>
      <c r="O399" s="180" t="s">
        <v>56</v>
      </c>
      <c r="P399" s="180">
        <v>32</v>
      </c>
      <c r="Q399" s="180">
        <v>40</v>
      </c>
      <c r="R399" s="60">
        <v>32</v>
      </c>
      <c r="S399" s="60">
        <v>40</v>
      </c>
      <c r="T399" s="698">
        <f>Table1[[#This Row],[VO Wdth]]</f>
        <v>32</v>
      </c>
      <c r="U399" s="698">
        <f>Table1[[#This Row],[VO Hgt]]</f>
        <v>40</v>
      </c>
      <c r="V399" s="913">
        <f t="shared" si="139"/>
        <v>40</v>
      </c>
      <c r="W399" s="913">
        <f t="shared" si="140"/>
        <v>48</v>
      </c>
      <c r="X399" s="289">
        <v>40</v>
      </c>
      <c r="Y399" s="180"/>
      <c r="Z399" s="180"/>
      <c r="AA399" s="722">
        <f t="shared" si="136"/>
        <v>13.333333333333334</v>
      </c>
      <c r="AB399" s="125">
        <f>AA399*IncaG</f>
        <v>280.53333333333336</v>
      </c>
      <c r="AC399" s="69">
        <f t="shared" si="137"/>
        <v>8.8000000000000007</v>
      </c>
      <c r="AD399" s="69">
        <f>AA399*IncaC</f>
        <v>22.442666666666668</v>
      </c>
      <c r="AE399" s="104">
        <f>IF(Table1[[#This Row],[Work Center]]="SwissQ",Materials!G$37,IF(Table1[[#This Row],[Work Center]]="Inca",Materials!G$29,IF(Table1[[#This Row],[Work Center]]="Canon",Materials!G$49,Materials!G$45)))</f>
        <v>8</v>
      </c>
      <c r="AF399" s="296">
        <f>'Cali FPS'!C58</f>
        <v>83.3</v>
      </c>
      <c r="AG399" s="83"/>
      <c r="AH399" s="498">
        <f t="shared" si="134"/>
        <v>28.75</v>
      </c>
      <c r="AI399" s="498"/>
      <c r="AJ399" s="69">
        <f t="shared" si="138"/>
        <v>151.29266666666666</v>
      </c>
      <c r="AK399" s="650">
        <f t="shared" si="118"/>
        <v>0.73688231884057975</v>
      </c>
      <c r="AL399" s="225">
        <f>Table1[[#This Row],[WSP/Dealer]]/Table1[[#This Row],[OD Sq Inch]]</f>
        <v>0.44921875</v>
      </c>
      <c r="AM399" s="60">
        <f>Table1[[#This Row],[OD Wdth]]*Table1[[#This Row],[OD Hgt]]</f>
        <v>1280</v>
      </c>
      <c r="AN399" s="216">
        <f>Table1[[#This Row],[Min VO]]+Table1[[#This Row],[Max VO]]</f>
        <v>72</v>
      </c>
      <c r="AO399" s="284"/>
      <c r="AP399" s="284"/>
      <c r="AQ399" s="296"/>
      <c r="AR399" s="296"/>
      <c r="AS399" s="296"/>
      <c r="AT399" s="176"/>
      <c r="AU399" s="1358" t="str">
        <f t="shared" si="135"/>
        <v>-</v>
      </c>
    </row>
    <row r="400" spans="1:47" s="103" customFormat="1" ht="16" x14ac:dyDescent="0.2">
      <c r="A400" s="60" t="s">
        <v>58</v>
      </c>
      <c r="B400" s="279" t="s">
        <v>587</v>
      </c>
      <c r="C400" s="293" t="s">
        <v>1163</v>
      </c>
      <c r="D400" s="94"/>
      <c r="E400" s="294" t="s">
        <v>1164</v>
      </c>
      <c r="F400" s="294" t="s">
        <v>124</v>
      </c>
      <c r="G400" s="295" t="s">
        <v>519</v>
      </c>
      <c r="H400" s="295" t="s">
        <v>519</v>
      </c>
      <c r="I400" s="181" t="s">
        <v>52</v>
      </c>
      <c r="J400" s="181" t="s">
        <v>53</v>
      </c>
      <c r="K400" s="295" t="s">
        <v>54</v>
      </c>
      <c r="L400" s="181" t="s">
        <v>55</v>
      </c>
      <c r="M400" s="292">
        <v>200</v>
      </c>
      <c r="N400" s="639">
        <v>225</v>
      </c>
      <c r="O400" s="180" t="s">
        <v>56</v>
      </c>
      <c r="P400" s="180">
        <v>16</v>
      </c>
      <c r="Q400" s="180">
        <v>20</v>
      </c>
      <c r="R400" s="60">
        <v>16</v>
      </c>
      <c r="S400" s="60">
        <v>20</v>
      </c>
      <c r="T400" s="698">
        <f>Table1[[#This Row],[VO Wdth]]</f>
        <v>16</v>
      </c>
      <c r="U400" s="698">
        <f>Table1[[#This Row],[VO Hgt]]</f>
        <v>20</v>
      </c>
      <c r="V400" s="149">
        <f t="shared" si="139"/>
        <v>24</v>
      </c>
      <c r="W400" s="149">
        <f t="shared" si="140"/>
        <v>28</v>
      </c>
      <c r="X400" s="289" t="s">
        <v>1158</v>
      </c>
      <c r="Y400" s="180"/>
      <c r="Z400" s="180"/>
      <c r="AA400" s="722">
        <f t="shared" si="136"/>
        <v>4.666666666666667</v>
      </c>
      <c r="AB400" s="125">
        <f>AA400*IncaG</f>
        <v>98.186666666666667</v>
      </c>
      <c r="AC400" s="69">
        <f t="shared" si="137"/>
        <v>3.0800000000000005</v>
      </c>
      <c r="AD400" s="48">
        <f>AA400*IncaC</f>
        <v>7.8549333333333342</v>
      </c>
      <c r="AE400" s="104">
        <f>IF(Table1[[#This Row],[Work Center]]="SwissQ",Materials!G$37,IF(Table1[[#This Row],[Work Center]]="Inca",Materials!G$29,IF(Table1[[#This Row],[Work Center]]="Canon",Materials!G$49,Materials!G$45)))</f>
        <v>8</v>
      </c>
      <c r="AF400" s="296">
        <f>'Cali FPS'!C18</f>
        <v>61.15</v>
      </c>
      <c r="AG400" s="83"/>
      <c r="AH400" s="112">
        <f t="shared" si="134"/>
        <v>10</v>
      </c>
      <c r="AI400" s="112"/>
      <c r="AJ400" s="69">
        <f t="shared" si="138"/>
        <v>90.084933333333339</v>
      </c>
      <c r="AK400" s="62">
        <f t="shared" si="118"/>
        <v>0.5495753333333333</v>
      </c>
      <c r="AL400" s="225">
        <f>Table1[[#This Row],[WSP/Dealer]]/Table1[[#This Row],[OD Sq Inch]]</f>
        <v>0.625</v>
      </c>
      <c r="AM400" s="46">
        <f>Table1[[#This Row],[OD Wdth]]*Table1[[#This Row],[OD Hgt]]</f>
        <v>320</v>
      </c>
      <c r="AN400" s="216">
        <f>Table1[[#This Row],[Min VO]]+Table1[[#This Row],[Max VO]]</f>
        <v>36</v>
      </c>
      <c r="AO400" s="284"/>
      <c r="AP400" s="284"/>
      <c r="AQ400" s="296"/>
      <c r="AR400" s="296"/>
      <c r="AS400" s="296"/>
      <c r="AT400" s="176"/>
      <c r="AU400" s="1358" t="str">
        <f t="shared" si="135"/>
        <v>-</v>
      </c>
    </row>
    <row r="401" spans="1:47" s="103" customFormat="1" ht="16" x14ac:dyDescent="0.2">
      <c r="A401" s="60" t="s">
        <v>58</v>
      </c>
      <c r="B401" s="1061" t="s">
        <v>587</v>
      </c>
      <c r="C401" s="293" t="s">
        <v>1165</v>
      </c>
      <c r="D401" s="94"/>
      <c r="E401" s="294" t="s">
        <v>1166</v>
      </c>
      <c r="F401" s="294" t="s">
        <v>124</v>
      </c>
      <c r="G401" s="295" t="s">
        <v>1162</v>
      </c>
      <c r="H401" s="295" t="s">
        <v>1162</v>
      </c>
      <c r="I401" s="181" t="s">
        <v>52</v>
      </c>
      <c r="J401" s="181" t="s">
        <v>53</v>
      </c>
      <c r="K401" s="295" t="s">
        <v>54</v>
      </c>
      <c r="L401" s="181" t="s">
        <v>55</v>
      </c>
      <c r="M401" s="292">
        <v>575</v>
      </c>
      <c r="N401" s="639">
        <v>580</v>
      </c>
      <c r="O401" s="180" t="s">
        <v>56</v>
      </c>
      <c r="P401" s="180">
        <v>32</v>
      </c>
      <c r="Q401" s="180">
        <v>40</v>
      </c>
      <c r="R401" s="60">
        <v>32</v>
      </c>
      <c r="S401" s="60">
        <v>40</v>
      </c>
      <c r="T401" s="698">
        <f>Table1[[#This Row],[VO Wdth]]</f>
        <v>32</v>
      </c>
      <c r="U401" s="698">
        <f>Table1[[#This Row],[VO Hgt]]</f>
        <v>40</v>
      </c>
      <c r="V401" s="913">
        <f t="shared" si="139"/>
        <v>40</v>
      </c>
      <c r="W401" s="913">
        <f t="shared" si="140"/>
        <v>48</v>
      </c>
      <c r="X401" s="289">
        <v>40</v>
      </c>
      <c r="Y401" s="180"/>
      <c r="Z401" s="180"/>
      <c r="AA401" s="722">
        <f t="shared" si="136"/>
        <v>13.333333333333334</v>
      </c>
      <c r="AB401" s="125">
        <f>AA401*IncaG</f>
        <v>280.53333333333336</v>
      </c>
      <c r="AC401" s="69">
        <f t="shared" si="137"/>
        <v>8.8000000000000007</v>
      </c>
      <c r="AD401" s="69">
        <f>AA401*IncaC</f>
        <v>22.442666666666668</v>
      </c>
      <c r="AE401" s="104">
        <f>IF(Table1[[#This Row],[Work Center]]="SwissQ",Materials!G$37,IF(Table1[[#This Row],[Work Center]]="Inca",Materials!G$29,IF(Table1[[#This Row],[Work Center]]="Canon",Materials!G$49,Materials!G$45)))</f>
        <v>8</v>
      </c>
      <c r="AF401" s="296">
        <f>'Cali FPS'!C58</f>
        <v>83.3</v>
      </c>
      <c r="AG401" s="83"/>
      <c r="AH401" s="112">
        <f t="shared" si="134"/>
        <v>28.75</v>
      </c>
      <c r="AI401" s="112"/>
      <c r="AJ401" s="69">
        <f t="shared" si="138"/>
        <v>151.29266666666666</v>
      </c>
      <c r="AK401" s="62">
        <f t="shared" si="118"/>
        <v>0.73688231884057975</v>
      </c>
      <c r="AL401" s="225">
        <f>Table1[[#This Row],[WSP/Dealer]]/Table1[[#This Row],[OD Sq Inch]]</f>
        <v>0.44921875</v>
      </c>
      <c r="AM401" s="60">
        <f>Table1[[#This Row],[OD Wdth]]*Table1[[#This Row],[OD Hgt]]</f>
        <v>1280</v>
      </c>
      <c r="AN401" s="216">
        <f>Table1[[#This Row],[Min VO]]+Table1[[#This Row],[Max VO]]</f>
        <v>72</v>
      </c>
      <c r="AO401" s="284"/>
      <c r="AP401" s="284"/>
      <c r="AQ401" s="296"/>
      <c r="AR401" s="296"/>
      <c r="AS401" s="296"/>
      <c r="AT401" s="176"/>
      <c r="AU401" s="1358" t="str">
        <f t="shared" si="135"/>
        <v>-</v>
      </c>
    </row>
    <row r="402" spans="1:47" s="103" customFormat="1" hidden="1" x14ac:dyDescent="0.2">
      <c r="A402" s="60" t="s">
        <v>318</v>
      </c>
      <c r="B402" s="279" t="s">
        <v>319</v>
      </c>
      <c r="C402" s="434" t="s">
        <v>1167</v>
      </c>
      <c r="D402" s="94"/>
      <c r="E402" s="83" t="s">
        <v>1168</v>
      </c>
      <c r="F402" s="83" t="s">
        <v>105</v>
      </c>
      <c r="G402" s="60" t="s">
        <v>643</v>
      </c>
      <c r="H402" s="60" t="s">
        <v>810</v>
      </c>
      <c r="I402" s="605" t="s">
        <v>256</v>
      </c>
      <c r="J402" s="435" t="s">
        <v>257</v>
      </c>
      <c r="K402" s="60" t="s">
        <v>258</v>
      </c>
      <c r="L402" s="605" t="s">
        <v>269</v>
      </c>
      <c r="M402" s="179">
        <v>200</v>
      </c>
      <c r="N402" s="124"/>
      <c r="O402" s="60" t="s">
        <v>260</v>
      </c>
      <c r="P402" s="60">
        <v>20</v>
      </c>
      <c r="Q402" s="60">
        <v>16</v>
      </c>
      <c r="R402" s="60">
        <v>6</v>
      </c>
      <c r="S402" s="60">
        <v>20</v>
      </c>
      <c r="T402" s="273">
        <v>22</v>
      </c>
      <c r="U402" s="273">
        <v>18</v>
      </c>
      <c r="V402" s="913">
        <f t="shared" si="139"/>
        <v>20</v>
      </c>
      <c r="W402" s="913">
        <f t="shared" si="140"/>
        <v>16</v>
      </c>
      <c r="X402" s="60" t="s">
        <v>257</v>
      </c>
      <c r="Y402" s="60">
        <v>29</v>
      </c>
      <c r="Z402" s="60">
        <v>16</v>
      </c>
      <c r="AA402" s="1058">
        <f t="shared" si="136"/>
        <v>2.2222222222222223</v>
      </c>
      <c r="AB402" s="125">
        <f>AA402*canonML</f>
        <v>10.666666666666666</v>
      </c>
      <c r="AC402" s="69">
        <f>Table1[[#This Row],[Print Wth]]*paper60</f>
        <v>6.8000000000000007</v>
      </c>
      <c r="AD402" s="69">
        <f>Table1[[#This Row],[Ink g/mL]]*CanonC</f>
        <v>2.88</v>
      </c>
      <c r="AE402" s="69">
        <f>IF(Table1[[#This Row],[Work Center]]="SwissQ",Materials!G$37,IF(Table1[[#This Row],[Work Center]]="Inca",Materials!G$29,IF(Table1[[#This Row],[Work Center]]="Canon",Materials!G$49,Materials!G$45)))</f>
        <v>7</v>
      </c>
      <c r="AF402" s="72">
        <f>'Cali Frames'!D60</f>
        <v>71.837499999999991</v>
      </c>
      <c r="AG402" s="540"/>
      <c r="AH402" s="69">
        <v>0</v>
      </c>
      <c r="AI402" s="69"/>
      <c r="AJ402" s="176">
        <f t="shared" si="138"/>
        <v>88.517499999999984</v>
      </c>
      <c r="AK402" s="650">
        <f t="shared" si="118"/>
        <v>0.55741250000000009</v>
      </c>
      <c r="AL402" s="225">
        <f>Table1[[#This Row],[WSP/Dealer]]/Table1[[#This Row],[OD Sq Inch]]</f>
        <v>0.50505050505050508</v>
      </c>
      <c r="AM402" s="180">
        <f>Table1[[#This Row],[OD Wdth]]*Table1[[#This Row],[OD Hgt]]</f>
        <v>396</v>
      </c>
      <c r="AN402" s="83"/>
      <c r="AO402" s="83"/>
      <c r="AP402" s="83"/>
      <c r="AQ402" s="540"/>
      <c r="AR402" s="540"/>
      <c r="AS402" s="540"/>
      <c r="AT402" s="69"/>
      <c r="AU402" s="1361" t="str">
        <f t="shared" si="135"/>
        <v>-</v>
      </c>
    </row>
    <row r="403" spans="1:47" s="103" customFormat="1" hidden="1" x14ac:dyDescent="0.2">
      <c r="A403" s="68" t="s">
        <v>101</v>
      </c>
      <c r="B403" s="1152" t="s">
        <v>102</v>
      </c>
      <c r="C403" s="627" t="s">
        <v>1169</v>
      </c>
      <c r="D403" s="94"/>
      <c r="E403" s="84" t="s">
        <v>1170</v>
      </c>
      <c r="F403" s="84" t="s">
        <v>105</v>
      </c>
      <c r="G403" s="68" t="s">
        <v>1171</v>
      </c>
      <c r="H403" s="68" t="s">
        <v>1171</v>
      </c>
      <c r="I403" s="363" t="s">
        <v>108</v>
      </c>
      <c r="J403" s="646" t="s">
        <v>53</v>
      </c>
      <c r="K403" s="68" t="s">
        <v>119</v>
      </c>
      <c r="L403" s="363" t="s">
        <v>120</v>
      </c>
      <c r="M403" s="141">
        <v>172</v>
      </c>
      <c r="N403" s="93"/>
      <c r="O403" s="68" t="s">
        <v>109</v>
      </c>
      <c r="P403" s="68">
        <v>13</v>
      </c>
      <c r="Q403" s="68">
        <v>11</v>
      </c>
      <c r="R403" s="68">
        <v>11</v>
      </c>
      <c r="S403" s="68">
        <v>13</v>
      </c>
      <c r="T403" s="623">
        <v>13</v>
      </c>
      <c r="U403" s="623">
        <v>11</v>
      </c>
      <c r="V403" s="1198">
        <f t="shared" si="139"/>
        <v>21</v>
      </c>
      <c r="W403" s="1198">
        <f t="shared" si="140"/>
        <v>19</v>
      </c>
      <c r="X403" s="68">
        <v>40</v>
      </c>
      <c r="Y403" s="686">
        <f>Table1[[#This Row],[Print Wth]]</f>
        <v>21</v>
      </c>
      <c r="Z403" s="686">
        <f>Table1[[#This Row],[Print Ht]]</f>
        <v>19</v>
      </c>
      <c r="AA403" s="727">
        <f>Table1[[#This Row],[Cut Width]]*Table1[[#This Row],[Cut Height]]/144</f>
        <v>2.7708333333333335</v>
      </c>
      <c r="AB403" s="341">
        <f>Table1[[#This Row],[Print Wth]]*Table1[[#This Row],[Print Ht]]/144*EPSONM</f>
        <v>12.46875</v>
      </c>
      <c r="AC403" s="278">
        <f>Table1[[#This Row],[Substrate SF]]*Canvas</f>
        <v>1.8287500000000001</v>
      </c>
      <c r="AD403" s="278">
        <f>Table1[[#This Row],[Ink g/mL]]*EPSONC</f>
        <v>2.743125</v>
      </c>
      <c r="AE403" s="278">
        <f>IF(Table1[[#This Row],[Work Center]]="SwissQ",Materials!G$37,IF(Table1[[#This Row],[Work Center]]="Inca",Materials!G$29,IF(Table1[[#This Row],[Work Center]]="Canon",Materials!G$49,Materials!G$45)))</f>
        <v>5</v>
      </c>
      <c r="AF403" s="1234">
        <f>'Cali FPS'!C178</f>
        <v>76.41</v>
      </c>
      <c r="AG403" s="84"/>
      <c r="AH403" s="74">
        <v>0</v>
      </c>
      <c r="AI403" s="74"/>
      <c r="AJ403" s="278">
        <f t="shared" si="138"/>
        <v>85.981875000000002</v>
      </c>
      <c r="AK403" s="1001">
        <f t="shared" ref="AK403:AK466" si="141">(M403-AJ403)/M403</f>
        <v>0.50010537790697673</v>
      </c>
      <c r="AL403" s="240">
        <f>Table1[[#This Row],[WSP/Dealer]]/Table1[[#This Row],[OD Sq Inch]]</f>
        <v>1.2027972027972027</v>
      </c>
      <c r="AM403" s="274">
        <f>Table1[[#This Row],[OD Wdth]]*Table1[[#This Row],[OD Hgt]]</f>
        <v>143</v>
      </c>
      <c r="AN403" s="274">
        <f>Table1[[#This Row],[Min VO]]+Table1[[#This Row],[Max VO]]</f>
        <v>24</v>
      </c>
      <c r="AO403" s="84"/>
      <c r="AP403" s="84"/>
      <c r="AQ403" s="126"/>
      <c r="AR403" s="126"/>
      <c r="AS403" s="126"/>
      <c r="AT403" s="74"/>
      <c r="AU403" s="1357" t="str">
        <f t="shared" si="135"/>
        <v>-</v>
      </c>
    </row>
    <row r="404" spans="1:47" s="170" customFormat="1" x14ac:dyDescent="0.2">
      <c r="A404" s="68" t="s">
        <v>581</v>
      </c>
      <c r="B404" s="1061" t="s">
        <v>292</v>
      </c>
      <c r="C404" s="627" t="s">
        <v>1172</v>
      </c>
      <c r="D404" s="94"/>
      <c r="E404" s="84" t="s">
        <v>1173</v>
      </c>
      <c r="F404" s="84" t="s">
        <v>289</v>
      </c>
      <c r="G404" s="68" t="s">
        <v>191</v>
      </c>
      <c r="H404" s="68" t="s">
        <v>193</v>
      </c>
      <c r="I404" s="363" t="s">
        <v>52</v>
      </c>
      <c r="J404" s="646" t="s">
        <v>53</v>
      </c>
      <c r="K404" s="68" t="s">
        <v>69</v>
      </c>
      <c r="L404" s="363" t="s">
        <v>76</v>
      </c>
      <c r="M404" s="141">
        <v>1250</v>
      </c>
      <c r="N404" s="831">
        <v>1250</v>
      </c>
      <c r="O404" s="68" t="s">
        <v>56</v>
      </c>
      <c r="P404" s="68">
        <v>48</v>
      </c>
      <c r="Q404" s="68">
        <v>60</v>
      </c>
      <c r="R404" s="68">
        <v>48</v>
      </c>
      <c r="S404" s="68">
        <v>60</v>
      </c>
      <c r="T404" s="623">
        <v>49</v>
      </c>
      <c r="U404" s="623">
        <v>61</v>
      </c>
      <c r="V404" s="160">
        <f t="shared" si="139"/>
        <v>56</v>
      </c>
      <c r="W404" s="160">
        <f t="shared" si="140"/>
        <v>68</v>
      </c>
      <c r="X404" s="189">
        <v>69</v>
      </c>
      <c r="Y404" s="68">
        <v>56</v>
      </c>
      <c r="Z404" s="68">
        <v>68</v>
      </c>
      <c r="AA404" s="727">
        <f t="shared" ref="AA404:AA430" si="142">V404*W404/144</f>
        <v>26.444444444444443</v>
      </c>
      <c r="AB404" s="341">
        <f>AA404*IncaG</f>
        <v>556.39111111111106</v>
      </c>
      <c r="AC404" s="278">
        <f t="shared" ref="AC404:AC421" si="143">AA404*Canvas</f>
        <v>17.453333333333333</v>
      </c>
      <c r="AD404" s="263">
        <f>AA404*IncaC</f>
        <v>44.511288888888885</v>
      </c>
      <c r="AE404" s="278">
        <f>IF(Table1[[#This Row],[Work Center]]="SwissQ",Materials!G$37,IF(Table1[[#This Row],[Work Center]]="Inca",Materials!G$29,IF(Table1[[#This Row],[Work Center]]="Canon",Materials!G$49,Materials!G$45)))</f>
        <v>8</v>
      </c>
      <c r="AF404" s="955">
        <f>'Cali Frames'!D381</f>
        <v>272.89999999999998</v>
      </c>
      <c r="AG404" s="540"/>
      <c r="AH404" s="67">
        <f t="shared" ref="AH404:AH445" si="144">(M404*0.05)</f>
        <v>62.5</v>
      </c>
      <c r="AI404" s="67"/>
      <c r="AJ404" s="278">
        <f t="shared" si="138"/>
        <v>405.36462222222218</v>
      </c>
      <c r="AK404" s="661">
        <f t="shared" si="141"/>
        <v>0.67570830222222233</v>
      </c>
      <c r="AL404" s="240">
        <f>Table1[[#This Row],[WSP/Dealer]]/Table1[[#This Row],[OD Sq Inch]]</f>
        <v>0.41820006691201073</v>
      </c>
      <c r="AM404" s="170">
        <f>Table1[[#This Row],[OD Wdth]]*Table1[[#This Row],[OD Hgt]]</f>
        <v>2989</v>
      </c>
      <c r="AN404" s="274">
        <f>Table1[[#This Row],[Min VO]]+Table1[[#This Row],[Max VO]]</f>
        <v>108</v>
      </c>
      <c r="AO404" s="84"/>
      <c r="AP404" s="84"/>
      <c r="AQ404" s="126"/>
      <c r="AR404" s="126"/>
      <c r="AS404" s="126"/>
      <c r="AT404" s="74"/>
      <c r="AU404" s="1357" t="str">
        <f t="shared" si="135"/>
        <v>-</v>
      </c>
    </row>
    <row r="405" spans="1:47" s="170" customFormat="1" x14ac:dyDescent="0.2">
      <c r="A405" s="101" t="s">
        <v>581</v>
      </c>
      <c r="B405" s="279" t="s">
        <v>292</v>
      </c>
      <c r="C405" s="625" t="s">
        <v>1174</v>
      </c>
      <c r="D405" s="94" t="s">
        <v>1175</v>
      </c>
      <c r="E405" s="115" t="s">
        <v>1173</v>
      </c>
      <c r="F405" s="84" t="s">
        <v>289</v>
      </c>
      <c r="G405" s="68" t="s">
        <v>191</v>
      </c>
      <c r="H405" s="68" t="s">
        <v>607</v>
      </c>
      <c r="I405" s="363" t="s">
        <v>52</v>
      </c>
      <c r="J405" s="646" t="s">
        <v>53</v>
      </c>
      <c r="K405" s="68" t="s">
        <v>82</v>
      </c>
      <c r="L405" s="363" t="s">
        <v>298</v>
      </c>
      <c r="M405" s="299">
        <v>1250</v>
      </c>
      <c r="N405" s="829">
        <v>1250</v>
      </c>
      <c r="O405" s="101" t="s">
        <v>56</v>
      </c>
      <c r="P405" s="101">
        <v>48</v>
      </c>
      <c r="Q405" s="101">
        <v>60</v>
      </c>
      <c r="R405" s="101">
        <v>48</v>
      </c>
      <c r="S405" s="101">
        <v>60</v>
      </c>
      <c r="T405" s="697">
        <v>49</v>
      </c>
      <c r="U405" s="697">
        <v>61</v>
      </c>
      <c r="V405" s="1178">
        <f t="shared" si="139"/>
        <v>56</v>
      </c>
      <c r="W405" s="1178">
        <f t="shared" si="140"/>
        <v>68</v>
      </c>
      <c r="X405" s="137">
        <v>69</v>
      </c>
      <c r="Y405" s="101">
        <v>56</v>
      </c>
      <c r="Z405" s="101">
        <v>68</v>
      </c>
      <c r="AA405" s="724">
        <f t="shared" si="142"/>
        <v>26.444444444444443</v>
      </c>
      <c r="AB405" s="633">
        <f>AA405*IncaG</f>
        <v>556.39111111111106</v>
      </c>
      <c r="AC405" s="406">
        <f t="shared" si="143"/>
        <v>17.453333333333333</v>
      </c>
      <c r="AD405" s="405">
        <f>AA405*IncaC</f>
        <v>44.511288888888885</v>
      </c>
      <c r="AE405" s="406">
        <f>IF(Table1[[#This Row],[Work Center]]="SwissQ",Materials!G$37,IF(Table1[[#This Row],[Work Center]]="Inca",Materials!G$29,IF(Table1[[#This Row],[Work Center]]="Canon",Materials!G$49,Materials!G$45)))</f>
        <v>8</v>
      </c>
      <c r="AF405" s="794">
        <f>'Cali Frames'!D83</f>
        <v>336.18</v>
      </c>
      <c r="AG405" s="540"/>
      <c r="AH405" s="107">
        <f t="shared" si="144"/>
        <v>62.5</v>
      </c>
      <c r="AI405" s="107"/>
      <c r="AJ405" s="406">
        <f t="shared" si="138"/>
        <v>468.64462222222221</v>
      </c>
      <c r="AK405" s="108">
        <f t="shared" si="141"/>
        <v>0.62508430222222222</v>
      </c>
      <c r="AL405" s="660">
        <f>Table1[[#This Row],[WSP/Dealer]]/Table1[[#This Row],[OD Sq Inch]]</f>
        <v>0.41820006691201073</v>
      </c>
      <c r="AM405" s="399">
        <f>Table1[[#This Row],[OD Wdth]]*Table1[[#This Row],[OD Hgt]]</f>
        <v>2989</v>
      </c>
      <c r="AN405" s="400">
        <f>Table1[[#This Row],[Min VO]]+Table1[[#This Row],[Max VO]]</f>
        <v>108</v>
      </c>
      <c r="AO405" s="115"/>
      <c r="AP405" s="115"/>
      <c r="AQ405" s="121"/>
      <c r="AR405" s="121"/>
      <c r="AS405" s="121"/>
      <c r="AT405" s="104"/>
      <c r="AU405" s="1359" t="str">
        <f t="shared" si="135"/>
        <v>-</v>
      </c>
    </row>
    <row r="406" spans="1:47" s="173" customFormat="1" x14ac:dyDescent="0.2">
      <c r="A406" s="68" t="s">
        <v>58</v>
      </c>
      <c r="B406" s="1072" t="s">
        <v>1013</v>
      </c>
      <c r="C406" s="627" t="s">
        <v>1176</v>
      </c>
      <c r="D406" s="94"/>
      <c r="E406" s="84" t="s">
        <v>1177</v>
      </c>
      <c r="F406" s="84" t="s">
        <v>289</v>
      </c>
      <c r="G406" s="68" t="s">
        <v>1082</v>
      </c>
      <c r="H406" s="68" t="s">
        <v>885</v>
      </c>
      <c r="I406" s="363" t="s">
        <v>52</v>
      </c>
      <c r="J406" s="646" t="s">
        <v>53</v>
      </c>
      <c r="K406" s="68" t="s">
        <v>82</v>
      </c>
      <c r="L406" s="363" t="s">
        <v>298</v>
      </c>
      <c r="M406" s="141">
        <v>1325</v>
      </c>
      <c r="N406" s="93"/>
      <c r="O406" s="68" t="s">
        <v>56</v>
      </c>
      <c r="P406" s="68">
        <v>56</v>
      </c>
      <c r="Q406" s="68">
        <v>70</v>
      </c>
      <c r="R406" s="68">
        <v>56</v>
      </c>
      <c r="S406" s="68">
        <v>70</v>
      </c>
      <c r="T406" s="623">
        <v>58</v>
      </c>
      <c r="U406" s="623">
        <v>72</v>
      </c>
      <c r="V406" s="1198">
        <f t="shared" si="139"/>
        <v>64</v>
      </c>
      <c r="W406" s="1198">
        <f t="shared" si="140"/>
        <v>78</v>
      </c>
      <c r="X406" s="68">
        <v>82</v>
      </c>
      <c r="Y406" s="68">
        <v>64</v>
      </c>
      <c r="Z406" s="68">
        <v>78</v>
      </c>
      <c r="AA406" s="727">
        <f t="shared" si="142"/>
        <v>34.666666666666664</v>
      </c>
      <c r="AB406" s="341">
        <f>AA406*IncaG</f>
        <v>729.38666666666654</v>
      </c>
      <c r="AC406" s="278">
        <f t="shared" si="143"/>
        <v>22.88</v>
      </c>
      <c r="AD406" s="278">
        <f>AA406*IncaC</f>
        <v>58.35093333333333</v>
      </c>
      <c r="AE406" s="278">
        <f>IF(Table1[[#This Row],[Work Center]]="SwissQ",Materials!G$37,IF(Table1[[#This Row],[Work Center]]="Inca",Materials!G$29,IF(Table1[[#This Row],[Work Center]]="Canon",Materials!G$49,Materials!G$45)))</f>
        <v>8</v>
      </c>
      <c r="AF406" s="73">
        <f>'Cali Frames'!D241</f>
        <v>329</v>
      </c>
      <c r="AG406" s="126"/>
      <c r="AH406" s="74">
        <f t="shared" si="144"/>
        <v>66.25</v>
      </c>
      <c r="AI406" s="74"/>
      <c r="AJ406" s="278">
        <f t="shared" si="138"/>
        <v>484.48093333333333</v>
      </c>
      <c r="AK406" s="1001">
        <f t="shared" si="141"/>
        <v>0.63435401257861646</v>
      </c>
      <c r="AL406" s="240">
        <f>Table1[[#This Row],[WSP/Dealer]]/Table1[[#This Row],[OD Sq Inch]]</f>
        <v>0.31728927203065133</v>
      </c>
      <c r="AM406" s="274">
        <f>Table1[[#This Row],[OD Wdth]]*Table1[[#This Row],[OD Hgt]]</f>
        <v>4176</v>
      </c>
      <c r="AN406" s="274">
        <f>Table1[[#This Row],[Min VO]]+Table1[[#This Row],[Max VO]]</f>
        <v>126</v>
      </c>
      <c r="AO406" s="84"/>
      <c r="AP406" s="84"/>
      <c r="AQ406" s="126"/>
      <c r="AR406" s="126"/>
      <c r="AS406" s="126"/>
      <c r="AT406" s="74"/>
      <c r="AU406" s="1357" t="str">
        <f t="shared" si="135"/>
        <v>-</v>
      </c>
    </row>
    <row r="407" spans="1:47" s="88" customFormat="1" x14ac:dyDescent="0.2">
      <c r="A407" s="60" t="s">
        <v>58</v>
      </c>
      <c r="B407" s="1106" t="s">
        <v>250</v>
      </c>
      <c r="C407" s="434" t="s">
        <v>1178</v>
      </c>
      <c r="D407" s="79"/>
      <c r="E407" s="83" t="s">
        <v>1179</v>
      </c>
      <c r="F407" s="83" t="s">
        <v>289</v>
      </c>
      <c r="G407" s="60" t="s">
        <v>1180</v>
      </c>
      <c r="H407" s="60" t="s">
        <v>1181</v>
      </c>
      <c r="I407" s="605" t="s">
        <v>52</v>
      </c>
      <c r="J407" s="435" t="s">
        <v>53</v>
      </c>
      <c r="K407" s="60" t="s">
        <v>69</v>
      </c>
      <c r="L407" s="605" t="s">
        <v>70</v>
      </c>
      <c r="M407" s="179">
        <v>1900</v>
      </c>
      <c r="N407" s="124"/>
      <c r="O407" s="60" t="s">
        <v>64</v>
      </c>
      <c r="P407" s="60">
        <v>65</v>
      </c>
      <c r="Q407" s="60">
        <v>90</v>
      </c>
      <c r="R407" s="60">
        <v>65</v>
      </c>
      <c r="S407" s="60">
        <v>90</v>
      </c>
      <c r="T407" s="273">
        <v>66</v>
      </c>
      <c r="U407" s="273">
        <v>91</v>
      </c>
      <c r="V407" s="913">
        <f t="shared" si="139"/>
        <v>73</v>
      </c>
      <c r="W407" s="913">
        <f t="shared" si="140"/>
        <v>98</v>
      </c>
      <c r="X407" s="60">
        <v>122</v>
      </c>
      <c r="Y407" s="60">
        <v>73</v>
      </c>
      <c r="Z407" s="60">
        <v>98</v>
      </c>
      <c r="AA407" s="717">
        <f t="shared" si="142"/>
        <v>49.680555555555557</v>
      </c>
      <c r="AB407" s="125">
        <f>AA407*Swiss1</f>
        <v>1405.9597222222224</v>
      </c>
      <c r="AC407" s="69">
        <f t="shared" si="143"/>
        <v>32.789166666666667</v>
      </c>
      <c r="AD407" s="48">
        <f>Table1[[#This Row],[Substrate SF]]*Materials!C$37</f>
        <v>139.10555555555555</v>
      </c>
      <c r="AE407" s="69">
        <f>IF(Table1[[#This Row],[Work Center]]="SwissQ",Materials!G$37,IF(Table1[[#This Row],[Work Center]]="Inca",Materials!G$29,IF(Table1[[#This Row],[Work Center]]="Canon",Materials!G$49,Materials!G$45)))</f>
        <v>20</v>
      </c>
      <c r="AF407" s="72">
        <f>'Cali Frames'!D353</f>
        <v>358.12</v>
      </c>
      <c r="AG407" s="540"/>
      <c r="AH407" s="69">
        <f t="shared" si="144"/>
        <v>95</v>
      </c>
      <c r="AI407" s="69"/>
      <c r="AJ407" s="176">
        <f t="shared" si="138"/>
        <v>645.01472222222219</v>
      </c>
      <c r="AK407" s="650">
        <f t="shared" si="141"/>
        <v>0.66051856725146196</v>
      </c>
      <c r="AL407" s="225">
        <f>Table1[[#This Row],[WSP/Dealer]]/Table1[[#This Row],[OD Sq Inch]]</f>
        <v>0.31635031635031635</v>
      </c>
      <c r="AM407" s="180">
        <f>Table1[[#This Row],[OD Wdth]]*Table1[[#This Row],[OD Hgt]]</f>
        <v>6006</v>
      </c>
      <c r="AN407" s="180">
        <f>Table1[[#This Row],[Min VO]]+Table1[[#This Row],[Max VO]]</f>
        <v>155</v>
      </c>
      <c r="AO407" s="83"/>
      <c r="AP407" s="83"/>
      <c r="AQ407" s="540"/>
      <c r="AR407" s="540"/>
      <c r="AS407" s="540"/>
      <c r="AT407" s="69"/>
      <c r="AU407" s="1361"/>
    </row>
    <row r="408" spans="1:47" s="103" customFormat="1" ht="16" x14ac:dyDescent="0.2">
      <c r="A408" s="60" t="s">
        <v>58</v>
      </c>
      <c r="B408" s="1061" t="s">
        <v>587</v>
      </c>
      <c r="C408" s="293" t="s">
        <v>1182</v>
      </c>
      <c r="D408" s="94"/>
      <c r="E408" s="294" t="s">
        <v>1183</v>
      </c>
      <c r="F408" s="294" t="s">
        <v>124</v>
      </c>
      <c r="G408" s="295" t="s">
        <v>505</v>
      </c>
      <c r="H408" s="295" t="s">
        <v>505</v>
      </c>
      <c r="I408" s="181" t="s">
        <v>52</v>
      </c>
      <c r="J408" s="181" t="s">
        <v>53</v>
      </c>
      <c r="K408" s="295" t="s">
        <v>54</v>
      </c>
      <c r="L408" s="181" t="s">
        <v>55</v>
      </c>
      <c r="M408" s="292">
        <v>210</v>
      </c>
      <c r="N408" s="639">
        <v>210</v>
      </c>
      <c r="O408" s="180" t="s">
        <v>56</v>
      </c>
      <c r="P408" s="180">
        <v>12</v>
      </c>
      <c r="Q408" s="180">
        <v>14</v>
      </c>
      <c r="R408" s="60">
        <v>12</v>
      </c>
      <c r="S408" s="60">
        <v>14</v>
      </c>
      <c r="T408" s="698">
        <f>Table1[[#This Row],[VO Wdth]]</f>
        <v>12</v>
      </c>
      <c r="U408" s="698">
        <f>Table1[[#This Row],[VO Hgt]]</f>
        <v>14</v>
      </c>
      <c r="V408" s="913">
        <f t="shared" si="139"/>
        <v>20</v>
      </c>
      <c r="W408" s="913">
        <f t="shared" si="140"/>
        <v>22</v>
      </c>
      <c r="X408" s="289" t="s">
        <v>1184</v>
      </c>
      <c r="Y408" s="180"/>
      <c r="Z408" s="180"/>
      <c r="AA408" s="722">
        <f t="shared" si="142"/>
        <v>3.0555555555555554</v>
      </c>
      <c r="AB408" s="125">
        <f>AA408*IncaG</f>
        <v>64.288888888888877</v>
      </c>
      <c r="AC408" s="69">
        <f t="shared" si="143"/>
        <v>2.0166666666666666</v>
      </c>
      <c r="AD408" s="48">
        <f>AA408*IncaC</f>
        <v>5.1431111111111107</v>
      </c>
      <c r="AE408" s="104">
        <f>IF(Table1[[#This Row],[Work Center]]="SwissQ",Materials!G$37,IF(Table1[[#This Row],[Work Center]]="Inca",Materials!G$29,IF(Table1[[#This Row],[Work Center]]="Canon",Materials!G$49,Materials!G$45)))</f>
        <v>8</v>
      </c>
      <c r="AF408" s="296">
        <f>'Cali FPS'!C11</f>
        <v>55.475000000000001</v>
      </c>
      <c r="AG408" s="83"/>
      <c r="AH408" s="498">
        <f t="shared" si="144"/>
        <v>10.5</v>
      </c>
      <c r="AI408" s="498"/>
      <c r="AJ408" s="69">
        <f t="shared" si="138"/>
        <v>81.134777777777771</v>
      </c>
      <c r="AK408" s="650">
        <f t="shared" si="141"/>
        <v>0.61364391534391538</v>
      </c>
      <c r="AL408" s="225">
        <f>Table1[[#This Row],[WSP/Dealer]]/Table1[[#This Row],[OD Sq Inch]]</f>
        <v>1.25</v>
      </c>
      <c r="AM408" s="218">
        <f>Table1[[#This Row],[OD Wdth]]*Table1[[#This Row],[OD Hgt]]</f>
        <v>168</v>
      </c>
      <c r="AN408" s="216">
        <f>Table1[[#This Row],[Min VO]]+Table1[[#This Row],[Max VO]]</f>
        <v>26</v>
      </c>
      <c r="AO408" s="284"/>
      <c r="AP408" s="284"/>
      <c r="AQ408" s="296"/>
      <c r="AR408" s="296"/>
      <c r="AS408" s="296"/>
      <c r="AT408" s="176"/>
      <c r="AU408" s="1358" t="str">
        <f t="shared" ref="AU408:AU471" si="145">IF(AQ408=0,"-",(AQ408-AT408)/AQ408)</f>
        <v>-</v>
      </c>
    </row>
    <row r="409" spans="1:47" s="88" customFormat="1" ht="16" x14ac:dyDescent="0.2">
      <c r="A409" s="60" t="s">
        <v>58</v>
      </c>
      <c r="B409" s="1061" t="s">
        <v>587</v>
      </c>
      <c r="C409" s="293" t="s">
        <v>1185</v>
      </c>
      <c r="D409" s="94"/>
      <c r="E409" s="294" t="s">
        <v>1186</v>
      </c>
      <c r="F409" s="294" t="s">
        <v>124</v>
      </c>
      <c r="G409" s="295" t="s">
        <v>1187</v>
      </c>
      <c r="H409" s="295" t="s">
        <v>1187</v>
      </c>
      <c r="I409" s="181" t="s">
        <v>52</v>
      </c>
      <c r="J409" s="181" t="s">
        <v>53</v>
      </c>
      <c r="K409" s="295" t="s">
        <v>54</v>
      </c>
      <c r="L409" s="181" t="s">
        <v>55</v>
      </c>
      <c r="M409" s="292">
        <v>350</v>
      </c>
      <c r="N409" s="639">
        <v>360</v>
      </c>
      <c r="O409" s="180" t="s">
        <v>56</v>
      </c>
      <c r="P409" s="180">
        <v>24</v>
      </c>
      <c r="Q409" s="180">
        <v>28</v>
      </c>
      <c r="R409" s="60">
        <v>24</v>
      </c>
      <c r="S409" s="60">
        <v>28</v>
      </c>
      <c r="T409" s="698">
        <f>Table1[[#This Row],[VO Wdth]]</f>
        <v>24</v>
      </c>
      <c r="U409" s="698">
        <f>Table1[[#This Row],[VO Hgt]]</f>
        <v>28</v>
      </c>
      <c r="V409" s="913">
        <f t="shared" si="139"/>
        <v>32</v>
      </c>
      <c r="W409" s="913">
        <f t="shared" si="140"/>
        <v>36</v>
      </c>
      <c r="X409" s="289">
        <v>40</v>
      </c>
      <c r="Y409" s="180"/>
      <c r="Z409" s="180"/>
      <c r="AA409" s="722">
        <f t="shared" si="142"/>
        <v>8</v>
      </c>
      <c r="AB409" s="125">
        <f>AA409*IncaG</f>
        <v>168.32</v>
      </c>
      <c r="AC409" s="69">
        <f t="shared" si="143"/>
        <v>5.28</v>
      </c>
      <c r="AD409" s="48">
        <f>AA409*IncaC</f>
        <v>13.4656</v>
      </c>
      <c r="AE409" s="104">
        <f>IF(Table1[[#This Row],[Work Center]]="SwissQ",Materials!G$37,IF(Table1[[#This Row],[Work Center]]="Inca",Materials!G$29,IF(Table1[[#This Row],[Work Center]]="Canon",Materials!G$49,Materials!G$45)))</f>
        <v>8</v>
      </c>
      <c r="AF409" s="296">
        <f>'Cali FPS'!C$33</f>
        <v>73.5</v>
      </c>
      <c r="AG409" s="83"/>
      <c r="AH409" s="498">
        <f t="shared" si="144"/>
        <v>17.5</v>
      </c>
      <c r="AI409" s="498"/>
      <c r="AJ409" s="69">
        <f t="shared" si="138"/>
        <v>117.7456</v>
      </c>
      <c r="AK409" s="650">
        <f t="shared" si="141"/>
        <v>0.66358400000000006</v>
      </c>
      <c r="AL409" s="225">
        <f>Table1[[#This Row],[WSP/Dealer]]/Table1[[#This Row],[OD Sq Inch]]</f>
        <v>0.52083333333333337</v>
      </c>
      <c r="AM409" s="218">
        <f>Table1[[#This Row],[OD Wdth]]*Table1[[#This Row],[OD Hgt]]</f>
        <v>672</v>
      </c>
      <c r="AN409" s="216">
        <f>Table1[[#This Row],[Min VO]]+Table1[[#This Row],[Max VO]]</f>
        <v>52</v>
      </c>
      <c r="AO409" s="284"/>
      <c r="AP409" s="284"/>
      <c r="AQ409" s="296"/>
      <c r="AR409" s="296"/>
      <c r="AS409" s="296"/>
      <c r="AT409" s="176"/>
      <c r="AU409" s="1358" t="str">
        <f t="shared" si="145"/>
        <v>-</v>
      </c>
    </row>
    <row r="410" spans="1:47" s="103" customFormat="1" hidden="1" x14ac:dyDescent="0.2">
      <c r="A410" s="551" t="s">
        <v>140</v>
      </c>
      <c r="B410" s="1061" t="s">
        <v>141</v>
      </c>
      <c r="C410" s="878" t="s">
        <v>1188</v>
      </c>
      <c r="D410" s="94"/>
      <c r="E410" s="653" t="s">
        <v>1189</v>
      </c>
      <c r="F410" s="653" t="s">
        <v>144</v>
      </c>
      <c r="G410" s="551" t="s">
        <v>637</v>
      </c>
      <c r="H410" s="551" t="s">
        <v>1119</v>
      </c>
      <c r="I410" s="880" t="s">
        <v>52</v>
      </c>
      <c r="J410" s="879" t="s">
        <v>53</v>
      </c>
      <c r="K410" s="551" t="s">
        <v>69</v>
      </c>
      <c r="L410" s="880" t="s">
        <v>70</v>
      </c>
      <c r="M410" s="857">
        <v>1100</v>
      </c>
      <c r="N410" s="858">
        <f>Table1[[#This Row],[WSP/Dealer]]/0.35</f>
        <v>3142.8571428571431</v>
      </c>
      <c r="O410" s="551" t="s">
        <v>56</v>
      </c>
      <c r="P410" s="45">
        <v>60</v>
      </c>
      <c r="Q410" s="45">
        <v>48</v>
      </c>
      <c r="R410" s="551">
        <v>48</v>
      </c>
      <c r="S410" s="45">
        <v>60</v>
      </c>
      <c r="T410" s="984">
        <v>61</v>
      </c>
      <c r="U410" s="984">
        <v>49</v>
      </c>
      <c r="V410" s="859">
        <f t="shared" si="139"/>
        <v>68</v>
      </c>
      <c r="W410" s="859">
        <f t="shared" si="140"/>
        <v>56</v>
      </c>
      <c r="X410" s="311">
        <v>69</v>
      </c>
      <c r="Y410" s="551">
        <v>68</v>
      </c>
      <c r="Z410" s="551">
        <v>56</v>
      </c>
      <c r="AA410" s="860">
        <f t="shared" si="142"/>
        <v>26.444444444444443</v>
      </c>
      <c r="AB410" s="861">
        <f>AA410*IncaG</f>
        <v>556.39111111111106</v>
      </c>
      <c r="AC410" s="863">
        <f t="shared" si="143"/>
        <v>17.453333333333333</v>
      </c>
      <c r="AD410" s="876">
        <f>Table1[[#This Row],[Substrate SF]]*IncaC</f>
        <v>44.511288888888885</v>
      </c>
      <c r="AE410" s="863">
        <f>IF(Table1[[#This Row],[Work Center]]="SwissQ",Materials!G$37,IF(Table1[[#This Row],[Work Center]]="Inca",Materials!G$29,IF(Table1[[#This Row],[Work Center]]="Canon",Materials!G$49,Materials!G$45)))</f>
        <v>8</v>
      </c>
      <c r="AF410" s="870">
        <f>'Cali Frames'!D335</f>
        <v>258.27999999999997</v>
      </c>
      <c r="AG410" s="653"/>
      <c r="AH410" s="865">
        <f t="shared" si="144"/>
        <v>55</v>
      </c>
      <c r="AI410" s="865"/>
      <c r="AJ410" s="867">
        <f t="shared" si="138"/>
        <v>383.24462222222218</v>
      </c>
      <c r="AK410" s="866">
        <f t="shared" si="141"/>
        <v>0.65159579797979794</v>
      </c>
      <c r="AL410" s="867">
        <f>Table1[[#This Row],[WSP/Dealer]]/Table1[[#This Row],[OD Sq Inch]]</f>
        <v>0.36801605888256944</v>
      </c>
      <c r="AM410" s="868">
        <f>Table1[[#This Row],[OD Wdth]]*Table1[[#This Row],[OD Hgt]]</f>
        <v>2989</v>
      </c>
      <c r="AN410" s="869">
        <f>Table1[[#This Row],[Min VO]]+Table1[[#This Row],[Max VO]]</f>
        <v>108</v>
      </c>
      <c r="AO410" s="1545"/>
      <c r="AP410" s="653"/>
      <c r="AQ410" s="864"/>
      <c r="AR410" s="864"/>
      <c r="AS410" s="864"/>
      <c r="AT410" s="863"/>
      <c r="AU410" s="1705" t="str">
        <f t="shared" si="145"/>
        <v>-</v>
      </c>
    </row>
    <row r="411" spans="1:47" s="63" customFormat="1" hidden="1" x14ac:dyDescent="0.2">
      <c r="A411" s="400" t="s">
        <v>95</v>
      </c>
      <c r="B411" s="279" t="s">
        <v>96</v>
      </c>
      <c r="C411" s="625" t="s">
        <v>1188</v>
      </c>
      <c r="D411" s="94"/>
      <c r="E411" s="115" t="s">
        <v>1189</v>
      </c>
      <c r="F411" s="115" t="s">
        <v>144</v>
      </c>
      <c r="G411" s="101" t="s">
        <v>637</v>
      </c>
      <c r="H411" s="101" t="s">
        <v>1119</v>
      </c>
      <c r="I411" s="407" t="s">
        <v>52</v>
      </c>
      <c r="J411" s="658" t="s">
        <v>53</v>
      </c>
      <c r="K411" s="101" t="s">
        <v>69</v>
      </c>
      <c r="L411" s="407" t="s">
        <v>70</v>
      </c>
      <c r="M411" s="299">
        <v>1250</v>
      </c>
      <c r="N411" s="102"/>
      <c r="O411" s="101" t="s">
        <v>64</v>
      </c>
      <c r="P411" s="101">
        <v>60</v>
      </c>
      <c r="Q411" s="101">
        <v>48</v>
      </c>
      <c r="R411" s="101">
        <v>48</v>
      </c>
      <c r="S411" s="101">
        <v>60</v>
      </c>
      <c r="T411" s="697">
        <v>61</v>
      </c>
      <c r="U411" s="697">
        <v>49</v>
      </c>
      <c r="V411" s="608">
        <f t="shared" si="139"/>
        <v>68</v>
      </c>
      <c r="W411" s="608">
        <f t="shared" si="140"/>
        <v>56</v>
      </c>
      <c r="X411" s="137">
        <v>69</v>
      </c>
      <c r="Y411" s="101">
        <v>68</v>
      </c>
      <c r="Z411" s="101">
        <v>56</v>
      </c>
      <c r="AA411" s="649">
        <f t="shared" si="142"/>
        <v>26.444444444444443</v>
      </c>
      <c r="AB411" s="184">
        <f>AA411*Swiss1</f>
        <v>748.37777777777774</v>
      </c>
      <c r="AC411" s="104">
        <f t="shared" si="143"/>
        <v>17.453333333333333</v>
      </c>
      <c r="AD411" s="104">
        <f>Table1[[#This Row],[Substrate SF]]*Materials!C$37</f>
        <v>74.044444444444437</v>
      </c>
      <c r="AE411" s="104">
        <f>IF(Table1[[#This Row],[Work Center]]="SwissQ",Materials!G$37,IF(Table1[[#This Row],[Work Center]]="Inca",Materials!G$29,IF(Table1[[#This Row],[Work Center]]="Canon",Materials!G$49,Materials!G$45)))</f>
        <v>20</v>
      </c>
      <c r="AF411" s="408">
        <f>'Cali Frames'!D335</f>
        <v>258.27999999999997</v>
      </c>
      <c r="AG411" s="115"/>
      <c r="AH411" s="104">
        <f t="shared" si="144"/>
        <v>62.5</v>
      </c>
      <c r="AI411" s="104"/>
      <c r="AJ411" s="104">
        <f t="shared" si="138"/>
        <v>432.27777777777771</v>
      </c>
      <c r="AK411" s="830">
        <f t="shared" si="141"/>
        <v>0.65417777777777786</v>
      </c>
      <c r="AL411" s="660">
        <f>Table1[[#This Row],[WSP/Dealer]]/Table1[[#This Row],[OD Sq Inch]]</f>
        <v>0.41820006691201073</v>
      </c>
      <c r="AM411" s="266">
        <f>Table1[[#This Row],[OD Wdth]]*Table1[[#This Row],[OD Hgt]]</f>
        <v>2989</v>
      </c>
      <c r="AN411" s="266">
        <f>Table1[[#This Row],[Min VO]]+Table1[[#This Row],[Max VO]]</f>
        <v>108</v>
      </c>
      <c r="AO411" s="115"/>
      <c r="AP411" s="115"/>
      <c r="AQ411" s="121"/>
      <c r="AR411" s="121"/>
      <c r="AS411" s="121"/>
      <c r="AT411" s="104"/>
      <c r="AU411" s="1359" t="str">
        <f t="shared" si="145"/>
        <v>-</v>
      </c>
    </row>
    <row r="412" spans="1:47" s="325" customFormat="1" x14ac:dyDescent="0.2">
      <c r="A412" s="101" t="s">
        <v>58</v>
      </c>
      <c r="B412" s="1067" t="s">
        <v>1190</v>
      </c>
      <c r="C412" s="625" t="s">
        <v>1191</v>
      </c>
      <c r="D412" s="168"/>
      <c r="E412" s="115" t="s">
        <v>1189</v>
      </c>
      <c r="F412" s="115" t="s">
        <v>144</v>
      </c>
      <c r="G412" s="101" t="s">
        <v>637</v>
      </c>
      <c r="H412" s="101" t="s">
        <v>637</v>
      </c>
      <c r="I412" s="407" t="s">
        <v>52</v>
      </c>
      <c r="J412" s="658" t="s">
        <v>53</v>
      </c>
      <c r="K412" s="101" t="s">
        <v>54</v>
      </c>
      <c r="L412" s="407" t="s">
        <v>55</v>
      </c>
      <c r="M412" s="114">
        <v>950</v>
      </c>
      <c r="N412" s="114"/>
      <c r="O412" s="101" t="s">
        <v>56</v>
      </c>
      <c r="P412" s="551">
        <v>60</v>
      </c>
      <c r="Q412" s="551">
        <v>48</v>
      </c>
      <c r="R412" s="551">
        <v>48</v>
      </c>
      <c r="S412" s="551">
        <v>60</v>
      </c>
      <c r="T412" s="984">
        <v>61</v>
      </c>
      <c r="U412" s="984">
        <v>49</v>
      </c>
      <c r="V412" s="881">
        <f t="shared" si="139"/>
        <v>68</v>
      </c>
      <c r="W412" s="881">
        <f t="shared" si="140"/>
        <v>56</v>
      </c>
      <c r="X412" s="311">
        <v>69</v>
      </c>
      <c r="Y412" s="551">
        <v>68</v>
      </c>
      <c r="Z412" s="551">
        <v>56</v>
      </c>
      <c r="AA412" s="860">
        <f t="shared" si="142"/>
        <v>26.444444444444443</v>
      </c>
      <c r="AB412" s="861">
        <f>AA412*IncaG</f>
        <v>556.39111111111106</v>
      </c>
      <c r="AC412" s="863">
        <f t="shared" si="143"/>
        <v>17.453333333333333</v>
      </c>
      <c r="AD412" s="994">
        <f>Table1[[#This Row],[Substrate SF]]*IncaC</f>
        <v>44.511288888888885</v>
      </c>
      <c r="AE412" s="863">
        <f>IF(Table1[[#This Row],[Work Center]]="SwissQ",Materials!G$37,IF(Table1[[#This Row],[Work Center]]="Inca",Materials!G$29,IF(Table1[[#This Row],[Work Center]]="Canon",Materials!G$49,Materials!G$45)))</f>
        <v>8</v>
      </c>
      <c r="AF412" s="1018">
        <f>'Cali FPS'!C121</f>
        <v>188.18</v>
      </c>
      <c r="AG412" s="115"/>
      <c r="AH412" s="867">
        <f t="shared" si="144"/>
        <v>47.5</v>
      </c>
      <c r="AI412" s="867"/>
      <c r="AJ412" s="867">
        <f t="shared" si="138"/>
        <v>305.64462222222221</v>
      </c>
      <c r="AK412" s="1087">
        <f t="shared" si="141"/>
        <v>0.67826881871345035</v>
      </c>
      <c r="AL412" s="867">
        <f>Table1[[#This Row],[WSP/Dealer]]/Table1[[#This Row],[OD Sq Inch]]</f>
        <v>0.31783205085312816</v>
      </c>
      <c r="AM412" s="869">
        <f>Table1[[#This Row],[OD Wdth]]*Table1[[#This Row],[OD Hgt]]</f>
        <v>2989</v>
      </c>
      <c r="AN412" s="869">
        <f>Table1[[#This Row],[Min VO]]+Table1[[#This Row],[Max VO]]</f>
        <v>108</v>
      </c>
      <c r="AO412" s="115"/>
      <c r="AP412" s="115"/>
      <c r="AQ412" s="121"/>
      <c r="AR412" s="121"/>
      <c r="AS412" s="121"/>
      <c r="AT412" s="104"/>
      <c r="AU412" s="1359" t="str">
        <f t="shared" si="145"/>
        <v>-</v>
      </c>
    </row>
    <row r="413" spans="1:47" s="399" customFormat="1" hidden="1" x14ac:dyDescent="0.2">
      <c r="A413" s="551" t="s">
        <v>140</v>
      </c>
      <c r="B413" s="279" t="s">
        <v>141</v>
      </c>
      <c r="C413" s="878" t="s">
        <v>1192</v>
      </c>
      <c r="D413" s="94"/>
      <c r="E413" s="653" t="s">
        <v>1193</v>
      </c>
      <c r="F413" s="653" t="s">
        <v>144</v>
      </c>
      <c r="G413" s="551" t="s">
        <v>637</v>
      </c>
      <c r="H413" s="551" t="s">
        <v>1119</v>
      </c>
      <c r="I413" s="880" t="s">
        <v>52</v>
      </c>
      <c r="J413" s="879" t="s">
        <v>53</v>
      </c>
      <c r="K413" s="551" t="s">
        <v>69</v>
      </c>
      <c r="L413" s="880" t="s">
        <v>70</v>
      </c>
      <c r="M413" s="857">
        <v>1100</v>
      </c>
      <c r="N413" s="858">
        <f>Table1[[#This Row],[WSP/Dealer]]/0.35</f>
        <v>3142.8571428571431</v>
      </c>
      <c r="O413" s="551" t="s">
        <v>56</v>
      </c>
      <c r="P413" s="551">
        <v>60</v>
      </c>
      <c r="Q413" s="551">
        <v>48</v>
      </c>
      <c r="R413" s="551">
        <v>48</v>
      </c>
      <c r="S413" s="551">
        <v>60</v>
      </c>
      <c r="T413" s="984">
        <v>61</v>
      </c>
      <c r="U413" s="984">
        <v>49</v>
      </c>
      <c r="V413" s="881">
        <f t="shared" si="139"/>
        <v>68</v>
      </c>
      <c r="W413" s="881">
        <f t="shared" si="140"/>
        <v>56</v>
      </c>
      <c r="X413" s="311">
        <v>69</v>
      </c>
      <c r="Y413" s="551">
        <v>68</v>
      </c>
      <c r="Z413" s="551">
        <v>56</v>
      </c>
      <c r="AA413" s="860">
        <f t="shared" si="142"/>
        <v>26.444444444444443</v>
      </c>
      <c r="AB413" s="861">
        <f>AA413*IncaG</f>
        <v>556.39111111111106</v>
      </c>
      <c r="AC413" s="863">
        <f t="shared" si="143"/>
        <v>17.453333333333333</v>
      </c>
      <c r="AD413" s="876">
        <f>Table1[[#This Row],[Substrate SF]]*IncaC</f>
        <v>44.511288888888885</v>
      </c>
      <c r="AE413" s="863">
        <f>IF(Table1[[#This Row],[Work Center]]="SwissQ",Materials!G$37,IF(Table1[[#This Row],[Work Center]]="Inca",Materials!G$29,IF(Table1[[#This Row],[Work Center]]="Canon",Materials!G$49,Materials!G$45)))</f>
        <v>8</v>
      </c>
      <c r="AF413" s="870">
        <f>'Cali Frames'!D335</f>
        <v>258.27999999999997</v>
      </c>
      <c r="AG413" s="653"/>
      <c r="AH413" s="867">
        <f t="shared" si="144"/>
        <v>55</v>
      </c>
      <c r="AI413" s="867"/>
      <c r="AJ413" s="867">
        <f t="shared" si="138"/>
        <v>383.24462222222218</v>
      </c>
      <c r="AK413" s="1087">
        <f t="shared" si="141"/>
        <v>0.65159579797979794</v>
      </c>
      <c r="AL413" s="867">
        <f>Table1[[#This Row],[WSP/Dealer]]/Table1[[#This Row],[OD Sq Inch]]</f>
        <v>0.36801605888256944</v>
      </c>
      <c r="AM413" s="868">
        <f>Table1[[#This Row],[OD Wdth]]*Table1[[#This Row],[OD Hgt]]</f>
        <v>2989</v>
      </c>
      <c r="AN413" s="869">
        <f>Table1[[#This Row],[Min VO]]+Table1[[#This Row],[Max VO]]</f>
        <v>108</v>
      </c>
      <c r="AO413" s="653"/>
      <c r="AP413" s="653"/>
      <c r="AQ413" s="864"/>
      <c r="AR413" s="864"/>
      <c r="AS413" s="864"/>
      <c r="AT413" s="863"/>
      <c r="AU413" s="1364" t="str">
        <f t="shared" si="145"/>
        <v>-</v>
      </c>
    </row>
    <row r="414" spans="1:47" s="173" customFormat="1" hidden="1" x14ac:dyDescent="0.2">
      <c r="A414" s="400" t="s">
        <v>95</v>
      </c>
      <c r="B414" s="1061" t="s">
        <v>96</v>
      </c>
      <c r="C414" s="625" t="s">
        <v>1192</v>
      </c>
      <c r="D414" s="94"/>
      <c r="E414" s="115" t="s">
        <v>1193</v>
      </c>
      <c r="F414" s="115" t="s">
        <v>144</v>
      </c>
      <c r="G414" s="101" t="s">
        <v>637</v>
      </c>
      <c r="H414" s="101" t="s">
        <v>1119</v>
      </c>
      <c r="I414" s="407" t="s">
        <v>52</v>
      </c>
      <c r="J414" s="658" t="s">
        <v>53</v>
      </c>
      <c r="K414" s="101" t="s">
        <v>69</v>
      </c>
      <c r="L414" s="407" t="s">
        <v>70</v>
      </c>
      <c r="M414" s="299">
        <v>1250</v>
      </c>
      <c r="N414" s="102"/>
      <c r="O414" s="101" t="s">
        <v>64</v>
      </c>
      <c r="P414" s="101">
        <v>60</v>
      </c>
      <c r="Q414" s="101">
        <v>48</v>
      </c>
      <c r="R414" s="101">
        <v>48</v>
      </c>
      <c r="S414" s="103">
        <v>60</v>
      </c>
      <c r="T414" s="116">
        <v>61</v>
      </c>
      <c r="U414" s="116">
        <v>49</v>
      </c>
      <c r="V414" s="106">
        <f t="shared" si="139"/>
        <v>68</v>
      </c>
      <c r="W414" s="106">
        <f t="shared" si="140"/>
        <v>56</v>
      </c>
      <c r="X414" s="137">
        <v>69</v>
      </c>
      <c r="Y414" s="101">
        <v>68</v>
      </c>
      <c r="Z414" s="101">
        <v>56</v>
      </c>
      <c r="AA414" s="649">
        <f t="shared" si="142"/>
        <v>26.444444444444443</v>
      </c>
      <c r="AB414" s="184">
        <f>AA414*Swiss1</f>
        <v>748.37777777777774</v>
      </c>
      <c r="AC414" s="104">
        <f t="shared" si="143"/>
        <v>17.453333333333333</v>
      </c>
      <c r="AD414" s="107">
        <f>Table1[[#This Row],[Substrate SF]]*Materials!C$37</f>
        <v>74.044444444444437</v>
      </c>
      <c r="AE414" s="104">
        <f>IF(Table1[[#This Row],[Work Center]]="SwissQ",Materials!G$37,IF(Table1[[#This Row],[Work Center]]="Inca",Materials!G$29,IF(Table1[[#This Row],[Work Center]]="Canon",Materials!G$49,Materials!G$45)))</f>
        <v>20</v>
      </c>
      <c r="AF414" s="408">
        <f>'Cali Frames'!D335</f>
        <v>258.27999999999997</v>
      </c>
      <c r="AG414" s="115"/>
      <c r="AH414" s="104">
        <f t="shared" si="144"/>
        <v>62.5</v>
      </c>
      <c r="AI414" s="104"/>
      <c r="AJ414" s="104">
        <f t="shared" si="138"/>
        <v>432.27777777777771</v>
      </c>
      <c r="AK414" s="830">
        <f t="shared" si="141"/>
        <v>0.65417777777777786</v>
      </c>
      <c r="AL414" s="660">
        <f>Table1[[#This Row],[WSP/Dealer]]/Table1[[#This Row],[OD Sq Inch]]</f>
        <v>0.41820006691201073</v>
      </c>
      <c r="AM414" s="229">
        <f>Table1[[#This Row],[OD Wdth]]*Table1[[#This Row],[OD Hgt]]</f>
        <v>2989</v>
      </c>
      <c r="AN414" s="266">
        <f>Table1[[#This Row],[Min VO]]+Table1[[#This Row],[Max VO]]</f>
        <v>108</v>
      </c>
      <c r="AO414" s="115"/>
      <c r="AP414" s="115"/>
      <c r="AQ414" s="121"/>
      <c r="AR414" s="121"/>
      <c r="AS414" s="121"/>
      <c r="AT414" s="104"/>
      <c r="AU414" s="1359" t="str">
        <f t="shared" si="145"/>
        <v>-</v>
      </c>
    </row>
    <row r="415" spans="1:47" s="170" customFormat="1" x14ac:dyDescent="0.2">
      <c r="A415" s="101" t="s">
        <v>58</v>
      </c>
      <c r="B415" s="1067" t="s">
        <v>1190</v>
      </c>
      <c r="C415" s="625" t="s">
        <v>1194</v>
      </c>
      <c r="D415" s="168"/>
      <c r="E415" s="115" t="s">
        <v>1193</v>
      </c>
      <c r="F415" s="115" t="s">
        <v>144</v>
      </c>
      <c r="G415" s="101" t="s">
        <v>637</v>
      </c>
      <c r="H415" s="101" t="s">
        <v>637</v>
      </c>
      <c r="I415" s="407" t="s">
        <v>52</v>
      </c>
      <c r="J415" s="658" t="s">
        <v>53</v>
      </c>
      <c r="K415" s="101" t="s">
        <v>54</v>
      </c>
      <c r="L415" s="407" t="s">
        <v>55</v>
      </c>
      <c r="M415" s="114">
        <v>950</v>
      </c>
      <c r="N415" s="114"/>
      <c r="O415" s="101" t="s">
        <v>56</v>
      </c>
      <c r="P415" s="551">
        <v>60</v>
      </c>
      <c r="Q415" s="551">
        <v>48</v>
      </c>
      <c r="R415" s="551">
        <v>48</v>
      </c>
      <c r="S415" s="551">
        <v>60</v>
      </c>
      <c r="T415" s="984">
        <v>61</v>
      </c>
      <c r="U415" s="984">
        <v>49</v>
      </c>
      <c r="V415" s="859">
        <f t="shared" si="139"/>
        <v>68</v>
      </c>
      <c r="W415" s="859">
        <f t="shared" si="140"/>
        <v>56</v>
      </c>
      <c r="X415" s="311">
        <v>69</v>
      </c>
      <c r="Y415" s="551">
        <v>68</v>
      </c>
      <c r="Z415" s="551">
        <v>56</v>
      </c>
      <c r="AA415" s="860">
        <f t="shared" si="142"/>
        <v>26.444444444444443</v>
      </c>
      <c r="AB415" s="861">
        <f>AA415*IncaG</f>
        <v>556.39111111111106</v>
      </c>
      <c r="AC415" s="863">
        <f t="shared" si="143"/>
        <v>17.453333333333333</v>
      </c>
      <c r="AD415" s="876">
        <f>Table1[[#This Row],[Substrate SF]]*IncaC</f>
        <v>44.511288888888885</v>
      </c>
      <c r="AE415" s="863">
        <f>IF(Table1[[#This Row],[Work Center]]="SwissQ",Materials!G$37,IF(Table1[[#This Row],[Work Center]]="Inca",Materials!G$29,IF(Table1[[#This Row],[Work Center]]="Canon",Materials!G$49,Materials!G$45)))</f>
        <v>8</v>
      </c>
      <c r="AF415" s="408">
        <f>'Cali FPS'!C121</f>
        <v>188.18</v>
      </c>
      <c r="AG415" s="115"/>
      <c r="AH415" s="104">
        <f t="shared" si="144"/>
        <v>47.5</v>
      </c>
      <c r="AI415" s="104"/>
      <c r="AJ415" s="104">
        <f t="shared" si="138"/>
        <v>305.64462222222221</v>
      </c>
      <c r="AK415" s="830">
        <f t="shared" si="141"/>
        <v>0.67826881871345035</v>
      </c>
      <c r="AL415" s="660">
        <f>Table1[[#This Row],[WSP/Dealer]]/Table1[[#This Row],[OD Sq Inch]]</f>
        <v>0.31783205085312816</v>
      </c>
      <c r="AM415" s="229">
        <f>Table1[[#This Row],[OD Wdth]]*Table1[[#This Row],[OD Hgt]]</f>
        <v>2989</v>
      </c>
      <c r="AN415" s="266">
        <f>Table1[[#This Row],[Min VO]]+Table1[[#This Row],[Max VO]]</f>
        <v>108</v>
      </c>
      <c r="AO415" s="266"/>
      <c r="AP415" s="115"/>
      <c r="AQ415" s="121"/>
      <c r="AR415" s="121"/>
      <c r="AS415" s="121"/>
      <c r="AT415" s="104"/>
      <c r="AU415" s="1359" t="str">
        <f t="shared" si="145"/>
        <v>-</v>
      </c>
    </row>
    <row r="416" spans="1:47" s="173" customFormat="1" x14ac:dyDescent="0.2">
      <c r="A416" s="68" t="s">
        <v>58</v>
      </c>
      <c r="B416" s="1061"/>
      <c r="C416" s="100" t="s">
        <v>1195</v>
      </c>
      <c r="D416" s="94"/>
      <c r="E416" s="115" t="s">
        <v>1196</v>
      </c>
      <c r="F416" s="115" t="s">
        <v>1197</v>
      </c>
      <c r="G416" s="101" t="s">
        <v>1026</v>
      </c>
      <c r="H416" s="101" t="s">
        <v>1026</v>
      </c>
      <c r="I416" s="101" t="s">
        <v>52</v>
      </c>
      <c r="J416" s="101" t="s">
        <v>53</v>
      </c>
      <c r="K416" s="101" t="s">
        <v>54</v>
      </c>
      <c r="L416" s="101" t="s">
        <v>55</v>
      </c>
      <c r="M416" s="114">
        <v>400</v>
      </c>
      <c r="N416" s="829"/>
      <c r="O416" s="101" t="s">
        <v>64</v>
      </c>
      <c r="P416" s="101">
        <v>30</v>
      </c>
      <c r="Q416" s="101">
        <v>40</v>
      </c>
      <c r="R416" s="101">
        <v>30</v>
      </c>
      <c r="S416" s="101">
        <v>40</v>
      </c>
      <c r="T416" s="101">
        <v>30</v>
      </c>
      <c r="U416" s="101" t="str">
        <f>RIGHT(H416,2)</f>
        <v>40</v>
      </c>
      <c r="V416" s="608">
        <f t="shared" si="139"/>
        <v>38</v>
      </c>
      <c r="W416" s="608">
        <f t="shared" si="140"/>
        <v>48</v>
      </c>
      <c r="X416" s="137">
        <v>40</v>
      </c>
      <c r="Y416" s="101">
        <v>38</v>
      </c>
      <c r="Z416" s="101">
        <v>48</v>
      </c>
      <c r="AA416" s="815">
        <f t="shared" si="142"/>
        <v>12.666666666666666</v>
      </c>
      <c r="AB416" s="633">
        <f t="shared" ref="AB416:AB421" si="146">AA416*Swiss1</f>
        <v>358.46666666666664</v>
      </c>
      <c r="AC416" s="406">
        <f t="shared" si="143"/>
        <v>8.36</v>
      </c>
      <c r="AD416" s="104">
        <f t="shared" ref="AD416:AD422" si="147">AA416*SWISSC1</f>
        <v>35.466666666666661</v>
      </c>
      <c r="AE416" s="104">
        <f>IF(Table1[[#This Row],[Work Center]]="SwissQ",Materials!G$37,IF(Table1[[#This Row],[Work Center]]="Inca",Materials!G$29,IF(Table1[[#This Row],[Work Center]]="Canon",Materials!G$49,Materials!G$45)))</f>
        <v>20</v>
      </c>
      <c r="AF416" s="104">
        <f>'Cali FPS'!C48</f>
        <v>76.3</v>
      </c>
      <c r="AG416" s="115"/>
      <c r="AH416" s="104">
        <f t="shared" si="144"/>
        <v>20</v>
      </c>
      <c r="AI416" s="104"/>
      <c r="AJ416" s="104">
        <f t="shared" si="138"/>
        <v>160.12666666666667</v>
      </c>
      <c r="AK416" s="830">
        <f t="shared" si="141"/>
        <v>0.59968333333333335</v>
      </c>
      <c r="AL416" s="660">
        <f>Table1[[#This Row],[WSP/Dealer]]/Table1[[#This Row],[OD Sq Inch]]</f>
        <v>0.33333333333333331</v>
      </c>
      <c r="AM416" s="101">
        <f>Table1[[#This Row],[OD Wdth]]*Table1[[#This Row],[OD Hgt]]</f>
        <v>1200</v>
      </c>
      <c r="AN416" s="266">
        <f>Table1[[#This Row],[Min VO]]+Table1[[#This Row],[Max VO]]</f>
        <v>70</v>
      </c>
      <c r="AO416" s="101"/>
      <c r="AP416" s="101"/>
      <c r="AQ416" s="104"/>
      <c r="AR416" s="104"/>
      <c r="AS416" s="104"/>
      <c r="AT416" s="104"/>
      <c r="AU416" s="830" t="str">
        <f t="shared" si="145"/>
        <v>-</v>
      </c>
    </row>
    <row r="417" spans="1:47" s="170" customFormat="1" x14ac:dyDescent="0.2">
      <c r="A417" s="68" t="s">
        <v>58</v>
      </c>
      <c r="B417" s="1152" t="s">
        <v>599</v>
      </c>
      <c r="C417" s="805" t="s">
        <v>1198</v>
      </c>
      <c r="D417" s="94"/>
      <c r="E417" s="84" t="s">
        <v>1199</v>
      </c>
      <c r="F417" s="84" t="s">
        <v>1197</v>
      </c>
      <c r="G417" s="68" t="s">
        <v>1200</v>
      </c>
      <c r="H417" s="68" t="s">
        <v>1200</v>
      </c>
      <c r="I417" s="68" t="s">
        <v>52</v>
      </c>
      <c r="J417" s="140" t="s">
        <v>53</v>
      </c>
      <c r="K417" s="68" t="s">
        <v>54</v>
      </c>
      <c r="L417" s="68" t="s">
        <v>55</v>
      </c>
      <c r="M417" s="141">
        <v>1350</v>
      </c>
      <c r="N417" s="93"/>
      <c r="O417" s="68" t="s">
        <v>64</v>
      </c>
      <c r="P417" s="68">
        <v>60</v>
      </c>
      <c r="Q417" s="68">
        <v>80</v>
      </c>
      <c r="R417" s="68">
        <v>60</v>
      </c>
      <c r="S417" s="68">
        <v>80</v>
      </c>
      <c r="T417" s="68">
        <v>60</v>
      </c>
      <c r="U417" s="68">
        <v>80</v>
      </c>
      <c r="V417" s="608">
        <f t="shared" si="139"/>
        <v>68</v>
      </c>
      <c r="W417" s="608">
        <f t="shared" si="140"/>
        <v>88</v>
      </c>
      <c r="X417" s="68">
        <v>69</v>
      </c>
      <c r="Y417" s="68">
        <v>68</v>
      </c>
      <c r="Z417" s="68">
        <v>88</v>
      </c>
      <c r="AA417" s="766">
        <f t="shared" si="142"/>
        <v>41.555555555555557</v>
      </c>
      <c r="AB417" s="341">
        <f t="shared" si="146"/>
        <v>1176.0222222222224</v>
      </c>
      <c r="AC417" s="278">
        <f t="shared" si="143"/>
        <v>27.426666666666669</v>
      </c>
      <c r="AD417" s="67">
        <f t="shared" si="147"/>
        <v>116.35555555555555</v>
      </c>
      <c r="AE417" s="74">
        <f>IF(Table1[[#This Row],[Work Center]]="SwissQ",Materials!G$37,IF(Table1[[#This Row],[Work Center]]="Inca",Materials!G$29,IF(Table1[[#This Row],[Work Center]]="Canon",Materials!G$49,Materials!G$45)))</f>
        <v>20</v>
      </c>
      <c r="AF417" s="73">
        <f>'Cali FPS'!C160</f>
        <v>253.32999999999998</v>
      </c>
      <c r="AG417" s="84"/>
      <c r="AH417" s="104">
        <f t="shared" si="144"/>
        <v>67.5</v>
      </c>
      <c r="AI417" s="104"/>
      <c r="AJ417" s="104">
        <f t="shared" si="138"/>
        <v>484.61222222222221</v>
      </c>
      <c r="AK417" s="830">
        <f t="shared" si="141"/>
        <v>0.64102798353909463</v>
      </c>
      <c r="AL417" s="660">
        <f>Table1[[#This Row],[WSP/Dealer]]/Table1[[#This Row],[OD Sq Inch]]</f>
        <v>0.28125</v>
      </c>
      <c r="AM417" s="103">
        <f>Table1[[#This Row],[OD Wdth]]*Table1[[#This Row],[OD Hgt]]</f>
        <v>4800</v>
      </c>
      <c r="AN417" s="266">
        <f>Table1[[#This Row],[Min VO]]+Table1[[#This Row],[Max VO]]</f>
        <v>140</v>
      </c>
      <c r="AO417" s="84"/>
      <c r="AP417" s="84"/>
      <c r="AQ417" s="126"/>
      <c r="AR417" s="126"/>
      <c r="AS417" s="126"/>
      <c r="AT417" s="74"/>
      <c r="AU417" s="1357" t="str">
        <f t="shared" si="145"/>
        <v>-</v>
      </c>
    </row>
    <row r="418" spans="1:47" s="170" customFormat="1" x14ac:dyDescent="0.2">
      <c r="A418" s="68" t="s">
        <v>58</v>
      </c>
      <c r="B418" s="1063" t="s">
        <v>310</v>
      </c>
      <c r="C418" s="78" t="s">
        <v>1201</v>
      </c>
      <c r="D418" s="94"/>
      <c r="E418" s="84" t="s">
        <v>1199</v>
      </c>
      <c r="F418" s="84" t="s">
        <v>1197</v>
      </c>
      <c r="G418" s="68" t="s">
        <v>1200</v>
      </c>
      <c r="H418" s="68" t="s">
        <v>1202</v>
      </c>
      <c r="I418" s="68" t="s">
        <v>52</v>
      </c>
      <c r="J418" s="140" t="s">
        <v>53</v>
      </c>
      <c r="K418" s="68" t="s">
        <v>69</v>
      </c>
      <c r="L418" s="68" t="s">
        <v>76</v>
      </c>
      <c r="M418" s="93">
        <v>1550</v>
      </c>
      <c r="N418" s="93"/>
      <c r="O418" s="68" t="s">
        <v>64</v>
      </c>
      <c r="P418" s="68">
        <v>60</v>
      </c>
      <c r="Q418" s="68">
        <v>80</v>
      </c>
      <c r="R418" s="68">
        <v>60</v>
      </c>
      <c r="S418" s="68">
        <v>80</v>
      </c>
      <c r="T418" s="68">
        <v>61</v>
      </c>
      <c r="U418" s="68">
        <v>81</v>
      </c>
      <c r="V418" s="917">
        <f t="shared" si="139"/>
        <v>68</v>
      </c>
      <c r="W418" s="917">
        <f t="shared" si="140"/>
        <v>88</v>
      </c>
      <c r="X418" s="68">
        <v>69</v>
      </c>
      <c r="Y418" s="68">
        <v>68</v>
      </c>
      <c r="Z418" s="68">
        <v>88</v>
      </c>
      <c r="AA418" s="766">
        <f t="shared" si="142"/>
        <v>41.555555555555557</v>
      </c>
      <c r="AB418" s="341">
        <f t="shared" si="146"/>
        <v>1176.0222222222224</v>
      </c>
      <c r="AC418" s="278">
        <f t="shared" si="143"/>
        <v>27.426666666666669</v>
      </c>
      <c r="AD418" s="74">
        <f t="shared" si="147"/>
        <v>116.35555555555555</v>
      </c>
      <c r="AE418" s="74">
        <f>IF(Table1[[#This Row],[Work Center]]="SwissQ",Materials!G$37,IF(Table1[[#This Row],[Work Center]]="Inca",Materials!G$29,IF(Table1[[#This Row],[Work Center]]="Canon",Materials!G$49,Materials!G$45)))</f>
        <v>20</v>
      </c>
      <c r="AF418" s="73">
        <f>'Cali Frames'!D388</f>
        <v>371.28</v>
      </c>
      <c r="AG418" s="84"/>
      <c r="AH418" s="278">
        <f t="shared" si="144"/>
        <v>77.5</v>
      </c>
      <c r="AI418" s="278"/>
      <c r="AJ418" s="278">
        <f t="shared" si="138"/>
        <v>612.5622222222222</v>
      </c>
      <c r="AK418" s="1192">
        <f t="shared" si="141"/>
        <v>0.60479856630824369</v>
      </c>
      <c r="AL418" s="278">
        <f>Table1[[#This Row],[WSP/Dealer]]/Table1[[#This Row],[OD Sq Inch]]</f>
        <v>0.31370167982189839</v>
      </c>
      <c r="AM418" s="274">
        <f>Table1[[#This Row],[OD Wdth]]*Table1[[#This Row],[OD Hgt]]</f>
        <v>4941</v>
      </c>
      <c r="AN418" s="274">
        <f>Table1[[#This Row],[Min VO]]+Table1[[#This Row],[Max VO]]</f>
        <v>140</v>
      </c>
      <c r="AO418" s="84"/>
      <c r="AP418" s="84"/>
      <c r="AQ418" s="126">
        <f>(Table1[[#This Row],[Desgnr/Retail P]]*0.05)</f>
        <v>0</v>
      </c>
      <c r="AR418" s="126" t="b">
        <f>IF(A418="Codarus",(AP418*0.13))</f>
        <v>0</v>
      </c>
      <c r="AS418" s="126" t="e" cm="1">
        <f t="array" ref="AS418">SUM(AC418:AG418+AQ+AR)</f>
        <v>#NAME?</v>
      </c>
      <c r="AT418" s="74" t="e">
        <f>(AP418-AS418)/AP418</f>
        <v>#NAME?</v>
      </c>
      <c r="AU418" s="1357" t="str">
        <f t="shared" si="145"/>
        <v>-</v>
      </c>
    </row>
    <row r="419" spans="1:47" s="170" customFormat="1" x14ac:dyDescent="0.2">
      <c r="A419" s="68" t="s">
        <v>58</v>
      </c>
      <c r="B419" s="1063" t="s">
        <v>1203</v>
      </c>
      <c r="C419" s="78" t="s">
        <v>1204</v>
      </c>
      <c r="D419" s="94"/>
      <c r="E419" s="84" t="s">
        <v>1199</v>
      </c>
      <c r="F419" s="84" t="s">
        <v>1197</v>
      </c>
      <c r="G419" s="68" t="s">
        <v>1200</v>
      </c>
      <c r="H419" s="68" t="s">
        <v>1202</v>
      </c>
      <c r="I419" s="68" t="s">
        <v>52</v>
      </c>
      <c r="J419" s="140" t="s">
        <v>53</v>
      </c>
      <c r="K419" s="68" t="s">
        <v>69</v>
      </c>
      <c r="L419" s="68" t="s">
        <v>70</v>
      </c>
      <c r="M419" s="93">
        <v>1550</v>
      </c>
      <c r="N419" s="93"/>
      <c r="O419" s="68" t="s">
        <v>64</v>
      </c>
      <c r="P419" s="68">
        <v>60</v>
      </c>
      <c r="Q419" s="68">
        <v>80</v>
      </c>
      <c r="R419" s="68">
        <v>60</v>
      </c>
      <c r="S419" s="68">
        <v>80</v>
      </c>
      <c r="T419" s="68">
        <v>61</v>
      </c>
      <c r="U419" s="68">
        <v>81</v>
      </c>
      <c r="V419" s="917">
        <f t="shared" si="139"/>
        <v>68</v>
      </c>
      <c r="W419" s="917">
        <f t="shared" si="140"/>
        <v>88</v>
      </c>
      <c r="X419" s="68">
        <v>69</v>
      </c>
      <c r="Y419" s="68">
        <v>68</v>
      </c>
      <c r="Z419" s="68">
        <v>88</v>
      </c>
      <c r="AA419" s="766">
        <f t="shared" si="142"/>
        <v>41.555555555555557</v>
      </c>
      <c r="AB419" s="341">
        <f t="shared" si="146"/>
        <v>1176.0222222222224</v>
      </c>
      <c r="AC419" s="278">
        <f t="shared" si="143"/>
        <v>27.426666666666669</v>
      </c>
      <c r="AD419" s="67">
        <f t="shared" si="147"/>
        <v>116.35555555555555</v>
      </c>
      <c r="AE419" s="74">
        <f>IF(Table1[[#This Row],[Work Center]]="SwissQ",Materials!G$37,IF(Table1[[#This Row],[Work Center]]="Inca",Materials!G$29,IF(Table1[[#This Row],[Work Center]]="Canon",Materials!G$49,Materials!G$45)))</f>
        <v>20</v>
      </c>
      <c r="AF419" s="73">
        <f>'Cali Frames'!D351</f>
        <v>334.74</v>
      </c>
      <c r="AG419" s="84"/>
      <c r="AH419" s="278">
        <f t="shared" si="144"/>
        <v>77.5</v>
      </c>
      <c r="AI419" s="278"/>
      <c r="AJ419" s="278">
        <f t="shared" si="138"/>
        <v>576.02222222222224</v>
      </c>
      <c r="AK419" s="1192">
        <f t="shared" si="141"/>
        <v>0.62837275985663077</v>
      </c>
      <c r="AL419" s="278">
        <f>Table1[[#This Row],[WSP/Dealer]]/Table1[[#This Row],[OD Sq Inch]]</f>
        <v>0.31370167982189839</v>
      </c>
      <c r="AM419" s="170">
        <f>Table1[[#This Row],[OD Wdth]]*Table1[[#This Row],[OD Hgt]]</f>
        <v>4941</v>
      </c>
      <c r="AN419" s="274">
        <f>Table1[[#This Row],[Min VO]]+Table1[[#This Row],[Max VO]]</f>
        <v>140</v>
      </c>
      <c r="AO419" s="84"/>
      <c r="AP419" s="84"/>
      <c r="AQ419" s="126">
        <f>(Table1[[#This Row],[Desgnr/Retail P]]*0.05)</f>
        <v>0</v>
      </c>
      <c r="AR419" s="126" t="b">
        <f>IF(A419="Codarus",(AP419*0.13))</f>
        <v>0</v>
      </c>
      <c r="AS419" s="126" t="e" cm="1">
        <f t="array" ref="AS419">SUM(AC419:AG419+AQ+AR)</f>
        <v>#NAME?</v>
      </c>
      <c r="AT419" s="74" t="e">
        <f>(AP419-AS419)/AP419</f>
        <v>#NAME?</v>
      </c>
      <c r="AU419" s="1357" t="str">
        <f t="shared" si="145"/>
        <v>-</v>
      </c>
    </row>
    <row r="420" spans="1:47" s="103" customFormat="1" x14ac:dyDescent="0.2">
      <c r="A420" s="68" t="s">
        <v>58</v>
      </c>
      <c r="B420" s="1063" t="s">
        <v>1205</v>
      </c>
      <c r="C420" s="78" t="s">
        <v>1206</v>
      </c>
      <c r="D420" s="94"/>
      <c r="E420" s="84" t="s">
        <v>1199</v>
      </c>
      <c r="F420" s="84" t="s">
        <v>1197</v>
      </c>
      <c r="G420" s="68" t="s">
        <v>1200</v>
      </c>
      <c r="H420" s="68" t="s">
        <v>1202</v>
      </c>
      <c r="I420" s="68" t="s">
        <v>52</v>
      </c>
      <c r="J420" s="140" t="s">
        <v>53</v>
      </c>
      <c r="K420" s="68" t="s">
        <v>69</v>
      </c>
      <c r="L420" s="68" t="s">
        <v>315</v>
      </c>
      <c r="M420" s="93">
        <v>1550</v>
      </c>
      <c r="N420" s="93"/>
      <c r="O420" s="68" t="s">
        <v>64</v>
      </c>
      <c r="P420" s="68">
        <v>60</v>
      </c>
      <c r="Q420" s="68">
        <v>80</v>
      </c>
      <c r="R420" s="68">
        <v>60</v>
      </c>
      <c r="S420" s="68">
        <v>80</v>
      </c>
      <c r="T420" s="68">
        <v>61</v>
      </c>
      <c r="U420" s="68">
        <v>81</v>
      </c>
      <c r="V420" s="66">
        <f t="shared" si="139"/>
        <v>68</v>
      </c>
      <c r="W420" s="66">
        <f t="shared" si="140"/>
        <v>88</v>
      </c>
      <c r="X420" s="68">
        <v>69</v>
      </c>
      <c r="Y420" s="68">
        <v>68</v>
      </c>
      <c r="Z420" s="68">
        <v>88</v>
      </c>
      <c r="AA420" s="766">
        <f t="shared" si="142"/>
        <v>41.555555555555557</v>
      </c>
      <c r="AB420" s="341">
        <f t="shared" si="146"/>
        <v>1176.0222222222224</v>
      </c>
      <c r="AC420" s="278">
        <f t="shared" si="143"/>
        <v>27.426666666666669</v>
      </c>
      <c r="AD420" s="67">
        <f t="shared" si="147"/>
        <v>116.35555555555555</v>
      </c>
      <c r="AE420" s="74">
        <f>IF(Table1[[#This Row],[Work Center]]="SwissQ",Materials!G$37,IF(Table1[[#This Row],[Work Center]]="Inca",Materials!G$29,IF(Table1[[#This Row],[Work Center]]="Canon",Materials!G$49,Materials!G$45)))</f>
        <v>20</v>
      </c>
      <c r="AF420" s="73">
        <f>'Cali Frames'!D521</f>
        <v>400</v>
      </c>
      <c r="AG420" s="84"/>
      <c r="AH420" s="278">
        <f t="shared" si="144"/>
        <v>77.5</v>
      </c>
      <c r="AI420" s="278"/>
      <c r="AJ420" s="278">
        <f t="shared" si="138"/>
        <v>641.28222222222223</v>
      </c>
      <c r="AK420" s="1192">
        <f t="shared" si="141"/>
        <v>0.58626953405017923</v>
      </c>
      <c r="AL420" s="278">
        <f>Table1[[#This Row],[WSP/Dealer]]/Table1[[#This Row],[OD Sq Inch]]</f>
        <v>0.31370167982189839</v>
      </c>
      <c r="AM420" s="170">
        <f>Table1[[#This Row],[OD Wdth]]*Table1[[#This Row],[OD Hgt]]</f>
        <v>4941</v>
      </c>
      <c r="AN420" s="274">
        <f>Table1[[#This Row],[Min VO]]+Table1[[#This Row],[Max VO]]</f>
        <v>140</v>
      </c>
      <c r="AO420" s="84"/>
      <c r="AP420" s="84"/>
      <c r="AQ420" s="126">
        <f>(Table1[[#This Row],[Desgnr/Retail P]]*0.05)</f>
        <v>0</v>
      </c>
      <c r="AR420" s="126" t="b">
        <f>IF(A420="Codarus",(AP420*0.13))</f>
        <v>0</v>
      </c>
      <c r="AS420" s="126" t="e" cm="1">
        <f t="array" ref="AS420">SUM(AC420:AG420+AQ+AR)</f>
        <v>#NAME?</v>
      </c>
      <c r="AT420" s="74" t="e">
        <f>(AP420-AS420)/AP420</f>
        <v>#NAME?</v>
      </c>
      <c r="AU420" s="1357" t="str">
        <f t="shared" si="145"/>
        <v>-</v>
      </c>
    </row>
    <row r="421" spans="1:47" s="63" customFormat="1" x14ac:dyDescent="0.2">
      <c r="A421" s="68" t="s">
        <v>58</v>
      </c>
      <c r="B421" s="1072" t="s">
        <v>599</v>
      </c>
      <c r="C421" s="78" t="s">
        <v>1207</v>
      </c>
      <c r="D421" s="94"/>
      <c r="E421" s="84" t="s">
        <v>1199</v>
      </c>
      <c r="F421" s="84" t="s">
        <v>1197</v>
      </c>
      <c r="G421" s="68" t="s">
        <v>1200</v>
      </c>
      <c r="H421" s="68" t="s">
        <v>1208</v>
      </c>
      <c r="I421" s="68" t="s">
        <v>52</v>
      </c>
      <c r="J421" s="140" t="s">
        <v>53</v>
      </c>
      <c r="K421" s="68" t="s">
        <v>82</v>
      </c>
      <c r="L421" s="68" t="s">
        <v>83</v>
      </c>
      <c r="M421" s="93">
        <v>1450</v>
      </c>
      <c r="N421" s="93"/>
      <c r="O421" s="68" t="s">
        <v>64</v>
      </c>
      <c r="P421" s="68">
        <v>60</v>
      </c>
      <c r="Q421" s="68">
        <v>80</v>
      </c>
      <c r="R421" s="68">
        <v>60</v>
      </c>
      <c r="S421" s="68">
        <v>80</v>
      </c>
      <c r="T421" s="68">
        <v>62</v>
      </c>
      <c r="U421" s="68">
        <v>82</v>
      </c>
      <c r="V421" s="66">
        <f t="shared" si="139"/>
        <v>68</v>
      </c>
      <c r="W421" s="66">
        <f t="shared" si="140"/>
        <v>88</v>
      </c>
      <c r="X421" s="68">
        <v>69</v>
      </c>
      <c r="Y421" s="68">
        <v>68</v>
      </c>
      <c r="Z421" s="68">
        <v>88</v>
      </c>
      <c r="AA421" s="766">
        <f t="shared" si="142"/>
        <v>41.555555555555557</v>
      </c>
      <c r="AB421" s="341">
        <f t="shared" si="146"/>
        <v>1176.0222222222224</v>
      </c>
      <c r="AC421" s="278">
        <f t="shared" si="143"/>
        <v>27.426666666666669</v>
      </c>
      <c r="AD421" s="67">
        <f t="shared" si="147"/>
        <v>116.35555555555555</v>
      </c>
      <c r="AE421" s="74">
        <f>IF(Table1[[#This Row],[Work Center]]="SwissQ",Materials!G$37,IF(Table1[[#This Row],[Work Center]]="Inca",Materials!G$29,IF(Table1[[#This Row],[Work Center]]="Canon",Materials!G$49,Materials!G$45)))</f>
        <v>20</v>
      </c>
      <c r="AF421" s="73">
        <f>'Cali Frames'!D169</f>
        <v>320.19749999999999</v>
      </c>
      <c r="AG421" s="84"/>
      <c r="AH421" s="278">
        <f t="shared" si="144"/>
        <v>72.5</v>
      </c>
      <c r="AI421" s="278"/>
      <c r="AJ421" s="278">
        <f t="shared" si="138"/>
        <v>556.47972222222222</v>
      </c>
      <c r="AK421" s="1192">
        <f t="shared" si="141"/>
        <v>0.61622088122605367</v>
      </c>
      <c r="AL421" s="278">
        <f>Table1[[#This Row],[WSP/Dealer]]/Table1[[#This Row],[OD Sq Inch]]</f>
        <v>0.28520849724626279</v>
      </c>
      <c r="AM421" s="170">
        <f>Table1[[#This Row],[OD Wdth]]*Table1[[#This Row],[OD Hgt]]</f>
        <v>5084</v>
      </c>
      <c r="AN421" s="274">
        <f>Table1[[#This Row],[Min VO]]+Table1[[#This Row],[Max VO]]</f>
        <v>140</v>
      </c>
      <c r="AO421" s="84"/>
      <c r="AP421" s="84"/>
      <c r="AQ421" s="126"/>
      <c r="AR421" s="126"/>
      <c r="AS421" s="126"/>
      <c r="AT421" s="74"/>
      <c r="AU421" s="1357" t="str">
        <f t="shared" si="145"/>
        <v>-</v>
      </c>
    </row>
    <row r="422" spans="1:47" s="868" customFormat="1" hidden="1" x14ac:dyDescent="0.2">
      <c r="A422" s="86" t="s">
        <v>1209</v>
      </c>
      <c r="B422" s="1061" t="s">
        <v>88</v>
      </c>
      <c r="C422" s="100" t="s">
        <v>1210</v>
      </c>
      <c r="D422" s="94" t="s">
        <v>1211</v>
      </c>
      <c r="E422" s="85" t="s">
        <v>1212</v>
      </c>
      <c r="F422" s="85" t="s">
        <v>634</v>
      </c>
      <c r="G422" s="86" t="s">
        <v>647</v>
      </c>
      <c r="H422" s="86" t="s">
        <v>1213</v>
      </c>
      <c r="I422" s="86" t="s">
        <v>794</v>
      </c>
      <c r="J422" s="86" t="s">
        <v>53</v>
      </c>
      <c r="K422" s="86" t="s">
        <v>69</v>
      </c>
      <c r="L422" s="86" t="s">
        <v>70</v>
      </c>
      <c r="M422" s="87">
        <v>308</v>
      </c>
      <c r="N422" s="639">
        <v>340</v>
      </c>
      <c r="O422" s="551" t="s">
        <v>64</v>
      </c>
      <c r="P422" s="101">
        <v>20</v>
      </c>
      <c r="Q422" s="101">
        <v>24</v>
      </c>
      <c r="R422" s="101">
        <v>20</v>
      </c>
      <c r="S422" s="101">
        <v>24</v>
      </c>
      <c r="T422" s="101">
        <v>21</v>
      </c>
      <c r="U422" s="101" t="str">
        <f t="shared" ref="U422:U430" si="148">RIGHT(H422,2)</f>
        <v>25</v>
      </c>
      <c r="V422" s="608">
        <f t="shared" si="139"/>
        <v>28</v>
      </c>
      <c r="W422" s="608">
        <f t="shared" si="140"/>
        <v>32</v>
      </c>
      <c r="X422" s="137"/>
      <c r="Y422" s="101"/>
      <c r="Z422" s="101"/>
      <c r="AA422" s="722">
        <f t="shared" si="142"/>
        <v>6.2222222222222223</v>
      </c>
      <c r="AB422" s="125">
        <v>0</v>
      </c>
      <c r="AC422" s="104">
        <f>TX!H5</f>
        <v>52.49</v>
      </c>
      <c r="AD422" s="107">
        <f t="shared" si="147"/>
        <v>17.422222222222221</v>
      </c>
      <c r="AE422" s="104">
        <f>IF(Table1[[#This Row],[Work Center]]="SwissQ",Materials!G$37,IF(Table1[[#This Row],[Work Center]]="Inca",Materials!G$29,IF(Table1[[#This Row],[Work Center]]="Canon",Materials!G$49,Materials!G$45)))</f>
        <v>20</v>
      </c>
      <c r="AF422" s="104">
        <f>'Cali Frames'!D$273</f>
        <v>90.53</v>
      </c>
      <c r="AG422" s="115"/>
      <c r="AH422" s="498">
        <f t="shared" si="144"/>
        <v>15.4</v>
      </c>
      <c r="AI422" s="498"/>
      <c r="AJ422" s="104">
        <f t="shared" si="138"/>
        <v>195.84222222222223</v>
      </c>
      <c r="AK422" s="650">
        <f t="shared" si="141"/>
        <v>0.36414862914862911</v>
      </c>
      <c r="AL422" s="225">
        <f>Table1[[#This Row],[WSP/Dealer]]/Table1[[#This Row],[OD Sq Inch]]</f>
        <v>0.58666666666666667</v>
      </c>
      <c r="AM422" s="218">
        <f>Table1[[#This Row],[OD Wdth]]*Table1[[#This Row],[OD Hgt]]</f>
        <v>525</v>
      </c>
      <c r="AN422" s="216">
        <f>Table1[[#This Row],[Min VO]]+Table1[[#This Row],[Max VO]]</f>
        <v>44</v>
      </c>
      <c r="AO422" s="101"/>
      <c r="AP422" s="101"/>
      <c r="AQ422" s="104"/>
      <c r="AR422" s="104"/>
      <c r="AS422" s="104"/>
      <c r="AT422" s="104"/>
      <c r="AU422" s="830" t="str">
        <f t="shared" si="145"/>
        <v>-</v>
      </c>
    </row>
    <row r="423" spans="1:47" s="173" customFormat="1" x14ac:dyDescent="0.2">
      <c r="A423" s="68" t="s">
        <v>58</v>
      </c>
      <c r="B423" s="279" t="s">
        <v>1214</v>
      </c>
      <c r="C423" s="78" t="s">
        <v>1210</v>
      </c>
      <c r="D423" s="94" t="s">
        <v>1211</v>
      </c>
      <c r="E423" s="84" t="s">
        <v>1212</v>
      </c>
      <c r="F423" s="84" t="s">
        <v>634</v>
      </c>
      <c r="G423" s="68" t="s">
        <v>647</v>
      </c>
      <c r="H423" s="68" t="s">
        <v>1213</v>
      </c>
      <c r="I423" s="68" t="s">
        <v>52</v>
      </c>
      <c r="J423" s="68" t="s">
        <v>53</v>
      </c>
      <c r="K423" s="68" t="s">
        <v>69</v>
      </c>
      <c r="L423" s="68" t="s">
        <v>70</v>
      </c>
      <c r="M423" s="93">
        <v>308</v>
      </c>
      <c r="N423" s="639">
        <v>340</v>
      </c>
      <c r="O423" s="551" t="s">
        <v>64</v>
      </c>
      <c r="P423" s="101">
        <v>20</v>
      </c>
      <c r="Q423" s="101">
        <v>24</v>
      </c>
      <c r="R423" s="101">
        <v>20</v>
      </c>
      <c r="S423" s="101">
        <v>24</v>
      </c>
      <c r="T423" s="101">
        <v>21</v>
      </c>
      <c r="U423" s="101" t="str">
        <f t="shared" si="148"/>
        <v>25</v>
      </c>
      <c r="V423" s="608">
        <f t="shared" si="139"/>
        <v>28</v>
      </c>
      <c r="W423" s="608">
        <f t="shared" si="140"/>
        <v>32</v>
      </c>
      <c r="X423" s="137" t="s">
        <v>761</v>
      </c>
      <c r="Y423" s="68"/>
      <c r="Z423" s="68"/>
      <c r="AA423" s="649">
        <f t="shared" si="142"/>
        <v>6.2222222222222223</v>
      </c>
      <c r="AB423" s="125">
        <f>AA423*Swiss1</f>
        <v>176.0888888888889</v>
      </c>
      <c r="AC423" s="104">
        <f>AA423*Canvas</f>
        <v>4.1066666666666674</v>
      </c>
      <c r="AD423" s="107">
        <f>Table1[[#This Row],[Substrate SF]]*Materials!C$37</f>
        <v>17.422222222222221</v>
      </c>
      <c r="AE423" s="104">
        <f>IF(Table1[[#This Row],[Work Center]]="SwissQ",Materials!G$37,IF(Table1[[#This Row],[Work Center]]="Inca",Materials!G$29,IF(Table1[[#This Row],[Work Center]]="Canon",Materials!G$49,Materials!G$45)))</f>
        <v>20</v>
      </c>
      <c r="AF423" s="104">
        <f>'Cali Frames'!D$273</f>
        <v>90.53</v>
      </c>
      <c r="AG423" s="115"/>
      <c r="AH423" s="498">
        <f t="shared" si="144"/>
        <v>15.4</v>
      </c>
      <c r="AI423" s="498"/>
      <c r="AJ423" s="104">
        <f t="shared" si="138"/>
        <v>147.45888888888888</v>
      </c>
      <c r="AK423" s="650">
        <f t="shared" si="141"/>
        <v>0.52123737373737378</v>
      </c>
      <c r="AL423" s="225">
        <f>Table1[[#This Row],[WSP/Dealer]]/Table1[[#This Row],[OD Sq Inch]]</f>
        <v>0.58666666666666667</v>
      </c>
      <c r="AM423" s="103">
        <f>Table1[[#This Row],[OD Wdth]]*Table1[[#This Row],[OD Hgt]]</f>
        <v>525</v>
      </c>
      <c r="AN423" s="216">
        <f>Table1[[#This Row],[Min VO]]+Table1[[#This Row],[Max VO]]</f>
        <v>44</v>
      </c>
      <c r="AO423" s="84"/>
      <c r="AP423" s="84"/>
      <c r="AQ423" s="126"/>
      <c r="AR423" s="126"/>
      <c r="AS423" s="126"/>
      <c r="AT423" s="74"/>
      <c r="AU423" s="1357" t="str">
        <f t="shared" si="145"/>
        <v>-</v>
      </c>
    </row>
    <row r="424" spans="1:47" s="170" customFormat="1" x14ac:dyDescent="0.2">
      <c r="A424" s="68" t="s">
        <v>58</v>
      </c>
      <c r="B424" s="279" t="s">
        <v>1214</v>
      </c>
      <c r="C424" s="78" t="s">
        <v>1215</v>
      </c>
      <c r="D424" s="94" t="s">
        <v>1216</v>
      </c>
      <c r="E424" s="84" t="s">
        <v>1217</v>
      </c>
      <c r="F424" s="84" t="s">
        <v>634</v>
      </c>
      <c r="G424" s="68" t="s">
        <v>647</v>
      </c>
      <c r="H424" s="68" t="s">
        <v>1213</v>
      </c>
      <c r="I424" s="68" t="s">
        <v>52</v>
      </c>
      <c r="J424" s="68" t="s">
        <v>53</v>
      </c>
      <c r="K424" s="68" t="s">
        <v>69</v>
      </c>
      <c r="L424" s="68" t="s">
        <v>70</v>
      </c>
      <c r="M424" s="93">
        <v>308</v>
      </c>
      <c r="N424" s="639">
        <v>340</v>
      </c>
      <c r="O424" s="551" t="s">
        <v>64</v>
      </c>
      <c r="P424" s="101">
        <v>20</v>
      </c>
      <c r="Q424" s="101">
        <v>24</v>
      </c>
      <c r="R424" s="101">
        <v>20</v>
      </c>
      <c r="S424" s="101">
        <v>24</v>
      </c>
      <c r="T424" s="101">
        <v>21</v>
      </c>
      <c r="U424" s="101" t="str">
        <f t="shared" si="148"/>
        <v>25</v>
      </c>
      <c r="V424" s="106">
        <f t="shared" si="139"/>
        <v>28</v>
      </c>
      <c r="W424" s="106">
        <f t="shared" si="140"/>
        <v>32</v>
      </c>
      <c r="X424" s="137" t="s">
        <v>761</v>
      </c>
      <c r="Y424" s="68"/>
      <c r="Z424" s="68"/>
      <c r="AA424" s="649">
        <f t="shared" si="142"/>
        <v>6.2222222222222223</v>
      </c>
      <c r="AB424" s="125">
        <f>AA424*Swiss1</f>
        <v>176.0888888888889</v>
      </c>
      <c r="AC424" s="104">
        <f>AA424*Canvas</f>
        <v>4.1066666666666674</v>
      </c>
      <c r="AD424" s="107">
        <f>Table1[[#This Row],[Substrate SF]]*Materials!C$37</f>
        <v>17.422222222222221</v>
      </c>
      <c r="AE424" s="104">
        <f>IF(Table1[[#This Row],[Work Center]]="SwissQ",Materials!G$37,IF(Table1[[#This Row],[Work Center]]="Inca",Materials!G$29,IF(Table1[[#This Row],[Work Center]]="Canon",Materials!G$49,Materials!G$45)))</f>
        <v>20</v>
      </c>
      <c r="AF424" s="104">
        <f>'Cali Frames'!D$273</f>
        <v>90.53</v>
      </c>
      <c r="AG424" s="115"/>
      <c r="AH424" s="498">
        <f t="shared" si="144"/>
        <v>15.4</v>
      </c>
      <c r="AI424" s="498"/>
      <c r="AJ424" s="104">
        <f t="shared" si="138"/>
        <v>147.45888888888888</v>
      </c>
      <c r="AK424" s="650">
        <f t="shared" si="141"/>
        <v>0.52123737373737378</v>
      </c>
      <c r="AL424" s="225">
        <f>Table1[[#This Row],[WSP/Dealer]]/Table1[[#This Row],[OD Sq Inch]]</f>
        <v>0.58666666666666667</v>
      </c>
      <c r="AM424" s="218">
        <f>Table1[[#This Row],[OD Wdth]]*Table1[[#This Row],[OD Hgt]]</f>
        <v>525</v>
      </c>
      <c r="AN424" s="216">
        <f>Table1[[#This Row],[Min VO]]+Table1[[#This Row],[Max VO]]</f>
        <v>44</v>
      </c>
      <c r="AO424" s="84"/>
      <c r="AP424" s="84"/>
      <c r="AQ424" s="126"/>
      <c r="AR424" s="126"/>
      <c r="AS424" s="126"/>
      <c r="AT424" s="74"/>
      <c r="AU424" s="1357" t="str">
        <f t="shared" si="145"/>
        <v>-</v>
      </c>
    </row>
    <row r="425" spans="1:47" s="868" customFormat="1" x14ac:dyDescent="0.2">
      <c r="A425" s="86" t="s">
        <v>58</v>
      </c>
      <c r="B425" s="1061" t="s">
        <v>88</v>
      </c>
      <c r="C425" s="100" t="s">
        <v>1215</v>
      </c>
      <c r="D425" s="94" t="s">
        <v>1216</v>
      </c>
      <c r="E425" s="85" t="s">
        <v>1217</v>
      </c>
      <c r="F425" s="85" t="s">
        <v>634</v>
      </c>
      <c r="G425" s="86" t="s">
        <v>647</v>
      </c>
      <c r="H425" s="86" t="s">
        <v>1213</v>
      </c>
      <c r="I425" s="86" t="s">
        <v>794</v>
      </c>
      <c r="J425" s="86" t="s">
        <v>53</v>
      </c>
      <c r="K425" s="86" t="s">
        <v>69</v>
      </c>
      <c r="L425" s="86" t="s">
        <v>70</v>
      </c>
      <c r="M425" s="87">
        <v>308</v>
      </c>
      <c r="N425" s="639">
        <v>340</v>
      </c>
      <c r="O425" s="551" t="s">
        <v>64</v>
      </c>
      <c r="P425" s="101">
        <v>20</v>
      </c>
      <c r="Q425" s="101">
        <v>24</v>
      </c>
      <c r="R425" s="101">
        <v>20</v>
      </c>
      <c r="S425" s="101">
        <v>24</v>
      </c>
      <c r="T425" s="101">
        <v>21</v>
      </c>
      <c r="U425" s="101" t="str">
        <f t="shared" si="148"/>
        <v>25</v>
      </c>
      <c r="V425" s="608">
        <f t="shared" si="139"/>
        <v>28</v>
      </c>
      <c r="W425" s="608">
        <f t="shared" si="140"/>
        <v>32</v>
      </c>
      <c r="X425" s="137"/>
      <c r="Y425" s="101"/>
      <c r="Z425" s="101"/>
      <c r="AA425" s="722">
        <f t="shared" si="142"/>
        <v>6.2222222222222223</v>
      </c>
      <c r="AB425" s="125">
        <v>0</v>
      </c>
      <c r="AC425" s="104">
        <f>TX!H6</f>
        <v>52.49</v>
      </c>
      <c r="AD425" s="107">
        <f>AA425*IncaC</f>
        <v>10.473244444444445</v>
      </c>
      <c r="AE425" s="104">
        <f>IF(Table1[[#This Row],[Work Center]]="SwissQ",Materials!G$37,IF(Table1[[#This Row],[Work Center]]="Inca",Materials!G$29,IF(Table1[[#This Row],[Work Center]]="Canon",Materials!G$49,Materials!G$45)))</f>
        <v>20</v>
      </c>
      <c r="AF425" s="104">
        <f>'Cali Frames'!D$273</f>
        <v>90.53</v>
      </c>
      <c r="AG425" s="115"/>
      <c r="AH425" s="498">
        <f t="shared" si="144"/>
        <v>15.4</v>
      </c>
      <c r="AI425" s="498"/>
      <c r="AJ425" s="104">
        <f t="shared" si="138"/>
        <v>188.89324444444446</v>
      </c>
      <c r="AK425" s="650">
        <f t="shared" si="141"/>
        <v>0.38671024531024523</v>
      </c>
      <c r="AL425" s="225">
        <f>Table1[[#This Row],[WSP/Dealer]]/Table1[[#This Row],[OD Sq Inch]]</f>
        <v>0.58666666666666667</v>
      </c>
      <c r="AM425" s="103">
        <f>Table1[[#This Row],[OD Wdth]]*Table1[[#This Row],[OD Hgt]]</f>
        <v>525</v>
      </c>
      <c r="AN425" s="216">
        <f>Table1[[#This Row],[Min VO]]+Table1[[#This Row],[Max VO]]</f>
        <v>44</v>
      </c>
      <c r="AO425" s="101"/>
      <c r="AP425" s="101"/>
      <c r="AQ425" s="104"/>
      <c r="AR425" s="104"/>
      <c r="AS425" s="104"/>
      <c r="AT425" s="104"/>
      <c r="AU425" s="830" t="str">
        <f t="shared" si="145"/>
        <v>-</v>
      </c>
    </row>
    <row r="426" spans="1:47" s="399" customFormat="1" x14ac:dyDescent="0.2">
      <c r="A426" s="68" t="s">
        <v>58</v>
      </c>
      <c r="B426" s="1061" t="s">
        <v>1214</v>
      </c>
      <c r="C426" s="78" t="s">
        <v>1218</v>
      </c>
      <c r="D426" s="94" t="s">
        <v>1219</v>
      </c>
      <c r="E426" s="84" t="s">
        <v>1220</v>
      </c>
      <c r="F426" s="84" t="s">
        <v>634</v>
      </c>
      <c r="G426" s="68" t="s">
        <v>647</v>
      </c>
      <c r="H426" s="68" t="s">
        <v>1213</v>
      </c>
      <c r="I426" s="68" t="s">
        <v>52</v>
      </c>
      <c r="J426" s="68" t="s">
        <v>53</v>
      </c>
      <c r="K426" s="68" t="s">
        <v>69</v>
      </c>
      <c r="L426" s="68" t="s">
        <v>70</v>
      </c>
      <c r="M426" s="93">
        <v>308</v>
      </c>
      <c r="N426" s="639">
        <v>340</v>
      </c>
      <c r="O426" s="551" t="s">
        <v>64</v>
      </c>
      <c r="P426" s="101">
        <v>20</v>
      </c>
      <c r="Q426" s="101">
        <v>24</v>
      </c>
      <c r="R426" s="101">
        <v>20</v>
      </c>
      <c r="S426" s="101">
        <v>24</v>
      </c>
      <c r="T426" s="101">
        <v>21</v>
      </c>
      <c r="U426" s="101" t="str">
        <f t="shared" si="148"/>
        <v>25</v>
      </c>
      <c r="V426" s="608">
        <f t="shared" si="139"/>
        <v>28</v>
      </c>
      <c r="W426" s="608">
        <f t="shared" si="140"/>
        <v>32</v>
      </c>
      <c r="X426" s="137" t="s">
        <v>761</v>
      </c>
      <c r="Y426" s="68"/>
      <c r="Z426" s="68"/>
      <c r="AA426" s="649">
        <f t="shared" si="142"/>
        <v>6.2222222222222223</v>
      </c>
      <c r="AB426" s="125">
        <f>AA426*Swiss1</f>
        <v>176.0888888888889</v>
      </c>
      <c r="AC426" s="104">
        <f>AA426*Canvas</f>
        <v>4.1066666666666674</v>
      </c>
      <c r="AD426" s="104">
        <f>Table1[[#This Row],[Substrate SF]]*Materials!C$37</f>
        <v>17.422222222222221</v>
      </c>
      <c r="AE426" s="104">
        <f>IF(Table1[[#This Row],[Work Center]]="SwissQ",Materials!G$37,IF(Table1[[#This Row],[Work Center]]="Inca",Materials!G$29,IF(Table1[[#This Row],[Work Center]]="Canon",Materials!G$49,Materials!G$45)))</f>
        <v>20</v>
      </c>
      <c r="AF426" s="104">
        <f>'Cali Frames'!D$273</f>
        <v>90.53</v>
      </c>
      <c r="AG426" s="115"/>
      <c r="AH426" s="498">
        <f t="shared" si="144"/>
        <v>15.4</v>
      </c>
      <c r="AI426" s="498"/>
      <c r="AJ426" s="104">
        <f t="shared" si="138"/>
        <v>147.45888888888888</v>
      </c>
      <c r="AK426" s="650">
        <f t="shared" si="141"/>
        <v>0.52123737373737378</v>
      </c>
      <c r="AL426" s="225">
        <f>Table1[[#This Row],[WSP/Dealer]]/Table1[[#This Row],[OD Sq Inch]]</f>
        <v>0.58666666666666667</v>
      </c>
      <c r="AM426" s="216">
        <f>Table1[[#This Row],[OD Wdth]]*Table1[[#This Row],[OD Hgt]]</f>
        <v>525</v>
      </c>
      <c r="AN426" s="216">
        <f>Table1[[#This Row],[Min VO]]+Table1[[#This Row],[Max VO]]</f>
        <v>44</v>
      </c>
      <c r="AO426" s="84"/>
      <c r="AP426" s="84"/>
      <c r="AQ426" s="126"/>
      <c r="AR426" s="126"/>
      <c r="AS426" s="126"/>
      <c r="AT426" s="74"/>
      <c r="AU426" s="1357" t="str">
        <f t="shared" si="145"/>
        <v>-</v>
      </c>
    </row>
    <row r="427" spans="1:47" s="170" customFormat="1" x14ac:dyDescent="0.2">
      <c r="A427" s="86" t="s">
        <v>58</v>
      </c>
      <c r="B427" s="1061" t="s">
        <v>88</v>
      </c>
      <c r="C427" s="100" t="s">
        <v>1218</v>
      </c>
      <c r="D427" s="94" t="s">
        <v>1219</v>
      </c>
      <c r="E427" s="85" t="s">
        <v>1220</v>
      </c>
      <c r="F427" s="85" t="s">
        <v>634</v>
      </c>
      <c r="G427" s="86" t="s">
        <v>647</v>
      </c>
      <c r="H427" s="86" t="s">
        <v>1213</v>
      </c>
      <c r="I427" s="86" t="s">
        <v>794</v>
      </c>
      <c r="J427" s="86" t="s">
        <v>53</v>
      </c>
      <c r="K427" s="86" t="s">
        <v>69</v>
      </c>
      <c r="L427" s="86" t="s">
        <v>70</v>
      </c>
      <c r="M427" s="87">
        <v>308</v>
      </c>
      <c r="N427" s="639">
        <v>340</v>
      </c>
      <c r="O427" s="551" t="s">
        <v>64</v>
      </c>
      <c r="P427" s="101">
        <v>20</v>
      </c>
      <c r="Q427" s="101">
        <v>24</v>
      </c>
      <c r="R427" s="101">
        <v>20</v>
      </c>
      <c r="S427" s="101">
        <v>24</v>
      </c>
      <c r="T427" s="101">
        <v>21</v>
      </c>
      <c r="U427" s="101" t="str">
        <f t="shared" si="148"/>
        <v>25</v>
      </c>
      <c r="V427" s="608">
        <f t="shared" si="139"/>
        <v>28</v>
      </c>
      <c r="W427" s="608">
        <f t="shared" si="140"/>
        <v>32</v>
      </c>
      <c r="X427" s="137"/>
      <c r="Y427" s="101"/>
      <c r="Z427" s="101"/>
      <c r="AA427" s="722">
        <f t="shared" si="142"/>
        <v>6.2222222222222223</v>
      </c>
      <c r="AB427" s="125">
        <v>0</v>
      </c>
      <c r="AC427" s="104">
        <f>TX!H7</f>
        <v>52.49</v>
      </c>
      <c r="AD427" s="104">
        <f>AA427*IncaC</f>
        <v>10.473244444444445</v>
      </c>
      <c r="AE427" s="104">
        <f>IF(Table1[[#This Row],[Work Center]]="SwissQ",Materials!G$37,IF(Table1[[#This Row],[Work Center]]="Inca",Materials!G$29,IF(Table1[[#This Row],[Work Center]]="Canon",Materials!G$49,Materials!G$45)))</f>
        <v>20</v>
      </c>
      <c r="AF427" s="104">
        <f>'Cali Frames'!D$273</f>
        <v>90.53</v>
      </c>
      <c r="AG427" s="115"/>
      <c r="AH427" s="498">
        <f t="shared" si="144"/>
        <v>15.4</v>
      </c>
      <c r="AI427" s="498"/>
      <c r="AJ427" s="104">
        <f t="shared" si="138"/>
        <v>188.89324444444446</v>
      </c>
      <c r="AK427" s="650">
        <f t="shared" si="141"/>
        <v>0.38671024531024523</v>
      </c>
      <c r="AL427" s="225">
        <f>Table1[[#This Row],[WSP/Dealer]]/Table1[[#This Row],[OD Sq Inch]]</f>
        <v>0.58666666666666667</v>
      </c>
      <c r="AM427" s="101">
        <f>Table1[[#This Row],[OD Wdth]]*Table1[[#This Row],[OD Hgt]]</f>
        <v>525</v>
      </c>
      <c r="AN427" s="216">
        <f>Table1[[#This Row],[Min VO]]+Table1[[#This Row],[Max VO]]</f>
        <v>44</v>
      </c>
      <c r="AO427" s="101"/>
      <c r="AP427" s="101"/>
      <c r="AQ427" s="104"/>
      <c r="AR427" s="104"/>
      <c r="AS427" s="104"/>
      <c r="AT427" s="104"/>
      <c r="AU427" s="830" t="str">
        <f t="shared" si="145"/>
        <v>-</v>
      </c>
    </row>
    <row r="428" spans="1:47" s="103" customFormat="1" x14ac:dyDescent="0.2">
      <c r="A428" s="180" t="s">
        <v>58</v>
      </c>
      <c r="B428" s="1061" t="s">
        <v>1214</v>
      </c>
      <c r="C428" s="302" t="s">
        <v>1221</v>
      </c>
      <c r="D428" s="94" t="s">
        <v>1222</v>
      </c>
      <c r="E428" s="284" t="s">
        <v>1223</v>
      </c>
      <c r="F428" s="284" t="s">
        <v>634</v>
      </c>
      <c r="G428" s="180" t="s">
        <v>647</v>
      </c>
      <c r="H428" s="180" t="s">
        <v>1213</v>
      </c>
      <c r="I428" s="180" t="s">
        <v>52</v>
      </c>
      <c r="J428" s="180" t="s">
        <v>53</v>
      </c>
      <c r="K428" s="180" t="s">
        <v>69</v>
      </c>
      <c r="L428" s="180" t="s">
        <v>70</v>
      </c>
      <c r="M428" s="285">
        <v>308</v>
      </c>
      <c r="N428" s="639">
        <v>340</v>
      </c>
      <c r="O428" s="180" t="s">
        <v>64</v>
      </c>
      <c r="P428" s="180">
        <v>20</v>
      </c>
      <c r="Q428" s="180">
        <v>24</v>
      </c>
      <c r="R428" s="180">
        <v>20</v>
      </c>
      <c r="S428" s="180">
        <v>24</v>
      </c>
      <c r="T428" s="180">
        <v>21</v>
      </c>
      <c r="U428" s="180" t="str">
        <f t="shared" si="148"/>
        <v>25</v>
      </c>
      <c r="V428" s="947">
        <f t="shared" si="139"/>
        <v>28</v>
      </c>
      <c r="W428" s="947">
        <f t="shared" si="140"/>
        <v>32</v>
      </c>
      <c r="X428" s="289" t="s">
        <v>761</v>
      </c>
      <c r="Y428" s="180"/>
      <c r="Z428" s="180"/>
      <c r="AA428" s="678">
        <f t="shared" si="142"/>
        <v>6.2222222222222223</v>
      </c>
      <c r="AB428" s="329">
        <f>AA428*Swiss1</f>
        <v>176.0888888888889</v>
      </c>
      <c r="AC428" s="176">
        <f>AA428*Canvas</f>
        <v>4.1066666666666674</v>
      </c>
      <c r="AD428" s="175">
        <f>Table1[[#This Row],[Substrate SF]]*Materials!C$37</f>
        <v>17.422222222222221</v>
      </c>
      <c r="AE428" s="176">
        <f>IF(Table1[[#This Row],[Work Center]]="SwissQ",Materials!G$37,IF(Table1[[#This Row],[Work Center]]="Inca",Materials!G$29,IF(Table1[[#This Row],[Work Center]]="Canon",Materials!G$49,Materials!G$45)))</f>
        <v>20</v>
      </c>
      <c r="AF428" s="176">
        <f>'Cali Frames'!D$273</f>
        <v>90.53</v>
      </c>
      <c r="AG428" s="284"/>
      <c r="AH428" s="498">
        <f t="shared" si="144"/>
        <v>15.4</v>
      </c>
      <c r="AI428" s="498"/>
      <c r="AJ428" s="175">
        <f t="shared" si="138"/>
        <v>147.45888888888888</v>
      </c>
      <c r="AK428" s="650">
        <f t="shared" si="141"/>
        <v>0.52123737373737378</v>
      </c>
      <c r="AL428" s="225">
        <f>Table1[[#This Row],[WSP/Dealer]]/Table1[[#This Row],[OD Sq Inch]]</f>
        <v>0.58666666666666667</v>
      </c>
      <c r="AM428" s="173">
        <f>Table1[[#This Row],[OD Wdth]]*Table1[[#This Row],[OD Hgt]]</f>
        <v>525</v>
      </c>
      <c r="AN428" s="180">
        <f>Table1[[#This Row],[Min VO]]+Table1[[#This Row],[Max VO]]</f>
        <v>44</v>
      </c>
      <c r="AO428" s="284"/>
      <c r="AP428" s="284"/>
      <c r="AQ428" s="296"/>
      <c r="AR428" s="296"/>
      <c r="AS428" s="296"/>
      <c r="AT428" s="176"/>
      <c r="AU428" s="1358" t="str">
        <f t="shared" si="145"/>
        <v>-</v>
      </c>
    </row>
    <row r="429" spans="1:47" s="103" customFormat="1" x14ac:dyDescent="0.2">
      <c r="A429" s="86" t="s">
        <v>58</v>
      </c>
      <c r="B429" s="1061" t="s">
        <v>88</v>
      </c>
      <c r="C429" s="100" t="s">
        <v>1221</v>
      </c>
      <c r="D429" s="94" t="s">
        <v>1222</v>
      </c>
      <c r="E429" s="85" t="s">
        <v>1223</v>
      </c>
      <c r="F429" s="85" t="s">
        <v>634</v>
      </c>
      <c r="G429" s="86" t="s">
        <v>647</v>
      </c>
      <c r="H429" s="86" t="s">
        <v>1213</v>
      </c>
      <c r="I429" s="86" t="s">
        <v>794</v>
      </c>
      <c r="J429" s="86" t="s">
        <v>53</v>
      </c>
      <c r="K429" s="86" t="s">
        <v>69</v>
      </c>
      <c r="L429" s="86" t="s">
        <v>70</v>
      </c>
      <c r="M429" s="87">
        <v>308</v>
      </c>
      <c r="N429" s="639">
        <v>340</v>
      </c>
      <c r="O429" s="551" t="s">
        <v>64</v>
      </c>
      <c r="P429" s="101">
        <v>20</v>
      </c>
      <c r="Q429" s="101">
        <v>24</v>
      </c>
      <c r="R429" s="101">
        <v>20</v>
      </c>
      <c r="S429" s="101">
        <v>24</v>
      </c>
      <c r="T429" s="101">
        <v>21</v>
      </c>
      <c r="U429" s="101" t="str">
        <f t="shared" si="148"/>
        <v>25</v>
      </c>
      <c r="V429" s="608">
        <f t="shared" si="139"/>
        <v>28</v>
      </c>
      <c r="W429" s="608">
        <f t="shared" si="140"/>
        <v>32</v>
      </c>
      <c r="X429" s="137"/>
      <c r="Y429" s="101"/>
      <c r="Z429" s="101"/>
      <c r="AA429" s="722">
        <f t="shared" si="142"/>
        <v>6.2222222222222223</v>
      </c>
      <c r="AB429" s="125">
        <v>0</v>
      </c>
      <c r="AC429" s="104">
        <f>TX!H8</f>
        <v>52.49</v>
      </c>
      <c r="AD429" s="107">
        <f>AA429*IncaC</f>
        <v>10.473244444444445</v>
      </c>
      <c r="AE429" s="104">
        <f>IF(Table1[[#This Row],[Work Center]]="SwissQ",Materials!G$37,IF(Table1[[#This Row],[Work Center]]="Inca",Materials!G$29,IF(Table1[[#This Row],[Work Center]]="Canon",Materials!G$49,Materials!G$45)))</f>
        <v>20</v>
      </c>
      <c r="AF429" s="104">
        <f>'Cali Frames'!D$273</f>
        <v>90.53</v>
      </c>
      <c r="AG429" s="115"/>
      <c r="AH429" s="498">
        <f t="shared" si="144"/>
        <v>15.4</v>
      </c>
      <c r="AI429" s="498"/>
      <c r="AJ429" s="104">
        <f t="shared" si="138"/>
        <v>188.89324444444446</v>
      </c>
      <c r="AK429" s="650">
        <f t="shared" si="141"/>
        <v>0.38671024531024523</v>
      </c>
      <c r="AL429" s="225">
        <f>Table1[[#This Row],[WSP/Dealer]]/Table1[[#This Row],[OD Sq Inch]]</f>
        <v>0.58666666666666667</v>
      </c>
      <c r="AM429" s="103">
        <f>Table1[[#This Row],[OD Wdth]]*Table1[[#This Row],[OD Hgt]]</f>
        <v>525</v>
      </c>
      <c r="AN429" s="216">
        <f>Table1[[#This Row],[Min VO]]+Table1[[#This Row],[Max VO]]</f>
        <v>44</v>
      </c>
      <c r="AO429" s="101"/>
      <c r="AP429" s="101"/>
      <c r="AQ429" s="104"/>
      <c r="AR429" s="104"/>
      <c r="AS429" s="104"/>
      <c r="AT429" s="104"/>
      <c r="AU429" s="830" t="str">
        <f t="shared" si="145"/>
        <v>-</v>
      </c>
    </row>
    <row r="430" spans="1:47" s="103" customFormat="1" x14ac:dyDescent="0.2">
      <c r="A430" s="274" t="s">
        <v>58</v>
      </c>
      <c r="B430" s="1061" t="s">
        <v>1224</v>
      </c>
      <c r="C430" s="323" t="s">
        <v>1225</v>
      </c>
      <c r="D430" s="94"/>
      <c r="E430" s="275" t="s">
        <v>1223</v>
      </c>
      <c r="F430" s="275" t="s">
        <v>634</v>
      </c>
      <c r="G430" s="274" t="s">
        <v>647</v>
      </c>
      <c r="H430" s="274" t="s">
        <v>1226</v>
      </c>
      <c r="I430" s="274" t="s">
        <v>52</v>
      </c>
      <c r="J430" s="274" t="s">
        <v>53</v>
      </c>
      <c r="K430" s="274" t="s">
        <v>82</v>
      </c>
      <c r="L430" s="274" t="s">
        <v>298</v>
      </c>
      <c r="M430" s="318">
        <v>350</v>
      </c>
      <c r="N430" s="989"/>
      <c r="O430" s="274" t="s">
        <v>64</v>
      </c>
      <c r="P430" s="274">
        <v>20</v>
      </c>
      <c r="Q430" s="274">
        <v>24</v>
      </c>
      <c r="R430" s="274">
        <v>20</v>
      </c>
      <c r="S430" s="274">
        <v>24</v>
      </c>
      <c r="T430" s="274">
        <v>21</v>
      </c>
      <c r="U430" s="274" t="str">
        <f t="shared" si="148"/>
        <v>26</v>
      </c>
      <c r="V430" s="277">
        <f t="shared" si="139"/>
        <v>28</v>
      </c>
      <c r="W430" s="277">
        <f t="shared" si="140"/>
        <v>32</v>
      </c>
      <c r="X430" s="343"/>
      <c r="Y430" s="274"/>
      <c r="Z430" s="274"/>
      <c r="AA430" s="727">
        <f t="shared" si="142"/>
        <v>6.2222222222222223</v>
      </c>
      <c r="AB430" s="341">
        <v>0</v>
      </c>
      <c r="AC430" s="278">
        <f>TX!H9</f>
        <v>156.99</v>
      </c>
      <c r="AD430" s="263">
        <f>AA430*IncaC</f>
        <v>10.473244444444445</v>
      </c>
      <c r="AE430" s="278">
        <f>IF(Table1[[#This Row],[Work Center]]="SwissQ",Materials!G$37,IF(Table1[[#This Row],[Work Center]]="Inca",Materials!G$29,IF(Table1[[#This Row],[Work Center]]="Canon",Materials!G$49,Materials!G$45)))</f>
        <v>20</v>
      </c>
      <c r="AF430" s="278">
        <f>'Cali Frames'!D224</f>
        <v>91.28</v>
      </c>
      <c r="AG430" s="275"/>
      <c r="AH430" s="263">
        <f t="shared" si="144"/>
        <v>17.5</v>
      </c>
      <c r="AI430" s="263"/>
      <c r="AJ430" s="278">
        <f t="shared" si="138"/>
        <v>296.24324444444449</v>
      </c>
      <c r="AK430" s="688">
        <f t="shared" si="141"/>
        <v>0.15359073015873004</v>
      </c>
      <c r="AL430" s="278">
        <f>Table1[[#This Row],[WSP/Dealer]]/Table1[[#This Row],[OD Sq Inch]]</f>
        <v>0.64102564102564108</v>
      </c>
      <c r="AM430" s="170">
        <f>Table1[[#This Row],[OD Wdth]]*Table1[[#This Row],[OD Hgt]]</f>
        <v>546</v>
      </c>
      <c r="AN430" s="274">
        <f>Table1[[#This Row],[Min VO]]+Table1[[#This Row],[Max VO]]</f>
        <v>44</v>
      </c>
      <c r="AO430" s="274"/>
      <c r="AP430" s="274"/>
      <c r="AQ430" s="278"/>
      <c r="AR430" s="278"/>
      <c r="AS430" s="278"/>
      <c r="AT430" s="278"/>
      <c r="AU430" s="1192" t="str">
        <f t="shared" si="145"/>
        <v>-</v>
      </c>
    </row>
    <row r="431" spans="1:47" s="63" customFormat="1" hidden="1" x14ac:dyDescent="0.2">
      <c r="A431" s="374" t="s">
        <v>187</v>
      </c>
      <c r="B431" s="1061" t="s">
        <v>188</v>
      </c>
      <c r="C431" s="78" t="s">
        <v>1227</v>
      </c>
      <c r="D431" s="94"/>
      <c r="E431" s="84" t="s">
        <v>1228</v>
      </c>
      <c r="F431" s="84" t="s">
        <v>531</v>
      </c>
      <c r="G431" s="68" t="s">
        <v>1229</v>
      </c>
      <c r="H431" s="68" t="s">
        <v>1230</v>
      </c>
      <c r="I431" s="68" t="s">
        <v>52</v>
      </c>
      <c r="J431" s="140" t="s">
        <v>53</v>
      </c>
      <c r="K431" s="68" t="s">
        <v>69</v>
      </c>
      <c r="L431" s="68" t="s">
        <v>70</v>
      </c>
      <c r="M431" s="93">
        <v>2950</v>
      </c>
      <c r="N431" s="71"/>
      <c r="O431" s="68" t="s">
        <v>56</v>
      </c>
      <c r="P431" s="68"/>
      <c r="Q431" s="68"/>
      <c r="R431" s="68"/>
      <c r="S431" s="68"/>
      <c r="T431" s="623"/>
      <c r="U431" s="623"/>
      <c r="V431" s="917"/>
      <c r="W431" s="917"/>
      <c r="X431" s="189"/>
      <c r="Y431" s="68"/>
      <c r="Z431" s="68"/>
      <c r="AA431" s="699"/>
      <c r="AB431" s="297"/>
      <c r="AC431" s="74"/>
      <c r="AD431" s="118"/>
      <c r="AE431" s="126"/>
      <c r="AF431" s="73"/>
      <c r="AG431" s="84"/>
      <c r="AH431" s="112">
        <f t="shared" si="144"/>
        <v>147.5</v>
      </c>
      <c r="AI431" s="112"/>
      <c r="AJ431" s="126"/>
      <c r="AK431" s="62">
        <f t="shared" si="141"/>
        <v>1</v>
      </c>
      <c r="AL431" s="225" t="e">
        <f>Table1[[#This Row],[WSP/Dealer]]/Table1[[#This Row],[OD Sq Inch]]</f>
        <v>#DIV/0!</v>
      </c>
      <c r="AM431" s="119"/>
      <c r="AN431" s="84"/>
      <c r="AO431" s="84"/>
      <c r="AP431" s="84"/>
      <c r="AQ431" s="126"/>
      <c r="AR431" s="126"/>
      <c r="AS431" s="126"/>
      <c r="AT431" s="74"/>
      <c r="AU431" s="1357" t="str">
        <f t="shared" si="145"/>
        <v>-</v>
      </c>
    </row>
    <row r="432" spans="1:47" s="63" customFormat="1" hidden="1" x14ac:dyDescent="0.2">
      <c r="A432" s="374" t="s">
        <v>187</v>
      </c>
      <c r="B432" s="1061" t="s">
        <v>188</v>
      </c>
      <c r="C432" s="78" t="s">
        <v>1231</v>
      </c>
      <c r="D432" s="94"/>
      <c r="E432" s="84" t="s">
        <v>1228</v>
      </c>
      <c r="F432" s="84" t="s">
        <v>531</v>
      </c>
      <c r="G432" s="68" t="s">
        <v>1229</v>
      </c>
      <c r="H432" s="68" t="s">
        <v>1229</v>
      </c>
      <c r="I432" s="68" t="s">
        <v>52</v>
      </c>
      <c r="J432" s="140" t="s">
        <v>53</v>
      </c>
      <c r="K432" s="68" t="s">
        <v>54</v>
      </c>
      <c r="L432" s="68" t="s">
        <v>55</v>
      </c>
      <c r="M432" s="93">
        <v>2550</v>
      </c>
      <c r="N432" s="71"/>
      <c r="O432" s="68" t="s">
        <v>56</v>
      </c>
      <c r="P432" s="68"/>
      <c r="Q432" s="68"/>
      <c r="R432" s="68"/>
      <c r="S432" s="68"/>
      <c r="T432" s="623"/>
      <c r="U432" s="623"/>
      <c r="V432" s="66"/>
      <c r="W432" s="66"/>
      <c r="X432" s="189"/>
      <c r="Y432" s="68"/>
      <c r="Z432" s="68"/>
      <c r="AA432" s="699"/>
      <c r="AB432" s="297"/>
      <c r="AC432" s="74"/>
      <c r="AD432" s="118"/>
      <c r="AE432" s="126"/>
      <c r="AF432" s="73"/>
      <c r="AG432" s="84"/>
      <c r="AH432" s="112">
        <f t="shared" si="144"/>
        <v>127.5</v>
      </c>
      <c r="AI432" s="112"/>
      <c r="AJ432" s="118"/>
      <c r="AK432" s="62">
        <f t="shared" si="141"/>
        <v>1</v>
      </c>
      <c r="AL432" s="225" t="e">
        <f>Table1[[#This Row],[WSP/Dealer]]/Table1[[#This Row],[OD Sq Inch]]</f>
        <v>#DIV/0!</v>
      </c>
      <c r="AM432" s="119"/>
      <c r="AN432" s="84"/>
      <c r="AO432" s="84"/>
      <c r="AP432" s="84"/>
      <c r="AQ432" s="126"/>
      <c r="AR432" s="126"/>
      <c r="AS432" s="126"/>
      <c r="AT432" s="74"/>
      <c r="AU432" s="1357" t="str">
        <f t="shared" si="145"/>
        <v>-</v>
      </c>
    </row>
    <row r="433" spans="1:47" s="103" customFormat="1" hidden="1" x14ac:dyDescent="0.2">
      <c r="A433" s="374" t="s">
        <v>187</v>
      </c>
      <c r="B433" s="1061" t="s">
        <v>188</v>
      </c>
      <c r="C433" s="78" t="s">
        <v>1232</v>
      </c>
      <c r="D433" s="94"/>
      <c r="E433" s="84" t="s">
        <v>1228</v>
      </c>
      <c r="F433" s="84" t="s">
        <v>531</v>
      </c>
      <c r="G433" s="68" t="s">
        <v>1229</v>
      </c>
      <c r="H433" s="68" t="s">
        <v>1230</v>
      </c>
      <c r="I433" s="68" t="s">
        <v>52</v>
      </c>
      <c r="J433" s="140" t="s">
        <v>53</v>
      </c>
      <c r="K433" s="68" t="s">
        <v>69</v>
      </c>
      <c r="L433" s="68" t="s">
        <v>73</v>
      </c>
      <c r="M433" s="93">
        <v>2950</v>
      </c>
      <c r="N433" s="71"/>
      <c r="O433" s="68" t="s">
        <v>56</v>
      </c>
      <c r="P433" s="68"/>
      <c r="Q433" s="68"/>
      <c r="R433" s="68"/>
      <c r="S433" s="68"/>
      <c r="T433" s="623"/>
      <c r="U433" s="623"/>
      <c r="V433" s="917"/>
      <c r="W433" s="917"/>
      <c r="X433" s="189"/>
      <c r="Y433" s="68"/>
      <c r="Z433" s="68"/>
      <c r="AA433" s="699"/>
      <c r="AB433" s="297"/>
      <c r="AC433" s="74"/>
      <c r="AD433" s="126"/>
      <c r="AE433" s="126"/>
      <c r="AF433" s="73"/>
      <c r="AG433" s="84"/>
      <c r="AH433" s="498">
        <f t="shared" si="144"/>
        <v>147.5</v>
      </c>
      <c r="AI433" s="498"/>
      <c r="AJ433" s="126"/>
      <c r="AK433" s="650">
        <f t="shared" si="141"/>
        <v>1</v>
      </c>
      <c r="AL433" s="225" t="e">
        <f>Table1[[#This Row],[WSP/Dealer]]/Table1[[#This Row],[OD Sq Inch]]</f>
        <v>#DIV/0!</v>
      </c>
      <c r="AM433" s="84"/>
      <c r="AN433" s="84"/>
      <c r="AO433" s="84"/>
      <c r="AP433" s="84"/>
      <c r="AQ433" s="126"/>
      <c r="AR433" s="126"/>
      <c r="AS433" s="126"/>
      <c r="AT433" s="74"/>
      <c r="AU433" s="1357" t="str">
        <f t="shared" si="145"/>
        <v>-</v>
      </c>
    </row>
    <row r="434" spans="1:47" s="63" customFormat="1" hidden="1" x14ac:dyDescent="0.2">
      <c r="A434" s="373" t="s">
        <v>187</v>
      </c>
      <c r="B434" s="279" t="s">
        <v>188</v>
      </c>
      <c r="C434" s="78" t="s">
        <v>1233</v>
      </c>
      <c r="D434" s="94"/>
      <c r="E434" s="84" t="s">
        <v>1234</v>
      </c>
      <c r="F434" s="84" t="s">
        <v>531</v>
      </c>
      <c r="G434" s="68" t="s">
        <v>1229</v>
      </c>
      <c r="H434" s="68" t="s">
        <v>1229</v>
      </c>
      <c r="I434" s="68" t="s">
        <v>108</v>
      </c>
      <c r="J434" s="140" t="s">
        <v>197</v>
      </c>
      <c r="K434" s="68" t="s">
        <v>198</v>
      </c>
      <c r="L434" s="68" t="s">
        <v>199</v>
      </c>
      <c r="M434" s="784">
        <v>90</v>
      </c>
      <c r="N434" s="71"/>
      <c r="O434" s="68" t="s">
        <v>56</v>
      </c>
      <c r="P434" s="68">
        <v>60</v>
      </c>
      <c r="Q434" s="68">
        <v>36</v>
      </c>
      <c r="R434" s="68">
        <v>36</v>
      </c>
      <c r="S434" s="68">
        <v>60</v>
      </c>
      <c r="T434" s="623">
        <v>60</v>
      </c>
      <c r="U434" s="623">
        <v>36</v>
      </c>
      <c r="V434" s="686">
        <f>Table1[[#This Row],[VO Wdth]]+Materials!$C$7</f>
        <v>62</v>
      </c>
      <c r="W434" s="686">
        <f>Table1[[#This Row],[VO Hgt]]+Materials!$C$7</f>
        <v>38</v>
      </c>
      <c r="X434" s="343" t="s">
        <v>197</v>
      </c>
      <c r="Y434" s="68"/>
      <c r="Z434" s="68"/>
      <c r="AA434" s="699">
        <f>V434*W434/144</f>
        <v>16.361111111111111</v>
      </c>
      <c r="AB434" s="297">
        <f>AA434*IncaGR</f>
        <v>16.688333333333333</v>
      </c>
      <c r="AC434" s="74">
        <f>Table1[[#This Row],[Substrate SF]]*POster</f>
        <v>12.172666666666666</v>
      </c>
      <c r="AD434" s="208">
        <f>Table1[[#This Row],[Ink g/mL]]*IncaCR</f>
        <v>1.3350666666666666</v>
      </c>
      <c r="AE434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434" s="73">
        <v>0</v>
      </c>
      <c r="AG434" s="126">
        <f>Materials!D$76</f>
        <v>10.82</v>
      </c>
      <c r="AH434" s="498">
        <f t="shared" si="144"/>
        <v>4.5</v>
      </c>
      <c r="AI434" s="498"/>
      <c r="AJ434" s="278">
        <f>SUM(AC434:AH434)</f>
        <v>38.827733333333335</v>
      </c>
      <c r="AK434" s="650">
        <f t="shared" si="141"/>
        <v>0.56858074074074072</v>
      </c>
      <c r="AL434" s="225">
        <f>Table1[[#This Row],[WSP/Dealer]]/Table1[[#This Row],[OD Sq Inch]]</f>
        <v>4.1666666666666664E-2</v>
      </c>
      <c r="AM434" s="170">
        <f>Table1[[#This Row],[OD Wdth]]*Table1[[#This Row],[OD Hgt]]</f>
        <v>2160</v>
      </c>
      <c r="AN434" s="84"/>
      <c r="AO434" s="84"/>
      <c r="AP434" s="84"/>
      <c r="AQ434" s="126"/>
      <c r="AR434" s="126"/>
      <c r="AS434" s="126"/>
      <c r="AT434" s="74"/>
      <c r="AU434" s="1357" t="str">
        <f t="shared" si="145"/>
        <v>-</v>
      </c>
    </row>
    <row r="435" spans="1:47" s="63" customFormat="1" x14ac:dyDescent="0.2">
      <c r="A435" s="180" t="s">
        <v>58</v>
      </c>
      <c r="B435" s="1061" t="s">
        <v>527</v>
      </c>
      <c r="C435" s="281" t="s">
        <v>1235</v>
      </c>
      <c r="D435" s="94" t="s">
        <v>1236</v>
      </c>
      <c r="E435" s="284" t="s">
        <v>1237</v>
      </c>
      <c r="F435" s="284" t="s">
        <v>531</v>
      </c>
      <c r="G435" s="180" t="s">
        <v>1238</v>
      </c>
      <c r="H435" s="180" t="s">
        <v>1238</v>
      </c>
      <c r="I435" s="180" t="s">
        <v>52</v>
      </c>
      <c r="J435" s="180" t="s">
        <v>53</v>
      </c>
      <c r="K435" s="180" t="s">
        <v>54</v>
      </c>
      <c r="L435" s="180" t="s">
        <v>55</v>
      </c>
      <c r="M435" s="285">
        <v>1100</v>
      </c>
      <c r="N435" s="639">
        <v>1100</v>
      </c>
      <c r="O435" s="180" t="s">
        <v>56</v>
      </c>
      <c r="P435" s="180">
        <v>72</v>
      </c>
      <c r="Q435" s="180">
        <v>42</v>
      </c>
      <c r="R435" s="180">
        <v>42</v>
      </c>
      <c r="S435" s="180">
        <v>72</v>
      </c>
      <c r="T435" s="1692">
        <f>Table1[[#This Row],[VO Wdth]]</f>
        <v>72</v>
      </c>
      <c r="U435" s="1692">
        <f>Table1[[#This Row],[VO Hgt]]</f>
        <v>42</v>
      </c>
      <c r="V435" s="947">
        <f>IF(J435="Canvas",P435+Border,P435)</f>
        <v>80</v>
      </c>
      <c r="W435" s="947">
        <f>IF(J435="Canvas",Q435+Border,Q435)</f>
        <v>50</v>
      </c>
      <c r="X435" s="289">
        <v>80</v>
      </c>
      <c r="Y435" s="180"/>
      <c r="Z435" s="180"/>
      <c r="AA435" s="678">
        <f>V435*W435/144</f>
        <v>27.777777777777779</v>
      </c>
      <c r="AB435" s="329">
        <f>AA435*IncaG</f>
        <v>584.44444444444446</v>
      </c>
      <c r="AC435" s="176">
        <f>AA435*Canvas</f>
        <v>18.333333333333336</v>
      </c>
      <c r="AD435" s="175">
        <f>Table1[[#This Row],[Substrate SF]]*IncaC</f>
        <v>46.75555555555556</v>
      </c>
      <c r="AE435" s="176">
        <f>IF(Table1[[#This Row],[Work Center]]="SwissQ",Materials!G$37,IF(Table1[[#This Row],[Work Center]]="Inca",Materials!G$29,IF(Table1[[#This Row],[Work Center]]="Canon",Materials!G$49,Materials!G$45)))</f>
        <v>8</v>
      </c>
      <c r="AF435" s="176">
        <f>'Cali FPS'!C99</f>
        <v>175.96250000000001</v>
      </c>
      <c r="AG435" s="284"/>
      <c r="AH435" s="498">
        <f t="shared" si="144"/>
        <v>55</v>
      </c>
      <c r="AI435" s="498"/>
      <c r="AJ435" s="176">
        <f>SUM(AC435:AH435)</f>
        <v>304.05138888888894</v>
      </c>
      <c r="AK435" s="650">
        <f t="shared" si="141"/>
        <v>0.72358964646464641</v>
      </c>
      <c r="AL435" s="225">
        <f>Table1[[#This Row],[WSP/Dealer]]/Table1[[#This Row],[OD Sq Inch]]</f>
        <v>0.36375661375661378</v>
      </c>
      <c r="AM435" s="173">
        <f>Table1[[#This Row],[OD Wdth]]*Table1[[#This Row],[OD Hgt]]</f>
        <v>3024</v>
      </c>
      <c r="AN435" s="180">
        <f>Table1[[#This Row],[Min VO]]+Table1[[#This Row],[Max VO]]</f>
        <v>114</v>
      </c>
      <c r="AO435" s="173"/>
      <c r="AP435" s="180"/>
      <c r="AQ435" s="176"/>
      <c r="AR435" s="176"/>
      <c r="AS435" s="176"/>
      <c r="AT435" s="176"/>
      <c r="AU435" s="676" t="str">
        <f t="shared" si="145"/>
        <v>-</v>
      </c>
    </row>
    <row r="436" spans="1:47" s="103" customFormat="1" x14ac:dyDescent="0.2">
      <c r="A436" s="180" t="s">
        <v>58</v>
      </c>
      <c r="B436" s="279" t="s">
        <v>527</v>
      </c>
      <c r="C436" s="281" t="s">
        <v>1239</v>
      </c>
      <c r="D436" s="94" t="s">
        <v>1240</v>
      </c>
      <c r="E436" s="284" t="s">
        <v>1241</v>
      </c>
      <c r="F436" s="284" t="s">
        <v>531</v>
      </c>
      <c r="G436" s="180" t="s">
        <v>1242</v>
      </c>
      <c r="H436" s="180" t="s">
        <v>1242</v>
      </c>
      <c r="I436" s="180" t="s">
        <v>52</v>
      </c>
      <c r="J436" s="180" t="s">
        <v>53</v>
      </c>
      <c r="K436" s="180" t="s">
        <v>54</v>
      </c>
      <c r="L436" s="180" t="s">
        <v>55</v>
      </c>
      <c r="M436" s="285">
        <v>1550</v>
      </c>
      <c r="N436" s="639">
        <v>1600</v>
      </c>
      <c r="O436" s="180" t="s">
        <v>56</v>
      </c>
      <c r="P436" s="180">
        <v>96</v>
      </c>
      <c r="Q436" s="180">
        <v>56</v>
      </c>
      <c r="R436" s="180">
        <v>56</v>
      </c>
      <c r="S436" s="180">
        <v>96</v>
      </c>
      <c r="T436" s="813">
        <f>Table1[[#This Row],[VO Wdth]]</f>
        <v>96</v>
      </c>
      <c r="U436" s="813">
        <f>Table1[[#This Row],[VO Hgt]]</f>
        <v>56</v>
      </c>
      <c r="V436" s="174">
        <f>IF(J436="Canvas",P436+Border,P436)</f>
        <v>104</v>
      </c>
      <c r="W436" s="174">
        <f>IF(J436="Canvas",Q436+Border,Q436)</f>
        <v>64</v>
      </c>
      <c r="X436" s="289">
        <v>62</v>
      </c>
      <c r="Y436" s="180"/>
      <c r="Z436" s="180"/>
      <c r="AA436" s="678">
        <f>V436*W436/144</f>
        <v>46.222222222222221</v>
      </c>
      <c r="AB436" s="329">
        <f>AA436*IncaG</f>
        <v>972.51555555555547</v>
      </c>
      <c r="AC436" s="176">
        <f>AA436*Canvas</f>
        <v>30.506666666666668</v>
      </c>
      <c r="AD436" s="175">
        <f>Table1[[#This Row],[Substrate SF]]*IncaC</f>
        <v>77.80124444444445</v>
      </c>
      <c r="AE436" s="176">
        <f>IF(Table1[[#This Row],[Work Center]]="SwissQ",Materials!G$37,IF(Table1[[#This Row],[Work Center]]="Inca",Materials!G$29,IF(Table1[[#This Row],[Work Center]]="Canon",Materials!G$49,Materials!G$45)))</f>
        <v>8</v>
      </c>
      <c r="AF436" s="176">
        <f>'Cali FPS'!C153</f>
        <v>235.00749999999999</v>
      </c>
      <c r="AG436" s="284"/>
      <c r="AH436" s="498">
        <f t="shared" si="144"/>
        <v>77.5</v>
      </c>
      <c r="AI436" s="498"/>
      <c r="AJ436" s="176">
        <f>SUM(AC436:AH436)</f>
        <v>428.81541111111108</v>
      </c>
      <c r="AK436" s="650">
        <f t="shared" si="141"/>
        <v>0.72334489605734764</v>
      </c>
      <c r="AL436" s="225">
        <f>Table1[[#This Row],[WSP/Dealer]]/Table1[[#This Row],[OD Sq Inch]]</f>
        <v>0.28831845238095238</v>
      </c>
      <c r="AM436" s="173">
        <f>Table1[[#This Row],[OD Wdth]]*Table1[[#This Row],[OD Hgt]]</f>
        <v>5376</v>
      </c>
      <c r="AN436" s="180">
        <f>Table1[[#This Row],[Min VO]]+Table1[[#This Row],[Max VO]]</f>
        <v>152</v>
      </c>
      <c r="AO436" s="180"/>
      <c r="AP436" s="180"/>
      <c r="AQ436" s="176"/>
      <c r="AR436" s="176"/>
      <c r="AS436" s="176"/>
      <c r="AT436" s="176"/>
      <c r="AU436" s="1201" t="str">
        <f t="shared" si="145"/>
        <v>-</v>
      </c>
    </row>
    <row r="437" spans="1:47" s="170" customFormat="1" hidden="1" x14ac:dyDescent="0.2">
      <c r="A437" s="374" t="s">
        <v>187</v>
      </c>
      <c r="B437" s="1061" t="s">
        <v>188</v>
      </c>
      <c r="C437" s="323" t="s">
        <v>1243</v>
      </c>
      <c r="D437" s="94"/>
      <c r="E437" s="275" t="s">
        <v>1244</v>
      </c>
      <c r="F437" s="275" t="s">
        <v>114</v>
      </c>
      <c r="G437" s="274" t="s">
        <v>191</v>
      </c>
      <c r="H437" s="274" t="s">
        <v>193</v>
      </c>
      <c r="I437" s="274" t="s">
        <v>52</v>
      </c>
      <c r="J437" s="274" t="s">
        <v>283</v>
      </c>
      <c r="K437" s="274" t="s">
        <v>69</v>
      </c>
      <c r="L437" s="274" t="s">
        <v>73</v>
      </c>
      <c r="M437" s="318">
        <v>2950</v>
      </c>
      <c r="N437" s="71"/>
      <c r="O437" s="274" t="s">
        <v>64</v>
      </c>
      <c r="P437" s="60"/>
      <c r="Q437" s="60"/>
      <c r="R437" s="60"/>
      <c r="S437" s="273"/>
      <c r="T437" s="68"/>
      <c r="U437" s="68"/>
      <c r="V437" s="66"/>
      <c r="W437" s="106"/>
      <c r="X437" s="137"/>
      <c r="Y437" s="101"/>
      <c r="Z437" s="101"/>
      <c r="AA437" s="649"/>
      <c r="AB437" s="184"/>
      <c r="AC437" s="104"/>
      <c r="AD437" s="120"/>
      <c r="AE437" s="121"/>
      <c r="AF437" s="102"/>
      <c r="AG437" s="115"/>
      <c r="AH437" s="112">
        <f t="shared" si="144"/>
        <v>147.5</v>
      </c>
      <c r="AI437" s="112"/>
      <c r="AJ437" s="121"/>
      <c r="AK437" s="62">
        <f t="shared" si="141"/>
        <v>1</v>
      </c>
      <c r="AL437" s="225" t="e">
        <f>Table1[[#This Row],[WSP/Dealer]]/Table1[[#This Row],[OD Sq Inch]]</f>
        <v>#DIV/0!</v>
      </c>
      <c r="AM437" s="113"/>
      <c r="AN437" s="115"/>
      <c r="AO437" s="115"/>
      <c r="AP437" s="115"/>
      <c r="AQ437" s="121"/>
      <c r="AR437" s="121"/>
      <c r="AS437" s="121"/>
      <c r="AT437" s="104"/>
      <c r="AU437" s="1359" t="str">
        <f t="shared" si="145"/>
        <v>-</v>
      </c>
    </row>
    <row r="438" spans="1:47" s="330" customFormat="1" hidden="1" x14ac:dyDescent="0.2">
      <c r="A438" s="374" t="s">
        <v>187</v>
      </c>
      <c r="B438" s="1061" t="s">
        <v>188</v>
      </c>
      <c r="C438" s="323" t="s">
        <v>1245</v>
      </c>
      <c r="D438" s="94"/>
      <c r="E438" s="275" t="s">
        <v>1244</v>
      </c>
      <c r="F438" s="275" t="s">
        <v>114</v>
      </c>
      <c r="G438" s="274" t="s">
        <v>191</v>
      </c>
      <c r="H438" s="274" t="s">
        <v>191</v>
      </c>
      <c r="I438" s="60" t="s">
        <v>52</v>
      </c>
      <c r="J438" s="59" t="s">
        <v>283</v>
      </c>
      <c r="K438" s="60" t="s">
        <v>281</v>
      </c>
      <c r="L438" s="101" t="s">
        <v>282</v>
      </c>
      <c r="M438" s="114">
        <v>2950</v>
      </c>
      <c r="N438" s="71"/>
      <c r="O438" s="274" t="s">
        <v>64</v>
      </c>
      <c r="P438" s="60"/>
      <c r="Q438" s="60"/>
      <c r="R438" s="60"/>
      <c r="S438" s="273"/>
      <c r="T438" s="68"/>
      <c r="U438" s="68"/>
      <c r="V438" s="917"/>
      <c r="W438" s="608"/>
      <c r="X438" s="137"/>
      <c r="Y438" s="101"/>
      <c r="Z438" s="101"/>
      <c r="AA438" s="649"/>
      <c r="AB438" s="184"/>
      <c r="AC438" s="104"/>
      <c r="AD438" s="121"/>
      <c r="AE438" s="121"/>
      <c r="AF438" s="102"/>
      <c r="AG438" s="115"/>
      <c r="AH438" s="498">
        <f t="shared" si="144"/>
        <v>147.5</v>
      </c>
      <c r="AI438" s="498"/>
      <c r="AJ438" s="121"/>
      <c r="AK438" s="650">
        <f t="shared" si="141"/>
        <v>1</v>
      </c>
      <c r="AL438" s="225" t="e">
        <f>Table1[[#This Row],[WSP/Dealer]]/Table1[[#This Row],[OD Sq Inch]]</f>
        <v>#DIV/0!</v>
      </c>
      <c r="AM438" s="115"/>
      <c r="AN438" s="115"/>
      <c r="AO438" s="115"/>
      <c r="AP438" s="115"/>
      <c r="AQ438" s="121"/>
      <c r="AR438" s="121"/>
      <c r="AS438" s="121"/>
      <c r="AT438" s="104"/>
      <c r="AU438" s="1359" t="str">
        <f t="shared" si="145"/>
        <v>-</v>
      </c>
    </row>
    <row r="439" spans="1:47" s="1054" customFormat="1" x14ac:dyDescent="0.2">
      <c r="A439" s="86" t="s">
        <v>58</v>
      </c>
      <c r="B439" s="1061" t="s">
        <v>366</v>
      </c>
      <c r="C439" s="100" t="s">
        <v>1246</v>
      </c>
      <c r="D439" s="94" t="s">
        <v>1247</v>
      </c>
      <c r="E439" s="85" t="s">
        <v>1244</v>
      </c>
      <c r="F439" s="85" t="s">
        <v>114</v>
      </c>
      <c r="G439" s="86" t="s">
        <v>191</v>
      </c>
      <c r="H439" s="86" t="s">
        <v>191</v>
      </c>
      <c r="I439" s="86" t="s">
        <v>52</v>
      </c>
      <c r="J439" s="86" t="s">
        <v>283</v>
      </c>
      <c r="K439" s="86" t="s">
        <v>281</v>
      </c>
      <c r="L439" s="86" t="s">
        <v>282</v>
      </c>
      <c r="M439" s="87">
        <v>935</v>
      </c>
      <c r="N439" s="639">
        <v>1100</v>
      </c>
      <c r="O439" s="145" t="s">
        <v>64</v>
      </c>
      <c r="P439" s="101">
        <v>48</v>
      </c>
      <c r="Q439" s="101">
        <v>60</v>
      </c>
      <c r="R439" s="60">
        <v>48</v>
      </c>
      <c r="S439" s="273">
        <v>60</v>
      </c>
      <c r="T439" s="101">
        <v>48</v>
      </c>
      <c r="U439" s="101" t="str">
        <f>RIGHT(H439,2)</f>
        <v>60</v>
      </c>
      <c r="V439" s="608">
        <f>IF(J439="Canvas",P439+Border,P439)</f>
        <v>48</v>
      </c>
      <c r="W439" s="608">
        <f>IF(J439="Canvas",Q439+Border,Q439)</f>
        <v>60</v>
      </c>
      <c r="X439" s="137" t="str">
        <f>J439</f>
        <v>MDF</v>
      </c>
      <c r="Y439" s="101"/>
      <c r="Z439" s="101"/>
      <c r="AA439" s="649">
        <f t="shared" ref="AA439:AA444" si="149">V439*W439/144</f>
        <v>20</v>
      </c>
      <c r="AB439" s="184">
        <f>Table1[[#This Row],[Substrate SF]]*Swiss1</f>
        <v>566</v>
      </c>
      <c r="AC439" s="104">
        <f>MDFSHEET</f>
        <v>24.35</v>
      </c>
      <c r="AD439" s="104">
        <f>Table1[[#This Row],[Substrate SF]]*Materials!C$37</f>
        <v>56</v>
      </c>
      <c r="AE439" s="104">
        <f>IF(Table1[[#This Row],[Work Center]]="SwissQ",Materials!G$37,IF(Table1[[#This Row],[Work Center]]="Inca",Materials!G$29,IF(Table1[[#This Row],[Work Center]]="Canon",Materials!G$49,Materials!G$45)))</f>
        <v>20</v>
      </c>
      <c r="AF439" s="104">
        <f>'Cali Frames'!D552</f>
        <v>182.89</v>
      </c>
      <c r="AG439" s="115"/>
      <c r="AH439" s="498">
        <f t="shared" si="144"/>
        <v>46.75</v>
      </c>
      <c r="AI439" s="498"/>
      <c r="AJ439" s="104">
        <f t="shared" ref="AJ439:AJ468" si="150">SUM(AC439:AH439)</f>
        <v>329.99</v>
      </c>
      <c r="AK439" s="650">
        <f t="shared" si="141"/>
        <v>0.64706951871657759</v>
      </c>
      <c r="AL439" s="225">
        <f>Table1[[#This Row],[WSP/Dealer]]/Table1[[#This Row],[OD Sq Inch]]</f>
        <v>0.32465277777777779</v>
      </c>
      <c r="AM439" s="101">
        <f>Table1[[#This Row],[OD Wdth]]*Table1[[#This Row],[OD Hgt]]</f>
        <v>2880</v>
      </c>
      <c r="AN439" s="216">
        <f>Table1[[#This Row],[Min VO]]+Table1[[#This Row],[Max VO]]</f>
        <v>108</v>
      </c>
      <c r="AO439" s="101"/>
      <c r="AP439" s="101"/>
      <c r="AQ439" s="104"/>
      <c r="AR439" s="104"/>
      <c r="AS439" s="104"/>
      <c r="AT439" s="104"/>
      <c r="AU439" s="830" t="str">
        <f t="shared" si="145"/>
        <v>-</v>
      </c>
    </row>
    <row r="440" spans="1:47" s="103" customFormat="1" x14ac:dyDescent="0.2">
      <c r="A440" s="68" t="s">
        <v>58</v>
      </c>
      <c r="B440" s="1061" t="s">
        <v>111</v>
      </c>
      <c r="C440" s="78" t="s">
        <v>1248</v>
      </c>
      <c r="D440" s="94" t="s">
        <v>1249</v>
      </c>
      <c r="E440" s="84" t="s">
        <v>1244</v>
      </c>
      <c r="F440" s="84" t="s">
        <v>114</v>
      </c>
      <c r="G440" s="68" t="s">
        <v>191</v>
      </c>
      <c r="H440" s="68" t="s">
        <v>191</v>
      </c>
      <c r="I440" s="68" t="s">
        <v>52</v>
      </c>
      <c r="J440" s="68" t="s">
        <v>283</v>
      </c>
      <c r="K440" s="68" t="s">
        <v>69</v>
      </c>
      <c r="L440" s="68" t="s">
        <v>73</v>
      </c>
      <c r="M440" s="93">
        <v>1300</v>
      </c>
      <c r="N440" s="831"/>
      <c r="O440" s="166" t="s">
        <v>64</v>
      </c>
      <c r="P440" s="68">
        <v>48</v>
      </c>
      <c r="Q440" s="68">
        <v>60</v>
      </c>
      <c r="R440" s="68">
        <v>48</v>
      </c>
      <c r="S440" s="623">
        <v>60</v>
      </c>
      <c r="T440" s="68">
        <v>48</v>
      </c>
      <c r="U440" s="68" t="str">
        <f>RIGHT(H440,2)</f>
        <v>60</v>
      </c>
      <c r="V440" s="917">
        <f>IF(J440="Canvas",P440+Border,P440)</f>
        <v>48</v>
      </c>
      <c r="W440" s="917">
        <f>IF(J440="Canvas",Q440+Border,Q440)</f>
        <v>60</v>
      </c>
      <c r="X440" s="189" t="str">
        <f>J440</f>
        <v>MDF</v>
      </c>
      <c r="Y440" s="68"/>
      <c r="Z440" s="68"/>
      <c r="AA440" s="699">
        <f t="shared" si="149"/>
        <v>20</v>
      </c>
      <c r="AB440" s="297">
        <f>Table1[[#This Row],[Substrate SF]]*Swiss1</f>
        <v>566</v>
      </c>
      <c r="AC440" s="74">
        <f>MDFSHEET</f>
        <v>24.35</v>
      </c>
      <c r="AD440" s="74">
        <f>Table1[[#This Row],[Substrate SF]]*Materials!C$37</f>
        <v>56</v>
      </c>
      <c r="AE440" s="74">
        <f>IF(Table1[[#This Row],[Work Center]]="SwissQ",Materials!G$37,IF(Table1[[#This Row],[Work Center]]="Inca",Materials!G$29,IF(Table1[[#This Row],[Work Center]]="Canon",Materials!G$49,Materials!G$45)))</f>
        <v>20</v>
      </c>
      <c r="AF440" s="74">
        <f>'Cali Frames'!D470</f>
        <v>263.70999999999998</v>
      </c>
      <c r="AG440" s="84"/>
      <c r="AH440" s="74">
        <f t="shared" si="144"/>
        <v>65</v>
      </c>
      <c r="AI440" s="74"/>
      <c r="AJ440" s="74">
        <f t="shared" si="150"/>
        <v>429.05999999999995</v>
      </c>
      <c r="AK440" s="1001">
        <f t="shared" si="141"/>
        <v>0.66995384615384623</v>
      </c>
      <c r="AL440" s="240">
        <f>Table1[[#This Row],[WSP/Dealer]]/Table1[[#This Row],[OD Sq Inch]]</f>
        <v>0.4513888888888889</v>
      </c>
      <c r="AM440" s="68">
        <f>Table1[[#This Row],[OD Wdth]]*Table1[[#This Row],[OD Hgt]]</f>
        <v>2880</v>
      </c>
      <c r="AN440" s="238">
        <f>Table1[[#This Row],[Min VO]]+Table1[[#This Row],[Max VO]]</f>
        <v>108</v>
      </c>
      <c r="AO440" s="68"/>
      <c r="AP440" s="68"/>
      <c r="AQ440" s="74"/>
      <c r="AR440" s="74"/>
      <c r="AS440" s="74"/>
      <c r="AT440" s="74"/>
      <c r="AU440" s="1001" t="str">
        <f t="shared" si="145"/>
        <v>-</v>
      </c>
    </row>
    <row r="441" spans="1:47" s="103" customFormat="1" x14ac:dyDescent="0.2">
      <c r="A441" s="274" t="s">
        <v>58</v>
      </c>
      <c r="B441" s="1061" t="s">
        <v>366</v>
      </c>
      <c r="C441" s="323" t="s">
        <v>1250</v>
      </c>
      <c r="D441" s="94"/>
      <c r="E441" s="275" t="s">
        <v>1244</v>
      </c>
      <c r="F441" s="275" t="s">
        <v>114</v>
      </c>
      <c r="G441" s="274" t="s">
        <v>191</v>
      </c>
      <c r="H441" s="274" t="s">
        <v>193</v>
      </c>
      <c r="I441" s="274" t="s">
        <v>52</v>
      </c>
      <c r="J441" s="274" t="s">
        <v>283</v>
      </c>
      <c r="K441" s="274" t="s">
        <v>69</v>
      </c>
      <c r="L441" s="274" t="s">
        <v>70</v>
      </c>
      <c r="M441" s="318">
        <v>2950</v>
      </c>
      <c r="N441" s="639">
        <v>1250</v>
      </c>
      <c r="O441" s="274" t="s">
        <v>64</v>
      </c>
      <c r="P441" s="274">
        <v>48</v>
      </c>
      <c r="Q441" s="274">
        <v>60</v>
      </c>
      <c r="R441" s="274">
        <v>48</v>
      </c>
      <c r="S441" s="783">
        <v>60</v>
      </c>
      <c r="T441" s="274">
        <v>49</v>
      </c>
      <c r="U441" s="274" t="str">
        <f>RIGHT(H441,2)</f>
        <v>61</v>
      </c>
      <c r="V441" s="686">
        <f>IF(J441="Canvas",P441+Border,P441)</f>
        <v>48</v>
      </c>
      <c r="W441" s="686">
        <f>IF(J441="Canvas",Q441+Border,Q441)</f>
        <v>60</v>
      </c>
      <c r="X441" s="343" t="str">
        <f>J441</f>
        <v>MDF</v>
      </c>
      <c r="Y441" s="274"/>
      <c r="Z441" s="274"/>
      <c r="AA441" s="727">
        <f t="shared" si="149"/>
        <v>20</v>
      </c>
      <c r="AB441" s="341">
        <f>Table1[[#This Row],[Substrate SF]]*Swiss1</f>
        <v>566</v>
      </c>
      <c r="AC441" s="278">
        <f>MDFSHEET</f>
        <v>24.35</v>
      </c>
      <c r="AD441" s="263">
        <f>Table1[[#This Row],[Substrate SF]]*Materials!C$37</f>
        <v>56</v>
      </c>
      <c r="AE441" s="104">
        <f>IF(Table1[[#This Row],[Work Center]]="SwissQ",Materials!G$37,IF(Table1[[#This Row],[Work Center]]="Inca",Materials!G$29,IF(Table1[[#This Row],[Work Center]]="Canon",Materials!G$49,Materials!G$45)))</f>
        <v>20</v>
      </c>
      <c r="AF441" s="278" t="e">
        <f>'Cali Frames'!#REF!</f>
        <v>#REF!</v>
      </c>
      <c r="AG441" s="275"/>
      <c r="AH441" s="498">
        <f t="shared" si="144"/>
        <v>147.5</v>
      </c>
      <c r="AI441" s="498"/>
      <c r="AJ441" s="278" t="e">
        <f t="shared" si="150"/>
        <v>#REF!</v>
      </c>
      <c r="AK441" s="650" t="e">
        <f t="shared" si="141"/>
        <v>#REF!</v>
      </c>
      <c r="AL441" s="225">
        <f>Table1[[#This Row],[WSP/Dealer]]/Table1[[#This Row],[OD Sq Inch]]</f>
        <v>0.98695215791234525</v>
      </c>
      <c r="AM441" s="170">
        <f>Table1[[#This Row],[OD Wdth]]*Table1[[#This Row],[OD Hgt]]</f>
        <v>2989</v>
      </c>
      <c r="AN441" s="274">
        <f>Table1[[#This Row],[Min VO]]+Table1[[#This Row],[Max VO]]</f>
        <v>108</v>
      </c>
      <c r="AO441" s="274"/>
      <c r="AP441" s="274"/>
      <c r="AQ441" s="278"/>
      <c r="AR441" s="278"/>
      <c r="AS441" s="278"/>
      <c r="AT441" s="278"/>
      <c r="AU441" s="1192" t="str">
        <f t="shared" si="145"/>
        <v>-</v>
      </c>
    </row>
    <row r="442" spans="1:47" s="159" customFormat="1" x14ac:dyDescent="0.2">
      <c r="A442" s="180" t="s">
        <v>58</v>
      </c>
      <c r="B442" s="1061" t="s">
        <v>366</v>
      </c>
      <c r="C442" s="302" t="s">
        <v>1251</v>
      </c>
      <c r="D442" s="94" t="s">
        <v>1252</v>
      </c>
      <c r="E442" s="284" t="s">
        <v>1244</v>
      </c>
      <c r="F442" s="284" t="s">
        <v>114</v>
      </c>
      <c r="G442" s="180" t="s">
        <v>191</v>
      </c>
      <c r="H442" s="180" t="s">
        <v>193</v>
      </c>
      <c r="I442" s="180" t="s">
        <v>52</v>
      </c>
      <c r="J442" s="180" t="s">
        <v>283</v>
      </c>
      <c r="K442" s="180" t="s">
        <v>69</v>
      </c>
      <c r="L442" s="180" t="s">
        <v>70</v>
      </c>
      <c r="M442" s="285">
        <v>1200</v>
      </c>
      <c r="N442" s="639">
        <v>1250</v>
      </c>
      <c r="O442" s="180" t="s">
        <v>64</v>
      </c>
      <c r="P442" s="180">
        <v>48</v>
      </c>
      <c r="Q442" s="180">
        <v>60</v>
      </c>
      <c r="R442" s="180">
        <v>48</v>
      </c>
      <c r="S442" s="813">
        <v>60</v>
      </c>
      <c r="T442" s="180">
        <v>49</v>
      </c>
      <c r="U442" s="180" t="str">
        <f>RIGHT(H442,2)</f>
        <v>61</v>
      </c>
      <c r="V442" s="174">
        <f>IF(J442="Canvas",P442+Border,P442)</f>
        <v>48</v>
      </c>
      <c r="W442" s="174">
        <f>IF(J442="Canvas",Q442+Border,Q442)</f>
        <v>60</v>
      </c>
      <c r="X442" s="289" t="str">
        <f>J442</f>
        <v>MDF</v>
      </c>
      <c r="Y442" s="180"/>
      <c r="Z442" s="180"/>
      <c r="AA442" s="678">
        <f t="shared" si="149"/>
        <v>20</v>
      </c>
      <c r="AB442" s="329">
        <f>Table1[[#This Row],[Substrate SF]]*Swiss1</f>
        <v>566</v>
      </c>
      <c r="AC442" s="176">
        <f>MDFSHEET</f>
        <v>24.35</v>
      </c>
      <c r="AD442" s="175">
        <f>Table1[[#This Row],[Substrate SF]]*Materials!C$37</f>
        <v>56</v>
      </c>
      <c r="AE442" s="69">
        <f>IF(Table1[[#This Row],[Work Center]]="SwissQ",Materials!G$37,IF(Table1[[#This Row],[Work Center]]="Inca",Materials!G$29,IF(Table1[[#This Row],[Work Center]]="Canon",Materials!G$49,Materials!G$45)))</f>
        <v>20</v>
      </c>
      <c r="AF442" s="176" t="e">
        <f>'Cali Frames'!#REF!</f>
        <v>#REF!</v>
      </c>
      <c r="AG442" s="284"/>
      <c r="AH442" s="112">
        <f t="shared" si="144"/>
        <v>60</v>
      </c>
      <c r="AI442" s="112"/>
      <c r="AJ442" s="176" t="e">
        <f t="shared" si="150"/>
        <v>#REF!</v>
      </c>
      <c r="AK442" s="62" t="e">
        <f t="shared" si="141"/>
        <v>#REF!</v>
      </c>
      <c r="AL442" s="225">
        <f>Table1[[#This Row],[WSP/Dealer]]/Table1[[#This Row],[OD Sq Inch]]</f>
        <v>0.40147206423553028</v>
      </c>
      <c r="AM442" s="173">
        <f>Table1[[#This Row],[OD Wdth]]*Table1[[#This Row],[OD Hgt]]</f>
        <v>2989</v>
      </c>
      <c r="AN442" s="180">
        <f>Table1[[#This Row],[Min VO]]+Table1[[#This Row],[Max VO]]</f>
        <v>108</v>
      </c>
      <c r="AO442" s="180"/>
      <c r="AP442" s="180"/>
      <c r="AQ442" s="176"/>
      <c r="AR442" s="176"/>
      <c r="AS442" s="176"/>
      <c r="AT442" s="176"/>
      <c r="AU442" s="1201" t="str">
        <f t="shared" si="145"/>
        <v>-</v>
      </c>
    </row>
    <row r="443" spans="1:47" s="173" customFormat="1" hidden="1" x14ac:dyDescent="0.2">
      <c r="A443" s="458" t="s">
        <v>187</v>
      </c>
      <c r="B443" s="1061" t="s">
        <v>188</v>
      </c>
      <c r="C443" s="76" t="s">
        <v>1253</v>
      </c>
      <c r="D443" s="94" t="s">
        <v>1254</v>
      </c>
      <c r="E443" s="284" t="s">
        <v>1255</v>
      </c>
      <c r="F443" s="284" t="s">
        <v>114</v>
      </c>
      <c r="G443" s="180" t="s">
        <v>191</v>
      </c>
      <c r="H443" s="180" t="s">
        <v>191</v>
      </c>
      <c r="I443" s="60" t="s">
        <v>108</v>
      </c>
      <c r="J443" s="59" t="s">
        <v>197</v>
      </c>
      <c r="K443" s="60" t="s">
        <v>198</v>
      </c>
      <c r="L443" s="60" t="s">
        <v>199</v>
      </c>
      <c r="M443" s="124">
        <v>120</v>
      </c>
      <c r="N443" s="71"/>
      <c r="O443" s="60" t="s">
        <v>64</v>
      </c>
      <c r="P443" s="68">
        <v>48</v>
      </c>
      <c r="Q443" s="68">
        <v>60</v>
      </c>
      <c r="R443" s="68">
        <v>48</v>
      </c>
      <c r="S443" s="68">
        <v>60</v>
      </c>
      <c r="T443" s="68">
        <v>48</v>
      </c>
      <c r="U443" s="68">
        <v>60</v>
      </c>
      <c r="V443" s="686">
        <f>Table1[[#This Row],[VO Wdth]]+Materials!$C$7</f>
        <v>50</v>
      </c>
      <c r="W443" s="686">
        <f>Table1[[#This Row],[VO Hgt]]+Materials!$C$7</f>
        <v>62</v>
      </c>
      <c r="X443" s="343" t="s">
        <v>197</v>
      </c>
      <c r="Y443" s="68"/>
      <c r="Z443" s="68"/>
      <c r="AA443" s="699">
        <f t="shared" si="149"/>
        <v>21.527777777777779</v>
      </c>
      <c r="AB443" s="341">
        <f>AA443*SWISSRML</f>
        <v>43.055555555555557</v>
      </c>
      <c r="AC443" s="74">
        <f>Table1[[#This Row],[Substrate SF]]*POster</f>
        <v>16.016666666666666</v>
      </c>
      <c r="AD443" s="278">
        <f>Table1[[#This Row],[Substrate SF]]*SWISSRC</f>
        <v>4.7361111111111116</v>
      </c>
      <c r="AE44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443" s="73">
        <v>0</v>
      </c>
      <c r="AG443" s="126">
        <f>Materials!D$76</f>
        <v>10.82</v>
      </c>
      <c r="AH443" s="498">
        <f t="shared" si="144"/>
        <v>6</v>
      </c>
      <c r="AI443" s="498"/>
      <c r="AJ443" s="278">
        <f t="shared" si="150"/>
        <v>47.572777777777773</v>
      </c>
      <c r="AK443" s="650">
        <f t="shared" si="141"/>
        <v>0.60356018518518517</v>
      </c>
      <c r="AL443" s="225">
        <f>Table1[[#This Row],[WSP/Dealer]]/Table1[[#This Row],[OD Sq Inch]]</f>
        <v>4.1666666666666664E-2</v>
      </c>
      <c r="AM443" s="274">
        <f>Table1[[#This Row],[OD Wdth]]*Table1[[#This Row],[OD Hgt]]</f>
        <v>2880</v>
      </c>
      <c r="AN443" s="83"/>
      <c r="AO443" s="83"/>
      <c r="AP443" s="83"/>
      <c r="AQ443" s="540"/>
      <c r="AR443" s="540"/>
      <c r="AS443" s="540"/>
      <c r="AT443" s="69"/>
      <c r="AU443" s="1361" t="str">
        <f t="shared" si="145"/>
        <v>-</v>
      </c>
    </row>
    <row r="444" spans="1:47" hidden="1" x14ac:dyDescent="0.2">
      <c r="A444" s="373"/>
      <c r="B444" s="1061"/>
      <c r="C444" s="1262"/>
      <c r="D444" s="94"/>
      <c r="E444" s="84" t="s">
        <v>1256</v>
      </c>
      <c r="F444" s="84" t="s">
        <v>322</v>
      </c>
      <c r="G444" s="68" t="s">
        <v>395</v>
      </c>
      <c r="H444" s="68" t="s">
        <v>396</v>
      </c>
      <c r="I444" s="68" t="s">
        <v>52</v>
      </c>
      <c r="J444" s="140" t="s">
        <v>53</v>
      </c>
      <c r="K444" s="68" t="s">
        <v>69</v>
      </c>
      <c r="L444" s="68" t="s">
        <v>73</v>
      </c>
      <c r="M444" s="141">
        <v>925</v>
      </c>
      <c r="N444" s="71"/>
      <c r="O444" s="68" t="s">
        <v>64</v>
      </c>
      <c r="P444" s="68">
        <v>60</v>
      </c>
      <c r="Q444" s="68">
        <v>60</v>
      </c>
      <c r="R444" s="68">
        <v>60</v>
      </c>
      <c r="S444" s="623">
        <v>60</v>
      </c>
      <c r="T444" s="68">
        <v>61</v>
      </c>
      <c r="U444" s="68">
        <v>61</v>
      </c>
      <c r="V444" s="66">
        <f t="shared" ref="V444:V455" si="151">IF(J444="Canvas",P444+Border,P444)</f>
        <v>68</v>
      </c>
      <c r="W444" s="66">
        <f t="shared" ref="W444:W455" si="152">IF(J444="Canvas",Q444+Border,Q444)</f>
        <v>68</v>
      </c>
      <c r="X444" s="189"/>
      <c r="Y444" s="68">
        <v>68</v>
      </c>
      <c r="Z444" s="68">
        <v>68</v>
      </c>
      <c r="AA444" s="727">
        <f t="shared" si="149"/>
        <v>32.111111111111114</v>
      </c>
      <c r="AB444" s="341">
        <f>Table1[[#This Row],[Substrate SF]]*Swiss1</f>
        <v>908.74444444444453</v>
      </c>
      <c r="AC444" s="278">
        <f>AA444*Canvas</f>
        <v>21.193333333333335</v>
      </c>
      <c r="AD444" s="263">
        <f>Table1[[#This Row],[Substrate SF]]*SWISSC1</f>
        <v>89.911111111111111</v>
      </c>
      <c r="AE444" s="74">
        <f>IF(Table1[[#This Row],[Work Center]]="SwissQ",Materials!G$37,IF(Table1[[#This Row],[Work Center]]="Inca",Materials!G$29,IF(Table1[[#This Row],[Work Center]]="Canon",Materials!G$49,Materials!G$45)))</f>
        <v>20</v>
      </c>
      <c r="AF444" s="73">
        <f>'Cali Frames'!D481</f>
        <v>235.28749999999997</v>
      </c>
      <c r="AG444" s="126"/>
      <c r="AH444" s="112">
        <f t="shared" si="144"/>
        <v>46.25</v>
      </c>
      <c r="AI444" s="112"/>
      <c r="AJ444" s="278">
        <f t="shared" si="150"/>
        <v>412.64194444444445</v>
      </c>
      <c r="AK444" s="62">
        <f t="shared" si="141"/>
        <v>0.55390060060060065</v>
      </c>
      <c r="AL444" s="225">
        <f>Table1[[#This Row],[WSP/Dealer]]/Table1[[#This Row],[OD Sq Inch]]</f>
        <v>0.24858908895458209</v>
      </c>
      <c r="AM444" s="170">
        <f>Table1[[#This Row],[OD Wdth]]*Table1[[#This Row],[OD Hgt]]</f>
        <v>3721</v>
      </c>
      <c r="AN444" s="274" t="str">
        <f>Table1[[#This Row],[Color]]</f>
        <v>NF</v>
      </c>
      <c r="AO444" s="84" t="str">
        <f>Table1[[#This Row],[Print Type]]</f>
        <v>Synograph</v>
      </c>
      <c r="AP444" s="84"/>
      <c r="AQ444" s="126"/>
      <c r="AR444" s="126"/>
      <c r="AS444" s="126"/>
      <c r="AT444" s="74"/>
      <c r="AU444" s="1357" t="str">
        <f t="shared" si="145"/>
        <v>-</v>
      </c>
    </row>
    <row r="445" spans="1:47" s="103" customFormat="1" hidden="1" x14ac:dyDescent="0.2">
      <c r="A445" s="60" t="s">
        <v>101</v>
      </c>
      <c r="B445" s="1071" t="s">
        <v>65</v>
      </c>
      <c r="C445" s="76" t="s">
        <v>1257</v>
      </c>
      <c r="D445" s="79"/>
      <c r="E445" s="83" t="s">
        <v>1258</v>
      </c>
      <c r="F445" s="83" t="s">
        <v>634</v>
      </c>
      <c r="G445" s="60" t="s">
        <v>51</v>
      </c>
      <c r="H445" s="60" t="s">
        <v>51</v>
      </c>
      <c r="I445" s="60" t="s">
        <v>108</v>
      </c>
      <c r="J445" s="59" t="s">
        <v>53</v>
      </c>
      <c r="K445" s="60" t="s">
        <v>54</v>
      </c>
      <c r="L445" s="60" t="s">
        <v>55</v>
      </c>
      <c r="M445" s="141">
        <v>240</v>
      </c>
      <c r="N445" s="124"/>
      <c r="O445" s="60" t="s">
        <v>109</v>
      </c>
      <c r="P445" s="60">
        <v>30</v>
      </c>
      <c r="Q445" s="60">
        <v>40</v>
      </c>
      <c r="R445" s="60">
        <v>30</v>
      </c>
      <c r="S445" s="273">
        <v>40</v>
      </c>
      <c r="T445" s="60">
        <v>30</v>
      </c>
      <c r="U445" s="60">
        <v>40</v>
      </c>
      <c r="V445" s="47">
        <f t="shared" si="151"/>
        <v>38</v>
      </c>
      <c r="W445" s="47">
        <f t="shared" si="152"/>
        <v>48</v>
      </c>
      <c r="X445" s="60">
        <v>40</v>
      </c>
      <c r="Y445" s="686">
        <f>Table1[[#This Row],[Print Wth]]</f>
        <v>38</v>
      </c>
      <c r="Z445" s="686">
        <f>Table1[[#This Row],[Print Ht]]</f>
        <v>48</v>
      </c>
      <c r="AA445" s="1027">
        <f>Table1[[#This Row],[Cut Width]]*Table1[[#This Row],[Cut Height]]/144</f>
        <v>12.666666666666666</v>
      </c>
      <c r="AB445" s="341">
        <f>Table1[[#This Row],[Print Wth]]*Table1[[#This Row],[Print Ht]]/144*EPSONM</f>
        <v>57</v>
      </c>
      <c r="AC445" s="278">
        <f>Table1[[#This Row],[Substrate SF]]*Canvas</f>
        <v>8.36</v>
      </c>
      <c r="AD445" s="263">
        <f>Table1[[#This Row],[Ink g/mL]]*EPSONC</f>
        <v>12.540000000000001</v>
      </c>
      <c r="AE445" s="69">
        <f>IF(Table1[[#This Row],[Work Center]]="SwissQ",Materials!G$37,IF(Table1[[#This Row],[Work Center]]="Inca",Materials!G$29,IF(Table1[[#This Row],[Work Center]]="Canon",Materials!G$49,Materials!G$45)))</f>
        <v>5</v>
      </c>
      <c r="AF445" s="72">
        <f>'Cali FPS'!C48</f>
        <v>76.3</v>
      </c>
      <c r="AG445" s="540"/>
      <c r="AH445" s="69">
        <f t="shared" si="144"/>
        <v>12</v>
      </c>
      <c r="AI445" s="69"/>
      <c r="AJ445" s="176">
        <f t="shared" si="150"/>
        <v>114.19999999999999</v>
      </c>
      <c r="AK445" s="650">
        <f t="shared" si="141"/>
        <v>0.52416666666666667</v>
      </c>
      <c r="AL445" s="225">
        <f>Table1[[#This Row],[WSP/Dealer]]/Table1[[#This Row],[OD Sq Inch]]</f>
        <v>0.2</v>
      </c>
      <c r="AM445" s="173">
        <f>Table1[[#This Row],[OD Wdth]]*Table1[[#This Row],[OD Hgt]]</f>
        <v>1200</v>
      </c>
      <c r="AN445" s="180" t="str">
        <f>Table1[[#This Row],[Color]]</f>
        <v>GW</v>
      </c>
      <c r="AO445" s="83" t="str">
        <f>Table1[[#This Row],[Print Type]]</f>
        <v>Reductive</v>
      </c>
      <c r="AP445" s="1209"/>
      <c r="AQ445" s="540"/>
      <c r="AR445" s="176"/>
      <c r="AS445" s="1285"/>
      <c r="AT445" s="1161"/>
      <c r="AU445" s="1361" t="str">
        <f t="shared" si="145"/>
        <v>-</v>
      </c>
    </row>
    <row r="446" spans="1:47" s="103" customFormat="1" hidden="1" x14ac:dyDescent="0.2">
      <c r="A446" s="551" t="s">
        <v>318</v>
      </c>
      <c r="B446" s="1150" t="s">
        <v>111</v>
      </c>
      <c r="C446" s="805" t="s">
        <v>1259</v>
      </c>
      <c r="D446" s="77"/>
      <c r="E446" s="653" t="s">
        <v>1260</v>
      </c>
      <c r="F446" s="653" t="s">
        <v>105</v>
      </c>
      <c r="G446" s="551" t="s">
        <v>1261</v>
      </c>
      <c r="H446" s="551" t="s">
        <v>1262</v>
      </c>
      <c r="I446" s="551" t="s">
        <v>256</v>
      </c>
      <c r="J446" s="856" t="s">
        <v>257</v>
      </c>
      <c r="K446" s="551" t="s">
        <v>258</v>
      </c>
      <c r="L446" s="551" t="s">
        <v>1263</v>
      </c>
      <c r="M446" s="857">
        <v>285</v>
      </c>
      <c r="N446" s="1167"/>
      <c r="O446" s="551" t="s">
        <v>260</v>
      </c>
      <c r="P446" s="551">
        <v>16</v>
      </c>
      <c r="Q446" s="551">
        <v>24</v>
      </c>
      <c r="R446" s="551">
        <v>16</v>
      </c>
      <c r="S446" s="984">
        <v>24</v>
      </c>
      <c r="T446" s="551">
        <v>18</v>
      </c>
      <c r="U446" s="551">
        <v>26</v>
      </c>
      <c r="V446" s="881">
        <f t="shared" si="151"/>
        <v>16</v>
      </c>
      <c r="W446" s="881">
        <f t="shared" si="152"/>
        <v>24</v>
      </c>
      <c r="X446" s="551" t="s">
        <v>257</v>
      </c>
      <c r="Y446" s="551">
        <v>16</v>
      </c>
      <c r="Z446" s="551">
        <v>24</v>
      </c>
      <c r="AA446" s="903">
        <f t="shared" ref="AA446:AA468" si="153">V446*W446/144</f>
        <v>2.6666666666666665</v>
      </c>
      <c r="AB446" s="1168">
        <f>AA446*canonML</f>
        <v>12.799999999999999</v>
      </c>
      <c r="AC446" s="863">
        <f>Table1[[#This Row],[Print Wth]]*paper60</f>
        <v>5.44</v>
      </c>
      <c r="AD446" s="862">
        <f>Table1[[#This Row],[Ink g/mL]]*CanonC</f>
        <v>3.456</v>
      </c>
      <c r="AE446" s="863">
        <f>IF(Table1[[#This Row],[Work Center]]="SwissQ",Materials!G$37,IF(Table1[[#This Row],[Work Center]]="Inca",Materials!G$29,IF(Table1[[#This Row],[Work Center]]="Canon",Materials!G$49,Materials!G$45)))</f>
        <v>7</v>
      </c>
      <c r="AF446" s="902">
        <f>'Cali Frames'!D76</f>
        <v>78.91</v>
      </c>
      <c r="AG446" s="864"/>
      <c r="AH446" s="863">
        <v>0</v>
      </c>
      <c r="AI446" s="863"/>
      <c r="AJ446" s="867">
        <f t="shared" si="150"/>
        <v>94.805999999999997</v>
      </c>
      <c r="AK446" s="1163">
        <f t="shared" si="141"/>
        <v>0.66734736842105269</v>
      </c>
      <c r="AL446" s="895">
        <f>Table1[[#This Row],[WSP/Dealer]]/Table1[[#This Row],[OD Sq Inch]]</f>
        <v>0.60897435897435892</v>
      </c>
      <c r="AM446" s="868">
        <f>Table1[[#This Row],[OD Wdth]]*Table1[[#This Row],[OD Hgt]]</f>
        <v>468</v>
      </c>
      <c r="AN446" s="869" t="str">
        <f>Table1[[#This Row],[Color]]</f>
        <v>WC</v>
      </c>
      <c r="AO446" s="653"/>
      <c r="AP446" s="653"/>
      <c r="AQ446" s="864"/>
      <c r="AR446" s="864"/>
      <c r="AS446" s="864"/>
      <c r="AT446" s="863"/>
      <c r="AU446" s="1364" t="str">
        <f t="shared" si="145"/>
        <v>-</v>
      </c>
    </row>
    <row r="447" spans="1:47" s="63" customFormat="1" hidden="1" x14ac:dyDescent="0.2">
      <c r="A447" s="68" t="s">
        <v>318</v>
      </c>
      <c r="B447" s="1063" t="s">
        <v>65</v>
      </c>
      <c r="C447" s="78" t="s">
        <v>1264</v>
      </c>
      <c r="D447" s="94"/>
      <c r="E447" s="84" t="s">
        <v>1265</v>
      </c>
      <c r="F447" s="84" t="s">
        <v>105</v>
      </c>
      <c r="G447" s="68" t="s">
        <v>100</v>
      </c>
      <c r="H447" s="68" t="s">
        <v>892</v>
      </c>
      <c r="I447" s="68" t="s">
        <v>256</v>
      </c>
      <c r="J447" s="140" t="s">
        <v>257</v>
      </c>
      <c r="K447" s="68" t="s">
        <v>258</v>
      </c>
      <c r="L447" s="68" t="s">
        <v>1263</v>
      </c>
      <c r="M447" s="93">
        <v>285</v>
      </c>
      <c r="N447" s="93"/>
      <c r="O447" s="68" t="s">
        <v>260</v>
      </c>
      <c r="P447" s="68">
        <v>24</v>
      </c>
      <c r="Q447" s="68">
        <v>36</v>
      </c>
      <c r="R447" s="68">
        <v>24</v>
      </c>
      <c r="S447" s="623">
        <v>36</v>
      </c>
      <c r="T447" s="68">
        <v>26</v>
      </c>
      <c r="U447" s="68">
        <v>38</v>
      </c>
      <c r="V447" s="1783">
        <f t="shared" si="151"/>
        <v>24</v>
      </c>
      <c r="W447" s="1783">
        <f t="shared" si="152"/>
        <v>36</v>
      </c>
      <c r="X447" s="68" t="s">
        <v>257</v>
      </c>
      <c r="Y447" s="68">
        <v>24</v>
      </c>
      <c r="Z447" s="68">
        <v>36</v>
      </c>
      <c r="AA447" s="1027">
        <f t="shared" si="153"/>
        <v>6</v>
      </c>
      <c r="AB447" s="690">
        <f>AA447*canonML</f>
        <v>28.799999999999997</v>
      </c>
      <c r="AC447" s="74">
        <f>Table1[[#This Row],[Print Wth]]*paper60</f>
        <v>8.16</v>
      </c>
      <c r="AD447" s="67">
        <f>Table1[[#This Row],[Ink g/mL]]*CanonC</f>
        <v>7.7759999999999998</v>
      </c>
      <c r="AE447" s="74">
        <f>IF(Table1[[#This Row],[Work Center]]="SwissQ",Materials!G$37,IF(Table1[[#This Row],[Work Center]]="Inca",Materials!G$29,IF(Table1[[#This Row],[Work Center]]="Canon",Materials!G$49,Materials!G$45)))</f>
        <v>7</v>
      </c>
      <c r="AF447" s="73">
        <f>'Cali Frames'!D77</f>
        <v>104.79</v>
      </c>
      <c r="AG447" s="126"/>
      <c r="AH447" s="74">
        <v>0</v>
      </c>
      <c r="AI447" s="74"/>
      <c r="AJ447" s="278">
        <f t="shared" si="150"/>
        <v>127.726</v>
      </c>
      <c r="AK447" s="1001">
        <f t="shared" si="141"/>
        <v>0.55183859649122813</v>
      </c>
      <c r="AL447" s="240">
        <f>Table1[[#This Row],[WSP/Dealer]]/Table1[[#This Row],[OD Sq Inch]]</f>
        <v>0.28846153846153844</v>
      </c>
      <c r="AM447" s="170">
        <f>Table1[[#This Row],[OD Wdth]]*Table1[[#This Row],[OD Hgt]]</f>
        <v>988</v>
      </c>
      <c r="AN447" s="274" t="str">
        <f>Table1[[#This Row],[Color]]</f>
        <v>WC</v>
      </c>
      <c r="AO447" s="84"/>
      <c r="AP447" s="84"/>
      <c r="AQ447" s="126"/>
      <c r="AR447" s="126"/>
      <c r="AS447" s="126"/>
      <c r="AT447" s="74"/>
      <c r="AU447" s="1357" t="str">
        <f t="shared" si="145"/>
        <v>-</v>
      </c>
    </row>
    <row r="448" spans="1:47" s="63" customFormat="1" x14ac:dyDescent="0.2">
      <c r="A448" s="86" t="s">
        <v>58</v>
      </c>
      <c r="B448" s="1061" t="s">
        <v>366</v>
      </c>
      <c r="C448" s="694" t="s">
        <v>1266</v>
      </c>
      <c r="D448" s="94" t="s">
        <v>1267</v>
      </c>
      <c r="E448" s="85" t="s">
        <v>1268</v>
      </c>
      <c r="F448" s="85" t="s">
        <v>1269</v>
      </c>
      <c r="G448" s="86" t="s">
        <v>647</v>
      </c>
      <c r="H448" s="86" t="s">
        <v>1213</v>
      </c>
      <c r="I448" s="86" t="s">
        <v>52</v>
      </c>
      <c r="J448" s="86" t="s">
        <v>280</v>
      </c>
      <c r="K448" s="86" t="s">
        <v>69</v>
      </c>
      <c r="L448" s="86" t="s">
        <v>70</v>
      </c>
      <c r="M448" s="87">
        <v>308</v>
      </c>
      <c r="N448" s="639">
        <v>340</v>
      </c>
      <c r="O448" s="86" t="s">
        <v>64</v>
      </c>
      <c r="P448" s="86">
        <v>20</v>
      </c>
      <c r="Q448" s="86">
        <v>24</v>
      </c>
      <c r="R448" s="86">
        <v>20</v>
      </c>
      <c r="S448" s="1086">
        <v>24</v>
      </c>
      <c r="T448" s="86">
        <v>22</v>
      </c>
      <c r="U448" s="86" t="str">
        <f t="shared" ref="U448:U455" si="154">RIGHT(H448,2)</f>
        <v>25</v>
      </c>
      <c r="V448" s="1315">
        <f t="shared" si="151"/>
        <v>20</v>
      </c>
      <c r="W448" s="1315">
        <f t="shared" si="152"/>
        <v>24</v>
      </c>
      <c r="X448" s="814" t="s">
        <v>675</v>
      </c>
      <c r="Y448" s="86"/>
      <c r="Z448" s="86"/>
      <c r="AA448" s="817">
        <f t="shared" si="153"/>
        <v>3.3333333333333335</v>
      </c>
      <c r="AB448" s="702">
        <f t="shared" ref="AB448:AB455" si="155">AA448*Swiss1</f>
        <v>94.333333333333343</v>
      </c>
      <c r="AC448" s="705">
        <f>PETG48/8</f>
        <v>6.0824999999999996</v>
      </c>
      <c r="AD448" s="324">
        <f>Table1[[#This Row],[Substrate SF]]*Materials!C$37</f>
        <v>9.3333333333333339</v>
      </c>
      <c r="AE448" s="104">
        <f>IF(Table1[[#This Row],[Work Center]]="SwissQ",Materials!G$37,IF(Table1[[#This Row],[Work Center]]="Inca",Materials!G$29,IF(Table1[[#This Row],[Work Center]]="Canon",Materials!G$49,Materials!G$45)))</f>
        <v>20</v>
      </c>
      <c r="AF448" s="705">
        <f>'Cali Frames'!D$273</f>
        <v>90.53</v>
      </c>
      <c r="AG448" s="85"/>
      <c r="AH448" s="498">
        <f t="shared" ref="AH448:AH492" si="156">(M448*0.05)</f>
        <v>15.4</v>
      </c>
      <c r="AI448" s="498"/>
      <c r="AJ448" s="705">
        <f t="shared" si="150"/>
        <v>141.34583333333333</v>
      </c>
      <c r="AK448" s="650">
        <f t="shared" si="141"/>
        <v>0.54108495670995671</v>
      </c>
      <c r="AL448" s="225">
        <f>Table1[[#This Row],[WSP/Dealer]]/Table1[[#This Row],[OD Sq Inch]]</f>
        <v>0.56000000000000005</v>
      </c>
      <c r="AM448" s="88">
        <f>Table1[[#This Row],[OD Wdth]]*Table1[[#This Row],[OD Hgt]]</f>
        <v>550</v>
      </c>
      <c r="AN448" s="86">
        <f>Table1[[#This Row],[Min VO]]+Table1[[#This Row],[Max VO]]</f>
        <v>44</v>
      </c>
      <c r="AO448" s="86"/>
      <c r="AP448" s="86"/>
      <c r="AQ448" s="705"/>
      <c r="AR448" s="705"/>
      <c r="AS448" s="705"/>
      <c r="AT448" s="705"/>
      <c r="AU448" s="1372" t="str">
        <f t="shared" si="145"/>
        <v>-</v>
      </c>
    </row>
    <row r="449" spans="1:47" s="63" customFormat="1" x14ac:dyDescent="0.2">
      <c r="A449" s="180" t="s">
        <v>58</v>
      </c>
      <c r="B449" s="1061" t="s">
        <v>1062</v>
      </c>
      <c r="C449" s="302" t="s">
        <v>1270</v>
      </c>
      <c r="D449" s="94" t="s">
        <v>1271</v>
      </c>
      <c r="E449" s="284" t="s">
        <v>1268</v>
      </c>
      <c r="F449" s="284" t="s">
        <v>1269</v>
      </c>
      <c r="G449" s="180" t="s">
        <v>647</v>
      </c>
      <c r="H449" s="86" t="s">
        <v>1213</v>
      </c>
      <c r="I449" s="180" t="s">
        <v>52</v>
      </c>
      <c r="J449" s="180" t="s">
        <v>53</v>
      </c>
      <c r="K449" s="180" t="s">
        <v>69</v>
      </c>
      <c r="L449" s="180" t="s">
        <v>70</v>
      </c>
      <c r="M449" s="285">
        <v>308</v>
      </c>
      <c r="N449" s="639">
        <v>340</v>
      </c>
      <c r="O449" s="180" t="s">
        <v>64</v>
      </c>
      <c r="P449" s="180">
        <v>20</v>
      </c>
      <c r="Q449" s="180">
        <v>24</v>
      </c>
      <c r="R449" s="180">
        <v>20</v>
      </c>
      <c r="S449" s="813">
        <v>24</v>
      </c>
      <c r="T449" s="180">
        <v>22</v>
      </c>
      <c r="U449" s="180" t="str">
        <f t="shared" si="154"/>
        <v>25</v>
      </c>
      <c r="V449" s="947">
        <f t="shared" si="151"/>
        <v>28</v>
      </c>
      <c r="W449" s="947">
        <f t="shared" si="152"/>
        <v>32</v>
      </c>
      <c r="X449" s="289">
        <v>40</v>
      </c>
      <c r="Y449" s="180"/>
      <c r="Z449" s="180"/>
      <c r="AA449" s="678">
        <f t="shared" si="153"/>
        <v>6.2222222222222223</v>
      </c>
      <c r="AB449" s="329">
        <f t="shared" si="155"/>
        <v>176.0888888888889</v>
      </c>
      <c r="AC449" s="69">
        <f>AA449*Canvas</f>
        <v>4.1066666666666674</v>
      </c>
      <c r="AD449" s="175">
        <f>Table1[[#This Row],[Substrate SF]]*Materials!C$37</f>
        <v>17.422222222222221</v>
      </c>
      <c r="AE449" s="104">
        <f>IF(Table1[[#This Row],[Work Center]]="SwissQ",Materials!G$37,IF(Table1[[#This Row],[Work Center]]="Inca",Materials!G$29,IF(Table1[[#This Row],[Work Center]]="Canon",Materials!G$49,Materials!G$45)))</f>
        <v>20</v>
      </c>
      <c r="AF449" s="176">
        <f>'Cali Frames'!D273</f>
        <v>90.53</v>
      </c>
      <c r="AG449" s="284"/>
      <c r="AH449" s="498">
        <f t="shared" si="156"/>
        <v>15.4</v>
      </c>
      <c r="AI449" s="498"/>
      <c r="AJ449" s="176">
        <f t="shared" si="150"/>
        <v>147.45888888888888</v>
      </c>
      <c r="AK449" s="650">
        <f t="shared" si="141"/>
        <v>0.52123737373737378</v>
      </c>
      <c r="AL449" s="225">
        <f>Table1[[#This Row],[WSP/Dealer]]/Table1[[#This Row],[OD Sq Inch]]</f>
        <v>0.56000000000000005</v>
      </c>
      <c r="AM449" s="173">
        <f>Table1[[#This Row],[OD Wdth]]*Table1[[#This Row],[OD Hgt]]</f>
        <v>550</v>
      </c>
      <c r="AN449" s="216">
        <f>Table1[[#This Row],[Min VO]]+Table1[[#This Row],[Max VO]]</f>
        <v>44</v>
      </c>
      <c r="AO449" s="180"/>
      <c r="AP449" s="180"/>
      <c r="AQ449" s="176"/>
      <c r="AR449" s="176"/>
      <c r="AS449" s="176"/>
      <c r="AT449" s="176"/>
      <c r="AU449" s="1201" t="str">
        <f t="shared" si="145"/>
        <v>-</v>
      </c>
    </row>
    <row r="450" spans="1:47" s="173" customFormat="1" x14ac:dyDescent="0.2">
      <c r="A450" s="86" t="s">
        <v>58</v>
      </c>
      <c r="B450" s="1061" t="s">
        <v>366</v>
      </c>
      <c r="C450" s="694" t="s">
        <v>1272</v>
      </c>
      <c r="D450" s="94" t="s">
        <v>1273</v>
      </c>
      <c r="E450" s="85" t="s">
        <v>1274</v>
      </c>
      <c r="F450" s="85" t="s">
        <v>1269</v>
      </c>
      <c r="G450" s="86" t="s">
        <v>647</v>
      </c>
      <c r="H450" s="86" t="s">
        <v>1213</v>
      </c>
      <c r="I450" s="86" t="s">
        <v>52</v>
      </c>
      <c r="J450" s="86" t="s">
        <v>280</v>
      </c>
      <c r="K450" s="86" t="s">
        <v>69</v>
      </c>
      <c r="L450" s="86" t="s">
        <v>70</v>
      </c>
      <c r="M450" s="87">
        <v>308</v>
      </c>
      <c r="N450" s="639">
        <v>340</v>
      </c>
      <c r="O450" s="86" t="s">
        <v>64</v>
      </c>
      <c r="P450" s="86">
        <v>20</v>
      </c>
      <c r="Q450" s="86">
        <v>24</v>
      </c>
      <c r="R450" s="86">
        <v>20</v>
      </c>
      <c r="S450" s="1086">
        <v>24</v>
      </c>
      <c r="T450" s="86">
        <v>22</v>
      </c>
      <c r="U450" s="86" t="str">
        <f t="shared" si="154"/>
        <v>25</v>
      </c>
      <c r="V450" s="1315">
        <f t="shared" si="151"/>
        <v>20</v>
      </c>
      <c r="W450" s="1315">
        <f t="shared" si="152"/>
        <v>24</v>
      </c>
      <c r="X450" s="814" t="s">
        <v>675</v>
      </c>
      <c r="Y450" s="86"/>
      <c r="Z450" s="86"/>
      <c r="AA450" s="817">
        <f t="shared" si="153"/>
        <v>3.3333333333333335</v>
      </c>
      <c r="AB450" s="702">
        <f t="shared" si="155"/>
        <v>94.333333333333343</v>
      </c>
      <c r="AC450" s="705">
        <f>PETG48/8</f>
        <v>6.0824999999999996</v>
      </c>
      <c r="AD450" s="324">
        <f>Table1[[#This Row],[Substrate SF]]*Materials!C$37</f>
        <v>9.3333333333333339</v>
      </c>
      <c r="AE450" s="104">
        <f>IF(Table1[[#This Row],[Work Center]]="SwissQ",Materials!G$37,IF(Table1[[#This Row],[Work Center]]="Inca",Materials!G$29,IF(Table1[[#This Row],[Work Center]]="Canon",Materials!G$49,Materials!G$45)))</f>
        <v>20</v>
      </c>
      <c r="AF450" s="705">
        <f>'Cali Frames'!D$273</f>
        <v>90.53</v>
      </c>
      <c r="AG450" s="85"/>
      <c r="AH450" s="112">
        <f t="shared" si="156"/>
        <v>15.4</v>
      </c>
      <c r="AI450" s="112"/>
      <c r="AJ450" s="705">
        <f t="shared" si="150"/>
        <v>141.34583333333333</v>
      </c>
      <c r="AK450" s="62">
        <f t="shared" si="141"/>
        <v>0.54108495670995671</v>
      </c>
      <c r="AL450" s="225">
        <f>Table1[[#This Row],[WSP/Dealer]]/Table1[[#This Row],[OD Sq Inch]]</f>
        <v>0.56000000000000005</v>
      </c>
      <c r="AM450" s="86">
        <f>Table1[[#This Row],[OD Wdth]]*Table1[[#This Row],[OD Hgt]]</f>
        <v>550</v>
      </c>
      <c r="AN450" s="86">
        <f>Table1[[#This Row],[Min VO]]+Table1[[#This Row],[Max VO]]</f>
        <v>44</v>
      </c>
      <c r="AO450" s="86"/>
      <c r="AP450" s="86"/>
      <c r="AQ450" s="705"/>
      <c r="AR450" s="705"/>
      <c r="AS450" s="705"/>
      <c r="AT450" s="705"/>
      <c r="AU450" s="1372" t="str">
        <f t="shared" si="145"/>
        <v>-</v>
      </c>
    </row>
    <row r="451" spans="1:47" s="173" customFormat="1" x14ac:dyDescent="0.2">
      <c r="A451" s="180" t="s">
        <v>58</v>
      </c>
      <c r="B451" s="279" t="s">
        <v>1062</v>
      </c>
      <c r="C451" s="302" t="s">
        <v>1275</v>
      </c>
      <c r="D451" s="94" t="s">
        <v>1276</v>
      </c>
      <c r="E451" s="284" t="s">
        <v>1274</v>
      </c>
      <c r="F451" s="284" t="s">
        <v>1269</v>
      </c>
      <c r="G451" s="180" t="s">
        <v>647</v>
      </c>
      <c r="H451" s="86" t="s">
        <v>1213</v>
      </c>
      <c r="I451" s="180" t="s">
        <v>52</v>
      </c>
      <c r="J451" s="180" t="s">
        <v>53</v>
      </c>
      <c r="K451" s="180" t="s">
        <v>69</v>
      </c>
      <c r="L451" s="180" t="s">
        <v>70</v>
      </c>
      <c r="M451" s="285">
        <v>308</v>
      </c>
      <c r="N451" s="639">
        <v>340</v>
      </c>
      <c r="O451" s="180" t="s">
        <v>64</v>
      </c>
      <c r="P451" s="180">
        <v>20</v>
      </c>
      <c r="Q451" s="180">
        <v>24</v>
      </c>
      <c r="R451" s="180">
        <v>20</v>
      </c>
      <c r="S451" s="813">
        <v>24</v>
      </c>
      <c r="T451" s="180">
        <v>22</v>
      </c>
      <c r="U451" s="180" t="str">
        <f t="shared" si="154"/>
        <v>25</v>
      </c>
      <c r="V451" s="174">
        <f t="shared" si="151"/>
        <v>28</v>
      </c>
      <c r="W451" s="174">
        <f t="shared" si="152"/>
        <v>32</v>
      </c>
      <c r="X451" s="289">
        <v>40</v>
      </c>
      <c r="Y451" s="180"/>
      <c r="Z451" s="180"/>
      <c r="AA451" s="678">
        <f t="shared" si="153"/>
        <v>6.2222222222222223</v>
      </c>
      <c r="AB451" s="329">
        <f t="shared" si="155"/>
        <v>176.0888888888889</v>
      </c>
      <c r="AC451" s="69">
        <f>AA451*Canvas</f>
        <v>4.1066666666666674</v>
      </c>
      <c r="AD451" s="175">
        <f>Table1[[#This Row],[Substrate SF]]*Materials!C$37</f>
        <v>17.422222222222221</v>
      </c>
      <c r="AE451" s="104">
        <f>IF(Table1[[#This Row],[Work Center]]="SwissQ",Materials!G$37,IF(Table1[[#This Row],[Work Center]]="Inca",Materials!G$29,IF(Table1[[#This Row],[Work Center]]="Canon",Materials!G$49,Materials!G$45)))</f>
        <v>20</v>
      </c>
      <c r="AF451" s="176">
        <f>'Cali Frames'!D273</f>
        <v>90.53</v>
      </c>
      <c r="AG451" s="284"/>
      <c r="AH451" s="498">
        <f t="shared" si="156"/>
        <v>15.4</v>
      </c>
      <c r="AI451" s="498"/>
      <c r="AJ451" s="176">
        <f t="shared" si="150"/>
        <v>147.45888888888888</v>
      </c>
      <c r="AK451" s="650">
        <f t="shared" si="141"/>
        <v>0.52123737373737378</v>
      </c>
      <c r="AL451" s="225">
        <f>Table1[[#This Row],[WSP/Dealer]]/Table1[[#This Row],[OD Sq Inch]]</f>
        <v>0.56000000000000005</v>
      </c>
      <c r="AM451" s="173">
        <f>Table1[[#This Row],[OD Wdth]]*Table1[[#This Row],[OD Hgt]]</f>
        <v>550</v>
      </c>
      <c r="AN451" s="216">
        <f>Table1[[#This Row],[Min VO]]+Table1[[#This Row],[Max VO]]</f>
        <v>44</v>
      </c>
      <c r="AO451" s="180"/>
      <c r="AP451" s="180"/>
      <c r="AQ451" s="176"/>
      <c r="AR451" s="176"/>
      <c r="AS451" s="176"/>
      <c r="AT451" s="176"/>
      <c r="AU451" s="1201" t="str">
        <f t="shared" si="145"/>
        <v>-</v>
      </c>
    </row>
    <row r="452" spans="1:47" s="170" customFormat="1" x14ac:dyDescent="0.2">
      <c r="A452" s="345" t="s">
        <v>58</v>
      </c>
      <c r="B452" s="1061" t="s">
        <v>366</v>
      </c>
      <c r="C452" s="1259" t="s">
        <v>1277</v>
      </c>
      <c r="D452" s="94" t="s">
        <v>1278</v>
      </c>
      <c r="E452" s="346" t="s">
        <v>1279</v>
      </c>
      <c r="F452" s="346" t="s">
        <v>1269</v>
      </c>
      <c r="G452" s="345" t="s">
        <v>647</v>
      </c>
      <c r="H452" s="86" t="s">
        <v>1213</v>
      </c>
      <c r="I452" s="345" t="s">
        <v>52</v>
      </c>
      <c r="J452" s="345" t="s">
        <v>280</v>
      </c>
      <c r="K452" s="345" t="s">
        <v>69</v>
      </c>
      <c r="L452" s="345" t="s">
        <v>70</v>
      </c>
      <c r="M452" s="347">
        <v>308</v>
      </c>
      <c r="N452" s="639">
        <v>340</v>
      </c>
      <c r="O452" s="345" t="s">
        <v>64</v>
      </c>
      <c r="P452" s="325">
        <v>20</v>
      </c>
      <c r="Q452" s="325">
        <v>24</v>
      </c>
      <c r="R452" s="345">
        <v>20</v>
      </c>
      <c r="S452" s="1772">
        <v>24</v>
      </c>
      <c r="T452" s="325">
        <v>22</v>
      </c>
      <c r="U452" s="325" t="str">
        <f t="shared" si="154"/>
        <v>25</v>
      </c>
      <c r="V452" s="1782">
        <f t="shared" si="151"/>
        <v>20</v>
      </c>
      <c r="W452" s="1782">
        <f t="shared" si="152"/>
        <v>24</v>
      </c>
      <c r="X452" s="799" t="s">
        <v>675</v>
      </c>
      <c r="Y452" s="345"/>
      <c r="Z452" s="345"/>
      <c r="AA452" s="953">
        <f t="shared" si="153"/>
        <v>3.3333333333333335</v>
      </c>
      <c r="AB452" s="700">
        <f t="shared" si="155"/>
        <v>94.333333333333343</v>
      </c>
      <c r="AC452" s="801">
        <f>PETG48/8</f>
        <v>6.0824999999999996</v>
      </c>
      <c r="AD452" s="348">
        <f>Table1[[#This Row],[Substrate SF]]*Materials!C$37</f>
        <v>9.3333333333333339</v>
      </c>
      <c r="AE452" s="104">
        <f>IF(Table1[[#This Row],[Work Center]]="SwissQ",Materials!G$37,IF(Table1[[#This Row],[Work Center]]="Inca",Materials!G$29,IF(Table1[[#This Row],[Work Center]]="Canon",Materials!G$49,Materials!G$45)))</f>
        <v>20</v>
      </c>
      <c r="AF452" s="801">
        <f>'Cali Frames'!D$273</f>
        <v>90.53</v>
      </c>
      <c r="AG452" s="346"/>
      <c r="AH452" s="498">
        <f t="shared" si="156"/>
        <v>15.4</v>
      </c>
      <c r="AI452" s="498"/>
      <c r="AJ452" s="801">
        <f t="shared" si="150"/>
        <v>141.34583333333333</v>
      </c>
      <c r="AK452" s="650">
        <f t="shared" si="141"/>
        <v>0.54108495670995671</v>
      </c>
      <c r="AL452" s="225">
        <f>Table1[[#This Row],[WSP/Dealer]]/Table1[[#This Row],[OD Sq Inch]]</f>
        <v>0.56000000000000005</v>
      </c>
      <c r="AM452" s="325">
        <f>Table1[[#This Row],[OD Wdth]]*Table1[[#This Row],[OD Hgt]]</f>
        <v>550</v>
      </c>
      <c r="AN452" s="345">
        <f>Table1[[#This Row],[Min VO]]+Table1[[#This Row],[Max VO]]</f>
        <v>44</v>
      </c>
      <c r="AO452" s="325"/>
      <c r="AP452" s="345"/>
      <c r="AQ452" s="801"/>
      <c r="AR452" s="801"/>
      <c r="AS452" s="801"/>
      <c r="AT452" s="801"/>
      <c r="AU452" s="1817" t="str">
        <f t="shared" si="145"/>
        <v>-</v>
      </c>
    </row>
    <row r="453" spans="1:47" s="63" customFormat="1" x14ac:dyDescent="0.2">
      <c r="A453" s="180" t="s">
        <v>58</v>
      </c>
      <c r="B453" s="1061" t="s">
        <v>1062</v>
      </c>
      <c r="C453" s="302" t="s">
        <v>1280</v>
      </c>
      <c r="D453" s="94" t="s">
        <v>1281</v>
      </c>
      <c r="E453" s="284" t="s">
        <v>1279</v>
      </c>
      <c r="F453" s="284" t="s">
        <v>1269</v>
      </c>
      <c r="G453" s="180" t="s">
        <v>647</v>
      </c>
      <c r="H453" s="86" t="s">
        <v>1213</v>
      </c>
      <c r="I453" s="180" t="s">
        <v>52</v>
      </c>
      <c r="J453" s="180" t="s">
        <v>53</v>
      </c>
      <c r="K453" s="180" t="s">
        <v>69</v>
      </c>
      <c r="L453" s="180" t="s">
        <v>70</v>
      </c>
      <c r="M453" s="285">
        <v>308</v>
      </c>
      <c r="N453" s="639">
        <v>340</v>
      </c>
      <c r="O453" s="180" t="s">
        <v>64</v>
      </c>
      <c r="P453" s="180">
        <v>20</v>
      </c>
      <c r="Q453" s="180">
        <v>24</v>
      </c>
      <c r="R453" s="180">
        <v>20</v>
      </c>
      <c r="S453" s="1692">
        <v>24</v>
      </c>
      <c r="T453" s="173">
        <v>22</v>
      </c>
      <c r="U453" s="173" t="str">
        <f t="shared" si="154"/>
        <v>25</v>
      </c>
      <c r="V453" s="947">
        <f t="shared" si="151"/>
        <v>28</v>
      </c>
      <c r="W453" s="947">
        <f t="shared" si="152"/>
        <v>32</v>
      </c>
      <c r="X453" s="289">
        <v>40</v>
      </c>
      <c r="Y453" s="180"/>
      <c r="Z453" s="180"/>
      <c r="AA453" s="678">
        <f t="shared" si="153"/>
        <v>6.2222222222222223</v>
      </c>
      <c r="AB453" s="329">
        <f t="shared" si="155"/>
        <v>176.0888888888889</v>
      </c>
      <c r="AC453" s="69">
        <f>AA453*Canvas</f>
        <v>4.1066666666666674</v>
      </c>
      <c r="AD453" s="175">
        <f>Table1[[#This Row],[Substrate SF]]*Materials!C$37</f>
        <v>17.422222222222221</v>
      </c>
      <c r="AE453" s="104">
        <f>IF(Table1[[#This Row],[Work Center]]="SwissQ",Materials!G$37,IF(Table1[[#This Row],[Work Center]]="Inca",Materials!G$29,IF(Table1[[#This Row],[Work Center]]="Canon",Materials!G$49,Materials!G$45)))</f>
        <v>20</v>
      </c>
      <c r="AF453" s="176">
        <f>'Cali Frames'!D273</f>
        <v>90.53</v>
      </c>
      <c r="AG453" s="284"/>
      <c r="AH453" s="498">
        <f t="shared" si="156"/>
        <v>15.4</v>
      </c>
      <c r="AI453" s="498"/>
      <c r="AJ453" s="176">
        <f t="shared" si="150"/>
        <v>147.45888888888888</v>
      </c>
      <c r="AK453" s="650">
        <f t="shared" si="141"/>
        <v>0.52123737373737378</v>
      </c>
      <c r="AL453" s="225">
        <f>Table1[[#This Row],[WSP/Dealer]]/Table1[[#This Row],[OD Sq Inch]]</f>
        <v>0.56000000000000005</v>
      </c>
      <c r="AM453" s="173">
        <f>Table1[[#This Row],[OD Wdth]]*Table1[[#This Row],[OD Hgt]]</f>
        <v>550</v>
      </c>
      <c r="AN453" s="216">
        <f>Table1[[#This Row],[Min VO]]+Table1[[#This Row],[Max VO]]</f>
        <v>44</v>
      </c>
      <c r="AO453" s="173"/>
      <c r="AP453" s="180"/>
      <c r="AQ453" s="175"/>
      <c r="AR453" s="175"/>
      <c r="AS453" s="175"/>
      <c r="AT453" s="176"/>
      <c r="AU453" s="676" t="str">
        <f t="shared" si="145"/>
        <v>-</v>
      </c>
    </row>
    <row r="454" spans="1:47" s="46" customFormat="1" x14ac:dyDescent="0.2">
      <c r="A454" s="345" t="s">
        <v>58</v>
      </c>
      <c r="B454" s="1061" t="s">
        <v>366</v>
      </c>
      <c r="C454" s="1259" t="s">
        <v>1282</v>
      </c>
      <c r="D454" s="94" t="s">
        <v>1283</v>
      </c>
      <c r="E454" s="346" t="s">
        <v>1284</v>
      </c>
      <c r="F454" s="346" t="s">
        <v>1269</v>
      </c>
      <c r="G454" s="345" t="s">
        <v>647</v>
      </c>
      <c r="H454" s="86" t="s">
        <v>1213</v>
      </c>
      <c r="I454" s="345" t="s">
        <v>52</v>
      </c>
      <c r="J454" s="345" t="s">
        <v>280</v>
      </c>
      <c r="K454" s="345" t="s">
        <v>69</v>
      </c>
      <c r="L454" s="345" t="s">
        <v>70</v>
      </c>
      <c r="M454" s="347">
        <v>308</v>
      </c>
      <c r="N454" s="639">
        <v>340</v>
      </c>
      <c r="O454" s="345" t="s">
        <v>64</v>
      </c>
      <c r="P454" s="345">
        <v>20</v>
      </c>
      <c r="Q454" s="345">
        <v>24</v>
      </c>
      <c r="R454" s="345">
        <v>20</v>
      </c>
      <c r="S454" s="1456">
        <v>24</v>
      </c>
      <c r="T454" s="345">
        <v>22</v>
      </c>
      <c r="U454" s="345" t="str">
        <f t="shared" si="154"/>
        <v>25</v>
      </c>
      <c r="V454" s="1457">
        <f t="shared" si="151"/>
        <v>20</v>
      </c>
      <c r="W454" s="1457">
        <f t="shared" si="152"/>
        <v>24</v>
      </c>
      <c r="X454" s="799" t="s">
        <v>675</v>
      </c>
      <c r="Y454" s="345"/>
      <c r="Z454" s="345"/>
      <c r="AA454" s="953">
        <f t="shared" si="153"/>
        <v>3.3333333333333335</v>
      </c>
      <c r="AB454" s="700">
        <f t="shared" si="155"/>
        <v>94.333333333333343</v>
      </c>
      <c r="AC454" s="801">
        <f>PETG48/8</f>
        <v>6.0824999999999996</v>
      </c>
      <c r="AD454" s="348">
        <f>Table1[[#This Row],[Substrate SF]]*Materials!C$37</f>
        <v>9.3333333333333339</v>
      </c>
      <c r="AE454" s="104">
        <f>IF(Table1[[#This Row],[Work Center]]="SwissQ",Materials!G$37,IF(Table1[[#This Row],[Work Center]]="Inca",Materials!G$29,IF(Table1[[#This Row],[Work Center]]="Canon",Materials!G$49,Materials!G$45)))</f>
        <v>20</v>
      </c>
      <c r="AF454" s="801">
        <f>'Cali Frames'!D$273</f>
        <v>90.53</v>
      </c>
      <c r="AG454" s="346"/>
      <c r="AH454" s="498">
        <f t="shared" si="156"/>
        <v>15.4</v>
      </c>
      <c r="AI454" s="498"/>
      <c r="AJ454" s="801">
        <f t="shared" si="150"/>
        <v>141.34583333333333</v>
      </c>
      <c r="AK454" s="650">
        <f t="shared" si="141"/>
        <v>0.54108495670995671</v>
      </c>
      <c r="AL454" s="225">
        <f>Table1[[#This Row],[WSP/Dealer]]/Table1[[#This Row],[OD Sq Inch]]</f>
        <v>0.56000000000000005</v>
      </c>
      <c r="AM454" s="325">
        <f>Table1[[#This Row],[OD Wdth]]*Table1[[#This Row],[OD Hgt]]</f>
        <v>550</v>
      </c>
      <c r="AN454" s="345">
        <f>Table1[[#This Row],[Min VO]]+Table1[[#This Row],[Max VO]]</f>
        <v>44</v>
      </c>
      <c r="AO454" s="345"/>
      <c r="AP454" s="345"/>
      <c r="AQ454" s="801"/>
      <c r="AR454" s="801"/>
      <c r="AS454" s="801"/>
      <c r="AT454" s="801"/>
      <c r="AU454" s="1577" t="str">
        <f t="shared" si="145"/>
        <v>-</v>
      </c>
    </row>
    <row r="455" spans="1:47" s="63" customFormat="1" x14ac:dyDescent="0.2">
      <c r="A455" s="180" t="s">
        <v>58</v>
      </c>
      <c r="B455" s="1061" t="s">
        <v>1062</v>
      </c>
      <c r="C455" s="302" t="s">
        <v>1285</v>
      </c>
      <c r="D455" s="94" t="s">
        <v>1286</v>
      </c>
      <c r="E455" s="284" t="s">
        <v>1284</v>
      </c>
      <c r="F455" s="284" t="s">
        <v>1269</v>
      </c>
      <c r="G455" s="180" t="s">
        <v>647</v>
      </c>
      <c r="H455" s="86" t="s">
        <v>1213</v>
      </c>
      <c r="I455" s="180" t="s">
        <v>52</v>
      </c>
      <c r="J455" s="180" t="s">
        <v>53</v>
      </c>
      <c r="K455" s="180" t="s">
        <v>69</v>
      </c>
      <c r="L455" s="180" t="s">
        <v>70</v>
      </c>
      <c r="M455" s="285">
        <v>308</v>
      </c>
      <c r="N455" s="639">
        <v>340</v>
      </c>
      <c r="O455" s="180" t="s">
        <v>64</v>
      </c>
      <c r="P455" s="180">
        <v>20</v>
      </c>
      <c r="Q455" s="180">
        <v>24</v>
      </c>
      <c r="R455" s="180">
        <v>20</v>
      </c>
      <c r="S455" s="813">
        <v>24</v>
      </c>
      <c r="T455" s="180">
        <v>22</v>
      </c>
      <c r="U455" s="180" t="str">
        <f t="shared" si="154"/>
        <v>25</v>
      </c>
      <c r="V455" s="947">
        <f t="shared" si="151"/>
        <v>28</v>
      </c>
      <c r="W455" s="947">
        <f t="shared" si="152"/>
        <v>32</v>
      </c>
      <c r="X455" s="289">
        <v>40</v>
      </c>
      <c r="Y455" s="180"/>
      <c r="Z455" s="180"/>
      <c r="AA455" s="678">
        <f t="shared" si="153"/>
        <v>6.2222222222222223</v>
      </c>
      <c r="AB455" s="329">
        <f t="shared" si="155"/>
        <v>176.0888888888889</v>
      </c>
      <c r="AC455" s="69">
        <f t="shared" ref="AC455:AC464" si="157">AA455*Canvas</f>
        <v>4.1066666666666674</v>
      </c>
      <c r="AD455" s="176">
        <f>Table1[[#This Row],[Substrate SF]]*Materials!C$37</f>
        <v>17.422222222222221</v>
      </c>
      <c r="AE455" s="104">
        <f>IF(Table1[[#This Row],[Work Center]]="SwissQ",Materials!G$37,IF(Table1[[#This Row],[Work Center]]="Inca",Materials!G$29,IF(Table1[[#This Row],[Work Center]]="Canon",Materials!G$49,Materials!G$45)))</f>
        <v>20</v>
      </c>
      <c r="AF455" s="176">
        <f>'Cali Frames'!D273</f>
        <v>90.53</v>
      </c>
      <c r="AG455" s="284"/>
      <c r="AH455" s="498">
        <f t="shared" si="156"/>
        <v>15.4</v>
      </c>
      <c r="AI455" s="498"/>
      <c r="AJ455" s="176">
        <f t="shared" si="150"/>
        <v>147.45888888888888</v>
      </c>
      <c r="AK455" s="650">
        <f t="shared" si="141"/>
        <v>0.52123737373737378</v>
      </c>
      <c r="AL455" s="225">
        <f>Table1[[#This Row],[WSP/Dealer]]/Table1[[#This Row],[OD Sq Inch]]</f>
        <v>0.56000000000000005</v>
      </c>
      <c r="AM455" s="180">
        <f>Table1[[#This Row],[OD Wdth]]*Table1[[#This Row],[OD Hgt]]</f>
        <v>550</v>
      </c>
      <c r="AN455" s="216">
        <f>Table1[[#This Row],[Min VO]]+Table1[[#This Row],[Max VO]]</f>
        <v>44</v>
      </c>
      <c r="AO455" s="180"/>
      <c r="AP455" s="180"/>
      <c r="AQ455" s="176"/>
      <c r="AR455" s="176"/>
      <c r="AS455" s="176"/>
      <c r="AT455" s="176"/>
      <c r="AU455" s="1201" t="str">
        <f t="shared" si="145"/>
        <v>-</v>
      </c>
    </row>
    <row r="456" spans="1:47" s="103" customFormat="1" hidden="1" x14ac:dyDescent="0.2">
      <c r="A456" s="400" t="s">
        <v>1287</v>
      </c>
      <c r="B456" s="1062" t="s">
        <v>801</v>
      </c>
      <c r="C456" s="100" t="s">
        <v>1288</v>
      </c>
      <c r="D456" s="94"/>
      <c r="E456" s="1268" t="s">
        <v>1289</v>
      </c>
      <c r="F456" s="401" t="s">
        <v>561</v>
      </c>
      <c r="G456" s="400" t="s">
        <v>1290</v>
      </c>
      <c r="H456" s="400" t="s">
        <v>1290</v>
      </c>
      <c r="I456" s="400" t="s">
        <v>52</v>
      </c>
      <c r="J456" s="497" t="s">
        <v>53</v>
      </c>
      <c r="K456" s="400" t="s">
        <v>54</v>
      </c>
      <c r="L456" s="400" t="s">
        <v>55</v>
      </c>
      <c r="M456" s="832">
        <v>300</v>
      </c>
      <c r="N456" s="832"/>
      <c r="O456" s="400" t="s">
        <v>56</v>
      </c>
      <c r="P456" s="400">
        <v>20</v>
      </c>
      <c r="Q456" s="400">
        <v>30</v>
      </c>
      <c r="R456" s="400">
        <v>20</v>
      </c>
      <c r="S456" s="1244">
        <v>30</v>
      </c>
      <c r="T456" s="400">
        <v>20</v>
      </c>
      <c r="U456" s="400">
        <v>30</v>
      </c>
      <c r="V456" s="918">
        <f t="shared" ref="V456:V463" si="158">IF(J456="Canvas",P456+BorderGW,P456)</f>
        <v>28</v>
      </c>
      <c r="W456" s="918">
        <f t="shared" ref="W456:W463" si="159">IF(J456="Canvas",Q456+BorderGW,Q456)</f>
        <v>38</v>
      </c>
      <c r="X456" s="400">
        <v>40</v>
      </c>
      <c r="Y456" s="400">
        <v>28</v>
      </c>
      <c r="Z456" s="400">
        <v>38</v>
      </c>
      <c r="AA456" s="724">
        <f t="shared" si="153"/>
        <v>7.3888888888888893</v>
      </c>
      <c r="AB456" s="633">
        <f t="shared" ref="AB456:AB462" si="160">AA456*IncaG</f>
        <v>155.46222222222224</v>
      </c>
      <c r="AC456" s="406">
        <f t="shared" si="157"/>
        <v>4.8766666666666669</v>
      </c>
      <c r="AD456" s="406">
        <f t="shared" ref="AD456:AD462" si="161">AA456*IncaC</f>
        <v>12.436977777777779</v>
      </c>
      <c r="AE456" s="406">
        <f>IF(Table1[[#This Row],[Work Center]]="SwissQ",Materials!G$37,IF(Table1[[#This Row],[Work Center]]="Inca",Materials!G$29,IF(Table1[[#This Row],[Work Center]]="Canon",Materials!G$49,Materials!G$45)))</f>
        <v>8</v>
      </c>
      <c r="AF456" s="403">
        <f>'Cali FPS'!C28</f>
        <v>62.93</v>
      </c>
      <c r="AG456" s="401"/>
      <c r="AH456" s="406">
        <f t="shared" si="156"/>
        <v>15</v>
      </c>
      <c r="AI456" s="406"/>
      <c r="AJ456" s="406">
        <f t="shared" si="150"/>
        <v>103.24364444444444</v>
      </c>
      <c r="AK456" s="1065">
        <f t="shared" si="141"/>
        <v>0.6558545185185185</v>
      </c>
      <c r="AL456" s="406">
        <f>Table1[[#This Row],[WSP/Dealer]]/Table1[[#This Row],[OD Sq Inch]]</f>
        <v>0.5</v>
      </c>
      <c r="AM456" s="400">
        <f>Table1[[#This Row],[OD Wdth]]*Table1[[#This Row],[OD Hgt]]</f>
        <v>600</v>
      </c>
      <c r="AN456" s="400">
        <f>Table1[[#This Row],[Min VO]]+Table1[[#This Row],[Max VO]]</f>
        <v>50</v>
      </c>
      <c r="AO456" s="401"/>
      <c r="AP456" s="401"/>
      <c r="AQ456" s="1000"/>
      <c r="AR456" s="1000"/>
      <c r="AS456" s="1000"/>
      <c r="AT456" s="406"/>
      <c r="AU456" s="1366" t="str">
        <f t="shared" si="145"/>
        <v>-</v>
      </c>
    </row>
    <row r="457" spans="1:47" s="103" customFormat="1" hidden="1" x14ac:dyDescent="0.2">
      <c r="A457" s="86"/>
      <c r="B457" s="170"/>
      <c r="C457" s="805" t="s">
        <v>1291</v>
      </c>
      <c r="D457" s="94"/>
      <c r="E457" s="85" t="s">
        <v>1292</v>
      </c>
      <c r="F457" s="85" t="s">
        <v>561</v>
      </c>
      <c r="G457" s="86" t="s">
        <v>132</v>
      </c>
      <c r="H457" s="86" t="s">
        <v>132</v>
      </c>
      <c r="I457" s="86" t="s">
        <v>52</v>
      </c>
      <c r="J457" s="86" t="s">
        <v>53</v>
      </c>
      <c r="K457" s="86" t="s">
        <v>54</v>
      </c>
      <c r="L457" s="86" t="s">
        <v>55</v>
      </c>
      <c r="M457" s="87">
        <v>500</v>
      </c>
      <c r="N457" s="71"/>
      <c r="O457" s="101" t="s">
        <v>56</v>
      </c>
      <c r="P457" s="60">
        <v>36</v>
      </c>
      <c r="Q457" s="60">
        <v>48</v>
      </c>
      <c r="R457" s="60">
        <v>36</v>
      </c>
      <c r="S457" s="273">
        <v>48</v>
      </c>
      <c r="T457" s="60">
        <v>36</v>
      </c>
      <c r="U457" s="60">
        <v>48</v>
      </c>
      <c r="V457" s="608">
        <f t="shared" si="158"/>
        <v>44</v>
      </c>
      <c r="W457" s="608">
        <f t="shared" si="159"/>
        <v>56</v>
      </c>
      <c r="X457" s="137">
        <v>122</v>
      </c>
      <c r="Y457" s="101"/>
      <c r="Z457" s="101"/>
      <c r="AA457" s="649">
        <f t="shared" si="153"/>
        <v>17.111111111111111</v>
      </c>
      <c r="AB457" s="184">
        <f t="shared" si="160"/>
        <v>360.01777777777778</v>
      </c>
      <c r="AC457" s="104">
        <f t="shared" si="157"/>
        <v>11.293333333333333</v>
      </c>
      <c r="AD457" s="104">
        <f t="shared" si="161"/>
        <v>28.801422222222222</v>
      </c>
      <c r="AE457" s="104">
        <f>IF(Table1[[#This Row],[Work Center]]="SwissQ",Materials!G$37,IF(Table1[[#This Row],[Work Center]]="Inca",Materials!G$29,IF(Table1[[#This Row],[Work Center]]="Canon",Materials!G$49,Materials!G$45)))</f>
        <v>8</v>
      </c>
      <c r="AF457" s="104">
        <f>'Cali FPS'!C$71</f>
        <v>114.31</v>
      </c>
      <c r="AG457" s="115"/>
      <c r="AH457" s="498">
        <f t="shared" si="156"/>
        <v>25</v>
      </c>
      <c r="AI457" s="498"/>
      <c r="AJ457" s="104">
        <f t="shared" si="150"/>
        <v>187.40475555555554</v>
      </c>
      <c r="AK457" s="650">
        <f t="shared" si="141"/>
        <v>0.62519048888888895</v>
      </c>
      <c r="AL457" s="225">
        <f>Table1[[#This Row],[WSP/Dealer]]/Table1[[#This Row],[OD Sq Inch]]</f>
        <v>0.28935185185185186</v>
      </c>
      <c r="AM457" s="101">
        <f>Table1[[#This Row],[OD Wdth]]*Table1[[#This Row],[OD Hgt]]</f>
        <v>1728</v>
      </c>
      <c r="AN457" s="216">
        <f>Table1[[#This Row],[Min VO]]+Table1[[#This Row],[Max VO]]</f>
        <v>84</v>
      </c>
      <c r="AO457" s="101"/>
      <c r="AP457" s="101"/>
      <c r="AQ457" s="104"/>
      <c r="AR457" s="104"/>
      <c r="AS457" s="104"/>
      <c r="AT457" s="104"/>
      <c r="AU457" s="830" t="str">
        <f t="shared" si="145"/>
        <v>-</v>
      </c>
    </row>
    <row r="458" spans="1:47" s="63" customFormat="1" hidden="1" x14ac:dyDescent="0.2">
      <c r="A458" s="86"/>
      <c r="B458" s="170"/>
      <c r="C458" s="805" t="s">
        <v>1293</v>
      </c>
      <c r="D458" s="94"/>
      <c r="E458" s="85" t="s">
        <v>1294</v>
      </c>
      <c r="F458" s="85" t="s">
        <v>561</v>
      </c>
      <c r="G458" s="86" t="s">
        <v>132</v>
      </c>
      <c r="H458" s="86" t="s">
        <v>132</v>
      </c>
      <c r="I458" s="86" t="s">
        <v>52</v>
      </c>
      <c r="J458" s="86" t="s">
        <v>53</v>
      </c>
      <c r="K458" s="86" t="s">
        <v>54</v>
      </c>
      <c r="L458" s="86" t="s">
        <v>55</v>
      </c>
      <c r="M458" s="87">
        <v>500</v>
      </c>
      <c r="N458" s="71"/>
      <c r="O458" s="101" t="s">
        <v>56</v>
      </c>
      <c r="P458" s="60">
        <v>36</v>
      </c>
      <c r="Q458" s="60">
        <v>48</v>
      </c>
      <c r="R458" s="60">
        <v>36</v>
      </c>
      <c r="S458" s="273">
        <v>48</v>
      </c>
      <c r="T458" s="60">
        <v>36</v>
      </c>
      <c r="U458" s="60">
        <v>48</v>
      </c>
      <c r="V458" s="608">
        <f t="shared" si="158"/>
        <v>44</v>
      </c>
      <c r="W458" s="608">
        <f t="shared" si="159"/>
        <v>56</v>
      </c>
      <c r="X458" s="137">
        <v>122</v>
      </c>
      <c r="Y458" s="101"/>
      <c r="Z458" s="101"/>
      <c r="AA458" s="649">
        <f t="shared" si="153"/>
        <v>17.111111111111111</v>
      </c>
      <c r="AB458" s="184">
        <f t="shared" si="160"/>
        <v>360.01777777777778</v>
      </c>
      <c r="AC458" s="104">
        <f t="shared" si="157"/>
        <v>11.293333333333333</v>
      </c>
      <c r="AD458" s="107">
        <f t="shared" si="161"/>
        <v>28.801422222222222</v>
      </c>
      <c r="AE458" s="104">
        <f>IF(Table1[[#This Row],[Work Center]]="SwissQ",Materials!G$37,IF(Table1[[#This Row],[Work Center]]="Inca",Materials!G$29,IF(Table1[[#This Row],[Work Center]]="Canon",Materials!G$49,Materials!G$45)))</f>
        <v>8</v>
      </c>
      <c r="AF458" s="104">
        <f>'Cali FPS'!C$71</f>
        <v>114.31</v>
      </c>
      <c r="AG458" s="115"/>
      <c r="AH458" s="498">
        <f t="shared" si="156"/>
        <v>25</v>
      </c>
      <c r="AI458" s="498"/>
      <c r="AJ458" s="104">
        <f t="shared" si="150"/>
        <v>187.40475555555554</v>
      </c>
      <c r="AK458" s="650">
        <f t="shared" si="141"/>
        <v>0.62519048888888895</v>
      </c>
      <c r="AL458" s="225">
        <f>Table1[[#This Row],[WSP/Dealer]]/Table1[[#This Row],[OD Sq Inch]]</f>
        <v>0.28935185185185186</v>
      </c>
      <c r="AM458" s="103">
        <f>Table1[[#This Row],[OD Wdth]]*Table1[[#This Row],[OD Hgt]]</f>
        <v>1728</v>
      </c>
      <c r="AN458" s="216">
        <f>Table1[[#This Row],[Min VO]]+Table1[[#This Row],[Max VO]]</f>
        <v>84</v>
      </c>
      <c r="AO458" s="101"/>
      <c r="AP458" s="101"/>
      <c r="AQ458" s="104"/>
      <c r="AR458" s="104"/>
      <c r="AS458" s="104"/>
      <c r="AT458" s="104"/>
      <c r="AU458" s="830" t="str">
        <f t="shared" si="145"/>
        <v>-</v>
      </c>
    </row>
    <row r="459" spans="1:47" s="103" customFormat="1" x14ac:dyDescent="0.2">
      <c r="A459" s="60" t="s">
        <v>58</v>
      </c>
      <c r="B459" s="279" t="s">
        <v>591</v>
      </c>
      <c r="C459" s="75" t="s">
        <v>1295</v>
      </c>
      <c r="D459" s="94" t="s">
        <v>1296</v>
      </c>
      <c r="E459" s="83" t="s">
        <v>1297</v>
      </c>
      <c r="F459" s="83" t="s">
        <v>650</v>
      </c>
      <c r="G459" s="60" t="s">
        <v>1298</v>
      </c>
      <c r="H459" s="60" t="s">
        <v>1298</v>
      </c>
      <c r="I459" s="60" t="s">
        <v>52</v>
      </c>
      <c r="J459" s="60" t="s">
        <v>53</v>
      </c>
      <c r="K459" s="60" t="s">
        <v>54</v>
      </c>
      <c r="L459" s="60" t="s">
        <v>55</v>
      </c>
      <c r="M459" s="124">
        <v>500</v>
      </c>
      <c r="N459" s="639">
        <v>550</v>
      </c>
      <c r="O459" s="60" t="s">
        <v>56</v>
      </c>
      <c r="P459" s="273">
        <v>28</v>
      </c>
      <c r="Q459" s="273">
        <v>35</v>
      </c>
      <c r="R459" s="60">
        <v>28</v>
      </c>
      <c r="S459" s="273">
        <v>35</v>
      </c>
      <c r="T459" s="273">
        <f>Table1[[#This Row],[VO Wdth]]</f>
        <v>28</v>
      </c>
      <c r="U459" s="273">
        <f>Table1[[#This Row],[VO Hgt]]</f>
        <v>35</v>
      </c>
      <c r="V459" s="946">
        <f t="shared" si="158"/>
        <v>36</v>
      </c>
      <c r="W459" s="946">
        <f t="shared" si="159"/>
        <v>43</v>
      </c>
      <c r="X459" s="157" t="s">
        <v>57</v>
      </c>
      <c r="Y459" s="60">
        <v>36</v>
      </c>
      <c r="Z459" s="60">
        <v>86</v>
      </c>
      <c r="AA459" s="717">
        <f t="shared" si="153"/>
        <v>10.75</v>
      </c>
      <c r="AB459" s="125">
        <f t="shared" si="160"/>
        <v>226.17999999999998</v>
      </c>
      <c r="AC459" s="69">
        <f t="shared" si="157"/>
        <v>7.0950000000000006</v>
      </c>
      <c r="AD459" s="48">
        <f t="shared" si="161"/>
        <v>18.0944</v>
      </c>
      <c r="AE459" s="104">
        <f>IF(Table1[[#This Row],[Work Center]]="SwissQ",Materials!G$37,IF(Table1[[#This Row],[Work Center]]="Inca",Materials!G$29,IF(Table1[[#This Row],[Work Center]]="Canon",Materials!G$49,Materials!G$45)))</f>
        <v>8</v>
      </c>
      <c r="AF459" s="69">
        <f>'Cali FPS'!C$44</f>
        <v>75.337499999999991</v>
      </c>
      <c r="AG459" s="115"/>
      <c r="AH459" s="498">
        <f t="shared" si="156"/>
        <v>25</v>
      </c>
      <c r="AI459" s="498"/>
      <c r="AJ459" s="69">
        <f t="shared" si="150"/>
        <v>133.52689999999998</v>
      </c>
      <c r="AK459" s="650">
        <f t="shared" si="141"/>
        <v>0.7329462000000001</v>
      </c>
      <c r="AL459" s="225">
        <f>Table1[[#This Row],[WSP/Dealer]]/Table1[[#This Row],[OD Sq Inch]]</f>
        <v>0.51020408163265307</v>
      </c>
      <c r="AM459" s="218">
        <f>Table1[[#This Row],[OD Wdth]]*Table1[[#This Row],[OD Hgt]]</f>
        <v>980</v>
      </c>
      <c r="AN459" s="216">
        <f>Table1[[#This Row],[Min VO]]+Table1[[#This Row],[Max VO]]</f>
        <v>63</v>
      </c>
      <c r="AO459" s="60"/>
      <c r="AP459" s="60"/>
      <c r="AQ459" s="69"/>
      <c r="AR459" s="69"/>
      <c r="AS459" s="69"/>
      <c r="AT459" s="69"/>
      <c r="AU459" s="650" t="str">
        <f t="shared" si="145"/>
        <v>-</v>
      </c>
    </row>
    <row r="460" spans="1:47" s="103" customFormat="1" x14ac:dyDescent="0.2">
      <c r="A460" s="60" t="s">
        <v>58</v>
      </c>
      <c r="B460" s="1061" t="s">
        <v>591</v>
      </c>
      <c r="C460" s="75" t="s">
        <v>1299</v>
      </c>
      <c r="D460" s="94" t="s">
        <v>1300</v>
      </c>
      <c r="E460" s="83" t="s">
        <v>1301</v>
      </c>
      <c r="F460" s="83" t="s">
        <v>650</v>
      </c>
      <c r="G460" s="60" t="s">
        <v>1298</v>
      </c>
      <c r="H460" s="60" t="s">
        <v>1298</v>
      </c>
      <c r="I460" s="60" t="s">
        <v>52</v>
      </c>
      <c r="J460" s="60" t="s">
        <v>53</v>
      </c>
      <c r="K460" s="60" t="s">
        <v>54</v>
      </c>
      <c r="L460" s="60" t="s">
        <v>55</v>
      </c>
      <c r="M460" s="124">
        <v>500</v>
      </c>
      <c r="N460" s="639">
        <v>550</v>
      </c>
      <c r="O460" s="60" t="s">
        <v>56</v>
      </c>
      <c r="P460" s="61">
        <v>28</v>
      </c>
      <c r="Q460" s="61">
        <v>35</v>
      </c>
      <c r="R460" s="60">
        <v>28</v>
      </c>
      <c r="S460" s="61">
        <v>35</v>
      </c>
      <c r="T460" s="61">
        <f>Table1[[#This Row],[VO Wdth]]</f>
        <v>28</v>
      </c>
      <c r="U460" s="61">
        <f>Table1[[#This Row],[VO Hgt]]</f>
        <v>35</v>
      </c>
      <c r="V460" s="47">
        <f t="shared" si="158"/>
        <v>36</v>
      </c>
      <c r="W460" s="47">
        <f t="shared" si="159"/>
        <v>43</v>
      </c>
      <c r="X460" s="157" t="s">
        <v>57</v>
      </c>
      <c r="Y460" s="46">
        <v>36</v>
      </c>
      <c r="Z460" s="46">
        <v>86</v>
      </c>
      <c r="AA460" s="717">
        <f t="shared" si="153"/>
        <v>10.75</v>
      </c>
      <c r="AB460" s="125">
        <f t="shared" si="160"/>
        <v>226.17999999999998</v>
      </c>
      <c r="AC460" s="69">
        <f t="shared" si="157"/>
        <v>7.0950000000000006</v>
      </c>
      <c r="AD460" s="48">
        <f t="shared" si="161"/>
        <v>18.0944</v>
      </c>
      <c r="AE460" s="104">
        <f>IF(Table1[[#This Row],[Work Center]]="SwissQ",Materials!G$37,IF(Table1[[#This Row],[Work Center]]="Inca",Materials!G$29,IF(Table1[[#This Row],[Work Center]]="Canon",Materials!G$49,Materials!G$45)))</f>
        <v>8</v>
      </c>
      <c r="AF460" s="69">
        <f>'Cali FPS'!C$44</f>
        <v>75.337499999999991</v>
      </c>
      <c r="AG460" s="115"/>
      <c r="AH460" s="112">
        <f t="shared" si="156"/>
        <v>25</v>
      </c>
      <c r="AI460" s="112"/>
      <c r="AJ460" s="48">
        <f t="shared" si="150"/>
        <v>133.52689999999998</v>
      </c>
      <c r="AK460" s="62">
        <f t="shared" si="141"/>
        <v>0.7329462000000001</v>
      </c>
      <c r="AL460" s="225">
        <f>Table1[[#This Row],[WSP/Dealer]]/Table1[[#This Row],[OD Sq Inch]]</f>
        <v>0.51020408163265307</v>
      </c>
      <c r="AM460" s="103">
        <f>Table1[[#This Row],[OD Wdth]]*Table1[[#This Row],[OD Hgt]]</f>
        <v>980</v>
      </c>
      <c r="AN460" s="216">
        <f>Table1[[#This Row],[Min VO]]+Table1[[#This Row],[Max VO]]</f>
        <v>63</v>
      </c>
      <c r="AO460" s="60"/>
      <c r="AP460" s="60"/>
      <c r="AQ460" s="69"/>
      <c r="AR460" s="69"/>
      <c r="AS460" s="69"/>
      <c r="AT460" s="69"/>
      <c r="AU460" s="650" t="str">
        <f t="shared" si="145"/>
        <v>-</v>
      </c>
    </row>
    <row r="461" spans="1:47" s="144" customFormat="1" x14ac:dyDescent="0.2">
      <c r="A461" s="60" t="s">
        <v>58</v>
      </c>
      <c r="B461" s="279" t="s">
        <v>591</v>
      </c>
      <c r="C461" s="75" t="s">
        <v>1302</v>
      </c>
      <c r="D461" s="94" t="s">
        <v>1303</v>
      </c>
      <c r="E461" s="83" t="s">
        <v>1304</v>
      </c>
      <c r="F461" s="83" t="s">
        <v>650</v>
      </c>
      <c r="G461" s="60" t="s">
        <v>1298</v>
      </c>
      <c r="H461" s="60" t="s">
        <v>1298</v>
      </c>
      <c r="I461" s="60" t="s">
        <v>52</v>
      </c>
      <c r="J461" s="60" t="s">
        <v>53</v>
      </c>
      <c r="K461" s="60" t="s">
        <v>54</v>
      </c>
      <c r="L461" s="60" t="s">
        <v>55</v>
      </c>
      <c r="M461" s="124">
        <v>500</v>
      </c>
      <c r="N461" s="639">
        <v>550</v>
      </c>
      <c r="O461" s="60" t="s">
        <v>56</v>
      </c>
      <c r="P461" s="273">
        <v>28</v>
      </c>
      <c r="Q461" s="273">
        <v>35</v>
      </c>
      <c r="R461" s="60">
        <v>28</v>
      </c>
      <c r="S461" s="273">
        <v>35</v>
      </c>
      <c r="T461" s="273">
        <f>Table1[[#This Row],[VO Wdth]]</f>
        <v>28</v>
      </c>
      <c r="U461" s="273">
        <f>Table1[[#This Row],[VO Hgt]]</f>
        <v>35</v>
      </c>
      <c r="V461" s="47">
        <f t="shared" si="158"/>
        <v>36</v>
      </c>
      <c r="W461" s="47">
        <f t="shared" si="159"/>
        <v>43</v>
      </c>
      <c r="X461" s="157" t="s">
        <v>57</v>
      </c>
      <c r="Y461" s="60">
        <v>36</v>
      </c>
      <c r="Z461" s="60">
        <v>86</v>
      </c>
      <c r="AA461" s="717">
        <f t="shared" si="153"/>
        <v>10.75</v>
      </c>
      <c r="AB461" s="125">
        <f t="shared" si="160"/>
        <v>226.17999999999998</v>
      </c>
      <c r="AC461" s="69">
        <f t="shared" si="157"/>
        <v>7.0950000000000006</v>
      </c>
      <c r="AD461" s="48">
        <f t="shared" si="161"/>
        <v>18.0944</v>
      </c>
      <c r="AE461" s="104">
        <f>IF(Table1[[#This Row],[Work Center]]="SwissQ",Materials!G$37,IF(Table1[[#This Row],[Work Center]]="Inca",Materials!G$29,IF(Table1[[#This Row],[Work Center]]="Canon",Materials!G$49,Materials!G$45)))</f>
        <v>8</v>
      </c>
      <c r="AF461" s="69">
        <f>'Cali FPS'!C$44</f>
        <v>75.337499999999991</v>
      </c>
      <c r="AG461" s="115"/>
      <c r="AH461" s="498">
        <f t="shared" si="156"/>
        <v>25</v>
      </c>
      <c r="AI461" s="498"/>
      <c r="AJ461" s="69">
        <f t="shared" si="150"/>
        <v>133.52689999999998</v>
      </c>
      <c r="AK461" s="650">
        <f t="shared" si="141"/>
        <v>0.7329462000000001</v>
      </c>
      <c r="AL461" s="225">
        <f>Table1[[#This Row],[WSP/Dealer]]/Table1[[#This Row],[OD Sq Inch]]</f>
        <v>0.51020408163265307</v>
      </c>
      <c r="AM461" s="97">
        <f>Table1[[#This Row],[OD Wdth]]*Table1[[#This Row],[OD Hgt]]</f>
        <v>980</v>
      </c>
      <c r="AN461" s="216">
        <f>Table1[[#This Row],[Min VO]]+Table1[[#This Row],[Max VO]]</f>
        <v>63</v>
      </c>
      <c r="AO461" s="46"/>
      <c r="AP461" s="60"/>
      <c r="AQ461" s="69"/>
      <c r="AR461" s="69"/>
      <c r="AS461" s="69"/>
      <c r="AT461" s="69"/>
      <c r="AU461" s="62" t="str">
        <f t="shared" si="145"/>
        <v>-</v>
      </c>
    </row>
    <row r="462" spans="1:47" s="103" customFormat="1" x14ac:dyDescent="0.2">
      <c r="A462" s="60" t="s">
        <v>58</v>
      </c>
      <c r="B462" s="279" t="s">
        <v>591</v>
      </c>
      <c r="C462" s="75" t="s">
        <v>1305</v>
      </c>
      <c r="D462" s="94" t="s">
        <v>1306</v>
      </c>
      <c r="E462" s="83" t="s">
        <v>1307</v>
      </c>
      <c r="F462" s="83" t="s">
        <v>650</v>
      </c>
      <c r="G462" s="60" t="s">
        <v>1298</v>
      </c>
      <c r="H462" s="60" t="s">
        <v>1298</v>
      </c>
      <c r="I462" s="60" t="s">
        <v>52</v>
      </c>
      <c r="J462" s="60" t="s">
        <v>53</v>
      </c>
      <c r="K462" s="60" t="s">
        <v>54</v>
      </c>
      <c r="L462" s="60" t="s">
        <v>55</v>
      </c>
      <c r="M462" s="124">
        <v>500</v>
      </c>
      <c r="N462" s="639">
        <v>550</v>
      </c>
      <c r="O462" s="60" t="s">
        <v>56</v>
      </c>
      <c r="P462" s="273">
        <v>28</v>
      </c>
      <c r="Q462" s="273">
        <v>35</v>
      </c>
      <c r="R462" s="60">
        <v>28</v>
      </c>
      <c r="S462" s="273">
        <v>35</v>
      </c>
      <c r="T462" s="273">
        <f>Table1[[#This Row],[VO Wdth]]</f>
        <v>28</v>
      </c>
      <c r="U462" s="273">
        <f>Table1[[#This Row],[VO Hgt]]</f>
        <v>35</v>
      </c>
      <c r="V462" s="47">
        <f t="shared" si="158"/>
        <v>36</v>
      </c>
      <c r="W462" s="47">
        <f t="shared" si="159"/>
        <v>43</v>
      </c>
      <c r="X462" s="157" t="s">
        <v>57</v>
      </c>
      <c r="Y462" s="60">
        <v>36</v>
      </c>
      <c r="Z462" s="60">
        <v>86</v>
      </c>
      <c r="AA462" s="717">
        <f t="shared" si="153"/>
        <v>10.75</v>
      </c>
      <c r="AB462" s="125">
        <f t="shared" si="160"/>
        <v>226.17999999999998</v>
      </c>
      <c r="AC462" s="69">
        <f t="shared" si="157"/>
        <v>7.0950000000000006</v>
      </c>
      <c r="AD462" s="48">
        <f t="shared" si="161"/>
        <v>18.0944</v>
      </c>
      <c r="AE462" s="104">
        <f>IF(Table1[[#This Row],[Work Center]]="SwissQ",Materials!G$37,IF(Table1[[#This Row],[Work Center]]="Inca",Materials!G$29,IF(Table1[[#This Row],[Work Center]]="Canon",Materials!G$49,Materials!G$45)))</f>
        <v>8</v>
      </c>
      <c r="AF462" s="69">
        <f>'Cali FPS'!C$44</f>
        <v>75.337499999999991</v>
      </c>
      <c r="AG462" s="115"/>
      <c r="AH462" s="498">
        <f t="shared" si="156"/>
        <v>25</v>
      </c>
      <c r="AI462" s="498"/>
      <c r="AJ462" s="69">
        <f t="shared" si="150"/>
        <v>133.52689999999998</v>
      </c>
      <c r="AK462" s="650">
        <f t="shared" si="141"/>
        <v>0.7329462000000001</v>
      </c>
      <c r="AL462" s="225">
        <f>Table1[[#This Row],[WSP/Dealer]]/Table1[[#This Row],[OD Sq Inch]]</f>
        <v>0.51020408163265307</v>
      </c>
      <c r="AM462" s="218">
        <f>Table1[[#This Row],[OD Wdth]]*Table1[[#This Row],[OD Hgt]]</f>
        <v>980</v>
      </c>
      <c r="AN462" s="216">
        <f>Table1[[#This Row],[Min VO]]+Table1[[#This Row],[Max VO]]</f>
        <v>63</v>
      </c>
      <c r="AO462" s="46"/>
      <c r="AP462" s="60"/>
      <c r="AQ462" s="69"/>
      <c r="AR462" s="69"/>
      <c r="AS462" s="69"/>
      <c r="AT462" s="69"/>
      <c r="AU462" s="62" t="str">
        <f t="shared" si="145"/>
        <v>-</v>
      </c>
    </row>
    <row r="463" spans="1:47" s="25" customFormat="1" x14ac:dyDescent="0.2">
      <c r="A463" s="86" t="s">
        <v>58</v>
      </c>
      <c r="B463" s="1061" t="s">
        <v>406</v>
      </c>
      <c r="C463" s="76" t="s">
        <v>1308</v>
      </c>
      <c r="D463" s="94" t="s">
        <v>1309</v>
      </c>
      <c r="E463" s="85" t="s">
        <v>1310</v>
      </c>
      <c r="F463" s="85" t="s">
        <v>99</v>
      </c>
      <c r="G463" s="86" t="s">
        <v>115</v>
      </c>
      <c r="H463" s="86" t="s">
        <v>115</v>
      </c>
      <c r="I463" s="86" t="s">
        <v>52</v>
      </c>
      <c r="J463" s="86" t="s">
        <v>53</v>
      </c>
      <c r="K463" s="86" t="s">
        <v>54</v>
      </c>
      <c r="L463" s="86" t="s">
        <v>55</v>
      </c>
      <c r="M463" s="87">
        <v>720</v>
      </c>
      <c r="N463" s="639">
        <v>830</v>
      </c>
      <c r="O463" s="60" t="s">
        <v>64</v>
      </c>
      <c r="P463" s="101">
        <v>48</v>
      </c>
      <c r="Q463" s="101">
        <v>48</v>
      </c>
      <c r="R463" s="60">
        <v>48</v>
      </c>
      <c r="S463" s="273">
        <v>48</v>
      </c>
      <c r="T463" s="273">
        <f>Table1[[#This Row],[VO Wdth]]</f>
        <v>48</v>
      </c>
      <c r="U463" s="273">
        <f>Table1[[#This Row],[VO Hgt]]</f>
        <v>48</v>
      </c>
      <c r="V463" s="106">
        <f t="shared" si="158"/>
        <v>56</v>
      </c>
      <c r="W463" s="106">
        <f t="shared" si="159"/>
        <v>56</v>
      </c>
      <c r="X463" s="311" t="s">
        <v>165</v>
      </c>
      <c r="Y463" s="551"/>
      <c r="Z463" s="551"/>
      <c r="AA463" s="649">
        <f t="shared" si="153"/>
        <v>21.777777777777779</v>
      </c>
      <c r="AB463" s="125">
        <f>AA463*Swiss1</f>
        <v>616.31111111111113</v>
      </c>
      <c r="AC463" s="104">
        <f t="shared" si="157"/>
        <v>14.373333333333335</v>
      </c>
      <c r="AD463" s="107">
        <f>Table1[[#This Row],[Substrate SF]]*Materials!C$37</f>
        <v>60.977777777777774</v>
      </c>
      <c r="AE463" s="104">
        <f>IF(Table1[[#This Row],[Work Center]]="SwissQ",Materials!G$37,IF(Table1[[#This Row],[Work Center]]="Inca",Materials!G$29,IF(Table1[[#This Row],[Work Center]]="Canon",Materials!G$49,Materials!G$45)))</f>
        <v>20</v>
      </c>
      <c r="AF463" s="104">
        <f>'Cali FPS'!C$117</f>
        <v>119.7</v>
      </c>
      <c r="AG463" s="115"/>
      <c r="AH463" s="112">
        <f t="shared" si="156"/>
        <v>36</v>
      </c>
      <c r="AI463" s="112"/>
      <c r="AJ463" s="104">
        <f t="shared" si="150"/>
        <v>251.05111111111111</v>
      </c>
      <c r="AK463" s="62">
        <f t="shared" si="141"/>
        <v>0.6513179012345679</v>
      </c>
      <c r="AL463" s="225">
        <f>Table1[[#This Row],[WSP/Dealer]]/Table1[[#This Row],[OD Sq Inch]]</f>
        <v>0.3125</v>
      </c>
      <c r="AM463" s="103">
        <f>Table1[[#This Row],[OD Wdth]]*Table1[[#This Row],[OD Hgt]]</f>
        <v>2304</v>
      </c>
      <c r="AN463" s="216">
        <f>Table1[[#This Row],[Min VO]]+Table1[[#This Row],[Max VO]]</f>
        <v>96</v>
      </c>
      <c r="AO463" s="101"/>
      <c r="AP463" s="101"/>
      <c r="AQ463" s="104"/>
      <c r="AR463" s="104"/>
      <c r="AS463" s="104"/>
      <c r="AT463" s="104"/>
      <c r="AU463" s="830" t="str">
        <f t="shared" si="145"/>
        <v>-</v>
      </c>
    </row>
    <row r="464" spans="1:47" s="159" customFormat="1" x14ac:dyDescent="0.2">
      <c r="A464" s="86" t="s">
        <v>58</v>
      </c>
      <c r="B464" s="279" t="s">
        <v>366</v>
      </c>
      <c r="C464" s="76" t="s">
        <v>1311</v>
      </c>
      <c r="D464" s="94" t="s">
        <v>1312</v>
      </c>
      <c r="E464" s="85" t="s">
        <v>1310</v>
      </c>
      <c r="F464" s="85" t="s">
        <v>99</v>
      </c>
      <c r="G464" s="86" t="s">
        <v>115</v>
      </c>
      <c r="H464" s="86" t="s">
        <v>387</v>
      </c>
      <c r="I464" s="86" t="s">
        <v>52</v>
      </c>
      <c r="J464" s="86" t="s">
        <v>53</v>
      </c>
      <c r="K464" s="86" t="s">
        <v>82</v>
      </c>
      <c r="L464" s="86" t="s">
        <v>334</v>
      </c>
      <c r="M464" s="87">
        <v>770</v>
      </c>
      <c r="N464" s="639">
        <v>970</v>
      </c>
      <c r="O464" s="60" t="s">
        <v>64</v>
      </c>
      <c r="P464" s="101">
        <v>48</v>
      </c>
      <c r="Q464" s="101">
        <v>48</v>
      </c>
      <c r="R464" s="60">
        <v>48</v>
      </c>
      <c r="S464" s="273">
        <v>48</v>
      </c>
      <c r="T464" s="101">
        <v>50</v>
      </c>
      <c r="U464" s="101" t="str">
        <f>RIGHT(H464,2)</f>
        <v>50</v>
      </c>
      <c r="V464" s="106">
        <f>IF(J464="Canvas",P464+Border,P464)</f>
        <v>56</v>
      </c>
      <c r="W464" s="106">
        <f>IF(J464="Canvas",Q464+Border,Q464)</f>
        <v>56</v>
      </c>
      <c r="X464" s="311" t="s">
        <v>165</v>
      </c>
      <c r="Y464" s="551"/>
      <c r="Z464" s="551"/>
      <c r="AA464" s="649">
        <f t="shared" si="153"/>
        <v>21.777777777777779</v>
      </c>
      <c r="AB464" s="125">
        <f>AA464*Swiss1</f>
        <v>616.31111111111113</v>
      </c>
      <c r="AC464" s="104">
        <f t="shared" si="157"/>
        <v>14.373333333333335</v>
      </c>
      <c r="AD464" s="107">
        <f>Table1[[#This Row],[Substrate SF]]*Materials!C$37</f>
        <v>60.977777777777774</v>
      </c>
      <c r="AE464" s="104">
        <f>IF(Table1[[#This Row],[Work Center]]="SwissQ",Materials!G$37,IF(Table1[[#This Row],[Work Center]]="Inca",Materials!G$29,IF(Table1[[#This Row],[Work Center]]="Canon",Materials!G$49,Materials!G$45)))</f>
        <v>20</v>
      </c>
      <c r="AF464" s="104">
        <f>'Cali Frames'!D$215</f>
        <v>150.88499999999999</v>
      </c>
      <c r="AG464" s="115"/>
      <c r="AH464" s="498">
        <f t="shared" si="156"/>
        <v>38.5</v>
      </c>
      <c r="AI464" s="498"/>
      <c r="AJ464" s="104">
        <f t="shared" si="150"/>
        <v>284.73611111111109</v>
      </c>
      <c r="AK464" s="650">
        <f t="shared" si="141"/>
        <v>0.63021284271284272</v>
      </c>
      <c r="AL464" s="225">
        <f>Table1[[#This Row],[WSP/Dealer]]/Table1[[#This Row],[OD Sq Inch]]</f>
        <v>0.308</v>
      </c>
      <c r="AM464" s="103">
        <f>Table1[[#This Row],[OD Wdth]]*Table1[[#This Row],[OD Hgt]]</f>
        <v>2500</v>
      </c>
      <c r="AN464" s="216">
        <f>Table1[[#This Row],[Min VO]]+Table1[[#This Row],[Max VO]]</f>
        <v>96</v>
      </c>
      <c r="AO464" s="103"/>
      <c r="AP464" s="101"/>
      <c r="AQ464" s="104"/>
      <c r="AR464" s="104"/>
      <c r="AS464" s="104"/>
      <c r="AT464" s="104"/>
      <c r="AU464" s="108" t="str">
        <f t="shared" si="145"/>
        <v>-</v>
      </c>
    </row>
    <row r="465" spans="1:53" hidden="1" x14ac:dyDescent="0.2">
      <c r="A465" s="180" t="s">
        <v>318</v>
      </c>
      <c r="B465" s="1061" t="s">
        <v>319</v>
      </c>
      <c r="C465" s="76" t="s">
        <v>1313</v>
      </c>
      <c r="D465" s="94"/>
      <c r="E465" s="284" t="s">
        <v>1314</v>
      </c>
      <c r="F465" s="284" t="s">
        <v>889</v>
      </c>
      <c r="G465" s="180" t="s">
        <v>935</v>
      </c>
      <c r="H465" s="180" t="s">
        <v>519</v>
      </c>
      <c r="I465" s="180" t="s">
        <v>256</v>
      </c>
      <c r="J465" s="310" t="s">
        <v>257</v>
      </c>
      <c r="K465" s="60" t="s">
        <v>1315</v>
      </c>
      <c r="L465" s="180" t="s">
        <v>506</v>
      </c>
      <c r="M465" s="292">
        <v>175</v>
      </c>
      <c r="N465" s="285"/>
      <c r="O465" s="180" t="s">
        <v>260</v>
      </c>
      <c r="P465" s="180">
        <v>8</v>
      </c>
      <c r="Q465" s="180">
        <v>12</v>
      </c>
      <c r="R465" s="180">
        <v>8</v>
      </c>
      <c r="S465" s="813">
        <v>12</v>
      </c>
      <c r="T465" s="180">
        <v>16</v>
      </c>
      <c r="U465" s="180">
        <v>20</v>
      </c>
      <c r="V465" s="913">
        <f>IF(J465="Canvas",P465+Border,P465)</f>
        <v>8</v>
      </c>
      <c r="W465" s="913">
        <f>IF(J465="Canvas",Q465+Border,Q465)</f>
        <v>12</v>
      </c>
      <c r="X465" s="60" t="s">
        <v>257</v>
      </c>
      <c r="Y465" s="180">
        <v>8</v>
      </c>
      <c r="Z465" s="180">
        <v>12</v>
      </c>
      <c r="AA465" s="1058">
        <f t="shared" si="153"/>
        <v>0.66666666666666663</v>
      </c>
      <c r="AB465" s="125">
        <f>AA465*canonML</f>
        <v>3.1999999999999997</v>
      </c>
      <c r="AC465" s="69">
        <f>Table1[[#This Row],[Print Wth]]*paper60</f>
        <v>2.72</v>
      </c>
      <c r="AD465" s="69">
        <f>Table1[[#This Row],[Ink g/mL]]*CanonC</f>
        <v>0.86399999999999999</v>
      </c>
      <c r="AE465" s="69">
        <f>IF(Table1[[#This Row],[Work Center]]="SwissQ",Materials!G$37,IF(Table1[[#This Row],[Work Center]]="Inca",Materials!G$29,IF(Table1[[#This Row],[Work Center]]="Canon",Materials!G$49,Materials!G$45)))</f>
        <v>7</v>
      </c>
      <c r="AF465" s="290">
        <f>'Cali Frames'!D105</f>
        <v>74.2</v>
      </c>
      <c r="AG465" s="284"/>
      <c r="AH465" s="69">
        <f t="shared" si="156"/>
        <v>8.75</v>
      </c>
      <c r="AI465" s="69"/>
      <c r="AJ465" s="176">
        <f t="shared" si="150"/>
        <v>93.534000000000006</v>
      </c>
      <c r="AK465" s="650">
        <f t="shared" si="141"/>
        <v>0.46551999999999999</v>
      </c>
      <c r="AL465" s="225">
        <f>Table1[[#This Row],[WSP/Dealer]]/Table1[[#This Row],[OD Sq Inch]]</f>
        <v>0.546875</v>
      </c>
      <c r="AM465" s="180">
        <f>Table1[[#This Row],[OD Wdth]]*Table1[[#This Row],[OD Hgt]]</f>
        <v>320</v>
      </c>
      <c r="AN465" s="284"/>
      <c r="AO465" s="284"/>
      <c r="AP465" s="284"/>
      <c r="AQ465" s="296"/>
      <c r="AR465" s="296"/>
      <c r="AS465" s="296"/>
      <c r="AT465" s="176"/>
      <c r="AU465" s="1358" t="str">
        <f t="shared" si="145"/>
        <v>-</v>
      </c>
    </row>
    <row r="466" spans="1:53" hidden="1" x14ac:dyDescent="0.2">
      <c r="A466" s="180" t="s">
        <v>318</v>
      </c>
      <c r="B466" s="1061" t="s">
        <v>319</v>
      </c>
      <c r="C466" s="76" t="s">
        <v>1316</v>
      </c>
      <c r="D466" s="94"/>
      <c r="E466" s="284" t="s">
        <v>1317</v>
      </c>
      <c r="F466" s="284" t="s">
        <v>889</v>
      </c>
      <c r="G466" s="180" t="s">
        <v>935</v>
      </c>
      <c r="H466" s="180" t="s">
        <v>519</v>
      </c>
      <c r="I466" s="180" t="s">
        <v>256</v>
      </c>
      <c r="J466" s="310" t="s">
        <v>257</v>
      </c>
      <c r="K466" s="60" t="s">
        <v>1315</v>
      </c>
      <c r="L466" s="180" t="s">
        <v>506</v>
      </c>
      <c r="M466" s="292">
        <v>175</v>
      </c>
      <c r="N466" s="285"/>
      <c r="O466" s="180" t="s">
        <v>260</v>
      </c>
      <c r="P466" s="180">
        <v>8</v>
      </c>
      <c r="Q466" s="180">
        <v>12</v>
      </c>
      <c r="R466" s="180">
        <v>8</v>
      </c>
      <c r="S466" s="813">
        <v>12</v>
      </c>
      <c r="T466" s="180">
        <v>16</v>
      </c>
      <c r="U466" s="180">
        <v>20</v>
      </c>
      <c r="V466" s="913">
        <f>IF(J466="Canvas",P466+Border,P466)</f>
        <v>8</v>
      </c>
      <c r="W466" s="913">
        <f>IF(J466="Canvas",Q466+Border,Q466)</f>
        <v>12</v>
      </c>
      <c r="X466" s="60" t="s">
        <v>257</v>
      </c>
      <c r="Y466" s="180">
        <v>8</v>
      </c>
      <c r="Z466" s="180">
        <v>12</v>
      </c>
      <c r="AA466" s="1058">
        <f t="shared" si="153"/>
        <v>0.66666666666666663</v>
      </c>
      <c r="AB466" s="125">
        <f>AA466*canonML</f>
        <v>3.1999999999999997</v>
      </c>
      <c r="AC466" s="69">
        <f>Table1[[#This Row],[Print Wth]]*paper60</f>
        <v>2.72</v>
      </c>
      <c r="AD466" s="69">
        <f>Table1[[#This Row],[Ink g/mL]]*CanonC</f>
        <v>0.86399999999999999</v>
      </c>
      <c r="AE466" s="69">
        <f>IF(Table1[[#This Row],[Work Center]]="SwissQ",Materials!G$37,IF(Table1[[#This Row],[Work Center]]="Inca",Materials!G$29,IF(Table1[[#This Row],[Work Center]]="Canon",Materials!G$49,Materials!G$45)))</f>
        <v>7</v>
      </c>
      <c r="AF466" s="290">
        <f>'Cali Frames'!D105</f>
        <v>74.2</v>
      </c>
      <c r="AG466" s="284"/>
      <c r="AH466" s="48">
        <f t="shared" si="156"/>
        <v>8.75</v>
      </c>
      <c r="AI466" s="48"/>
      <c r="AJ466" s="176">
        <f t="shared" si="150"/>
        <v>93.534000000000006</v>
      </c>
      <c r="AK466" s="62">
        <f t="shared" si="141"/>
        <v>0.46551999999999999</v>
      </c>
      <c r="AL466" s="225">
        <f>Table1[[#This Row],[WSP/Dealer]]/Table1[[#This Row],[OD Sq Inch]]</f>
        <v>0.546875</v>
      </c>
      <c r="AM466" s="180">
        <f>Table1[[#This Row],[OD Wdth]]*Table1[[#This Row],[OD Hgt]]</f>
        <v>320</v>
      </c>
      <c r="AN466" s="284"/>
      <c r="AO466" s="284"/>
      <c r="AP466" s="284"/>
      <c r="AQ466" s="296"/>
      <c r="AR466" s="296"/>
      <c r="AS466" s="296"/>
      <c r="AT466" s="176"/>
      <c r="AU466" s="1358" t="str">
        <f t="shared" si="145"/>
        <v>-</v>
      </c>
    </row>
    <row r="467" spans="1:53" x14ac:dyDescent="0.2">
      <c r="A467" s="86" t="s">
        <v>58</v>
      </c>
      <c r="B467" s="1061" t="s">
        <v>450</v>
      </c>
      <c r="C467" s="75" t="s">
        <v>1318</v>
      </c>
      <c r="D467" s="94" t="s">
        <v>1319</v>
      </c>
      <c r="E467" s="85" t="s">
        <v>1320</v>
      </c>
      <c r="F467" s="85" t="s">
        <v>454</v>
      </c>
      <c r="G467" s="86" t="s">
        <v>637</v>
      </c>
      <c r="H467" s="86" t="s">
        <v>637</v>
      </c>
      <c r="I467" s="86" t="s">
        <v>52</v>
      </c>
      <c r="J467" s="86" t="s">
        <v>53</v>
      </c>
      <c r="K467" s="86" t="s">
        <v>54</v>
      </c>
      <c r="L467" s="86" t="s">
        <v>55</v>
      </c>
      <c r="M467" s="87">
        <v>900</v>
      </c>
      <c r="N467" s="639">
        <v>950</v>
      </c>
      <c r="O467" s="101" t="s">
        <v>56</v>
      </c>
      <c r="P467" s="273">
        <v>60</v>
      </c>
      <c r="Q467" s="273">
        <v>48</v>
      </c>
      <c r="R467" s="60">
        <v>48</v>
      </c>
      <c r="S467" s="273">
        <v>60</v>
      </c>
      <c r="T467" s="273">
        <f>Table1[[#This Row],[VO Wdth]]</f>
        <v>60</v>
      </c>
      <c r="U467" s="273">
        <f>Table1[[#This Row],[VO Hgt]]</f>
        <v>48</v>
      </c>
      <c r="V467" s="608">
        <f>IF(J467="Canvas",P467+BorderGW,P467)</f>
        <v>68</v>
      </c>
      <c r="W467" s="608">
        <f>IF(J467="Canvas",Q467+BorderGW,Q467)</f>
        <v>56</v>
      </c>
      <c r="X467" s="137">
        <v>122</v>
      </c>
      <c r="Y467" s="101"/>
      <c r="Z467" s="101"/>
      <c r="AA467" s="649">
        <f t="shared" si="153"/>
        <v>26.444444444444443</v>
      </c>
      <c r="AB467" s="184">
        <f>AA467*IncaG</f>
        <v>556.39111111111106</v>
      </c>
      <c r="AC467" s="104">
        <f>AA467*Canvas</f>
        <v>17.453333333333333</v>
      </c>
      <c r="AD467" s="107">
        <f>AA467*IncaC</f>
        <v>44.511288888888885</v>
      </c>
      <c r="AE467" s="104">
        <f>IF(Table1[[#This Row],[Work Center]]="SwissQ",Materials!G$37,IF(Table1[[#This Row],[Work Center]]="Inca",Materials!G$29,IF(Table1[[#This Row],[Work Center]]="Canon",Materials!G$49,Materials!G$45)))</f>
        <v>8</v>
      </c>
      <c r="AF467" s="69">
        <f>'Cali FPS'!C$121</f>
        <v>188.18</v>
      </c>
      <c r="AG467" s="115"/>
      <c r="AH467" s="498">
        <f t="shared" si="156"/>
        <v>45</v>
      </c>
      <c r="AI467" s="498"/>
      <c r="AJ467" s="104">
        <f t="shared" si="150"/>
        <v>303.14462222222221</v>
      </c>
      <c r="AK467" s="650">
        <f t="shared" ref="AK467:AK530" si="162">(M467-AJ467)/M467</f>
        <v>0.66317264197530867</v>
      </c>
      <c r="AL467" s="225">
        <f>Table1[[#This Row],[WSP/Dealer]]/Table1[[#This Row],[OD Sq Inch]]</f>
        <v>0.3125</v>
      </c>
      <c r="AM467" s="103">
        <f>Table1[[#This Row],[OD Wdth]]*Table1[[#This Row],[OD Hgt]]</f>
        <v>2880</v>
      </c>
      <c r="AN467" s="216">
        <f>Table1[[#This Row],[Min VO]]+Table1[[#This Row],[Max VO]]</f>
        <v>108</v>
      </c>
      <c r="AO467" s="101"/>
      <c r="AP467" s="101"/>
      <c r="AQ467" s="104"/>
      <c r="AR467" s="104"/>
      <c r="AS467" s="104"/>
      <c r="AT467" s="104"/>
      <c r="AU467" s="830" t="str">
        <f t="shared" si="145"/>
        <v>-</v>
      </c>
    </row>
    <row r="468" spans="1:53" s="170" customFormat="1" x14ac:dyDescent="0.2">
      <c r="A468" s="86" t="s">
        <v>58</v>
      </c>
      <c r="B468" s="1061" t="s">
        <v>527</v>
      </c>
      <c r="C468" s="77" t="s">
        <v>1321</v>
      </c>
      <c r="D468" s="94" t="s">
        <v>1322</v>
      </c>
      <c r="E468" s="85" t="s">
        <v>1323</v>
      </c>
      <c r="F468" s="85" t="s">
        <v>531</v>
      </c>
      <c r="G468" s="86" t="s">
        <v>1324</v>
      </c>
      <c r="H468" s="86" t="s">
        <v>1324</v>
      </c>
      <c r="I468" s="86" t="s">
        <v>52</v>
      </c>
      <c r="J468" s="86" t="s">
        <v>53</v>
      </c>
      <c r="K468" s="86" t="s">
        <v>54</v>
      </c>
      <c r="L468" s="86" t="s">
        <v>55</v>
      </c>
      <c r="M468" s="87">
        <v>650</v>
      </c>
      <c r="N468" s="639">
        <v>715.00000000000011</v>
      </c>
      <c r="O468" s="551" t="s">
        <v>56</v>
      </c>
      <c r="P468" s="101">
        <v>36</v>
      </c>
      <c r="Q468" s="101">
        <v>45</v>
      </c>
      <c r="R468" s="101">
        <v>36</v>
      </c>
      <c r="S468" s="101">
        <v>45</v>
      </c>
      <c r="T468" s="273">
        <f>Table1[[#This Row],[VO Wdth]]</f>
        <v>36</v>
      </c>
      <c r="U468" s="273">
        <f>Table1[[#This Row],[VO Hgt]]</f>
        <v>45</v>
      </c>
      <c r="V468" s="106">
        <f>IF(J468="Canvas",P468+Border,P468)</f>
        <v>44</v>
      </c>
      <c r="W468" s="106">
        <f>IF(J468="Canvas",Q468+Border,Q468)</f>
        <v>53</v>
      </c>
      <c r="X468" s="137">
        <v>53</v>
      </c>
      <c r="Y468" s="101"/>
      <c r="Z468" s="101"/>
      <c r="AA468" s="649">
        <f t="shared" si="153"/>
        <v>16.194444444444443</v>
      </c>
      <c r="AB468" s="184">
        <f>AA468*IncaG</f>
        <v>340.73111111111109</v>
      </c>
      <c r="AC468" s="104">
        <f>AA468*Canvas</f>
        <v>10.688333333333333</v>
      </c>
      <c r="AD468" s="107">
        <f>Table1[[#This Row],[Substrate SF]]*IncaC</f>
        <v>27.258488888888888</v>
      </c>
      <c r="AE468" s="104">
        <f>IF(Table1[[#This Row],[Work Center]]="SwissQ",Materials!G$37,IF(Table1[[#This Row],[Work Center]]="Inca",Materials!G$29,IF(Table1[[#This Row],[Work Center]]="Canon",Materials!G$49,Materials!G$45)))</f>
        <v>8</v>
      </c>
      <c r="AF468" s="74">
        <f>'Cali FPS'!C69</f>
        <v>106.575</v>
      </c>
      <c r="AG468" s="115"/>
      <c r="AH468" s="112">
        <f t="shared" si="156"/>
        <v>32.5</v>
      </c>
      <c r="AI468" s="112"/>
      <c r="AJ468" s="104">
        <f t="shared" si="150"/>
        <v>185.02182222222223</v>
      </c>
      <c r="AK468" s="62">
        <f t="shared" si="162"/>
        <v>0.71535104273504269</v>
      </c>
      <c r="AL468" s="225">
        <f>Table1[[#This Row],[WSP/Dealer]]/Table1[[#This Row],[OD Sq Inch]]</f>
        <v>0.40123456790123457</v>
      </c>
      <c r="AM468" s="218">
        <f>Table1[[#This Row],[OD Wdth]]*Table1[[#This Row],[OD Hgt]]</f>
        <v>1620</v>
      </c>
      <c r="AN468" s="216">
        <f>Table1[[#This Row],[Min VO]]+Table1[[#This Row],[Max VO]]</f>
        <v>81</v>
      </c>
      <c r="AO468" s="101"/>
      <c r="AP468" s="101"/>
      <c r="AQ468" s="104"/>
      <c r="AR468" s="104"/>
      <c r="AS468" s="104"/>
      <c r="AT468" s="104"/>
      <c r="AU468" s="830" t="str">
        <f t="shared" si="145"/>
        <v>-</v>
      </c>
    </row>
    <row r="469" spans="1:53" s="235" customFormat="1" hidden="1" x14ac:dyDescent="0.2">
      <c r="A469" s="374" t="s">
        <v>187</v>
      </c>
      <c r="B469" s="1061" t="s">
        <v>188</v>
      </c>
      <c r="C469" s="94" t="s">
        <v>1325</v>
      </c>
      <c r="D469" s="94"/>
      <c r="E469" s="84" t="s">
        <v>1326</v>
      </c>
      <c r="F469" s="84" t="s">
        <v>531</v>
      </c>
      <c r="G469" s="68" t="s">
        <v>1048</v>
      </c>
      <c r="H469" s="68" t="s">
        <v>193</v>
      </c>
      <c r="I469" s="68" t="s">
        <v>52</v>
      </c>
      <c r="J469" s="140" t="s">
        <v>53</v>
      </c>
      <c r="K469" s="68" t="s">
        <v>69</v>
      </c>
      <c r="L469" s="68" t="s">
        <v>70</v>
      </c>
      <c r="M469" s="93">
        <v>2950</v>
      </c>
      <c r="N469" s="71"/>
      <c r="O469" s="68" t="s">
        <v>56</v>
      </c>
      <c r="P469" s="68"/>
      <c r="Q469" s="68"/>
      <c r="R469" s="68"/>
      <c r="S469" s="63"/>
      <c r="T469" s="65"/>
      <c r="U469" s="65"/>
      <c r="V469" s="917"/>
      <c r="W469" s="917"/>
      <c r="X469" s="189"/>
      <c r="Y469" s="68"/>
      <c r="Z469" s="68"/>
      <c r="AA469" s="699"/>
      <c r="AB469" s="297"/>
      <c r="AC469" s="74"/>
      <c r="AD469" s="118"/>
      <c r="AE469" s="126"/>
      <c r="AF469" s="73"/>
      <c r="AG469" s="84"/>
      <c r="AH469" s="498">
        <f t="shared" si="156"/>
        <v>147.5</v>
      </c>
      <c r="AI469" s="498"/>
      <c r="AJ469" s="126"/>
      <c r="AK469" s="650">
        <f t="shared" si="162"/>
        <v>1</v>
      </c>
      <c r="AL469" s="225" t="e">
        <f>Table1[[#This Row],[WSP/Dealer]]/Table1[[#This Row],[OD Sq Inch]]</f>
        <v>#DIV/0!</v>
      </c>
      <c r="AM469" s="119"/>
      <c r="AN469" s="84"/>
      <c r="AO469" s="84"/>
      <c r="AP469" s="84"/>
      <c r="AQ469" s="126"/>
      <c r="AR469" s="126"/>
      <c r="AS469" s="126"/>
      <c r="AT469" s="74"/>
      <c r="AU469" s="1356" t="str">
        <f t="shared" si="145"/>
        <v>-</v>
      </c>
    </row>
    <row r="470" spans="1:53" s="218" customFormat="1" hidden="1" x14ac:dyDescent="0.2">
      <c r="A470" s="374" t="s">
        <v>187</v>
      </c>
      <c r="B470" s="1061" t="s">
        <v>188</v>
      </c>
      <c r="C470" s="94" t="s">
        <v>1327</v>
      </c>
      <c r="D470" s="94"/>
      <c r="E470" s="84" t="s">
        <v>1326</v>
      </c>
      <c r="F470" s="84" t="s">
        <v>531</v>
      </c>
      <c r="G470" s="68" t="s">
        <v>1048</v>
      </c>
      <c r="H470" s="166" t="s">
        <v>1048</v>
      </c>
      <c r="I470" s="68" t="s">
        <v>52</v>
      </c>
      <c r="J470" s="140" t="s">
        <v>53</v>
      </c>
      <c r="K470" s="68" t="s">
        <v>54</v>
      </c>
      <c r="L470" s="68" t="s">
        <v>55</v>
      </c>
      <c r="M470" s="93">
        <v>2550</v>
      </c>
      <c r="N470" s="71"/>
      <c r="O470" s="68" t="s">
        <v>56</v>
      </c>
      <c r="P470" s="68"/>
      <c r="Q470" s="68"/>
      <c r="R470" s="68"/>
      <c r="S470" s="68"/>
      <c r="T470" s="623"/>
      <c r="U470" s="623"/>
      <c r="V470" s="917"/>
      <c r="W470" s="917"/>
      <c r="X470" s="189"/>
      <c r="Y470" s="68"/>
      <c r="Z470" s="68"/>
      <c r="AA470" s="699"/>
      <c r="AB470" s="297"/>
      <c r="AC470" s="74"/>
      <c r="AD470" s="118"/>
      <c r="AE470" s="126"/>
      <c r="AF470" s="73"/>
      <c r="AG470" s="84"/>
      <c r="AH470" s="112">
        <f t="shared" si="156"/>
        <v>127.5</v>
      </c>
      <c r="AI470" s="112"/>
      <c r="AJ470" s="126"/>
      <c r="AK470" s="62">
        <f t="shared" si="162"/>
        <v>1</v>
      </c>
      <c r="AL470" s="225" t="e">
        <f>Table1[[#This Row],[WSP/Dealer]]/Table1[[#This Row],[OD Sq Inch]]</f>
        <v>#DIV/0!</v>
      </c>
      <c r="AM470" s="119"/>
      <c r="AN470" s="84"/>
      <c r="AO470" s="84"/>
      <c r="AP470" s="84"/>
      <c r="AQ470" s="126"/>
      <c r="AR470" s="126"/>
      <c r="AS470" s="126"/>
      <c r="AT470" s="74"/>
      <c r="AU470" s="1357" t="str">
        <f t="shared" si="145"/>
        <v>-</v>
      </c>
    </row>
    <row r="471" spans="1:53" hidden="1" x14ac:dyDescent="0.2">
      <c r="A471" s="374" t="s">
        <v>187</v>
      </c>
      <c r="B471" s="1061" t="s">
        <v>188</v>
      </c>
      <c r="C471" s="94" t="s">
        <v>1328</v>
      </c>
      <c r="D471" s="94"/>
      <c r="E471" s="84" t="s">
        <v>1326</v>
      </c>
      <c r="F471" s="84" t="s">
        <v>531</v>
      </c>
      <c r="G471" s="68" t="s">
        <v>1048</v>
      </c>
      <c r="H471" s="68" t="s">
        <v>193</v>
      </c>
      <c r="I471" s="68" t="s">
        <v>52</v>
      </c>
      <c r="J471" s="140" t="s">
        <v>53</v>
      </c>
      <c r="K471" s="68" t="s">
        <v>69</v>
      </c>
      <c r="L471" s="68" t="s">
        <v>73</v>
      </c>
      <c r="M471" s="93">
        <v>2950</v>
      </c>
      <c r="N471" s="71"/>
      <c r="O471" s="68" t="s">
        <v>56</v>
      </c>
      <c r="P471" s="68"/>
      <c r="Q471" s="68"/>
      <c r="R471" s="68"/>
      <c r="S471" s="68"/>
      <c r="T471" s="623"/>
      <c r="U471" s="623"/>
      <c r="V471" s="66"/>
      <c r="W471" s="66"/>
      <c r="X471" s="189"/>
      <c r="Y471" s="68"/>
      <c r="Z471" s="68"/>
      <c r="AA471" s="699"/>
      <c r="AB471" s="297"/>
      <c r="AC471" s="74"/>
      <c r="AD471" s="118"/>
      <c r="AE471" s="126"/>
      <c r="AF471" s="73"/>
      <c r="AG471" s="84"/>
      <c r="AH471" s="498">
        <f t="shared" si="156"/>
        <v>147.5</v>
      </c>
      <c r="AI471" s="498"/>
      <c r="AJ471" s="118"/>
      <c r="AK471" s="650">
        <f t="shared" si="162"/>
        <v>1</v>
      </c>
      <c r="AL471" s="225" t="e">
        <f>Table1[[#This Row],[WSP/Dealer]]/Table1[[#This Row],[OD Sq Inch]]</f>
        <v>#DIV/0!</v>
      </c>
      <c r="AM471" s="119"/>
      <c r="AN471" s="84"/>
      <c r="AO471" s="84"/>
      <c r="AP471" s="84"/>
      <c r="AQ471" s="126"/>
      <c r="AR471" s="126"/>
      <c r="AS471" s="126"/>
      <c r="AT471" s="74"/>
      <c r="AU471" s="1357" t="str">
        <f t="shared" si="145"/>
        <v>-</v>
      </c>
    </row>
    <row r="472" spans="1:53" x14ac:dyDescent="0.2">
      <c r="A472" s="86" t="s">
        <v>58</v>
      </c>
      <c r="B472" s="279" t="s">
        <v>527</v>
      </c>
      <c r="C472" s="77" t="s">
        <v>1329</v>
      </c>
      <c r="D472" s="94" t="s">
        <v>1330</v>
      </c>
      <c r="E472" s="85" t="s">
        <v>1326</v>
      </c>
      <c r="F472" s="85" t="s">
        <v>531</v>
      </c>
      <c r="G472" s="86" t="s">
        <v>1048</v>
      </c>
      <c r="H472" s="86" t="s">
        <v>1048</v>
      </c>
      <c r="I472" s="86" t="s">
        <v>52</v>
      </c>
      <c r="J472" s="86" t="s">
        <v>53</v>
      </c>
      <c r="K472" s="86" t="s">
        <v>54</v>
      </c>
      <c r="L472" s="86" t="s">
        <v>55</v>
      </c>
      <c r="M472" s="87">
        <v>950</v>
      </c>
      <c r="N472" s="639">
        <v>950</v>
      </c>
      <c r="O472" s="551" t="s">
        <v>56</v>
      </c>
      <c r="P472" s="101">
        <v>48</v>
      </c>
      <c r="Q472" s="101">
        <v>60</v>
      </c>
      <c r="R472" s="101">
        <v>48</v>
      </c>
      <c r="S472" s="101">
        <v>60</v>
      </c>
      <c r="T472" s="273">
        <f>Table1[[#This Row],[VO Wdth]]</f>
        <v>48</v>
      </c>
      <c r="U472" s="273">
        <f>Table1[[#This Row],[VO Hgt]]</f>
        <v>60</v>
      </c>
      <c r="V472" s="608">
        <f>IF(J472="Canvas",P472+Border,P472)</f>
        <v>56</v>
      </c>
      <c r="W472" s="608">
        <f>IF(J472="Canvas",Q472+Border,Q472)</f>
        <v>68</v>
      </c>
      <c r="X472" s="137">
        <v>69</v>
      </c>
      <c r="Y472" s="101"/>
      <c r="Z472" s="101"/>
      <c r="AA472" s="649">
        <f t="shared" ref="AA472:AA477" si="163">V472*W472/144</f>
        <v>26.444444444444443</v>
      </c>
      <c r="AB472" s="184">
        <f>AA472*IncaG</f>
        <v>556.39111111111106</v>
      </c>
      <c r="AC472" s="104">
        <f>AA472*Canvas</f>
        <v>17.453333333333333</v>
      </c>
      <c r="AD472" s="104">
        <f>Table1[[#This Row],[Substrate SF]]*IncaC</f>
        <v>44.511288888888885</v>
      </c>
      <c r="AE472" s="104">
        <f>IF(Table1[[#This Row],[Work Center]]="SwissQ",Materials!G$37,IF(Table1[[#This Row],[Work Center]]="Inca",Materials!G$29,IF(Table1[[#This Row],[Work Center]]="Canon",Materials!G$49,Materials!G$45)))</f>
        <v>8</v>
      </c>
      <c r="AF472" s="104">
        <f>'Cali FPS'!C121</f>
        <v>188.18</v>
      </c>
      <c r="AG472" s="115"/>
      <c r="AH472" s="498">
        <f t="shared" si="156"/>
        <v>47.5</v>
      </c>
      <c r="AI472" s="498"/>
      <c r="AJ472" s="104">
        <f t="shared" ref="AJ472:AJ477" si="164">SUM(AC472:AH472)</f>
        <v>305.64462222222221</v>
      </c>
      <c r="AK472" s="650">
        <f t="shared" si="162"/>
        <v>0.67826881871345035</v>
      </c>
      <c r="AL472" s="225">
        <f>Table1[[#This Row],[WSP/Dealer]]/Table1[[#This Row],[OD Sq Inch]]</f>
        <v>0.3298611111111111</v>
      </c>
      <c r="AM472" s="216">
        <f>Table1[[#This Row],[OD Wdth]]*Table1[[#This Row],[OD Hgt]]</f>
        <v>2880</v>
      </c>
      <c r="AN472" s="216">
        <f>Table1[[#This Row],[Min VO]]+Table1[[#This Row],[Max VO]]</f>
        <v>108</v>
      </c>
      <c r="AO472" s="101"/>
      <c r="AP472" s="101"/>
      <c r="AQ472" s="104"/>
      <c r="AR472" s="104"/>
      <c r="AS472" s="104"/>
      <c r="AT472" s="104"/>
      <c r="AU472" s="830" t="str">
        <f t="shared" ref="AU472:AU535" si="165">IF(AQ472=0,"-",(AQ472-AT472)/AQ472)</f>
        <v>-</v>
      </c>
    </row>
    <row r="473" spans="1:53" s="144" customFormat="1" hidden="1" x14ac:dyDescent="0.2">
      <c r="A473" s="373" t="s">
        <v>187</v>
      </c>
      <c r="B473" s="1061" t="s">
        <v>188</v>
      </c>
      <c r="C473" s="94" t="s">
        <v>1331</v>
      </c>
      <c r="D473" s="94"/>
      <c r="E473" s="84" t="s">
        <v>1332</v>
      </c>
      <c r="F473" s="84" t="s">
        <v>531</v>
      </c>
      <c r="G473" s="68" t="s">
        <v>1048</v>
      </c>
      <c r="H473" s="166" t="s">
        <v>1048</v>
      </c>
      <c r="I473" s="68" t="s">
        <v>108</v>
      </c>
      <c r="J473" s="140" t="s">
        <v>197</v>
      </c>
      <c r="K473" s="68" t="s">
        <v>198</v>
      </c>
      <c r="L473" s="68" t="s">
        <v>199</v>
      </c>
      <c r="M473" s="93">
        <v>120</v>
      </c>
      <c r="N473" s="71"/>
      <c r="O473" s="68" t="s">
        <v>56</v>
      </c>
      <c r="P473" s="68">
        <v>48</v>
      </c>
      <c r="Q473" s="68">
        <v>60</v>
      </c>
      <c r="R473" s="68">
        <v>48</v>
      </c>
      <c r="S473" s="68">
        <v>60</v>
      </c>
      <c r="T473" s="68">
        <v>48</v>
      </c>
      <c r="U473" s="68">
        <v>60</v>
      </c>
      <c r="V473" s="277">
        <f>Table1[[#This Row],[VO Wdth]]+Materials!$C$7</f>
        <v>50</v>
      </c>
      <c r="W473" s="277">
        <f>Table1[[#This Row],[VO Hgt]]+Materials!$C$7</f>
        <v>62</v>
      </c>
      <c r="X473" s="343" t="s">
        <v>197</v>
      </c>
      <c r="Y473" s="68"/>
      <c r="Z473" s="68"/>
      <c r="AA473" s="699">
        <f t="shared" si="163"/>
        <v>21.527777777777779</v>
      </c>
      <c r="AB473" s="297">
        <f>AA473*IncaGR</f>
        <v>21.958333333333336</v>
      </c>
      <c r="AC473" s="74">
        <f>Table1[[#This Row],[Substrate SF]]*POster</f>
        <v>16.016666666666666</v>
      </c>
      <c r="AD473" s="208">
        <f>Table1[[#This Row],[Ink g/mL]]*IncaCR</f>
        <v>1.7566666666666668</v>
      </c>
      <c r="AE47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473" s="73">
        <v>0</v>
      </c>
      <c r="AG473" s="126">
        <f>Materials!D$76</f>
        <v>10.82</v>
      </c>
      <c r="AH473" s="112">
        <f t="shared" si="156"/>
        <v>6</v>
      </c>
      <c r="AI473" s="112"/>
      <c r="AJ473" s="263">
        <f t="shared" si="164"/>
        <v>44.593333333333334</v>
      </c>
      <c r="AK473" s="62">
        <f t="shared" si="162"/>
        <v>0.62838888888888889</v>
      </c>
      <c r="AL473" s="225">
        <f>Table1[[#This Row],[WSP/Dealer]]/Table1[[#This Row],[OD Sq Inch]]</f>
        <v>4.1666666666666664E-2</v>
      </c>
      <c r="AM473" s="170">
        <f>Table1[[#This Row],[OD Wdth]]*Table1[[#This Row],[OD Hgt]]</f>
        <v>2880</v>
      </c>
      <c r="AN473" s="84"/>
      <c r="AO473" s="84"/>
      <c r="AP473" s="84"/>
      <c r="AQ473" s="126"/>
      <c r="AR473" s="126"/>
      <c r="AS473" s="126"/>
      <c r="AT473" s="74"/>
      <c r="AU473" s="1357" t="str">
        <f t="shared" si="165"/>
        <v>-</v>
      </c>
    </row>
    <row r="474" spans="1:53" s="399" customFormat="1" hidden="1" x14ac:dyDescent="0.2">
      <c r="A474" s="68" t="s">
        <v>187</v>
      </c>
      <c r="B474" s="1061" t="s">
        <v>292</v>
      </c>
      <c r="C474" s="653" t="s">
        <v>1333</v>
      </c>
      <c r="D474" s="94"/>
      <c r="E474" s="84" t="s">
        <v>1334</v>
      </c>
      <c r="F474" s="84" t="s">
        <v>349</v>
      </c>
      <c r="G474" s="68" t="s">
        <v>1335</v>
      </c>
      <c r="H474" s="68" t="s">
        <v>1336</v>
      </c>
      <c r="I474" s="68" t="s">
        <v>52</v>
      </c>
      <c r="J474" s="68" t="s">
        <v>53</v>
      </c>
      <c r="K474" s="68" t="s">
        <v>54</v>
      </c>
      <c r="L474" s="68" t="s">
        <v>70</v>
      </c>
      <c r="M474" s="93">
        <v>1800</v>
      </c>
      <c r="N474" s="71"/>
      <c r="O474" s="68" t="s">
        <v>56</v>
      </c>
      <c r="P474" s="68">
        <v>46</v>
      </c>
      <c r="Q474" s="68">
        <v>34</v>
      </c>
      <c r="R474" s="68">
        <v>34</v>
      </c>
      <c r="S474" s="68">
        <v>46</v>
      </c>
      <c r="T474" s="63">
        <v>47</v>
      </c>
      <c r="U474" s="63">
        <v>35</v>
      </c>
      <c r="V474" s="66">
        <f>IF(J474="Canvas",P474+Border,P474)</f>
        <v>54</v>
      </c>
      <c r="W474" s="66">
        <f>IF(J474="Canvas",Q474+Border,Q474)</f>
        <v>42</v>
      </c>
      <c r="X474" s="189"/>
      <c r="Y474" s="68"/>
      <c r="Z474" s="68"/>
      <c r="AA474" s="699">
        <f t="shared" si="163"/>
        <v>15.75</v>
      </c>
      <c r="AB474" s="297">
        <f>AA474*IncaG</f>
        <v>331.38</v>
      </c>
      <c r="AC474" s="74">
        <f>AA474*Canvas</f>
        <v>10.395000000000001</v>
      </c>
      <c r="AD474" s="319">
        <f>Table1[[#This Row],[Substrate SF]]*IncaC</f>
        <v>26.510400000000001</v>
      </c>
      <c r="AE474" s="278">
        <f>IF(Table1[[#This Row],[Work Center]]="SwissQ",Materials!G$37,IF(Table1[[#This Row],[Work Center]]="Inca",Materials!G$29,IF(Table1[[#This Row],[Work Center]]="Canon",Materials!G$49,Materials!G$45)))</f>
        <v>8</v>
      </c>
      <c r="AF474" s="321">
        <f>'Cali Frames'!D296</f>
        <v>154.17500000000001</v>
      </c>
      <c r="AG474" s="126"/>
      <c r="AH474" s="278">
        <f t="shared" si="156"/>
        <v>90</v>
      </c>
      <c r="AI474" s="278"/>
      <c r="AJ474" s="263">
        <f t="shared" si="164"/>
        <v>289.0804</v>
      </c>
      <c r="AK474" s="650">
        <f t="shared" si="162"/>
        <v>0.83939977777777774</v>
      </c>
      <c r="AL474" s="225">
        <f>Table1[[#This Row],[WSP/Dealer]]/Table1[[#This Row],[OD Sq Inch]]</f>
        <v>1.094224924012158</v>
      </c>
      <c r="AM474" s="170">
        <f>Table1[[#This Row],[OD Wdth]]*Table1[[#This Row],[OD Hgt]]</f>
        <v>1645</v>
      </c>
      <c r="AN474" s="216">
        <f>Table1[[#This Row],[Min VO]]+Table1[[#This Row],[Max VO]]</f>
        <v>80</v>
      </c>
      <c r="AO474" s="84"/>
      <c r="AP474" s="84"/>
      <c r="AQ474" s="126"/>
      <c r="AR474" s="126"/>
      <c r="AS474" s="126"/>
      <c r="AT474" s="74"/>
      <c r="AU474" s="1357" t="str">
        <f t="shared" si="165"/>
        <v>-</v>
      </c>
    </row>
    <row r="475" spans="1:53" s="399" customFormat="1" hidden="1" x14ac:dyDescent="0.2">
      <c r="A475" s="101" t="s">
        <v>996</v>
      </c>
      <c r="B475" s="1062" t="s">
        <v>484</v>
      </c>
      <c r="C475" s="115" t="s">
        <v>1337</v>
      </c>
      <c r="D475" s="168"/>
      <c r="E475" s="401" t="s">
        <v>1338</v>
      </c>
      <c r="F475" s="115" t="s">
        <v>349</v>
      </c>
      <c r="G475" s="101" t="s">
        <v>731</v>
      </c>
      <c r="H475" s="101" t="s">
        <v>731</v>
      </c>
      <c r="I475" s="101" t="s">
        <v>52</v>
      </c>
      <c r="J475" s="487" t="s">
        <v>53</v>
      </c>
      <c r="K475" s="101" t="s">
        <v>54</v>
      </c>
      <c r="L475" s="101" t="s">
        <v>55</v>
      </c>
      <c r="M475" s="1009">
        <v>350</v>
      </c>
      <c r="N475" s="1009"/>
      <c r="O475" s="101" t="s">
        <v>56</v>
      </c>
      <c r="P475" s="101">
        <v>30</v>
      </c>
      <c r="Q475" s="101">
        <v>20</v>
      </c>
      <c r="R475" s="101">
        <v>20</v>
      </c>
      <c r="S475" s="101">
        <v>30</v>
      </c>
      <c r="T475" s="101">
        <v>30</v>
      </c>
      <c r="U475" s="101">
        <v>20</v>
      </c>
      <c r="V475" s="106">
        <f>IF(J475="Canvas",P475+Border,P475)</f>
        <v>38</v>
      </c>
      <c r="W475" s="106">
        <f>IF(J475="Canvas",Q475+Border,Q475)</f>
        <v>28</v>
      </c>
      <c r="X475" s="1010">
        <v>40</v>
      </c>
      <c r="Y475" s="101">
        <v>38</v>
      </c>
      <c r="Z475" s="101">
        <v>28</v>
      </c>
      <c r="AA475" s="1011">
        <f t="shared" si="163"/>
        <v>7.3888888888888893</v>
      </c>
      <c r="AB475" s="184">
        <f>AA475*IncaG</f>
        <v>155.46222222222224</v>
      </c>
      <c r="AC475" s="104">
        <f>AA475*Canvas</f>
        <v>4.8766666666666669</v>
      </c>
      <c r="AD475" s="107">
        <f>AA475*IncaC</f>
        <v>12.436977777777779</v>
      </c>
      <c r="AE475" s="104">
        <f>IF(Table1[[#This Row],[Work Center]]="SwissQ",Materials!G$37,IF(Table1[[#This Row],[Work Center]]="Inca",Materials!G$29,IF(Table1[[#This Row],[Work Center]]="Canon",Materials!G$49,Materials!G$45)))</f>
        <v>8</v>
      </c>
      <c r="AF475" s="1012">
        <f>'Cali FPS'!C28</f>
        <v>62.93</v>
      </c>
      <c r="AG475" s="121"/>
      <c r="AH475" s="104">
        <f t="shared" si="156"/>
        <v>17.5</v>
      </c>
      <c r="AI475" s="104"/>
      <c r="AJ475" s="406">
        <f t="shared" si="164"/>
        <v>105.74364444444444</v>
      </c>
      <c r="AK475" s="830">
        <f t="shared" si="162"/>
        <v>0.6978753015873016</v>
      </c>
      <c r="AL475" s="660">
        <f>Table1[[#This Row],[WSP/Dealer]]/Table1[[#This Row],[OD Sq Inch]]</f>
        <v>0.58333333333333337</v>
      </c>
      <c r="AM475" s="399">
        <f>Table1[[#This Row],[OD Wdth]]*Table1[[#This Row],[OD Hgt]]</f>
        <v>600</v>
      </c>
      <c r="AN475" s="400">
        <f>Table1[[#This Row],[Min VO]]+Table1[[#This Row],[Max VO]]</f>
        <v>50</v>
      </c>
      <c r="AO475" s="115"/>
      <c r="AP475" s="115"/>
      <c r="AQ475" s="121"/>
      <c r="AR475" s="121"/>
      <c r="AS475" s="121"/>
      <c r="AT475" s="104"/>
      <c r="AU475" s="1359" t="str">
        <f t="shared" si="165"/>
        <v>-</v>
      </c>
    </row>
    <row r="476" spans="1:53" s="103" customFormat="1" hidden="1" x14ac:dyDescent="0.2">
      <c r="A476" s="101" t="s">
        <v>996</v>
      </c>
      <c r="B476" s="1062" t="s">
        <v>484</v>
      </c>
      <c r="C476" s="115" t="s">
        <v>1339</v>
      </c>
      <c r="D476" s="168"/>
      <c r="E476" s="401" t="s">
        <v>1338</v>
      </c>
      <c r="F476" s="115" t="s">
        <v>349</v>
      </c>
      <c r="G476" s="101" t="s">
        <v>731</v>
      </c>
      <c r="H476" s="101" t="s">
        <v>732</v>
      </c>
      <c r="I476" s="101" t="s">
        <v>52</v>
      </c>
      <c r="J476" s="487" t="s">
        <v>53</v>
      </c>
      <c r="K476" s="101" t="s">
        <v>69</v>
      </c>
      <c r="L476" s="101" t="s">
        <v>73</v>
      </c>
      <c r="M476" s="1009">
        <v>450</v>
      </c>
      <c r="N476" s="1009"/>
      <c r="O476" s="101" t="s">
        <v>56</v>
      </c>
      <c r="P476" s="103">
        <v>30</v>
      </c>
      <c r="Q476" s="103">
        <v>20</v>
      </c>
      <c r="R476" s="101">
        <v>20</v>
      </c>
      <c r="S476" s="103">
        <v>30</v>
      </c>
      <c r="T476" s="103">
        <v>30</v>
      </c>
      <c r="U476" s="103">
        <v>20</v>
      </c>
      <c r="V476" s="608">
        <f>IF(J476="Canvas",P476+Border,P476)</f>
        <v>38</v>
      </c>
      <c r="W476" s="608">
        <f>IF(J476="Canvas",Q476+Border,Q476)</f>
        <v>28</v>
      </c>
      <c r="X476" s="1010">
        <v>40</v>
      </c>
      <c r="Y476" s="101">
        <v>38</v>
      </c>
      <c r="Z476" s="101">
        <v>28</v>
      </c>
      <c r="AA476" s="1011">
        <f t="shared" si="163"/>
        <v>7.3888888888888893</v>
      </c>
      <c r="AB476" s="184">
        <f>AA476*IncaG</f>
        <v>155.46222222222224</v>
      </c>
      <c r="AC476" s="104">
        <f>AA476*Canvas</f>
        <v>4.8766666666666669</v>
      </c>
      <c r="AD476" s="107">
        <f>AA476*IncaC</f>
        <v>12.436977777777779</v>
      </c>
      <c r="AE476" s="104">
        <f>IF(Table1[[#This Row],[Work Center]]="SwissQ",Materials!G$37,IF(Table1[[#This Row],[Work Center]]="Inca",Materials!G$29,IF(Table1[[#This Row],[Work Center]]="Canon",Materials!G$49,Materials!G$45)))</f>
        <v>8</v>
      </c>
      <c r="AF476" s="1012">
        <f>'Cali Frames'!D419</f>
        <v>83.685000000000002</v>
      </c>
      <c r="AG476" s="121"/>
      <c r="AH476" s="107">
        <f t="shared" si="156"/>
        <v>22.5</v>
      </c>
      <c r="AI476" s="107"/>
      <c r="AJ476" s="406">
        <f t="shared" si="164"/>
        <v>131.49864444444444</v>
      </c>
      <c r="AK476" s="108">
        <f t="shared" si="162"/>
        <v>0.70778079012345685</v>
      </c>
      <c r="AL476" s="660">
        <f>Table1[[#This Row],[WSP/Dealer]]/Table1[[#This Row],[OD Sq Inch]]</f>
        <v>0.75</v>
      </c>
      <c r="AM476" s="399">
        <f>Table1[[#This Row],[OD Wdth]]*Table1[[#This Row],[OD Hgt]]</f>
        <v>600</v>
      </c>
      <c r="AN476" s="400">
        <f>Table1[[#This Row],[Min VO]]+Table1[[#This Row],[Max VO]]</f>
        <v>50</v>
      </c>
      <c r="AO476" s="113"/>
      <c r="AP476" s="115"/>
      <c r="AQ476" s="121"/>
      <c r="AR476" s="121"/>
      <c r="AS476" s="121"/>
      <c r="AT476" s="104"/>
      <c r="AU476" s="1367" t="str">
        <f t="shared" si="165"/>
        <v>-</v>
      </c>
    </row>
    <row r="477" spans="1:53" s="103" customFormat="1" hidden="1" x14ac:dyDescent="0.2">
      <c r="A477" s="869" t="s">
        <v>140</v>
      </c>
      <c r="B477" s="1061" t="s">
        <v>141</v>
      </c>
      <c r="C477" s="653" t="s">
        <v>1340</v>
      </c>
      <c r="D477" s="94"/>
      <c r="E477" s="872" t="s">
        <v>1341</v>
      </c>
      <c r="F477" s="872" t="s">
        <v>349</v>
      </c>
      <c r="G477" s="869" t="s">
        <v>1342</v>
      </c>
      <c r="H477" s="869" t="s">
        <v>1343</v>
      </c>
      <c r="I477" s="869" t="s">
        <v>52</v>
      </c>
      <c r="J477" s="873" t="s">
        <v>53</v>
      </c>
      <c r="K477" s="869" t="s">
        <v>69</v>
      </c>
      <c r="L477" s="869" t="s">
        <v>73</v>
      </c>
      <c r="M477" s="874">
        <v>775</v>
      </c>
      <c r="N477" s="858">
        <f>Table1[[#This Row],[WSP/Dealer]]/0.35</f>
        <v>2214.2857142857142</v>
      </c>
      <c r="O477" s="869" t="s">
        <v>56</v>
      </c>
      <c r="P477" s="869">
        <v>48</v>
      </c>
      <c r="Q477" s="869">
        <v>36</v>
      </c>
      <c r="R477" s="869">
        <v>36</v>
      </c>
      <c r="S477" s="869">
        <v>48</v>
      </c>
      <c r="T477" s="869">
        <v>49</v>
      </c>
      <c r="U477" s="869">
        <v>37</v>
      </c>
      <c r="V477" s="881">
        <f>IF(J477="Canvas",P477+Border,P477)</f>
        <v>56</v>
      </c>
      <c r="W477" s="881">
        <f>IF(J477="Canvas",Q477+Border,Q477)</f>
        <v>44</v>
      </c>
      <c r="X477" s="875">
        <v>59</v>
      </c>
      <c r="Y477" s="869">
        <v>56</v>
      </c>
      <c r="Z477" s="869">
        <v>44</v>
      </c>
      <c r="AA477" s="860">
        <f t="shared" si="163"/>
        <v>17.111111111111111</v>
      </c>
      <c r="AB477" s="861">
        <f>AA477*IncaG</f>
        <v>360.01777777777778</v>
      </c>
      <c r="AC477" s="863">
        <f>AA477*Canvas</f>
        <v>11.293333333333333</v>
      </c>
      <c r="AD477" s="876">
        <f>Table1[[#This Row],[Substrate SF]]*IncaC</f>
        <v>28.801422222222222</v>
      </c>
      <c r="AE477" s="867">
        <f>IF(Table1[[#This Row],[Work Center]]="SwissQ",Materials!G$37,IF(Table1[[#This Row],[Work Center]]="Inca",Materials!G$29,IF(Table1[[#This Row],[Work Center]]="Canon",Materials!G$49,Materials!G$45)))</f>
        <v>8</v>
      </c>
      <c r="AF477" s="882">
        <f>'Cali Frames'!D436</f>
        <v>145.70500000000001</v>
      </c>
      <c r="AG477" s="994"/>
      <c r="AH477" s="865">
        <f t="shared" si="156"/>
        <v>38.75</v>
      </c>
      <c r="AI477" s="865"/>
      <c r="AJ477" s="867">
        <f t="shared" si="164"/>
        <v>232.54975555555558</v>
      </c>
      <c r="AK477" s="866">
        <f t="shared" si="162"/>
        <v>0.69993579928315419</v>
      </c>
      <c r="AL477" s="867">
        <f>Table1[[#This Row],[WSP/Dealer]]/Table1[[#This Row],[OD Sq Inch]]</f>
        <v>0.42746828461114178</v>
      </c>
      <c r="AM477" s="868">
        <f>Table1[[#This Row],[OD Wdth]]*Table1[[#This Row],[OD Hgt]]</f>
        <v>1813</v>
      </c>
      <c r="AN477" s="869">
        <f>Table1[[#This Row],[Min VO]]+Table1[[#This Row],[Max VO]]</f>
        <v>84</v>
      </c>
      <c r="AO477" s="872"/>
      <c r="AP477" s="872"/>
      <c r="AQ477" s="994"/>
      <c r="AR477" s="994"/>
      <c r="AS477" s="994"/>
      <c r="AT477" s="867"/>
      <c r="AU477" s="1373" t="str">
        <f t="shared" si="165"/>
        <v>-</v>
      </c>
    </row>
    <row r="478" spans="1:53" hidden="1" x14ac:dyDescent="0.2">
      <c r="A478" s="68"/>
      <c r="B478" s="1061"/>
      <c r="C478" s="78" t="s">
        <v>1344</v>
      </c>
      <c r="D478" s="94"/>
      <c r="E478" s="78" t="s">
        <v>1345</v>
      </c>
      <c r="F478" s="84" t="s">
        <v>301</v>
      </c>
      <c r="G478" s="68" t="s">
        <v>905</v>
      </c>
      <c r="H478" s="68" t="s">
        <v>906</v>
      </c>
      <c r="I478" s="68" t="s">
        <v>304</v>
      </c>
      <c r="J478" s="68" t="s">
        <v>257</v>
      </c>
      <c r="K478" s="68" t="s">
        <v>258</v>
      </c>
      <c r="L478" s="68" t="s">
        <v>269</v>
      </c>
      <c r="M478" s="73"/>
      <c r="N478" s="71"/>
      <c r="O478" s="68" t="s">
        <v>260</v>
      </c>
      <c r="P478" s="65"/>
      <c r="Q478" s="65"/>
      <c r="R478" s="68"/>
      <c r="S478" s="65"/>
      <c r="T478" s="623"/>
      <c r="U478" s="623"/>
      <c r="V478" s="917"/>
      <c r="W478" s="917"/>
      <c r="X478" s="189"/>
      <c r="Y478" s="68"/>
      <c r="Z478" s="68"/>
      <c r="AA478" s="699"/>
      <c r="AB478" s="297"/>
      <c r="AC478" s="73"/>
      <c r="AD478" s="67"/>
      <c r="AE478" s="74"/>
      <c r="AF478" s="73"/>
      <c r="AG478" s="115"/>
      <c r="AH478" s="498">
        <f t="shared" si="156"/>
        <v>0</v>
      </c>
      <c r="AI478" s="498"/>
      <c r="AJ478" s="74"/>
      <c r="AK478" s="650" t="e">
        <f t="shared" si="162"/>
        <v>#DIV/0!</v>
      </c>
      <c r="AL478" s="225" t="e">
        <f>Table1[[#This Row],[WSP/Dealer]]/Table1[[#This Row],[OD Sq Inch]]</f>
        <v>#DIV/0!</v>
      </c>
      <c r="AM478" s="218">
        <f>Table1[[#This Row],[OD Wdth]]*Table1[[#This Row],[OD Hgt]]</f>
        <v>0</v>
      </c>
      <c r="AN478" s="216">
        <f>Table1[[#This Row],[Min VO]]+Table1[[#This Row],[Max VO]]</f>
        <v>0</v>
      </c>
      <c r="AO478" s="68"/>
      <c r="AP478" s="68"/>
      <c r="AQ478" s="74"/>
      <c r="AR478" s="74"/>
      <c r="AS478" s="74"/>
      <c r="AT478" s="74"/>
      <c r="AU478" s="1001" t="str">
        <f t="shared" si="165"/>
        <v>-</v>
      </c>
      <c r="AV478" s="229"/>
      <c r="AW478" s="229"/>
      <c r="AX478" s="229"/>
      <c r="AY478" s="229"/>
      <c r="AZ478" s="229"/>
      <c r="BA478" s="229"/>
    </row>
    <row r="479" spans="1:53" s="235" customFormat="1" hidden="1" x14ac:dyDescent="0.2">
      <c r="A479" s="101" t="s">
        <v>110</v>
      </c>
      <c r="B479" s="1064" t="s">
        <v>134</v>
      </c>
      <c r="C479" s="100" t="s">
        <v>1346</v>
      </c>
      <c r="D479" s="168"/>
      <c r="E479" s="115" t="s">
        <v>1347</v>
      </c>
      <c r="F479" s="115" t="s">
        <v>150</v>
      </c>
      <c r="G479" s="101" t="s">
        <v>1348</v>
      </c>
      <c r="H479" s="101" t="s">
        <v>1349</v>
      </c>
      <c r="I479" s="101" t="s">
        <v>256</v>
      </c>
      <c r="J479" s="487" t="s">
        <v>257</v>
      </c>
      <c r="K479" s="101" t="s">
        <v>258</v>
      </c>
      <c r="L479" s="101" t="s">
        <v>259</v>
      </c>
      <c r="M479" s="299">
        <v>350</v>
      </c>
      <c r="N479" s="114"/>
      <c r="O479" s="101" t="s">
        <v>260</v>
      </c>
      <c r="P479" s="101">
        <v>19</v>
      </c>
      <c r="Q479" s="101">
        <v>19</v>
      </c>
      <c r="R479" s="101">
        <v>19</v>
      </c>
      <c r="S479" s="101">
        <v>19</v>
      </c>
      <c r="T479" s="101">
        <v>21</v>
      </c>
      <c r="U479" s="101">
        <v>21</v>
      </c>
      <c r="V479" s="608">
        <f>IF(J479="Canvas",P479+Border,P479)</f>
        <v>19</v>
      </c>
      <c r="W479" s="608">
        <f>IF(J479="Canvas",Q479+Border,Q479)</f>
        <v>19</v>
      </c>
      <c r="X479" s="137" t="s">
        <v>257</v>
      </c>
      <c r="Y479" s="101">
        <v>19</v>
      </c>
      <c r="Z479" s="101">
        <v>19</v>
      </c>
      <c r="AA479" s="649">
        <f>V479*W479/144</f>
        <v>2.5069444444444446</v>
      </c>
      <c r="AB479" s="184">
        <f>AA479*canonML</f>
        <v>12.033333333333333</v>
      </c>
      <c r="AC479" s="104">
        <f>Table1[[#This Row],[Print Wth]]*paper60</f>
        <v>6.4600000000000009</v>
      </c>
      <c r="AD479" s="120">
        <f>Table1[[#This Row],[Ink g/mL]]*CanonC</f>
        <v>3.2490000000000001</v>
      </c>
      <c r="AE479" s="121">
        <f>IF(Table1[[#This Row],[Work Center]]="SwissQ",Materials!G$37,IF(Table1[[#This Row],[Work Center]]="Inca",Materials!G$29,IF(Table1[[#This Row],[Work Center]]="Canon",Materials!G$49,Materials!G$45)))</f>
        <v>7</v>
      </c>
      <c r="AF479" s="102">
        <f>'Cali Frames'!D28</f>
        <v>84.74</v>
      </c>
      <c r="AG479" s="115"/>
      <c r="AH479" s="121">
        <f t="shared" si="156"/>
        <v>17.5</v>
      </c>
      <c r="AI479" s="406">
        <f>IF(A479="Codarus",(M479*0.13))</f>
        <v>45.5</v>
      </c>
      <c r="AJ479" s="104">
        <f>SUM(AC479:AI479)</f>
        <v>164.44900000000001</v>
      </c>
      <c r="AK479" s="830">
        <f t="shared" si="162"/>
        <v>0.53014571428571422</v>
      </c>
      <c r="AL479" s="121">
        <f>Table1[[#This Row],[WSP/Dealer]]/Table1[[#This Row],[OD Sq Inch]]</f>
        <v>0.79365079365079361</v>
      </c>
      <c r="AM479" s="103">
        <f>Table1[[#This Row],[OD Wdth]]*Table1[[#This Row],[OD Hgt]]</f>
        <v>441</v>
      </c>
      <c r="AN479" s="101">
        <v>0</v>
      </c>
      <c r="AO479" s="115"/>
      <c r="AP479" s="1307">
        <f>(M479*2)</f>
        <v>700</v>
      </c>
      <c r="AQ479" s="121">
        <f>(Table1[[#This Row],[Desgnr/Retail P]]*0.05)</f>
        <v>35</v>
      </c>
      <c r="AR479" s="121">
        <f>IF(A479="Codarus",(AP479*0.13))</f>
        <v>91</v>
      </c>
      <c r="AS479" s="121">
        <f>SUM(Table1[[#This Row],[Substrate $]:[GP FINISH]])+Table1[[#This Row],[Retail Royalty]]+Table1[[#This Row],[Retail$Comm]]</f>
        <v>227.44900000000001</v>
      </c>
      <c r="AT479" s="830">
        <f>IF(AP479=0,"-",(AP479-AS479)/AP479)</f>
        <v>0.67507285714285714</v>
      </c>
      <c r="AU479" s="1359">
        <f t="shared" si="165"/>
        <v>0.98071220408163262</v>
      </c>
    </row>
    <row r="480" spans="1:53" s="170" customFormat="1" hidden="1" x14ac:dyDescent="0.2">
      <c r="A480" s="68" t="s">
        <v>110</v>
      </c>
      <c r="B480" s="1152" t="s">
        <v>486</v>
      </c>
      <c r="C480" s="78" t="s">
        <v>1350</v>
      </c>
      <c r="D480" s="94"/>
      <c r="E480" s="84" t="s">
        <v>1347</v>
      </c>
      <c r="F480" s="84" t="s">
        <v>150</v>
      </c>
      <c r="G480" s="68" t="s">
        <v>1348</v>
      </c>
      <c r="H480" s="68" t="s">
        <v>1349</v>
      </c>
      <c r="I480" s="68" t="s">
        <v>256</v>
      </c>
      <c r="J480" s="140" t="s">
        <v>257</v>
      </c>
      <c r="K480" s="68" t="s">
        <v>258</v>
      </c>
      <c r="L480" s="68" t="s">
        <v>259</v>
      </c>
      <c r="M480" s="141">
        <v>350</v>
      </c>
      <c r="N480" s="93"/>
      <c r="O480" s="68" t="s">
        <v>64</v>
      </c>
      <c r="P480" s="68">
        <v>19</v>
      </c>
      <c r="Q480" s="68">
        <v>19</v>
      </c>
      <c r="R480" s="68">
        <v>19</v>
      </c>
      <c r="S480" s="68">
        <v>19</v>
      </c>
      <c r="T480" s="68">
        <v>21</v>
      </c>
      <c r="U480" s="68">
        <v>21</v>
      </c>
      <c r="V480" s="917">
        <f>IF(J480="Canvas",P480+Border,P480)</f>
        <v>19</v>
      </c>
      <c r="W480" s="917">
        <f>IF(J480="Canvas",Q480+Border,Q480)</f>
        <v>19</v>
      </c>
      <c r="X480" s="189" t="s">
        <v>257</v>
      </c>
      <c r="Y480" s="68">
        <v>19</v>
      </c>
      <c r="Z480" s="68">
        <v>19</v>
      </c>
      <c r="AA480" s="699">
        <f>V480*W480/144</f>
        <v>2.5069444444444446</v>
      </c>
      <c r="AB480" s="297">
        <f>AA480*Swiss1</f>
        <v>70.946527777777789</v>
      </c>
      <c r="AC480" s="74">
        <f>AA480*Canvas</f>
        <v>1.6545833333333335</v>
      </c>
      <c r="AD480" s="67">
        <f>Table1[[#This Row],[Substrate SF]]*Materials!C$37</f>
        <v>7.0194444444444448</v>
      </c>
      <c r="AE480" s="74">
        <f>IF(Table1[[#This Row],[Work Center]]="SwissQ",Materials!G$37,IF(Table1[[#This Row],[Work Center]]="Inca",Materials!G$29,IF(Table1[[#This Row],[Work Center]]="Canon",Materials!G$49,Materials!G$45)))</f>
        <v>20</v>
      </c>
      <c r="AF480" s="73">
        <f>'Cali Frames'!D28</f>
        <v>84.74</v>
      </c>
      <c r="AG480" s="84"/>
      <c r="AH480" s="126">
        <f t="shared" si="156"/>
        <v>17.5</v>
      </c>
      <c r="AI480" s="278">
        <f>IF(A480="Codarus",(M480*0.13))</f>
        <v>45.5</v>
      </c>
      <c r="AJ480" s="74">
        <f>SUM(AC480:AI480)</f>
        <v>176.41402777777779</v>
      </c>
      <c r="AK480" s="1001">
        <f t="shared" si="162"/>
        <v>0.49595992063492061</v>
      </c>
      <c r="AL480" s="126">
        <f>Table1[[#This Row],[WSP/Dealer]]/Table1[[#This Row],[OD Sq Inch]]</f>
        <v>0.79365079365079361</v>
      </c>
      <c r="AM480" s="63">
        <f>Table1[[#This Row],[OD Wdth]]*Table1[[#This Row],[OD Hgt]]</f>
        <v>441</v>
      </c>
      <c r="AN480" s="68">
        <v>0</v>
      </c>
      <c r="AO480" s="84"/>
      <c r="AP480" s="1029">
        <f>(M480*2)</f>
        <v>700</v>
      </c>
      <c r="AQ480" s="126">
        <f>(Table1[[#This Row],[Desgnr/Retail P]]*0.05)</f>
        <v>35</v>
      </c>
      <c r="AR480" s="126">
        <f>IF(A480="Codarus",(AP480*0.13))</f>
        <v>91</v>
      </c>
      <c r="AS480" s="126">
        <f>SUM(Table1[[#This Row],[Substrate $]:[GP FINISH]])+Table1[[#This Row],[Retail Royalty]]+Table1[[#This Row],[Retail$Comm]]</f>
        <v>239.41402777777779</v>
      </c>
      <c r="AT480" s="1001">
        <f>IF(AP480=0,"-",(AP480-AS480)/AP480)</f>
        <v>0.65797996031746031</v>
      </c>
      <c r="AU480" s="1357">
        <f t="shared" si="165"/>
        <v>0.98120057256235826</v>
      </c>
    </row>
    <row r="481" spans="1:47" s="170" customFormat="1" hidden="1" x14ac:dyDescent="0.2">
      <c r="A481" s="68"/>
      <c r="B481" s="1061"/>
      <c r="C481" s="78" t="s">
        <v>1351</v>
      </c>
      <c r="D481" s="94"/>
      <c r="E481" s="78" t="s">
        <v>1352</v>
      </c>
      <c r="F481" s="84" t="s">
        <v>150</v>
      </c>
      <c r="G481" s="68" t="s">
        <v>1348</v>
      </c>
      <c r="H481" s="68" t="s">
        <v>1349</v>
      </c>
      <c r="I481" s="68" t="s">
        <v>304</v>
      </c>
      <c r="J481" s="68" t="s">
        <v>257</v>
      </c>
      <c r="K481" s="68" t="s">
        <v>258</v>
      </c>
      <c r="L481" s="68" t="s">
        <v>259</v>
      </c>
      <c r="M481" s="73"/>
      <c r="N481" s="71"/>
      <c r="O481" s="68" t="s">
        <v>260</v>
      </c>
      <c r="P481" s="68"/>
      <c r="Q481" s="68"/>
      <c r="R481" s="68"/>
      <c r="S481" s="68"/>
      <c r="T481" s="68"/>
      <c r="U481" s="68"/>
      <c r="V481" s="917"/>
      <c r="W481" s="917"/>
      <c r="X481" s="189"/>
      <c r="Y481" s="68"/>
      <c r="Z481" s="68"/>
      <c r="AA481" s="699"/>
      <c r="AB481" s="297"/>
      <c r="AC481" s="74"/>
      <c r="AD481" s="74"/>
      <c r="AE481" s="74"/>
      <c r="AF481" s="74"/>
      <c r="AG481" s="115"/>
      <c r="AH481" s="498">
        <f t="shared" si="156"/>
        <v>0</v>
      </c>
      <c r="AI481" s="498"/>
      <c r="AJ481" s="74"/>
      <c r="AK481" s="650" t="e">
        <f t="shared" si="162"/>
        <v>#DIV/0!</v>
      </c>
      <c r="AL481" s="225" t="e">
        <f>Table1[[#This Row],[WSP/Dealer]]/Table1[[#This Row],[OD Sq Inch]]</f>
        <v>#DIV/0!</v>
      </c>
      <c r="AM481" s="60">
        <f>Table1[[#This Row],[OD Wdth]]*Table1[[#This Row],[OD Hgt]]</f>
        <v>0</v>
      </c>
      <c r="AN481" s="216">
        <f>Table1[[#This Row],[Min VO]]+Table1[[#This Row],[Max VO]]</f>
        <v>0</v>
      </c>
      <c r="AO481" s="68"/>
      <c r="AP481" s="68"/>
      <c r="AQ481" s="74"/>
      <c r="AR481" s="74"/>
      <c r="AS481" s="74"/>
      <c r="AT481" s="74"/>
      <c r="AU481" s="1001" t="str">
        <f t="shared" si="165"/>
        <v>-</v>
      </c>
    </row>
    <row r="482" spans="1:47" s="868" customFormat="1" hidden="1" x14ac:dyDescent="0.2">
      <c r="A482" s="68"/>
      <c r="B482" s="1061"/>
      <c r="C482" s="78" t="s">
        <v>1353</v>
      </c>
      <c r="D482" s="94"/>
      <c r="E482" s="78" t="s">
        <v>1354</v>
      </c>
      <c r="F482" s="84" t="s">
        <v>150</v>
      </c>
      <c r="G482" s="68" t="s">
        <v>1348</v>
      </c>
      <c r="H482" s="68" t="s">
        <v>1349</v>
      </c>
      <c r="I482" s="68" t="s">
        <v>304</v>
      </c>
      <c r="J482" s="68" t="s">
        <v>257</v>
      </c>
      <c r="K482" s="68" t="s">
        <v>258</v>
      </c>
      <c r="L482" s="68" t="s">
        <v>259</v>
      </c>
      <c r="M482" s="73"/>
      <c r="N482" s="71"/>
      <c r="O482" s="68" t="s">
        <v>260</v>
      </c>
      <c r="P482" s="68"/>
      <c r="Q482" s="68"/>
      <c r="R482" s="68"/>
      <c r="S482" s="68"/>
      <c r="T482" s="68"/>
      <c r="U482" s="68"/>
      <c r="V482" s="917"/>
      <c r="W482" s="917"/>
      <c r="X482" s="189"/>
      <c r="Y482" s="68"/>
      <c r="Z482" s="68"/>
      <c r="AA482" s="699"/>
      <c r="AB482" s="297"/>
      <c r="AC482" s="74"/>
      <c r="AD482" s="67"/>
      <c r="AE482" s="74"/>
      <c r="AF482" s="74"/>
      <c r="AG482" s="115"/>
      <c r="AH482" s="498">
        <f t="shared" si="156"/>
        <v>0</v>
      </c>
      <c r="AI482" s="498"/>
      <c r="AJ482" s="74"/>
      <c r="AK482" s="650" t="e">
        <f t="shared" si="162"/>
        <v>#DIV/0!</v>
      </c>
      <c r="AL482" s="225" t="e">
        <f>Table1[[#This Row],[WSP/Dealer]]/Table1[[#This Row],[OD Sq Inch]]</f>
        <v>#DIV/0!</v>
      </c>
      <c r="AM482" s="218">
        <f>Table1[[#This Row],[OD Wdth]]*Table1[[#This Row],[OD Hgt]]</f>
        <v>0</v>
      </c>
      <c r="AN482" s="216">
        <f>Table1[[#This Row],[Min VO]]+Table1[[#This Row],[Max VO]]</f>
        <v>0</v>
      </c>
      <c r="AO482" s="68"/>
      <c r="AP482" s="68"/>
      <c r="AQ482" s="74"/>
      <c r="AR482" s="74"/>
      <c r="AS482" s="74"/>
      <c r="AT482" s="74"/>
      <c r="AU482" s="1001" t="str">
        <f t="shared" si="165"/>
        <v>-</v>
      </c>
    </row>
    <row r="483" spans="1:47" s="868" customFormat="1" x14ac:dyDescent="0.2">
      <c r="A483" s="551" t="s">
        <v>58</v>
      </c>
      <c r="B483" s="1150" t="s">
        <v>310</v>
      </c>
      <c r="C483" s="805" t="s">
        <v>1355</v>
      </c>
      <c r="D483" s="77"/>
      <c r="E483" s="653" t="s">
        <v>1356</v>
      </c>
      <c r="F483" s="653" t="s">
        <v>308</v>
      </c>
      <c r="G483" s="551" t="s">
        <v>379</v>
      </c>
      <c r="H483" s="551" t="s">
        <v>379</v>
      </c>
      <c r="I483" s="551" t="s">
        <v>52</v>
      </c>
      <c r="J483" s="856" t="s">
        <v>53</v>
      </c>
      <c r="K483" s="551" t="s">
        <v>54</v>
      </c>
      <c r="L483" s="551" t="s">
        <v>55</v>
      </c>
      <c r="M483" s="896">
        <v>1120</v>
      </c>
      <c r="N483" s="896"/>
      <c r="O483" s="551" t="s">
        <v>56</v>
      </c>
      <c r="P483" s="551">
        <v>48</v>
      </c>
      <c r="Q483" s="551">
        <v>72</v>
      </c>
      <c r="R483" s="551">
        <v>48</v>
      </c>
      <c r="S483" s="551">
        <v>72</v>
      </c>
      <c r="T483" s="551">
        <v>48</v>
      </c>
      <c r="U483" s="551">
        <v>72</v>
      </c>
      <c r="V483" s="881">
        <f>IF(J483="Canvas",P483+BorderGW,P483)</f>
        <v>56</v>
      </c>
      <c r="W483" s="881">
        <f>IF(J483="Canvas",Q483+BorderGW,Q483)</f>
        <v>80</v>
      </c>
      <c r="X483" s="551">
        <v>80</v>
      </c>
      <c r="Y483" s="551">
        <v>56</v>
      </c>
      <c r="Z483" s="551">
        <v>80</v>
      </c>
      <c r="AA483" s="860">
        <f t="shared" ref="AA483:AA491" si="166">V483*W483/144</f>
        <v>31.111111111111111</v>
      </c>
      <c r="AB483" s="861">
        <f t="shared" ref="AB483:AB491" si="167">AA483*IncaG</f>
        <v>654.57777777777778</v>
      </c>
      <c r="AC483" s="863">
        <f t="shared" ref="AC483:AC491" si="168">AA483*Canvas</f>
        <v>20.533333333333335</v>
      </c>
      <c r="AD483" s="876">
        <f>Table1[[#This Row],[Substrate SF]]*IncaC</f>
        <v>52.36622222222222</v>
      </c>
      <c r="AE483" s="867">
        <f>IF(Table1[[#This Row],[Work Center]]="SwissQ",Materials!G$37,IF(Table1[[#This Row],[Work Center]]="Inca",Materials!G$29,IF(Table1[[#This Row],[Work Center]]="Canon",Materials!G$49,Materials!G$45)))</f>
        <v>8</v>
      </c>
      <c r="AF483" s="71">
        <f>'Cali FPS'!C126</f>
        <v>189.88</v>
      </c>
      <c r="AG483" s="653"/>
      <c r="AH483" s="867">
        <f t="shared" si="156"/>
        <v>56</v>
      </c>
      <c r="AI483" s="867"/>
      <c r="AJ483" s="867">
        <f>SUM(AC483:AH483)</f>
        <v>326.77955555555553</v>
      </c>
      <c r="AK483" s="1087">
        <f t="shared" si="162"/>
        <v>0.70823253968253963</v>
      </c>
      <c r="AL483" s="867">
        <f>Table1[[#This Row],[WSP/Dealer]]/Table1[[#This Row],[OD Sq Inch]]</f>
        <v>0.32407407407407407</v>
      </c>
      <c r="AM483" s="868">
        <f>Table1[[#This Row],[OD Wdth]]*Table1[[#This Row],[OD Hgt]]</f>
        <v>3456</v>
      </c>
      <c r="AN483" s="1578">
        <v>0</v>
      </c>
      <c r="AO483" s="653"/>
      <c r="AP483" s="653"/>
      <c r="AQ483" s="863">
        <f>(Table1[[#This Row],[Desgnr/Retail P]]*0.05)</f>
        <v>0</v>
      </c>
      <c r="AR483" s="863" t="b">
        <f>IF(A483="Codarus",(AP483*0.13))</f>
        <v>0</v>
      </c>
      <c r="AS483" s="863" t="e" cm="1">
        <f t="array" ref="AS483">SUM(AC483:AG483+AQ+AR)</f>
        <v>#NAME?</v>
      </c>
      <c r="AT483" s="863" t="e">
        <f>(AP483-AS483)/AP483</f>
        <v>#NAME?</v>
      </c>
      <c r="AU483" s="1364" t="str">
        <f t="shared" si="165"/>
        <v>-</v>
      </c>
    </row>
    <row r="484" spans="1:47" s="170" customFormat="1" x14ac:dyDescent="0.2">
      <c r="A484" s="551" t="s">
        <v>58</v>
      </c>
      <c r="B484" s="1150" t="s">
        <v>310</v>
      </c>
      <c r="C484" s="805" t="s">
        <v>1357</v>
      </c>
      <c r="D484" s="77"/>
      <c r="E484" s="653" t="s">
        <v>1356</v>
      </c>
      <c r="F484" s="653" t="s">
        <v>308</v>
      </c>
      <c r="G484" s="551" t="s">
        <v>379</v>
      </c>
      <c r="H484" s="551" t="s">
        <v>990</v>
      </c>
      <c r="I484" s="551" t="s">
        <v>52</v>
      </c>
      <c r="J484" s="856" t="s">
        <v>53</v>
      </c>
      <c r="K484" s="551" t="s">
        <v>69</v>
      </c>
      <c r="L484" s="551" t="s">
        <v>70</v>
      </c>
      <c r="M484" s="896">
        <v>1300</v>
      </c>
      <c r="N484" s="896"/>
      <c r="O484" s="551" t="s">
        <v>56</v>
      </c>
      <c r="P484" s="551">
        <v>48</v>
      </c>
      <c r="Q484" s="551">
        <v>72</v>
      </c>
      <c r="R484" s="551">
        <v>48</v>
      </c>
      <c r="S484" s="551">
        <v>72</v>
      </c>
      <c r="T484" s="551">
        <v>49</v>
      </c>
      <c r="U484" s="551">
        <v>73</v>
      </c>
      <c r="V484" s="881">
        <f>IF(J484="Canvas",P484+BorderGW,P484)</f>
        <v>56</v>
      </c>
      <c r="W484" s="881">
        <f>IF(J484="Canvas",Q484+BorderGW,Q484)</f>
        <v>80</v>
      </c>
      <c r="X484" s="551">
        <v>80</v>
      </c>
      <c r="Y484" s="551">
        <v>56</v>
      </c>
      <c r="Z484" s="551">
        <v>80</v>
      </c>
      <c r="AA484" s="860">
        <f t="shared" si="166"/>
        <v>31.111111111111111</v>
      </c>
      <c r="AB484" s="861">
        <f t="shared" si="167"/>
        <v>654.57777777777778</v>
      </c>
      <c r="AC484" s="863">
        <f t="shared" si="168"/>
        <v>20.533333333333335</v>
      </c>
      <c r="AD484" s="876">
        <f>Table1[[#This Row],[Substrate SF]]*IncaC</f>
        <v>52.36622222222222</v>
      </c>
      <c r="AE484" s="867">
        <f>IF(Table1[[#This Row],[Work Center]]="SwissQ",Materials!G$37,IF(Table1[[#This Row],[Work Center]]="Inca",Materials!G$29,IF(Table1[[#This Row],[Work Center]]="Canon",Materials!G$49,Materials!G$45)))</f>
        <v>8</v>
      </c>
      <c r="AF484" s="71">
        <f>'Cali Frames'!D337</f>
        <v>263.8</v>
      </c>
      <c r="AG484" s="653"/>
      <c r="AH484" s="867">
        <f t="shared" si="156"/>
        <v>65</v>
      </c>
      <c r="AI484" s="867"/>
      <c r="AJ484" s="867">
        <f>SUM(AC484:AH484)</f>
        <v>409.69955555555555</v>
      </c>
      <c r="AK484" s="1087">
        <f t="shared" si="162"/>
        <v>0.6848464957264957</v>
      </c>
      <c r="AL484" s="867">
        <f>Table1[[#This Row],[WSP/Dealer]]/Table1[[#This Row],[OD Sq Inch]]</f>
        <v>0.36343304445065699</v>
      </c>
      <c r="AM484" s="869">
        <f>Table1[[#This Row],[OD Wdth]]*Table1[[#This Row],[OD Hgt]]</f>
        <v>3577</v>
      </c>
      <c r="AN484" s="1578">
        <v>0</v>
      </c>
      <c r="AO484" s="653"/>
      <c r="AP484" s="653"/>
      <c r="AQ484" s="863">
        <f>(Table1[[#This Row],[Desgnr/Retail P]]*0.05)</f>
        <v>0</v>
      </c>
      <c r="AR484" s="863" t="b">
        <f>IF(A484="Codarus",(AP484*0.13))</f>
        <v>0</v>
      </c>
      <c r="AS484" s="863" t="e" cm="1">
        <f t="array" ref="AS484">SUM(AC484:AG484+AQ+AR)</f>
        <v>#NAME?</v>
      </c>
      <c r="AT484" s="863" t="e">
        <f>(AP484-AS484)/AP484</f>
        <v>#NAME?</v>
      </c>
      <c r="AU484" s="1364" t="str">
        <f t="shared" si="165"/>
        <v>-</v>
      </c>
    </row>
    <row r="485" spans="1:47" s="103" customFormat="1" x14ac:dyDescent="0.2">
      <c r="A485" s="86" t="s">
        <v>58</v>
      </c>
      <c r="B485" s="279" t="s">
        <v>591</v>
      </c>
      <c r="C485" s="75" t="s">
        <v>1358</v>
      </c>
      <c r="D485" s="94"/>
      <c r="E485" s="85" t="s">
        <v>1359</v>
      </c>
      <c r="F485" s="85" t="s">
        <v>614</v>
      </c>
      <c r="G485" s="86" t="s">
        <v>191</v>
      </c>
      <c r="H485" s="86" t="s">
        <v>191</v>
      </c>
      <c r="I485" s="86" t="s">
        <v>52</v>
      </c>
      <c r="J485" s="86" t="s">
        <v>53</v>
      </c>
      <c r="K485" s="86" t="s">
        <v>54</v>
      </c>
      <c r="L485" s="86" t="s">
        <v>55</v>
      </c>
      <c r="M485" s="87">
        <v>900</v>
      </c>
      <c r="N485" s="639">
        <v>950</v>
      </c>
      <c r="O485" s="101" t="s">
        <v>56</v>
      </c>
      <c r="P485" s="273">
        <v>48</v>
      </c>
      <c r="Q485" s="273">
        <v>60</v>
      </c>
      <c r="R485" s="60">
        <v>48</v>
      </c>
      <c r="S485" s="273">
        <v>60</v>
      </c>
      <c r="T485" s="273">
        <f>Table1[[#This Row],[VO Wdth]]</f>
        <v>48</v>
      </c>
      <c r="U485" s="273">
        <f>Table1[[#This Row],[VO Hgt]]</f>
        <v>60</v>
      </c>
      <c r="V485" s="608">
        <f>IF(J485="Canvas",P485+BorderGW,P485)</f>
        <v>56</v>
      </c>
      <c r="W485" s="608">
        <f>IF(J485="Canvas",Q485+BorderGW,Q485)</f>
        <v>68</v>
      </c>
      <c r="X485" s="137">
        <v>122</v>
      </c>
      <c r="Y485" s="101"/>
      <c r="Z485" s="101"/>
      <c r="AA485" s="649">
        <f t="shared" si="166"/>
        <v>26.444444444444443</v>
      </c>
      <c r="AB485" s="184">
        <f t="shared" si="167"/>
        <v>556.39111111111106</v>
      </c>
      <c r="AC485" s="104">
        <f t="shared" si="168"/>
        <v>17.453333333333333</v>
      </c>
      <c r="AD485" s="107">
        <f>AA485*IncaC</f>
        <v>44.511288888888885</v>
      </c>
      <c r="AE485" s="104">
        <f>IF(Table1[[#This Row],[Work Center]]="SwissQ",Materials!G$37,IF(Table1[[#This Row],[Work Center]]="Inca",Materials!G$29,IF(Table1[[#This Row],[Work Center]]="Canon",Materials!G$49,Materials!G$45)))</f>
        <v>8</v>
      </c>
      <c r="AF485" s="104">
        <f>'Cali FPS'!C$121</f>
        <v>188.18</v>
      </c>
      <c r="AG485" s="115"/>
      <c r="AH485" s="498">
        <f t="shared" si="156"/>
        <v>45</v>
      </c>
      <c r="AI485" s="498"/>
      <c r="AJ485" s="104">
        <f>SUM(AC485:AH485)</f>
        <v>303.14462222222221</v>
      </c>
      <c r="AK485" s="650">
        <f t="shared" si="162"/>
        <v>0.66317264197530867</v>
      </c>
      <c r="AL485" s="225">
        <f>Table1[[#This Row],[WSP/Dealer]]/Table1[[#This Row],[OD Sq Inch]]</f>
        <v>0.3125</v>
      </c>
      <c r="AM485" s="101">
        <f>Table1[[#This Row],[OD Wdth]]*Table1[[#This Row],[OD Hgt]]</f>
        <v>2880</v>
      </c>
      <c r="AN485" s="216">
        <f>Table1[[#This Row],[Min VO]]+Table1[[#This Row],[Max VO]]</f>
        <v>108</v>
      </c>
      <c r="AO485" s="101"/>
      <c r="AP485" s="101"/>
      <c r="AQ485" s="104"/>
      <c r="AR485" s="104"/>
      <c r="AS485" s="104"/>
      <c r="AT485" s="104"/>
      <c r="AU485" s="830" t="str">
        <f t="shared" si="165"/>
        <v>-</v>
      </c>
    </row>
    <row r="486" spans="1:47" s="20" customFormat="1" hidden="1" x14ac:dyDescent="0.2">
      <c r="A486" s="166" t="s">
        <v>187</v>
      </c>
      <c r="B486" s="279" t="s">
        <v>292</v>
      </c>
      <c r="C486" s="653" t="s">
        <v>1360</v>
      </c>
      <c r="D486" s="94"/>
      <c r="E486" s="142" t="s">
        <v>1361</v>
      </c>
      <c r="F486" s="142" t="s">
        <v>349</v>
      </c>
      <c r="G486" s="166" t="s">
        <v>643</v>
      </c>
      <c r="H486" s="166" t="s">
        <v>806</v>
      </c>
      <c r="I486" s="166" t="s">
        <v>52</v>
      </c>
      <c r="J486" s="166" t="s">
        <v>53</v>
      </c>
      <c r="K486" s="68" t="s">
        <v>54</v>
      </c>
      <c r="L486" s="68" t="s">
        <v>70</v>
      </c>
      <c r="M486" s="651">
        <v>700</v>
      </c>
      <c r="N486" s="652"/>
      <c r="O486" s="166" t="s">
        <v>56</v>
      </c>
      <c r="P486" s="166">
        <v>20</v>
      </c>
      <c r="Q486" s="166">
        <v>16</v>
      </c>
      <c r="R486" s="166">
        <v>16</v>
      </c>
      <c r="S486" s="166">
        <v>21</v>
      </c>
      <c r="T486" s="68">
        <v>21</v>
      </c>
      <c r="U486" s="68">
        <v>17</v>
      </c>
      <c r="V486" s="917">
        <f t="shared" ref="V486:V491" si="169">IF(J486="Canvas",P486+Border,P486)</f>
        <v>28</v>
      </c>
      <c r="W486" s="917">
        <f t="shared" ref="W486:W491" si="170">IF(J486="Canvas",Q486+Border,Q486)</f>
        <v>24</v>
      </c>
      <c r="X486" s="381"/>
      <c r="Y486" s="166"/>
      <c r="Z486" s="166"/>
      <c r="AA486" s="699">
        <f t="shared" si="166"/>
        <v>4.666666666666667</v>
      </c>
      <c r="AB486" s="297">
        <f t="shared" si="167"/>
        <v>98.186666666666667</v>
      </c>
      <c r="AC486" s="74">
        <f t="shared" si="168"/>
        <v>3.0800000000000005</v>
      </c>
      <c r="AD486" s="319">
        <f>Table1[[#This Row],[Substrate SF]]*IncaC</f>
        <v>7.8549333333333342</v>
      </c>
      <c r="AE486" s="278">
        <f>IF(Table1[[#This Row],[Work Center]]="SwissQ",Materials!G$37,IF(Table1[[#This Row],[Work Center]]="Inca",Materials!G$29,IF(Table1[[#This Row],[Work Center]]="Canon",Materials!G$49,Materials!G$45)))</f>
        <v>8</v>
      </c>
      <c r="AF486" s="278">
        <f>'Cali Frames'!D$267</f>
        <v>82.757499999999993</v>
      </c>
      <c r="AG486" s="924"/>
      <c r="AH486" s="278">
        <f t="shared" si="156"/>
        <v>35</v>
      </c>
      <c r="AI486" s="278"/>
      <c r="AJ486" s="278">
        <f>SUM(AC486:AH486)</f>
        <v>136.69243333333333</v>
      </c>
      <c r="AK486" s="1192">
        <f t="shared" si="162"/>
        <v>0.80472509523809521</v>
      </c>
      <c r="AL486" s="278">
        <f>Table1[[#This Row],[WSP/Dealer]]/Table1[[#This Row],[OD Sq Inch]]</f>
        <v>1.9607843137254901</v>
      </c>
      <c r="AM486" s="170">
        <f>Table1[[#This Row],[OD Wdth]]*Table1[[#This Row],[OD Hgt]]</f>
        <v>357</v>
      </c>
      <c r="AN486" s="145">
        <v>0</v>
      </c>
      <c r="AO486" s="142"/>
      <c r="AP486" s="142"/>
      <c r="AQ486" s="924"/>
      <c r="AR486" s="924"/>
      <c r="AS486" s="924"/>
      <c r="AT486" s="162"/>
      <c r="AU486" s="1644" t="str">
        <f t="shared" si="165"/>
        <v>-</v>
      </c>
    </row>
    <row r="487" spans="1:47" s="20" customFormat="1" hidden="1" x14ac:dyDescent="0.2">
      <c r="A487" s="101" t="s">
        <v>110</v>
      </c>
      <c r="B487" s="1062" t="s">
        <v>134</v>
      </c>
      <c r="C487" s="719" t="s">
        <v>1362</v>
      </c>
      <c r="D487" s="168"/>
      <c r="E487" s="115" t="s">
        <v>1363</v>
      </c>
      <c r="F487" s="115" t="s">
        <v>1364</v>
      </c>
      <c r="G487" s="101" t="s">
        <v>1365</v>
      </c>
      <c r="H487" s="101" t="s">
        <v>1365</v>
      </c>
      <c r="I487" s="101" t="s">
        <v>52</v>
      </c>
      <c r="J487" s="487" t="s">
        <v>53</v>
      </c>
      <c r="K487" s="101" t="s">
        <v>54</v>
      </c>
      <c r="L487" s="101" t="s">
        <v>55</v>
      </c>
      <c r="M487" s="299">
        <v>375</v>
      </c>
      <c r="N487" s="114"/>
      <c r="O487" s="101" t="s">
        <v>56</v>
      </c>
      <c r="P487" s="697">
        <v>26</v>
      </c>
      <c r="Q487" s="697">
        <v>26</v>
      </c>
      <c r="R487" s="697">
        <v>26</v>
      </c>
      <c r="S487" s="116">
        <v>26</v>
      </c>
      <c r="T487" s="116">
        <v>26</v>
      </c>
      <c r="U487" s="116">
        <v>26</v>
      </c>
      <c r="V487" s="106">
        <f t="shared" si="169"/>
        <v>34</v>
      </c>
      <c r="W487" s="106">
        <f t="shared" si="170"/>
        <v>34</v>
      </c>
      <c r="X487" s="137">
        <v>40</v>
      </c>
      <c r="Y487" s="101">
        <v>37</v>
      </c>
      <c r="Z487" s="101">
        <v>37</v>
      </c>
      <c r="AA487" s="649">
        <f t="shared" si="166"/>
        <v>8.0277777777777786</v>
      </c>
      <c r="AB487" s="184">
        <f t="shared" si="167"/>
        <v>168.90444444444447</v>
      </c>
      <c r="AC487" s="104">
        <f t="shared" si="168"/>
        <v>5.2983333333333338</v>
      </c>
      <c r="AD487" s="1066">
        <f>Table1[[#This Row],[Substrate SF]]*IncaC</f>
        <v>13.512355555555557</v>
      </c>
      <c r="AE487" s="406">
        <f>IF(Table1[[#This Row],[Work Center]]="SwissQ",Materials!G$37,IF(Table1[[#This Row],[Work Center]]="Inca",Materials!G$29,IF(Table1[[#This Row],[Work Center]]="Canon",Materials!G$49,Materials!G$45)))</f>
        <v>8</v>
      </c>
      <c r="AF487" s="102">
        <f>'Cali FPS'!C42</f>
        <v>74</v>
      </c>
      <c r="AG487" s="115"/>
      <c r="AH487" s="405">
        <f t="shared" si="156"/>
        <v>18.75</v>
      </c>
      <c r="AI487" s="405">
        <f>IF(A487="Codarus",(M487*0.13))</f>
        <v>48.75</v>
      </c>
      <c r="AJ487" s="104">
        <f>SUM(AC487:AI487)</f>
        <v>168.31068888888888</v>
      </c>
      <c r="AK487" s="108">
        <f t="shared" si="162"/>
        <v>0.55117149629629636</v>
      </c>
      <c r="AL487" s="660">
        <f>Table1[[#This Row],[WSP/Dealer]]/Table1[[#This Row],[OD Sq Inch]]</f>
        <v>0.55473372781065089</v>
      </c>
      <c r="AM487" s="399">
        <f>Table1[[#This Row],[OD Wdth]]*Table1[[#This Row],[OD Hgt]]</f>
        <v>676</v>
      </c>
      <c r="AN487" s="400">
        <f>Table1[[#This Row],[Min VO]]+Table1[[#This Row],[Max VO]]</f>
        <v>52</v>
      </c>
      <c r="AO487" s="115"/>
      <c r="AP487" s="121">
        <v>750</v>
      </c>
      <c r="AQ487" s="121">
        <f>(Table1[[#This Row],[Desgnr/Retail P]]*0.05)</f>
        <v>37.5</v>
      </c>
      <c r="AR487" s="121">
        <f>IF(A487="Codarus",(AP487*0.13))</f>
        <v>97.5</v>
      </c>
      <c r="AS487" s="121">
        <f>SUM(Table1[[#This Row],[Substrate $]:[GP FINISH]])+Table1[[#This Row],[Retail Royalty]]+Table1[[#This Row],[Retail$Comm]]</f>
        <v>235.81068888888888</v>
      </c>
      <c r="AT487" s="830">
        <f>IF(AP487=0,"-",(AP487-AS487)/AP487)</f>
        <v>0.68558574814814821</v>
      </c>
      <c r="AU487" s="1359">
        <f t="shared" si="165"/>
        <v>0.98171771338271607</v>
      </c>
    </row>
    <row r="488" spans="1:47" s="20" customFormat="1" hidden="1" x14ac:dyDescent="0.2">
      <c r="A488" s="101" t="s">
        <v>110</v>
      </c>
      <c r="B488" s="1322" t="s">
        <v>486</v>
      </c>
      <c r="C488" s="719" t="s">
        <v>1366</v>
      </c>
      <c r="D488" s="168"/>
      <c r="E488" s="115" t="s">
        <v>1363</v>
      </c>
      <c r="F488" s="115" t="s">
        <v>1364</v>
      </c>
      <c r="G488" s="101" t="s">
        <v>1365</v>
      </c>
      <c r="H488" s="101" t="s">
        <v>1367</v>
      </c>
      <c r="I488" s="101" t="s">
        <v>52</v>
      </c>
      <c r="J488" s="487" t="s">
        <v>53</v>
      </c>
      <c r="K488" s="101" t="s">
        <v>69</v>
      </c>
      <c r="L488" s="101" t="s">
        <v>70</v>
      </c>
      <c r="M488" s="299">
        <v>475</v>
      </c>
      <c r="N488" s="114"/>
      <c r="O488" s="101" t="s">
        <v>56</v>
      </c>
      <c r="P488" s="697">
        <v>26</v>
      </c>
      <c r="Q488" s="697">
        <v>26</v>
      </c>
      <c r="R488" s="697">
        <v>26</v>
      </c>
      <c r="S488" s="116">
        <v>26</v>
      </c>
      <c r="T488" s="116">
        <v>27</v>
      </c>
      <c r="U488" s="116">
        <v>27</v>
      </c>
      <c r="V488" s="106">
        <f t="shared" si="169"/>
        <v>34</v>
      </c>
      <c r="W488" s="106">
        <f t="shared" si="170"/>
        <v>34</v>
      </c>
      <c r="X488" s="137">
        <v>40</v>
      </c>
      <c r="Y488" s="101">
        <v>37</v>
      </c>
      <c r="Z488" s="101">
        <v>37</v>
      </c>
      <c r="AA488" s="649">
        <f t="shared" si="166"/>
        <v>8.0277777777777786</v>
      </c>
      <c r="AB488" s="184">
        <f t="shared" si="167"/>
        <v>168.90444444444447</v>
      </c>
      <c r="AC488" s="104">
        <f t="shared" si="168"/>
        <v>5.2983333333333338</v>
      </c>
      <c r="AD488" s="1066">
        <f>Table1[[#This Row],[Substrate SF]]*IncaC</f>
        <v>13.512355555555557</v>
      </c>
      <c r="AE488" s="406">
        <f>IF(Table1[[#This Row],[Work Center]]="SwissQ",Materials!G$37,IF(Table1[[#This Row],[Work Center]]="Inca",Materials!G$29,IF(Table1[[#This Row],[Work Center]]="Canon",Materials!G$49,Materials!G$45)))</f>
        <v>8</v>
      </c>
      <c r="AF488" s="102">
        <f>'Cali Frames'!D283</f>
        <v>110</v>
      </c>
      <c r="AG488" s="115"/>
      <c r="AH488" s="405">
        <f t="shared" si="156"/>
        <v>23.75</v>
      </c>
      <c r="AI488" s="405">
        <f>IF(A488="Codarus",(M488*0.13))</f>
        <v>61.75</v>
      </c>
      <c r="AJ488" s="104">
        <f>SUM(AC488:AI488)</f>
        <v>222.31068888888888</v>
      </c>
      <c r="AK488" s="108">
        <f t="shared" si="162"/>
        <v>0.53197749707602338</v>
      </c>
      <c r="AL488" s="660">
        <f>Table1[[#This Row],[WSP/Dealer]]/Table1[[#This Row],[OD Sq Inch]]</f>
        <v>0.65157750342935528</v>
      </c>
      <c r="AM488" s="399">
        <f>Table1[[#This Row],[OD Wdth]]*Table1[[#This Row],[OD Hgt]]</f>
        <v>729</v>
      </c>
      <c r="AN488" s="400">
        <f>Table1[[#This Row],[Min VO]]+Table1[[#This Row],[Max VO]]</f>
        <v>52</v>
      </c>
      <c r="AO488" s="115"/>
      <c r="AP488" s="121"/>
      <c r="AQ488" s="121">
        <f>(Table1[[#This Row],[Desgnr/Retail P]]*0.05)</f>
        <v>0</v>
      </c>
      <c r="AR488" s="121">
        <f>IF(A488="Codarus",(AP488*0.13))</f>
        <v>0</v>
      </c>
      <c r="AS488" s="121" t="e" cm="1">
        <f t="array" ref="AS488">SUM(AC488:AG488+AQ+AR)</f>
        <v>#NAME?</v>
      </c>
      <c r="AT488" s="104" t="e">
        <f>(AP488-AS488)/AP488</f>
        <v>#NAME?</v>
      </c>
      <c r="AU488" s="1359" t="str">
        <f t="shared" si="165"/>
        <v>-</v>
      </c>
    </row>
    <row r="489" spans="1:47" s="20" customFormat="1" hidden="1" x14ac:dyDescent="0.2">
      <c r="A489" s="101" t="s">
        <v>110</v>
      </c>
      <c r="B489" s="1062" t="s">
        <v>486</v>
      </c>
      <c r="C489" s="719" t="s">
        <v>1368</v>
      </c>
      <c r="D489" s="168"/>
      <c r="E489" s="115" t="s">
        <v>1363</v>
      </c>
      <c r="F489" s="115" t="s">
        <v>1364</v>
      </c>
      <c r="G489" s="101" t="s">
        <v>1365</v>
      </c>
      <c r="H489" s="101" t="s">
        <v>1369</v>
      </c>
      <c r="I489" s="101" t="s">
        <v>52</v>
      </c>
      <c r="J489" s="487" t="s">
        <v>53</v>
      </c>
      <c r="K489" s="101" t="s">
        <v>82</v>
      </c>
      <c r="L489" s="101" t="s">
        <v>83</v>
      </c>
      <c r="M489" s="299">
        <v>475</v>
      </c>
      <c r="N489" s="114"/>
      <c r="O489" s="101" t="s">
        <v>56</v>
      </c>
      <c r="P489" s="697">
        <v>26</v>
      </c>
      <c r="Q489" s="697">
        <v>26</v>
      </c>
      <c r="R489" s="697">
        <v>26</v>
      </c>
      <c r="S489" s="697">
        <v>26</v>
      </c>
      <c r="T489" s="116">
        <v>28</v>
      </c>
      <c r="U489" s="116">
        <v>28</v>
      </c>
      <c r="V489" s="608">
        <f t="shared" si="169"/>
        <v>34</v>
      </c>
      <c r="W489" s="608">
        <f t="shared" si="170"/>
        <v>34</v>
      </c>
      <c r="X489" s="137">
        <v>40</v>
      </c>
      <c r="Y489" s="101">
        <v>37</v>
      </c>
      <c r="Z489" s="101">
        <v>37</v>
      </c>
      <c r="AA489" s="649">
        <f t="shared" si="166"/>
        <v>8.0277777777777786</v>
      </c>
      <c r="AB489" s="184">
        <f t="shared" si="167"/>
        <v>168.90444444444447</v>
      </c>
      <c r="AC489" s="104">
        <f t="shared" si="168"/>
        <v>5.2983333333333338</v>
      </c>
      <c r="AD489" s="1066">
        <f>Table1[[#This Row],[Substrate SF]]*IncaC</f>
        <v>13.512355555555557</v>
      </c>
      <c r="AE489" s="406">
        <f>IF(Table1[[#This Row],[Work Center]]="SwissQ",Materials!G$37,IF(Table1[[#This Row],[Work Center]]="Inca",Materials!G$29,IF(Table1[[#This Row],[Work Center]]="Canon",Materials!G$49,Materials!G$45)))</f>
        <v>8</v>
      </c>
      <c r="AF489" s="102">
        <f>'Cali Frames'!D125</f>
        <v>110</v>
      </c>
      <c r="AG489" s="115"/>
      <c r="AH489" s="406">
        <f t="shared" si="156"/>
        <v>23.75</v>
      </c>
      <c r="AI489" s="406">
        <f>IF(A489="Codarus",(M489*0.13))</f>
        <v>61.75</v>
      </c>
      <c r="AJ489" s="104">
        <f>SUM(AC489:AI489)</f>
        <v>222.31068888888888</v>
      </c>
      <c r="AK489" s="830">
        <f t="shared" si="162"/>
        <v>0.53197749707602338</v>
      </c>
      <c r="AL489" s="660">
        <f>Table1[[#This Row],[WSP/Dealer]]/Table1[[#This Row],[OD Sq Inch]]</f>
        <v>0.60586734693877553</v>
      </c>
      <c r="AM489" s="399">
        <f>Table1[[#This Row],[OD Wdth]]*Table1[[#This Row],[OD Hgt]]</f>
        <v>784</v>
      </c>
      <c r="AN489" s="400">
        <f>Table1[[#This Row],[Min VO]]+Table1[[#This Row],[Max VO]]</f>
        <v>52</v>
      </c>
      <c r="AO489" s="115"/>
      <c r="AP489" s="121"/>
      <c r="AQ489" s="121">
        <f>(Table1[[#This Row],[Desgnr/Retail P]]*0.05)</f>
        <v>0</v>
      </c>
      <c r="AR489" s="121">
        <f>IF(A489="Codarus",(AP489*0.13))</f>
        <v>0</v>
      </c>
      <c r="AS489" s="121" t="e" cm="1">
        <f t="array" ref="AS489">SUM(AC489:AG489+AQ+AR)</f>
        <v>#NAME?</v>
      </c>
      <c r="AT489" s="104" t="e">
        <f>(AP489-AS489)/AP489</f>
        <v>#NAME?</v>
      </c>
      <c r="AU489" s="1359" t="str">
        <f t="shared" si="165"/>
        <v>-</v>
      </c>
    </row>
    <row r="490" spans="1:47" s="20" customFormat="1" hidden="1" x14ac:dyDescent="0.2">
      <c r="A490" s="101" t="s">
        <v>110</v>
      </c>
      <c r="B490" s="1062" t="s">
        <v>134</v>
      </c>
      <c r="C490" s="719" t="s">
        <v>1370</v>
      </c>
      <c r="D490" s="168"/>
      <c r="E490" s="115" t="s">
        <v>1371</v>
      </c>
      <c r="F490" s="115" t="s">
        <v>1364</v>
      </c>
      <c r="G490" s="101" t="s">
        <v>1365</v>
      </c>
      <c r="H490" s="101" t="s">
        <v>1365</v>
      </c>
      <c r="I490" s="101" t="s">
        <v>52</v>
      </c>
      <c r="J490" s="487" t="s">
        <v>53</v>
      </c>
      <c r="K490" s="101" t="s">
        <v>54</v>
      </c>
      <c r="L490" s="101" t="s">
        <v>55</v>
      </c>
      <c r="M490" s="299">
        <v>375</v>
      </c>
      <c r="N490" s="114"/>
      <c r="O490" s="101" t="s">
        <v>56</v>
      </c>
      <c r="P490" s="697">
        <v>26</v>
      </c>
      <c r="Q490" s="697">
        <v>26</v>
      </c>
      <c r="R490" s="697">
        <v>26</v>
      </c>
      <c r="S490" s="697">
        <v>26</v>
      </c>
      <c r="T490" s="116">
        <v>26</v>
      </c>
      <c r="U490" s="116">
        <v>26</v>
      </c>
      <c r="V490" s="608">
        <f t="shared" si="169"/>
        <v>34</v>
      </c>
      <c r="W490" s="608">
        <f t="shared" si="170"/>
        <v>34</v>
      </c>
      <c r="X490" s="137">
        <v>40</v>
      </c>
      <c r="Y490" s="101">
        <v>37</v>
      </c>
      <c r="Z490" s="101">
        <v>37</v>
      </c>
      <c r="AA490" s="649">
        <f t="shared" si="166"/>
        <v>8.0277777777777786</v>
      </c>
      <c r="AB490" s="184">
        <f t="shared" si="167"/>
        <v>168.90444444444447</v>
      </c>
      <c r="AC490" s="104">
        <f t="shared" si="168"/>
        <v>5.2983333333333338</v>
      </c>
      <c r="AD490" s="1066">
        <f>Table1[[#This Row],[Substrate SF]]*IncaC</f>
        <v>13.512355555555557</v>
      </c>
      <c r="AE490" s="406">
        <f>IF(Table1[[#This Row],[Work Center]]="SwissQ",Materials!G$37,IF(Table1[[#This Row],[Work Center]]="Inca",Materials!G$29,IF(Table1[[#This Row],[Work Center]]="Canon",Materials!G$49,Materials!G$45)))</f>
        <v>8</v>
      </c>
      <c r="AF490" s="102">
        <f>'Cali FPS'!C42</f>
        <v>74</v>
      </c>
      <c r="AG490" s="115"/>
      <c r="AH490" s="405">
        <f t="shared" si="156"/>
        <v>18.75</v>
      </c>
      <c r="AI490" s="405">
        <f>IF(A490="Codarus",(M490*0.13))</f>
        <v>48.75</v>
      </c>
      <c r="AJ490" s="104">
        <f>SUM(AC490:AI490)</f>
        <v>168.31068888888888</v>
      </c>
      <c r="AK490" s="108">
        <f t="shared" si="162"/>
        <v>0.55117149629629636</v>
      </c>
      <c r="AL490" s="660">
        <f>Table1[[#This Row],[WSP/Dealer]]/Table1[[#This Row],[OD Sq Inch]]</f>
        <v>0.55473372781065089</v>
      </c>
      <c r="AM490" s="399">
        <f>Table1[[#This Row],[OD Wdth]]*Table1[[#This Row],[OD Hgt]]</f>
        <v>676</v>
      </c>
      <c r="AN490" s="400">
        <f>Table1[[#This Row],[Min VO]]+Table1[[#This Row],[Max VO]]</f>
        <v>52</v>
      </c>
      <c r="AO490" s="113"/>
      <c r="AP490" s="121">
        <v>750</v>
      </c>
      <c r="AQ490" s="121">
        <f>(Table1[[#This Row],[Desgnr/Retail P]]*0.05)</f>
        <v>37.5</v>
      </c>
      <c r="AR490" s="121">
        <f>IF(A490="Codarus",(AP490*0.13))</f>
        <v>97.5</v>
      </c>
      <c r="AS490" s="121">
        <f>SUM(Table1[[#This Row],[Substrate $]:[GP FINISH]])+Table1[[#This Row],[Retail Royalty]]+Table1[[#This Row],[Retail$Comm]]</f>
        <v>235.81068888888888</v>
      </c>
      <c r="AT490" s="830">
        <f>IF(AP490=0,"-",(AP490-AS490)/AP490)</f>
        <v>0.68558574814814821</v>
      </c>
      <c r="AU490" s="1359">
        <f t="shared" si="165"/>
        <v>0.98171771338271607</v>
      </c>
    </row>
    <row r="491" spans="1:47" s="868" customFormat="1" hidden="1" x14ac:dyDescent="0.2">
      <c r="A491" s="101" t="s">
        <v>110</v>
      </c>
      <c r="B491" s="1062" t="s">
        <v>134</v>
      </c>
      <c r="C491" s="719" t="s">
        <v>1372</v>
      </c>
      <c r="D491" s="168"/>
      <c r="E491" s="115" t="s">
        <v>1373</v>
      </c>
      <c r="F491" s="115" t="s">
        <v>1364</v>
      </c>
      <c r="G491" s="101" t="s">
        <v>1365</v>
      </c>
      <c r="H491" s="101" t="s">
        <v>1365</v>
      </c>
      <c r="I491" s="101" t="s">
        <v>52</v>
      </c>
      <c r="J491" s="487" t="s">
        <v>53</v>
      </c>
      <c r="K491" s="101" t="s">
        <v>54</v>
      </c>
      <c r="L491" s="101" t="s">
        <v>55</v>
      </c>
      <c r="M491" s="299">
        <v>375</v>
      </c>
      <c r="N491" s="114"/>
      <c r="O491" s="101" t="s">
        <v>56</v>
      </c>
      <c r="P491" s="697">
        <v>26</v>
      </c>
      <c r="Q491" s="697">
        <v>26</v>
      </c>
      <c r="R491" s="697">
        <v>26</v>
      </c>
      <c r="S491" s="697">
        <v>26</v>
      </c>
      <c r="T491" s="697">
        <v>26</v>
      </c>
      <c r="U491" s="697">
        <v>26</v>
      </c>
      <c r="V491" s="608">
        <f t="shared" si="169"/>
        <v>34</v>
      </c>
      <c r="W491" s="608">
        <f t="shared" si="170"/>
        <v>34</v>
      </c>
      <c r="X491" s="137">
        <v>40</v>
      </c>
      <c r="Y491" s="101">
        <v>37</v>
      </c>
      <c r="Z491" s="101">
        <v>37</v>
      </c>
      <c r="AA491" s="649">
        <f t="shared" si="166"/>
        <v>8.0277777777777786</v>
      </c>
      <c r="AB491" s="184">
        <f t="shared" si="167"/>
        <v>168.90444444444447</v>
      </c>
      <c r="AC491" s="104">
        <f t="shared" si="168"/>
        <v>5.2983333333333338</v>
      </c>
      <c r="AD491" s="1066">
        <f>Table1[[#This Row],[Substrate SF]]*IncaC</f>
        <v>13.512355555555557</v>
      </c>
      <c r="AE491" s="406">
        <f>IF(Table1[[#This Row],[Work Center]]="SwissQ",Materials!G$37,IF(Table1[[#This Row],[Work Center]]="Inca",Materials!G$29,IF(Table1[[#This Row],[Work Center]]="Canon",Materials!G$49,Materials!G$45)))</f>
        <v>8</v>
      </c>
      <c r="AF491" s="102">
        <f>'Cali FPS'!C42</f>
        <v>74</v>
      </c>
      <c r="AG491" s="115"/>
      <c r="AH491" s="405">
        <f t="shared" si="156"/>
        <v>18.75</v>
      </c>
      <c r="AI491" s="405">
        <f>IF(A491="Codarus",(M491*0.13))</f>
        <v>48.75</v>
      </c>
      <c r="AJ491" s="104">
        <f>SUM(AC491:AI491)</f>
        <v>168.31068888888888</v>
      </c>
      <c r="AK491" s="108">
        <f t="shared" si="162"/>
        <v>0.55117149629629636</v>
      </c>
      <c r="AL491" s="660">
        <f>Table1[[#This Row],[WSP/Dealer]]/Table1[[#This Row],[OD Sq Inch]]</f>
        <v>0.55473372781065089</v>
      </c>
      <c r="AM491" s="399">
        <f>Table1[[#This Row],[OD Wdth]]*Table1[[#This Row],[OD Hgt]]</f>
        <v>676</v>
      </c>
      <c r="AN491" s="400">
        <f>Table1[[#This Row],[Min VO]]+Table1[[#This Row],[Max VO]]</f>
        <v>52</v>
      </c>
      <c r="AO491" s="115"/>
      <c r="AP491" s="121">
        <v>750</v>
      </c>
      <c r="AQ491" s="121">
        <f>(Table1[[#This Row],[Desgnr/Retail P]]*0.05)</f>
        <v>37.5</v>
      </c>
      <c r="AR491" s="121">
        <f>IF(A491="Codarus",(AP491*0.13))</f>
        <v>97.5</v>
      </c>
      <c r="AS491" s="121">
        <f>SUM(Table1[[#This Row],[Substrate $]:[GP FINISH]])+Table1[[#This Row],[Retail Royalty]]+Table1[[#This Row],[Retail$Comm]]</f>
        <v>235.81068888888888</v>
      </c>
      <c r="AT491" s="830">
        <f>IF(AP491=0,"-",(AP491-AS491)/AP491)</f>
        <v>0.68558574814814821</v>
      </c>
      <c r="AU491" s="1359">
        <f t="shared" si="165"/>
        <v>0.98171771338271607</v>
      </c>
    </row>
    <row r="492" spans="1:47" s="173" customFormat="1" hidden="1" x14ac:dyDescent="0.2">
      <c r="A492" s="68"/>
      <c r="B492" s="1061"/>
      <c r="C492" s="94" t="s">
        <v>1374</v>
      </c>
      <c r="D492" s="94"/>
      <c r="E492" s="84" t="s">
        <v>1375</v>
      </c>
      <c r="F492" s="84" t="s">
        <v>960</v>
      </c>
      <c r="G492" s="68" t="s">
        <v>935</v>
      </c>
      <c r="H492" s="68"/>
      <c r="I492" s="68" t="s">
        <v>304</v>
      </c>
      <c r="J492" s="68" t="s">
        <v>257</v>
      </c>
      <c r="K492" s="68" t="s">
        <v>258</v>
      </c>
      <c r="L492" s="68" t="s">
        <v>83</v>
      </c>
      <c r="M492" s="93"/>
      <c r="N492" s="71"/>
      <c r="O492" s="68"/>
      <c r="P492" s="68"/>
      <c r="Q492" s="68"/>
      <c r="R492" s="68"/>
      <c r="S492" s="68"/>
      <c r="T492" s="68"/>
      <c r="U492" s="68"/>
      <c r="V492" s="917"/>
      <c r="W492" s="917"/>
      <c r="X492" s="189"/>
      <c r="Y492" s="68"/>
      <c r="Z492" s="68"/>
      <c r="AA492" s="699"/>
      <c r="AB492" s="297"/>
      <c r="AC492" s="74"/>
      <c r="AD492" s="118"/>
      <c r="AE492" s="126"/>
      <c r="AF492" s="73"/>
      <c r="AG492" s="126"/>
      <c r="AH492" s="498">
        <f t="shared" si="156"/>
        <v>0</v>
      </c>
      <c r="AI492" s="498"/>
      <c r="AJ492" s="126"/>
      <c r="AK492" s="650" t="e">
        <f t="shared" si="162"/>
        <v>#DIV/0!</v>
      </c>
      <c r="AL492" s="225" t="e">
        <f>Table1[[#This Row],[WSP/Dealer]]/Table1[[#This Row],[OD Sq Inch]]</f>
        <v>#DIV/0!</v>
      </c>
      <c r="AM492" s="119"/>
      <c r="AN492" s="216">
        <f>Table1[[#This Row],[Min VO]]+Table1[[#This Row],[Max VO]]</f>
        <v>0</v>
      </c>
      <c r="AO492" s="84"/>
      <c r="AP492" s="84"/>
      <c r="AQ492" s="126"/>
      <c r="AR492" s="126"/>
      <c r="AS492" s="126"/>
      <c r="AT492" s="74"/>
      <c r="AU492" s="1357" t="str">
        <f t="shared" si="165"/>
        <v>-</v>
      </c>
    </row>
    <row r="493" spans="1:47" s="173" customFormat="1" hidden="1" x14ac:dyDescent="0.2">
      <c r="A493" s="60" t="s">
        <v>318</v>
      </c>
      <c r="B493" s="1071" t="s">
        <v>305</v>
      </c>
      <c r="C493" s="79" t="s">
        <v>1376</v>
      </c>
      <c r="D493" s="79"/>
      <c r="E493" s="83" t="s">
        <v>1377</v>
      </c>
      <c r="F493" s="83" t="s">
        <v>105</v>
      </c>
      <c r="G493" s="60" t="s">
        <v>519</v>
      </c>
      <c r="H493" s="60" t="s">
        <v>974</v>
      </c>
      <c r="I493" s="60" t="s">
        <v>256</v>
      </c>
      <c r="J493" s="59" t="s">
        <v>257</v>
      </c>
      <c r="K493" s="60" t="s">
        <v>82</v>
      </c>
      <c r="L493" s="60" t="s">
        <v>83</v>
      </c>
      <c r="M493" s="124">
        <v>275</v>
      </c>
      <c r="N493" s="124"/>
      <c r="O493" s="60" t="s">
        <v>260</v>
      </c>
      <c r="P493" s="60">
        <v>16</v>
      </c>
      <c r="Q493" s="60">
        <v>20</v>
      </c>
      <c r="R493" s="60">
        <v>16</v>
      </c>
      <c r="S493" s="60">
        <v>20</v>
      </c>
      <c r="T493" s="60">
        <v>18</v>
      </c>
      <c r="U493" s="60">
        <v>22</v>
      </c>
      <c r="V493" s="946">
        <f>IF(J493="Canvas",P493+Border,P493)</f>
        <v>16</v>
      </c>
      <c r="W493" s="946">
        <f>IF(J493="Canvas",Q493+Border,Q493)</f>
        <v>20</v>
      </c>
      <c r="X493" s="60">
        <v>44</v>
      </c>
      <c r="Y493" s="946">
        <v>16</v>
      </c>
      <c r="Z493" s="946">
        <v>20</v>
      </c>
      <c r="AA493" s="678">
        <f>V493*W493/144</f>
        <v>2.2222222222222223</v>
      </c>
      <c r="AB493" s="125">
        <f>AA493*canonML</f>
        <v>10.666666666666666</v>
      </c>
      <c r="AC493" s="69">
        <f>Table1[[#This Row],[Substrate SF]]*Paper</f>
        <v>3.0066666666666668</v>
      </c>
      <c r="AD493" s="48">
        <f>Table1[[#This Row],[Ink g/mL]]*CanonC</f>
        <v>2.88</v>
      </c>
      <c r="AE493" s="69">
        <f>IF(Table1[[#This Row],[Work Center]]="SwissQ",Materials!G$37,IF(Table1[[#This Row],[Work Center]]="Inca",Materials!G$29,IF(Table1[[#This Row],[Work Center]]="Canon",Materials!G$49,Materials!G$45)))</f>
        <v>7</v>
      </c>
      <c r="AF493" s="72">
        <f>'Cali Frames'!D113</f>
        <v>90.07</v>
      </c>
      <c r="AG493" s="540"/>
      <c r="AH493" s="176">
        <v>0</v>
      </c>
      <c r="AI493" s="176"/>
      <c r="AJ493" s="176">
        <f t="shared" ref="AJ493:AJ528" si="171">SUM(AC493:AH493)</f>
        <v>102.95666666666666</v>
      </c>
      <c r="AK493" s="1201">
        <f t="shared" si="162"/>
        <v>0.62561212121212129</v>
      </c>
      <c r="AL493" s="176">
        <f>Table1[[#This Row],[WSP/Dealer]]/Table1[[#This Row],[OD Sq Inch]]</f>
        <v>0.69444444444444442</v>
      </c>
      <c r="AM493" s="173">
        <f>Table1[[#This Row],[OD Wdth]]*Table1[[#This Row],[OD Hgt]]</f>
        <v>396</v>
      </c>
      <c r="AN493" s="180">
        <f>Table1[[#This Row],[Min VO]]+Table1[[#This Row],[Max VO]]</f>
        <v>36</v>
      </c>
      <c r="AO493" s="83"/>
      <c r="AP493" s="83"/>
      <c r="AQ493" s="540">
        <f>(Table1[[#This Row],[Desgnr/Retail P]]*0.05)</f>
        <v>0</v>
      </c>
      <c r="AR493" s="540" t="b">
        <f>IF(A493="Codarus",(AP493*0.13))</f>
        <v>0</v>
      </c>
      <c r="AS493" s="540" t="e" cm="1">
        <f t="array" ref="AS493">SUM(AC493:AG493+AQ+AR)</f>
        <v>#NAME?</v>
      </c>
      <c r="AT493" s="69" t="e">
        <f>(AP493-AS493)/AP493</f>
        <v>#NAME?</v>
      </c>
      <c r="AU493" s="1361" t="str">
        <f t="shared" si="165"/>
        <v>-</v>
      </c>
    </row>
    <row r="494" spans="1:47" s="159" customFormat="1" hidden="1" x14ac:dyDescent="0.2">
      <c r="A494" s="60" t="s">
        <v>318</v>
      </c>
      <c r="B494" s="1071" t="s">
        <v>305</v>
      </c>
      <c r="C494" s="79" t="s">
        <v>1378</v>
      </c>
      <c r="D494" s="79"/>
      <c r="E494" s="83" t="s">
        <v>1377</v>
      </c>
      <c r="F494" s="83" t="s">
        <v>105</v>
      </c>
      <c r="G494" s="60" t="s">
        <v>519</v>
      </c>
      <c r="H494" s="60" t="s">
        <v>517</v>
      </c>
      <c r="I494" s="60" t="s">
        <v>256</v>
      </c>
      <c r="J494" s="59" t="s">
        <v>257</v>
      </c>
      <c r="K494" s="60" t="s">
        <v>1379</v>
      </c>
      <c r="L494" s="60" t="s">
        <v>1089</v>
      </c>
      <c r="M494" s="124">
        <v>400</v>
      </c>
      <c r="N494" s="124"/>
      <c r="O494" s="60" t="s">
        <v>260</v>
      </c>
      <c r="P494" s="273">
        <v>16</v>
      </c>
      <c r="Q494" s="273">
        <v>20</v>
      </c>
      <c r="R494" s="60">
        <v>16</v>
      </c>
      <c r="S494" s="273">
        <v>20</v>
      </c>
      <c r="T494" s="61">
        <v>19</v>
      </c>
      <c r="U494" s="61">
        <v>23</v>
      </c>
      <c r="V494" s="47">
        <f>IF(J494="Canvas",P494+Border,P494)</f>
        <v>16</v>
      </c>
      <c r="W494" s="47">
        <f>IF(J494="Canvas",Q494+Border,Q494)</f>
        <v>20</v>
      </c>
      <c r="X494" s="60">
        <v>44</v>
      </c>
      <c r="Y494" s="946">
        <v>16</v>
      </c>
      <c r="Z494" s="946">
        <v>20</v>
      </c>
      <c r="AA494" s="678">
        <f>V494*W494/144</f>
        <v>2.2222222222222223</v>
      </c>
      <c r="AB494" s="125">
        <f>AA494*canonML</f>
        <v>10.666666666666666</v>
      </c>
      <c r="AC494" s="69">
        <f>Table1[[#This Row],[Substrate SF]]*Paper</f>
        <v>3.0066666666666668</v>
      </c>
      <c r="AD494" s="48">
        <f>Table1[[#This Row],[Ink g/mL]]*CanonC</f>
        <v>2.88</v>
      </c>
      <c r="AE494" s="69">
        <f>IF(Table1[[#This Row],[Work Center]]="SwissQ",Materials!G$37,IF(Table1[[#This Row],[Work Center]]="Inca",Materials!G$29,IF(Table1[[#This Row],[Work Center]]="Canon",Materials!G$49,Materials!G$45)))</f>
        <v>7</v>
      </c>
      <c r="AF494" s="72">
        <f>'Cali Frames'!D194</f>
        <v>157</v>
      </c>
      <c r="AG494" s="540"/>
      <c r="AH494" s="175">
        <v>0</v>
      </c>
      <c r="AI494" s="175"/>
      <c r="AJ494" s="176">
        <f t="shared" si="171"/>
        <v>169.88666666666666</v>
      </c>
      <c r="AK494" s="676">
        <f t="shared" si="162"/>
        <v>0.57528333333333337</v>
      </c>
      <c r="AL494" s="176">
        <f>Table1[[#This Row],[WSP/Dealer]]/Table1[[#This Row],[OD Sq Inch]]</f>
        <v>0.91533180778032042</v>
      </c>
      <c r="AM494" s="173">
        <f>Table1[[#This Row],[OD Wdth]]*Table1[[#This Row],[OD Hgt]]</f>
        <v>437</v>
      </c>
      <c r="AN494" s="180">
        <f>Table1[[#This Row],[Min VO]]+Table1[[#This Row],[Max VO]]</f>
        <v>36</v>
      </c>
      <c r="AO494" s="83"/>
      <c r="AP494" s="83"/>
      <c r="AQ494" s="540">
        <f>(Table1[[#This Row],[Desgnr/Retail P]]*0.05)</f>
        <v>0</v>
      </c>
      <c r="AR494" s="540" t="b">
        <f>IF(A494="Codarus",(AP494*0.13))</f>
        <v>0</v>
      </c>
      <c r="AS494" s="540" t="e" cm="1">
        <f t="array" ref="AS494">SUM(AC494:AG494+AQ+AR)</f>
        <v>#NAME?</v>
      </c>
      <c r="AT494" s="69" t="e">
        <f>(AP494-AS494)/AP494</f>
        <v>#NAME?</v>
      </c>
      <c r="AU494" s="1361" t="str">
        <f t="shared" si="165"/>
        <v>-</v>
      </c>
    </row>
    <row r="495" spans="1:47" s="159" customFormat="1" hidden="1" x14ac:dyDescent="0.2">
      <c r="A495" s="68" t="s">
        <v>101</v>
      </c>
      <c r="B495" s="1072" t="s">
        <v>102</v>
      </c>
      <c r="C495" s="94" t="s">
        <v>1380</v>
      </c>
      <c r="D495" s="94"/>
      <c r="E495" s="84" t="s">
        <v>1381</v>
      </c>
      <c r="F495" s="84" t="s">
        <v>105</v>
      </c>
      <c r="G495" s="68" t="s">
        <v>1382</v>
      </c>
      <c r="H495" s="68" t="s">
        <v>350</v>
      </c>
      <c r="I495" s="68" t="s">
        <v>256</v>
      </c>
      <c r="J495" s="140" t="s">
        <v>257</v>
      </c>
      <c r="K495" s="68" t="s">
        <v>1315</v>
      </c>
      <c r="L495" s="68" t="s">
        <v>259</v>
      </c>
      <c r="M495" s="141">
        <v>168</v>
      </c>
      <c r="N495" s="93"/>
      <c r="O495" s="68" t="s">
        <v>260</v>
      </c>
      <c r="P495" s="68">
        <v>7</v>
      </c>
      <c r="Q495" s="68">
        <v>11</v>
      </c>
      <c r="R495" s="68">
        <v>7</v>
      </c>
      <c r="S495" s="68">
        <v>11</v>
      </c>
      <c r="T495" s="68">
        <v>12</v>
      </c>
      <c r="U495" s="68">
        <v>16</v>
      </c>
      <c r="V495" s="66">
        <f>IF(J495="Canvas",P495+Border,P495)</f>
        <v>7</v>
      </c>
      <c r="W495" s="66">
        <f>IF(J495="Canvas",Q495+Border,Q495)</f>
        <v>11</v>
      </c>
      <c r="X495" s="68" t="s">
        <v>257</v>
      </c>
      <c r="Y495" s="1347">
        <f>Table1[[#This Row],[Print Wth]]+Materials!$C$7</f>
        <v>9</v>
      </c>
      <c r="Z495" s="1347">
        <f>Table1[[#This Row],[Print Ht]]+Materials!$C$7</f>
        <v>13</v>
      </c>
      <c r="AA495" s="1027">
        <f>(Table1[[#This Row],[Cut Width]]*Table1[[#This Row],[Cut Height]])/144</f>
        <v>0.8125</v>
      </c>
      <c r="AB495" s="297">
        <f>(Table1[[#This Row],[Print Wth]]*Table1[[#This Row],[Print Ht]])/144*canonML</f>
        <v>2.5666666666666664</v>
      </c>
      <c r="AC495" s="74">
        <f>Table1[[#This Row],[Substrate SF]]*Paper</f>
        <v>1.0993124999999999</v>
      </c>
      <c r="AD495" s="67">
        <f>(Table1[[#This Row],[Print Wth]]*Table1[[#This Row],[Print Ht]])/144*CanonC</f>
        <v>0.144375</v>
      </c>
      <c r="AE495" s="74">
        <f>IF(Table1[[#This Row],[Work Center]]="SwissQ",Materials!G$37,IF(Table1[[#This Row],[Work Center]]="Inca",Materials!G$29,IF(Table1[[#This Row],[Work Center]]="Canon",Materials!G$49,Materials!G$45)))</f>
        <v>7</v>
      </c>
      <c r="AF495" s="73">
        <f>'Cali Frames'!D87</f>
        <v>75.650000000000006</v>
      </c>
      <c r="AG495" s="126"/>
      <c r="AH495" s="278">
        <v>0</v>
      </c>
      <c r="AI495" s="278"/>
      <c r="AJ495" s="278">
        <f t="shared" si="171"/>
        <v>83.893687499999999</v>
      </c>
      <c r="AK495" s="1192">
        <f t="shared" si="162"/>
        <v>0.50063281250000002</v>
      </c>
      <c r="AL495" s="278">
        <f>Table1[[#This Row],[WSP/Dealer]]/Table1[[#This Row],[OD Sq Inch]]</f>
        <v>0.875</v>
      </c>
      <c r="AM495" s="170">
        <f>Table1[[#This Row],[OD Wdth]]*Table1[[#This Row],[OD Hgt]]</f>
        <v>192</v>
      </c>
      <c r="AN495" s="274">
        <f>Table1[[#This Row],[Min VO]]+Table1[[#This Row],[Max VO]]</f>
        <v>18</v>
      </c>
      <c r="AO495" s="84"/>
      <c r="AP495" s="84"/>
      <c r="AQ495" s="126"/>
      <c r="AR495" s="126"/>
      <c r="AS495" s="126"/>
      <c r="AT495" s="74"/>
      <c r="AU495" s="1357" t="str">
        <f t="shared" si="165"/>
        <v>-</v>
      </c>
    </row>
    <row r="496" spans="1:47" s="159" customFormat="1" hidden="1" x14ac:dyDescent="0.2">
      <c r="A496" s="400" t="s">
        <v>95</v>
      </c>
      <c r="B496" s="1061" t="s">
        <v>96</v>
      </c>
      <c r="C496" s="168" t="s">
        <v>1383</v>
      </c>
      <c r="D496" s="94"/>
      <c r="E496" s="169" t="s">
        <v>1384</v>
      </c>
      <c r="F496" s="169" t="s">
        <v>99</v>
      </c>
      <c r="G496" s="101" t="s">
        <v>370</v>
      </c>
      <c r="H496" s="101" t="s">
        <v>371</v>
      </c>
      <c r="I496" s="101" t="s">
        <v>52</v>
      </c>
      <c r="J496" s="487" t="s">
        <v>53</v>
      </c>
      <c r="K496" s="101" t="s">
        <v>69</v>
      </c>
      <c r="L496" s="101" t="s">
        <v>326</v>
      </c>
      <c r="M496" s="299">
        <v>650</v>
      </c>
      <c r="N496" s="102"/>
      <c r="O496" s="101" t="s">
        <v>64</v>
      </c>
      <c r="P496" s="697">
        <v>40</v>
      </c>
      <c r="Q496" s="697">
        <v>30</v>
      </c>
      <c r="R496" s="101">
        <v>30</v>
      </c>
      <c r="S496" s="697">
        <v>40</v>
      </c>
      <c r="T496" s="697">
        <v>41</v>
      </c>
      <c r="U496" s="697">
        <v>31</v>
      </c>
      <c r="V496" s="608">
        <f>IF(J496="Canvas",P496+Border,P496)</f>
        <v>48</v>
      </c>
      <c r="W496" s="608">
        <f>IF(J496="Canvas",Q496+Border,Q496)</f>
        <v>38</v>
      </c>
      <c r="X496" s="137">
        <v>40</v>
      </c>
      <c r="Y496" s="101">
        <v>48</v>
      </c>
      <c r="Z496" s="101">
        <v>38</v>
      </c>
      <c r="AA496" s="649">
        <f t="shared" ref="AA496:AA526" si="172">V496*W496/144</f>
        <v>12.666666666666666</v>
      </c>
      <c r="AB496" s="184">
        <f>AA496*Swiss1</f>
        <v>358.46666666666664</v>
      </c>
      <c r="AC496" s="104">
        <f>AA496*Canvas</f>
        <v>8.36</v>
      </c>
      <c r="AD496" s="107">
        <f>Table1[[#This Row],[Substrate SF]]*Materials!C$37</f>
        <v>35.466666666666661</v>
      </c>
      <c r="AE496" s="104">
        <f>IF(Table1[[#This Row],[Work Center]]="SwissQ",Materials!G$37,IF(Table1[[#This Row],[Work Center]]="Inca",Materials!G$29,IF(Table1[[#This Row],[Work Center]]="Canon",Materials!G$49,Materials!G$45)))</f>
        <v>20</v>
      </c>
      <c r="AF496" s="102">
        <f>'Cali Frames'!D363</f>
        <v>149.41999999999999</v>
      </c>
      <c r="AG496" s="115"/>
      <c r="AH496" s="104">
        <f t="shared" ref="AH496:AH525" si="173">(M496*0.05)</f>
        <v>32.5</v>
      </c>
      <c r="AI496" s="104"/>
      <c r="AJ496" s="104">
        <f t="shared" si="171"/>
        <v>245.74666666666664</v>
      </c>
      <c r="AK496" s="830">
        <f t="shared" si="162"/>
        <v>0.62192820512820512</v>
      </c>
      <c r="AL496" s="660">
        <f>Table1[[#This Row],[WSP/Dealer]]/Table1[[#This Row],[OD Sq Inch]]</f>
        <v>0.51140833988985046</v>
      </c>
      <c r="AM496" s="266">
        <f>Table1[[#This Row],[OD Wdth]]*Table1[[#This Row],[OD Hgt]]</f>
        <v>1271</v>
      </c>
      <c r="AN496" s="266">
        <f>Table1[[#This Row],[Min VO]]+Table1[[#This Row],[Max VO]]</f>
        <v>70</v>
      </c>
      <c r="AO496" s="115"/>
      <c r="AP496" s="115"/>
      <c r="AQ496" s="121"/>
      <c r="AR496" s="121"/>
      <c r="AS496" s="121"/>
      <c r="AT496" s="104"/>
      <c r="AU496" s="1359" t="str">
        <f t="shared" si="165"/>
        <v>-</v>
      </c>
    </row>
    <row r="497" spans="1:47" s="170" customFormat="1" x14ac:dyDescent="0.2">
      <c r="A497" s="145" t="s">
        <v>58</v>
      </c>
      <c r="B497" s="1061" t="s">
        <v>533</v>
      </c>
      <c r="C497" s="146" t="s">
        <v>1385</v>
      </c>
      <c r="D497" s="94" t="s">
        <v>1386</v>
      </c>
      <c r="E497" s="146" t="s">
        <v>1384</v>
      </c>
      <c r="F497" s="154" t="s">
        <v>99</v>
      </c>
      <c r="G497" s="145" t="s">
        <v>1387</v>
      </c>
      <c r="H497" s="145" t="s">
        <v>1387</v>
      </c>
      <c r="I497" s="145" t="s">
        <v>52</v>
      </c>
      <c r="J497" s="145" t="s">
        <v>53</v>
      </c>
      <c r="K497" s="145" t="s">
        <v>54</v>
      </c>
      <c r="L497" s="145" t="s">
        <v>55</v>
      </c>
      <c r="M497" s="148">
        <v>560</v>
      </c>
      <c r="N497" s="639">
        <v>560</v>
      </c>
      <c r="O497" s="145" t="s">
        <v>56</v>
      </c>
      <c r="P497" s="145">
        <v>40</v>
      </c>
      <c r="Q497" s="145">
        <v>30</v>
      </c>
      <c r="R497" s="145">
        <v>30</v>
      </c>
      <c r="S497" s="145">
        <v>40</v>
      </c>
      <c r="T497" s="698">
        <f>Table1[[#This Row],[VO Wdth]]</f>
        <v>40</v>
      </c>
      <c r="U497" s="698">
        <f>Table1[[#This Row],[VO Hgt]]</f>
        <v>30</v>
      </c>
      <c r="V497" s="913">
        <f>IF(J497="Canvas",P497+Border,P497)</f>
        <v>48</v>
      </c>
      <c r="W497" s="913">
        <f>IF(J497="Canvas",Q497+Border,Q497)</f>
        <v>38</v>
      </c>
      <c r="X497" s="157" t="s">
        <v>57</v>
      </c>
      <c r="Y497" s="145">
        <v>38</v>
      </c>
      <c r="Z497" s="145">
        <v>96</v>
      </c>
      <c r="AA497" s="722">
        <f t="shared" si="172"/>
        <v>12.666666666666666</v>
      </c>
      <c r="AB497" s="389">
        <f t="shared" ref="AB497:AB509" si="174">AA497*IncaG</f>
        <v>266.50666666666666</v>
      </c>
      <c r="AC497" s="143">
        <f>Table1[[#This Row],[Substrate SF]]*Paper</f>
        <v>17.137999999999998</v>
      </c>
      <c r="AD497" s="143">
        <f>AA497*IncaC</f>
        <v>21.320533333333334</v>
      </c>
      <c r="AE497" s="104">
        <f>IF(Table1[[#This Row],[Work Center]]="SwissQ",Materials!G$37,IF(Table1[[#This Row],[Work Center]]="Inca",Materials!G$29,IF(Table1[[#This Row],[Work Center]]="Canon",Materials!G$49,Materials!G$45)))</f>
        <v>8</v>
      </c>
      <c r="AF497" s="143">
        <f>'Cali FPS'!C$48</f>
        <v>76.3</v>
      </c>
      <c r="AG497" s="115"/>
      <c r="AH497" s="112">
        <f t="shared" si="173"/>
        <v>28</v>
      </c>
      <c r="AI497" s="112"/>
      <c r="AJ497" s="143">
        <f t="shared" si="171"/>
        <v>150.75853333333333</v>
      </c>
      <c r="AK497" s="62">
        <f t="shared" si="162"/>
        <v>0.73078833333333337</v>
      </c>
      <c r="AL497" s="225">
        <f>Table1[[#This Row],[WSP/Dealer]]/Table1[[#This Row],[OD Sq Inch]]</f>
        <v>0.46666666666666667</v>
      </c>
      <c r="AM497" s="101">
        <f>Table1[[#This Row],[OD Wdth]]*Table1[[#This Row],[OD Hgt]]</f>
        <v>1200</v>
      </c>
      <c r="AN497" s="216">
        <f>Table1[[#This Row],[Min VO]]+Table1[[#This Row],[Max VO]]</f>
        <v>70</v>
      </c>
      <c r="AO497" s="145"/>
      <c r="AP497" s="145"/>
      <c r="AQ497" s="143"/>
      <c r="AR497" s="143"/>
      <c r="AS497" s="143"/>
      <c r="AT497" s="143"/>
      <c r="AU497" s="1371" t="str">
        <f t="shared" si="165"/>
        <v>-</v>
      </c>
    </row>
    <row r="498" spans="1:47" s="170" customFormat="1" hidden="1" x14ac:dyDescent="0.2">
      <c r="A498" s="274" t="s">
        <v>110</v>
      </c>
      <c r="B498" s="279" t="s">
        <v>486</v>
      </c>
      <c r="C498" s="317" t="s">
        <v>1388</v>
      </c>
      <c r="D498" s="317"/>
      <c r="E498" s="375" t="s">
        <v>1389</v>
      </c>
      <c r="F498" s="375" t="s">
        <v>634</v>
      </c>
      <c r="G498" s="274" t="s">
        <v>637</v>
      </c>
      <c r="H498" s="274" t="s">
        <v>637</v>
      </c>
      <c r="I498" s="274" t="s">
        <v>108</v>
      </c>
      <c r="J498" s="344" t="s">
        <v>53</v>
      </c>
      <c r="K498" s="274" t="s">
        <v>54</v>
      </c>
      <c r="L498" s="274" t="s">
        <v>55</v>
      </c>
      <c r="M498" s="318">
        <v>800</v>
      </c>
      <c r="N498" s="318"/>
      <c r="O498" s="274" t="s">
        <v>56</v>
      </c>
      <c r="P498" s="274">
        <v>60</v>
      </c>
      <c r="Q498" s="274">
        <v>48</v>
      </c>
      <c r="R498" s="274">
        <v>48</v>
      </c>
      <c r="S498" s="274">
        <v>60</v>
      </c>
      <c r="T498" s="783">
        <v>60</v>
      </c>
      <c r="U498" s="783">
        <v>48</v>
      </c>
      <c r="V498" s="917">
        <f t="shared" ref="V498:V506" si="175">IF(J498="Canvas",P498+BorderGW,P498)</f>
        <v>68</v>
      </c>
      <c r="W498" s="917">
        <f t="shared" ref="W498:W506" si="176">IF(J498="Canvas",Q498+BorderGW,Q498)</f>
        <v>56</v>
      </c>
      <c r="X498" s="274">
        <v>69</v>
      </c>
      <c r="Y498" s="274">
        <v>68</v>
      </c>
      <c r="Z498" s="274">
        <v>56</v>
      </c>
      <c r="AA498" s="727">
        <f t="shared" si="172"/>
        <v>26.444444444444443</v>
      </c>
      <c r="AB498" s="341">
        <f t="shared" si="174"/>
        <v>556.39111111111106</v>
      </c>
      <c r="AC498" s="278">
        <f>Table1[[#This Row],[Substrate SF]]*Paper</f>
        <v>35.779333333333334</v>
      </c>
      <c r="AD498" s="278">
        <f>AA498*IncaC</f>
        <v>44.511288888888885</v>
      </c>
      <c r="AE498" s="278">
        <f>IF(Table1[[#This Row],[Work Center]]="SwissQ",Materials!G$37,IF(Table1[[#This Row],[Work Center]]="Inca",Materials!G$29,IF(Table1[[#This Row],[Work Center]]="Canon",Materials!G$49,Materials!G$45)))</f>
        <v>8</v>
      </c>
      <c r="AF498" s="321">
        <f>'Cali FPS'!C121</f>
        <v>188.18</v>
      </c>
      <c r="AG498" s="275"/>
      <c r="AH498" s="263">
        <f t="shared" si="173"/>
        <v>40</v>
      </c>
      <c r="AI498" s="67">
        <f>IF(A498="Codarus",(M498*0.13))</f>
        <v>104</v>
      </c>
      <c r="AJ498" s="278">
        <f t="shared" si="171"/>
        <v>316.47062222222223</v>
      </c>
      <c r="AK498" s="688">
        <f t="shared" si="162"/>
        <v>0.60441172222222217</v>
      </c>
      <c r="AL498" s="278">
        <f>Table1[[#This Row],[WSP/Dealer]]/Table1[[#This Row],[OD Sq Inch]]</f>
        <v>0.27777777777777779</v>
      </c>
      <c r="AM498" s="274">
        <f>Table1[[#This Row],[OD Wdth]]*Table1[[#This Row],[OD Hgt]]</f>
        <v>2880</v>
      </c>
      <c r="AN498" s="274">
        <f>Table1[[#This Row],[Min VO]]+Table1[[#This Row],[Max VO]]</f>
        <v>108</v>
      </c>
      <c r="AO498" s="275"/>
      <c r="AP498" s="1214">
        <v>1600</v>
      </c>
      <c r="AQ498" s="320">
        <f>(Table1[[#This Row],[Desgnr/Retail P]]*0.05)</f>
        <v>80</v>
      </c>
      <c r="AR498" s="320">
        <f>IF(A498="Codarus",(AP498*0.13))</f>
        <v>208</v>
      </c>
      <c r="AS498" s="320">
        <f>SUM(Table1[[#This Row],[Substrate $]:[GP FINISH]])+Table1[[#This Row],[Retail Royalty]]+Table1[[#This Row],[Retail$Comm]]</f>
        <v>564.47062222222223</v>
      </c>
      <c r="AT498" s="1192">
        <f>IF(AP498=0,"-",(AP498-AS498)/AP498)</f>
        <v>0.64720586111111122</v>
      </c>
      <c r="AU498" s="1368">
        <f t="shared" si="165"/>
        <v>0.991909926736111</v>
      </c>
    </row>
    <row r="499" spans="1:47" s="144" customFormat="1" hidden="1" x14ac:dyDescent="0.2">
      <c r="A499" s="274" t="s">
        <v>110</v>
      </c>
      <c r="B499" s="1061" t="s">
        <v>486</v>
      </c>
      <c r="C499" s="317" t="s">
        <v>1390</v>
      </c>
      <c r="D499" s="317"/>
      <c r="E499" s="375" t="s">
        <v>1391</v>
      </c>
      <c r="F499" s="375" t="s">
        <v>634</v>
      </c>
      <c r="G499" s="274" t="s">
        <v>693</v>
      </c>
      <c r="H499" s="274" t="s">
        <v>693</v>
      </c>
      <c r="I499" s="274" t="s">
        <v>52</v>
      </c>
      <c r="J499" s="344" t="s">
        <v>53</v>
      </c>
      <c r="K499" s="274" t="s">
        <v>54</v>
      </c>
      <c r="L499" s="274" t="s">
        <v>55</v>
      </c>
      <c r="M499" s="318">
        <v>250</v>
      </c>
      <c r="N499" s="318"/>
      <c r="O499" s="274" t="s">
        <v>56</v>
      </c>
      <c r="P499" s="274">
        <v>12</v>
      </c>
      <c r="Q499" s="274">
        <v>12</v>
      </c>
      <c r="R499" s="274">
        <v>12</v>
      </c>
      <c r="S499" s="274">
        <v>12</v>
      </c>
      <c r="T499" s="783">
        <v>12</v>
      </c>
      <c r="U499" s="783">
        <v>12</v>
      </c>
      <c r="V499" s="66">
        <f t="shared" si="175"/>
        <v>20</v>
      </c>
      <c r="W499" s="66">
        <f t="shared" si="176"/>
        <v>20</v>
      </c>
      <c r="X499" s="274">
        <v>40</v>
      </c>
      <c r="Y499" s="274">
        <v>20</v>
      </c>
      <c r="Z499" s="274">
        <v>20</v>
      </c>
      <c r="AA499" s="727">
        <f t="shared" si="172"/>
        <v>2.7777777777777777</v>
      </c>
      <c r="AB499" s="341">
        <f t="shared" si="174"/>
        <v>58.444444444444443</v>
      </c>
      <c r="AC499" s="278">
        <f>Table1[[#This Row],[Substrate SF]]*Paper</f>
        <v>3.7583333333333333</v>
      </c>
      <c r="AD499" s="263">
        <f>AA499*IncaC</f>
        <v>4.6755555555555555</v>
      </c>
      <c r="AE499" s="278">
        <f>IF(Table1[[#This Row],[Work Center]]="SwissQ",Materials!G$37,IF(Table1[[#This Row],[Work Center]]="Inca",Materials!G$29,IF(Table1[[#This Row],[Work Center]]="Canon",Materials!G$49,Materials!G$45)))</f>
        <v>8</v>
      </c>
      <c r="AF499" s="321">
        <f>'Cali FPS'!C10</f>
        <v>58.77</v>
      </c>
      <c r="AG499" s="275"/>
      <c r="AH499" s="263">
        <f t="shared" si="173"/>
        <v>12.5</v>
      </c>
      <c r="AI499" s="67">
        <f>IF(A499="Codarus",(M499*0.13))</f>
        <v>32.5</v>
      </c>
      <c r="AJ499" s="278">
        <f t="shared" si="171"/>
        <v>87.703888888888883</v>
      </c>
      <c r="AK499" s="688">
        <f t="shared" si="162"/>
        <v>0.64918444444444445</v>
      </c>
      <c r="AL499" s="278">
        <f>Table1[[#This Row],[WSP/Dealer]]/Table1[[#This Row],[OD Sq Inch]]</f>
        <v>1.7361111111111112</v>
      </c>
      <c r="AM499" s="170">
        <f>Table1[[#This Row],[OD Wdth]]*Table1[[#This Row],[OD Hgt]]</f>
        <v>144</v>
      </c>
      <c r="AN499" s="274">
        <f>Table1[[#This Row],[Min VO]]+Table1[[#This Row],[Max VO]]</f>
        <v>24</v>
      </c>
      <c r="AO499" s="275"/>
      <c r="AP499" s="275">
        <v>500</v>
      </c>
      <c r="AQ499" s="278">
        <f>(Table1[[#This Row],[Desgnr/Retail P]]*0.05)</f>
        <v>25</v>
      </c>
      <c r="AR499" s="278">
        <f>IF(A499="Codarus",(AP499*0.13))</f>
        <v>65</v>
      </c>
      <c r="AS499" s="320">
        <f>SUM(Table1[[#This Row],[Substrate $]:[GP FINISH]])+Table1[[#This Row],[Retail Royalty]]+Table1[[#This Row],[Retail$Comm]]</f>
        <v>165.20388888888888</v>
      </c>
      <c r="AT499" s="1192">
        <f>IF(AP499=0,"-",(AP499-AS499)/AP499)</f>
        <v>0.66959222222222226</v>
      </c>
      <c r="AU499" s="1368">
        <f t="shared" si="165"/>
        <v>0.97321631111111118</v>
      </c>
    </row>
    <row r="500" spans="1:47" s="228" customFormat="1" x14ac:dyDescent="0.2">
      <c r="A500" s="86" t="s">
        <v>58</v>
      </c>
      <c r="B500" s="1061" t="s">
        <v>740</v>
      </c>
      <c r="C500" s="100" t="s">
        <v>1392</v>
      </c>
      <c r="D500" s="94"/>
      <c r="E500" s="85" t="s">
        <v>1393</v>
      </c>
      <c r="F500" s="85" t="s">
        <v>737</v>
      </c>
      <c r="G500" s="86" t="s">
        <v>1394</v>
      </c>
      <c r="H500" s="86" t="s">
        <v>132</v>
      </c>
      <c r="I500" s="86" t="s">
        <v>52</v>
      </c>
      <c r="J500" s="86" t="s">
        <v>53</v>
      </c>
      <c r="K500" s="86" t="s">
        <v>69</v>
      </c>
      <c r="L500" s="86" t="s">
        <v>70</v>
      </c>
      <c r="M500" s="87">
        <v>850</v>
      </c>
      <c r="N500" s="639">
        <v>800</v>
      </c>
      <c r="O500" s="101" t="s">
        <v>56</v>
      </c>
      <c r="P500" s="103">
        <v>35</v>
      </c>
      <c r="Q500" s="103">
        <v>47</v>
      </c>
      <c r="R500" s="101">
        <v>35</v>
      </c>
      <c r="S500" s="116">
        <v>47</v>
      </c>
      <c r="T500" s="697">
        <v>35</v>
      </c>
      <c r="U500" s="697">
        <v>47</v>
      </c>
      <c r="V500" s="106">
        <f t="shared" si="175"/>
        <v>43</v>
      </c>
      <c r="W500" s="106">
        <f t="shared" si="176"/>
        <v>55</v>
      </c>
      <c r="X500" s="137">
        <v>59</v>
      </c>
      <c r="Y500" s="103"/>
      <c r="Z500" s="103"/>
      <c r="AA500" s="649">
        <f t="shared" si="172"/>
        <v>16.423611111111111</v>
      </c>
      <c r="AB500" s="184">
        <f t="shared" si="174"/>
        <v>345.55277777777775</v>
      </c>
      <c r="AC500" s="104">
        <f t="shared" ref="AC500:AC509" si="177">AA500*Canvas</f>
        <v>10.839583333333334</v>
      </c>
      <c r="AD500" s="107">
        <f>Table1[[#This Row],[Substrate SF]]*IncaC</f>
        <v>27.644222222222222</v>
      </c>
      <c r="AE500" s="104">
        <f>IF(Table1[[#This Row],[Work Center]]="SwissQ",Materials!G$37,IF(Table1[[#This Row],[Work Center]]="Inca",Materials!G$29,IF(Table1[[#This Row],[Work Center]]="Canon",Materials!G$49,Materials!G$45)))</f>
        <v>8</v>
      </c>
      <c r="AF500" s="104">
        <f>'Cali Frames'!D$296</f>
        <v>154.17500000000001</v>
      </c>
      <c r="AG500" s="115"/>
      <c r="AH500" s="112">
        <f t="shared" si="173"/>
        <v>42.5</v>
      </c>
      <c r="AI500" s="112"/>
      <c r="AJ500" s="107">
        <f t="shared" si="171"/>
        <v>243.15880555555557</v>
      </c>
      <c r="AK500" s="62">
        <f t="shared" si="162"/>
        <v>0.71393081699346406</v>
      </c>
      <c r="AL500" s="225">
        <f>Table1[[#This Row],[WSP/Dealer]]/Table1[[#This Row],[OD Sq Inch]]</f>
        <v>0.51671732522796354</v>
      </c>
      <c r="AM500" s="218">
        <f>Table1[[#This Row],[OD Wdth]]*Table1[[#This Row],[OD Hgt]]</f>
        <v>1645</v>
      </c>
      <c r="AN500" s="216">
        <f>Table1[[#This Row],[Min VO]]+Table1[[#This Row],[Max VO]]</f>
        <v>82</v>
      </c>
      <c r="AO500" s="101"/>
      <c r="AP500" s="101"/>
      <c r="AQ500" s="104"/>
      <c r="AR500" s="104"/>
      <c r="AS500" s="104"/>
      <c r="AT500" s="104"/>
      <c r="AU500" s="830" t="str">
        <f t="shared" si="165"/>
        <v>-</v>
      </c>
    </row>
    <row r="501" spans="1:47" s="228" customFormat="1" x14ac:dyDescent="0.2">
      <c r="A501" s="86" t="s">
        <v>58</v>
      </c>
      <c r="B501" s="1061" t="s">
        <v>740</v>
      </c>
      <c r="C501" s="100" t="s">
        <v>1395</v>
      </c>
      <c r="D501" s="94"/>
      <c r="E501" s="85" t="s">
        <v>1396</v>
      </c>
      <c r="F501" s="85" t="s">
        <v>737</v>
      </c>
      <c r="G501" s="86" t="s">
        <v>738</v>
      </c>
      <c r="H501" s="86" t="s">
        <v>739</v>
      </c>
      <c r="I501" s="86" t="s">
        <v>52</v>
      </c>
      <c r="J501" s="86" t="s">
        <v>53</v>
      </c>
      <c r="K501" s="86" t="s">
        <v>69</v>
      </c>
      <c r="L501" s="86" t="s">
        <v>70</v>
      </c>
      <c r="M501" s="87">
        <v>750</v>
      </c>
      <c r="N501" s="639">
        <v>800</v>
      </c>
      <c r="O501" s="101" t="s">
        <v>56</v>
      </c>
      <c r="P501" s="103">
        <v>36</v>
      </c>
      <c r="Q501" s="103">
        <v>45</v>
      </c>
      <c r="R501" s="101">
        <v>36</v>
      </c>
      <c r="S501" s="116">
        <v>45</v>
      </c>
      <c r="T501" s="116">
        <v>36</v>
      </c>
      <c r="U501" s="116">
        <v>45</v>
      </c>
      <c r="V501" s="106">
        <f t="shared" si="175"/>
        <v>44</v>
      </c>
      <c r="W501" s="106">
        <f t="shared" si="176"/>
        <v>53</v>
      </c>
      <c r="X501" s="137">
        <v>59</v>
      </c>
      <c r="Y501" s="101"/>
      <c r="Z501" s="101"/>
      <c r="AA501" s="649">
        <f t="shared" si="172"/>
        <v>16.194444444444443</v>
      </c>
      <c r="AB501" s="184">
        <f t="shared" si="174"/>
        <v>340.73111111111109</v>
      </c>
      <c r="AC501" s="104">
        <f t="shared" si="177"/>
        <v>10.688333333333333</v>
      </c>
      <c r="AD501" s="107">
        <f>Table1[[#This Row],[Substrate SF]]*IncaC</f>
        <v>27.258488888888888</v>
      </c>
      <c r="AE501" s="104">
        <f>IF(Table1[[#This Row],[Work Center]]="SwissQ",Materials!G$37,IF(Table1[[#This Row],[Work Center]]="Inca",Materials!G$29,IF(Table1[[#This Row],[Work Center]]="Canon",Materials!G$49,Materials!G$45)))</f>
        <v>8</v>
      </c>
      <c r="AF501" s="104">
        <f>'Cali Frames'!D$299</f>
        <v>152.3725</v>
      </c>
      <c r="AG501" s="115"/>
      <c r="AH501" s="112">
        <f t="shared" si="173"/>
        <v>37.5</v>
      </c>
      <c r="AI501" s="112"/>
      <c r="AJ501" s="107">
        <f t="shared" si="171"/>
        <v>235.81932222222224</v>
      </c>
      <c r="AK501" s="62">
        <f t="shared" si="162"/>
        <v>0.68557423703703702</v>
      </c>
      <c r="AL501" s="225">
        <f>Table1[[#This Row],[WSP/Dealer]]/Table1[[#This Row],[OD Sq Inch]]</f>
        <v>0.46296296296296297</v>
      </c>
      <c r="AM501" s="103">
        <f>Table1[[#This Row],[OD Wdth]]*Table1[[#This Row],[OD Hgt]]</f>
        <v>1620</v>
      </c>
      <c r="AN501" s="216">
        <f>Table1[[#This Row],[Min VO]]+Table1[[#This Row],[Max VO]]</f>
        <v>81</v>
      </c>
      <c r="AO501" s="101"/>
      <c r="AP501" s="101"/>
      <c r="AQ501" s="104"/>
      <c r="AR501" s="104"/>
      <c r="AS501" s="104"/>
      <c r="AT501" s="104"/>
      <c r="AU501" s="830" t="str">
        <f t="shared" si="165"/>
        <v>-</v>
      </c>
    </row>
    <row r="502" spans="1:47" s="103" customFormat="1" x14ac:dyDescent="0.2">
      <c r="A502" s="86" t="s">
        <v>58</v>
      </c>
      <c r="B502" s="1061" t="s">
        <v>740</v>
      </c>
      <c r="C502" s="100" t="s">
        <v>1397</v>
      </c>
      <c r="D502" s="94"/>
      <c r="E502" s="85" t="s">
        <v>1398</v>
      </c>
      <c r="F502" s="85" t="s">
        <v>737</v>
      </c>
      <c r="G502" s="86" t="s">
        <v>743</v>
      </c>
      <c r="H502" s="86" t="s">
        <v>191</v>
      </c>
      <c r="I502" s="86" t="s">
        <v>52</v>
      </c>
      <c r="J502" s="86" t="s">
        <v>53</v>
      </c>
      <c r="K502" s="86" t="s">
        <v>69</v>
      </c>
      <c r="L502" s="86" t="s">
        <v>70</v>
      </c>
      <c r="M502" s="87">
        <v>1250</v>
      </c>
      <c r="N502" s="639">
        <v>1100</v>
      </c>
      <c r="O502" s="101" t="s">
        <v>56</v>
      </c>
      <c r="P502" s="103">
        <v>47</v>
      </c>
      <c r="Q502" s="103">
        <v>59</v>
      </c>
      <c r="R502" s="101">
        <v>47</v>
      </c>
      <c r="S502" s="116">
        <v>59</v>
      </c>
      <c r="T502" s="697">
        <v>47</v>
      </c>
      <c r="U502" s="116">
        <v>59</v>
      </c>
      <c r="V502" s="106">
        <f t="shared" si="175"/>
        <v>55</v>
      </c>
      <c r="W502" s="106">
        <f t="shared" si="176"/>
        <v>67</v>
      </c>
      <c r="X502" s="137">
        <v>69</v>
      </c>
      <c r="Y502" s="101"/>
      <c r="Z502" s="101"/>
      <c r="AA502" s="649">
        <f t="shared" si="172"/>
        <v>25.590277777777779</v>
      </c>
      <c r="AB502" s="184">
        <f t="shared" si="174"/>
        <v>538.41944444444448</v>
      </c>
      <c r="AC502" s="104">
        <f t="shared" si="177"/>
        <v>16.889583333333334</v>
      </c>
      <c r="AD502" s="107">
        <f>Table1[[#This Row],[Substrate SF]]*IncaC</f>
        <v>43.073555555555558</v>
      </c>
      <c r="AE502" s="104">
        <f>IF(Table1[[#This Row],[Work Center]]="SwissQ",Materials!G$37,IF(Table1[[#This Row],[Work Center]]="Inca",Materials!G$29,IF(Table1[[#This Row],[Work Center]]="Canon",Materials!G$49,Materials!G$45)))</f>
        <v>8</v>
      </c>
      <c r="AF502" s="104">
        <f>'Cali Frames'!D$327</f>
        <v>240.625</v>
      </c>
      <c r="AG502" s="115"/>
      <c r="AH502" s="112">
        <f t="shared" si="173"/>
        <v>62.5</v>
      </c>
      <c r="AI502" s="112"/>
      <c r="AJ502" s="107">
        <f t="shared" si="171"/>
        <v>371.08813888888892</v>
      </c>
      <c r="AK502" s="62">
        <f t="shared" si="162"/>
        <v>0.70312948888888882</v>
      </c>
      <c r="AL502" s="225">
        <f>Table1[[#This Row],[WSP/Dealer]]/Table1[[#This Row],[OD Sq Inch]]</f>
        <v>0.45077533357374683</v>
      </c>
      <c r="AM502" s="218">
        <f>Table1[[#This Row],[OD Wdth]]*Table1[[#This Row],[OD Hgt]]</f>
        <v>2773</v>
      </c>
      <c r="AN502" s="216">
        <f>Table1[[#This Row],[Min VO]]+Table1[[#This Row],[Max VO]]</f>
        <v>106</v>
      </c>
      <c r="AP502" s="101"/>
      <c r="AQ502" s="104"/>
      <c r="AR502" s="104"/>
      <c r="AS502" s="104"/>
      <c r="AT502" s="104"/>
      <c r="AU502" s="108" t="str">
        <f t="shared" si="165"/>
        <v>-</v>
      </c>
    </row>
    <row r="503" spans="1:47" s="63" customFormat="1" x14ac:dyDescent="0.2">
      <c r="A503" s="86" t="s">
        <v>58</v>
      </c>
      <c r="B503" s="1061" t="s">
        <v>740</v>
      </c>
      <c r="C503" s="100" t="s">
        <v>1399</v>
      </c>
      <c r="D503" s="94"/>
      <c r="E503" s="85" t="s">
        <v>1400</v>
      </c>
      <c r="F503" s="85" t="s">
        <v>737</v>
      </c>
      <c r="G503" s="86" t="s">
        <v>738</v>
      </c>
      <c r="H503" s="86" t="s">
        <v>739</v>
      </c>
      <c r="I503" s="86" t="s">
        <v>52</v>
      </c>
      <c r="J503" s="86" t="s">
        <v>53</v>
      </c>
      <c r="K503" s="86" t="s">
        <v>69</v>
      </c>
      <c r="L503" s="86" t="s">
        <v>70</v>
      </c>
      <c r="M503" s="87">
        <v>850</v>
      </c>
      <c r="N503" s="639">
        <v>800</v>
      </c>
      <c r="O503" s="101" t="s">
        <v>56</v>
      </c>
      <c r="P503" s="101">
        <v>36</v>
      </c>
      <c r="Q503" s="101">
        <v>45</v>
      </c>
      <c r="R503" s="101">
        <v>36</v>
      </c>
      <c r="S503" s="697">
        <v>45</v>
      </c>
      <c r="T503" s="697">
        <v>36</v>
      </c>
      <c r="U503" s="697">
        <v>45</v>
      </c>
      <c r="V503" s="106">
        <f t="shared" si="175"/>
        <v>44</v>
      </c>
      <c r="W503" s="106">
        <f t="shared" si="176"/>
        <v>53</v>
      </c>
      <c r="X503" s="137">
        <v>53</v>
      </c>
      <c r="Y503" s="101"/>
      <c r="Z503" s="101"/>
      <c r="AA503" s="649">
        <f t="shared" si="172"/>
        <v>16.194444444444443</v>
      </c>
      <c r="AB503" s="184">
        <f t="shared" si="174"/>
        <v>340.73111111111109</v>
      </c>
      <c r="AC503" s="104">
        <f t="shared" si="177"/>
        <v>10.688333333333333</v>
      </c>
      <c r="AD503" s="107">
        <f>Table1[[#This Row],[Substrate SF]]*IncaC</f>
        <v>27.258488888888888</v>
      </c>
      <c r="AE503" s="104">
        <f>IF(Table1[[#This Row],[Work Center]]="SwissQ",Materials!G$37,IF(Table1[[#This Row],[Work Center]]="Inca",Materials!G$29,IF(Table1[[#This Row],[Work Center]]="Canon",Materials!G$49,Materials!G$45)))</f>
        <v>8</v>
      </c>
      <c r="AF503" s="104">
        <f>'Cali Frames'!D$299</f>
        <v>152.3725</v>
      </c>
      <c r="AG503" s="115"/>
      <c r="AH503" s="112">
        <f t="shared" si="173"/>
        <v>42.5</v>
      </c>
      <c r="AI503" s="112"/>
      <c r="AJ503" s="104">
        <f t="shared" si="171"/>
        <v>240.81932222222224</v>
      </c>
      <c r="AK503" s="62">
        <f t="shared" si="162"/>
        <v>0.71668315032679741</v>
      </c>
      <c r="AL503" s="225">
        <f>Table1[[#This Row],[WSP/Dealer]]/Table1[[#This Row],[OD Sq Inch]]</f>
        <v>0.52469135802469136</v>
      </c>
      <c r="AM503" s="103">
        <f>Table1[[#This Row],[OD Wdth]]*Table1[[#This Row],[OD Hgt]]</f>
        <v>1620</v>
      </c>
      <c r="AN503" s="216">
        <f>Table1[[#This Row],[Min VO]]+Table1[[#This Row],[Max VO]]</f>
        <v>81</v>
      </c>
      <c r="AO503" s="101"/>
      <c r="AP503" s="101"/>
      <c r="AQ503" s="104"/>
      <c r="AR503" s="104"/>
      <c r="AS503" s="104"/>
      <c r="AT503" s="104"/>
      <c r="AU503" s="830" t="str">
        <f t="shared" si="165"/>
        <v>-</v>
      </c>
    </row>
    <row r="504" spans="1:47" s="63" customFormat="1" x14ac:dyDescent="0.2">
      <c r="A504" s="86" t="s">
        <v>58</v>
      </c>
      <c r="B504" s="1061" t="s">
        <v>740</v>
      </c>
      <c r="C504" s="100" t="s">
        <v>1401</v>
      </c>
      <c r="D504" s="94"/>
      <c r="E504" s="85" t="s">
        <v>1402</v>
      </c>
      <c r="F504" s="85" t="s">
        <v>737</v>
      </c>
      <c r="G504" s="86" t="s">
        <v>743</v>
      </c>
      <c r="H504" s="86" t="s">
        <v>191</v>
      </c>
      <c r="I504" s="86" t="s">
        <v>52</v>
      </c>
      <c r="J504" s="86" t="s">
        <v>53</v>
      </c>
      <c r="K504" s="86" t="s">
        <v>69</v>
      </c>
      <c r="L504" s="86" t="s">
        <v>70</v>
      </c>
      <c r="M504" s="87">
        <v>1250</v>
      </c>
      <c r="N504" s="639">
        <v>1100</v>
      </c>
      <c r="O504" s="101" t="s">
        <v>56</v>
      </c>
      <c r="P504" s="101">
        <v>47</v>
      </c>
      <c r="Q504" s="101">
        <v>59</v>
      </c>
      <c r="R504" s="101">
        <v>47</v>
      </c>
      <c r="S504" s="697">
        <v>59</v>
      </c>
      <c r="T504" s="697">
        <v>47</v>
      </c>
      <c r="U504" s="697">
        <v>59</v>
      </c>
      <c r="V504" s="106">
        <f t="shared" si="175"/>
        <v>55</v>
      </c>
      <c r="W504" s="106">
        <f t="shared" si="176"/>
        <v>67</v>
      </c>
      <c r="X504" s="137">
        <v>69</v>
      </c>
      <c r="Y504" s="101"/>
      <c r="Z504" s="101"/>
      <c r="AA504" s="649">
        <f t="shared" si="172"/>
        <v>25.590277777777779</v>
      </c>
      <c r="AB504" s="184">
        <f t="shared" si="174"/>
        <v>538.41944444444448</v>
      </c>
      <c r="AC504" s="104">
        <f t="shared" si="177"/>
        <v>16.889583333333334</v>
      </c>
      <c r="AD504" s="107">
        <f>Table1[[#This Row],[Substrate SF]]*IncaC</f>
        <v>43.073555555555558</v>
      </c>
      <c r="AE504" s="104">
        <f>IF(Table1[[#This Row],[Work Center]]="SwissQ",Materials!G$37,IF(Table1[[#This Row],[Work Center]]="Inca",Materials!G$29,IF(Table1[[#This Row],[Work Center]]="Canon",Materials!G$49,Materials!G$45)))</f>
        <v>8</v>
      </c>
      <c r="AF504" s="104">
        <f>'Cali Frames'!D$327</f>
        <v>240.625</v>
      </c>
      <c r="AG504" s="115"/>
      <c r="AH504" s="112">
        <f t="shared" si="173"/>
        <v>62.5</v>
      </c>
      <c r="AI504" s="112"/>
      <c r="AJ504" s="104">
        <f t="shared" si="171"/>
        <v>371.08813888888892</v>
      </c>
      <c r="AK504" s="62">
        <f t="shared" si="162"/>
        <v>0.70312948888888882</v>
      </c>
      <c r="AL504" s="225">
        <f>Table1[[#This Row],[WSP/Dealer]]/Table1[[#This Row],[OD Sq Inch]]</f>
        <v>0.45077533357374683</v>
      </c>
      <c r="AM504" s="103">
        <f>Table1[[#This Row],[OD Wdth]]*Table1[[#This Row],[OD Hgt]]</f>
        <v>2773</v>
      </c>
      <c r="AN504" s="216">
        <f>Table1[[#This Row],[Min VO]]+Table1[[#This Row],[Max VO]]</f>
        <v>106</v>
      </c>
      <c r="AO504" s="101"/>
      <c r="AP504" s="101"/>
      <c r="AQ504" s="104"/>
      <c r="AR504" s="104"/>
      <c r="AS504" s="104"/>
      <c r="AT504" s="104"/>
      <c r="AU504" s="830" t="str">
        <f t="shared" si="165"/>
        <v>-</v>
      </c>
    </row>
    <row r="505" spans="1:47" s="63" customFormat="1" x14ac:dyDescent="0.2">
      <c r="A505" s="86" t="s">
        <v>58</v>
      </c>
      <c r="B505" s="1061" t="s">
        <v>740</v>
      </c>
      <c r="C505" s="100" t="s">
        <v>1403</v>
      </c>
      <c r="D505" s="94"/>
      <c r="E505" s="85" t="s">
        <v>1404</v>
      </c>
      <c r="F505" s="85" t="s">
        <v>737</v>
      </c>
      <c r="G505" s="86" t="s">
        <v>1394</v>
      </c>
      <c r="H505" s="86" t="s">
        <v>132</v>
      </c>
      <c r="I505" s="86" t="s">
        <v>52</v>
      </c>
      <c r="J505" s="86" t="s">
        <v>53</v>
      </c>
      <c r="K505" s="86" t="s">
        <v>69</v>
      </c>
      <c r="L505" s="86" t="s">
        <v>70</v>
      </c>
      <c r="M505" s="87">
        <v>850</v>
      </c>
      <c r="N505" s="639">
        <v>800</v>
      </c>
      <c r="O505" s="101" t="s">
        <v>56</v>
      </c>
      <c r="P505" s="101">
        <v>35</v>
      </c>
      <c r="Q505" s="101">
        <v>47</v>
      </c>
      <c r="R505" s="101">
        <v>35</v>
      </c>
      <c r="S505" s="697">
        <v>47</v>
      </c>
      <c r="T505" s="697">
        <v>35</v>
      </c>
      <c r="U505" s="697">
        <v>47</v>
      </c>
      <c r="V505" s="608">
        <f t="shared" si="175"/>
        <v>43</v>
      </c>
      <c r="W505" s="608">
        <f t="shared" si="176"/>
        <v>55</v>
      </c>
      <c r="X505" s="137">
        <v>59</v>
      </c>
      <c r="Y505" s="101"/>
      <c r="Z505" s="101"/>
      <c r="AA505" s="649">
        <f t="shared" si="172"/>
        <v>16.423611111111111</v>
      </c>
      <c r="AB505" s="184">
        <f t="shared" si="174"/>
        <v>345.55277777777775</v>
      </c>
      <c r="AC505" s="104">
        <f t="shared" si="177"/>
        <v>10.839583333333334</v>
      </c>
      <c r="AD505" s="104">
        <f>Table1[[#This Row],[Substrate SF]]*IncaC</f>
        <v>27.644222222222222</v>
      </c>
      <c r="AE505" s="104">
        <f>IF(Table1[[#This Row],[Work Center]]="SwissQ",Materials!G$37,IF(Table1[[#This Row],[Work Center]]="Inca",Materials!G$29,IF(Table1[[#This Row],[Work Center]]="Canon",Materials!G$49,Materials!G$45)))</f>
        <v>8</v>
      </c>
      <c r="AF505" s="104">
        <f>'Cali Frames'!D$296</f>
        <v>154.17500000000001</v>
      </c>
      <c r="AG505" s="115"/>
      <c r="AH505" s="112">
        <f t="shared" si="173"/>
        <v>42.5</v>
      </c>
      <c r="AI505" s="112"/>
      <c r="AJ505" s="104">
        <f t="shared" si="171"/>
        <v>243.15880555555557</v>
      </c>
      <c r="AK505" s="62">
        <f t="shared" si="162"/>
        <v>0.71393081699346406</v>
      </c>
      <c r="AL505" s="225">
        <f>Table1[[#This Row],[WSP/Dealer]]/Table1[[#This Row],[OD Sq Inch]]</f>
        <v>0.51671732522796354</v>
      </c>
      <c r="AM505" s="101">
        <f>Table1[[#This Row],[OD Wdth]]*Table1[[#This Row],[OD Hgt]]</f>
        <v>1645</v>
      </c>
      <c r="AN505" s="216">
        <f>Table1[[#This Row],[Min VO]]+Table1[[#This Row],[Max VO]]</f>
        <v>82</v>
      </c>
      <c r="AO505" s="101"/>
      <c r="AP505" s="101"/>
      <c r="AQ505" s="104"/>
      <c r="AR505" s="104"/>
      <c r="AS505" s="104"/>
      <c r="AT505" s="104"/>
      <c r="AU505" s="830" t="str">
        <f t="shared" si="165"/>
        <v>-</v>
      </c>
    </row>
    <row r="506" spans="1:47" s="63" customFormat="1" x14ac:dyDescent="0.2">
      <c r="A506" s="86" t="s">
        <v>58</v>
      </c>
      <c r="B506" s="1061" t="s">
        <v>740</v>
      </c>
      <c r="C506" s="100" t="s">
        <v>1405</v>
      </c>
      <c r="D506" s="94"/>
      <c r="E506" s="85" t="s">
        <v>1406</v>
      </c>
      <c r="F506" s="85" t="s">
        <v>737</v>
      </c>
      <c r="G506" s="86" t="s">
        <v>1394</v>
      </c>
      <c r="H506" s="86" t="s">
        <v>132</v>
      </c>
      <c r="I506" s="86" t="s">
        <v>52</v>
      </c>
      <c r="J506" s="86" t="s">
        <v>53</v>
      </c>
      <c r="K506" s="86" t="s">
        <v>69</v>
      </c>
      <c r="L506" s="86" t="s">
        <v>70</v>
      </c>
      <c r="M506" s="87">
        <v>850</v>
      </c>
      <c r="N506" s="639">
        <v>800</v>
      </c>
      <c r="O506" s="101" t="s">
        <v>56</v>
      </c>
      <c r="P506" s="101">
        <v>35</v>
      </c>
      <c r="Q506" s="101">
        <v>47</v>
      </c>
      <c r="R506" s="101">
        <v>35</v>
      </c>
      <c r="S506" s="697">
        <v>47</v>
      </c>
      <c r="T506" s="697">
        <v>35</v>
      </c>
      <c r="U506" s="697">
        <v>47</v>
      </c>
      <c r="V506" s="608">
        <f t="shared" si="175"/>
        <v>43</v>
      </c>
      <c r="W506" s="608">
        <f t="shared" si="176"/>
        <v>55</v>
      </c>
      <c r="X506" s="137">
        <v>59</v>
      </c>
      <c r="Y506" s="101"/>
      <c r="Z506" s="101"/>
      <c r="AA506" s="649">
        <f t="shared" si="172"/>
        <v>16.423611111111111</v>
      </c>
      <c r="AB506" s="184">
        <f t="shared" si="174"/>
        <v>345.55277777777775</v>
      </c>
      <c r="AC506" s="104">
        <f t="shared" si="177"/>
        <v>10.839583333333334</v>
      </c>
      <c r="AD506" s="104">
        <f>Table1[[#This Row],[Substrate SF]]*IncaC</f>
        <v>27.644222222222222</v>
      </c>
      <c r="AE506" s="104">
        <f>IF(Table1[[#This Row],[Work Center]]="SwissQ",Materials!G$37,IF(Table1[[#This Row],[Work Center]]="Inca",Materials!G$29,IF(Table1[[#This Row],[Work Center]]="Canon",Materials!G$49,Materials!G$45)))</f>
        <v>8</v>
      </c>
      <c r="AF506" s="104">
        <f>'Cali Frames'!D$296</f>
        <v>154.17500000000001</v>
      </c>
      <c r="AG506" s="115"/>
      <c r="AH506" s="112">
        <f t="shared" si="173"/>
        <v>42.5</v>
      </c>
      <c r="AI506" s="112"/>
      <c r="AJ506" s="104">
        <f t="shared" si="171"/>
        <v>243.15880555555557</v>
      </c>
      <c r="AK506" s="62">
        <f t="shared" si="162"/>
        <v>0.71393081699346406</v>
      </c>
      <c r="AL506" s="225">
        <f>Table1[[#This Row],[WSP/Dealer]]/Table1[[#This Row],[OD Sq Inch]]</f>
        <v>0.51671732522796354</v>
      </c>
      <c r="AM506" s="216">
        <f>Table1[[#This Row],[OD Wdth]]*Table1[[#This Row],[OD Hgt]]</f>
        <v>1645</v>
      </c>
      <c r="AN506" s="216">
        <f>Table1[[#This Row],[Min VO]]+Table1[[#This Row],[Max VO]]</f>
        <v>82</v>
      </c>
      <c r="AO506" s="101"/>
      <c r="AP506" s="101"/>
      <c r="AQ506" s="104"/>
      <c r="AR506" s="104"/>
      <c r="AS506" s="104"/>
      <c r="AT506" s="104"/>
      <c r="AU506" s="830" t="str">
        <f t="shared" si="165"/>
        <v>-</v>
      </c>
    </row>
    <row r="507" spans="1:47" s="144" customFormat="1" hidden="1" x14ac:dyDescent="0.2">
      <c r="A507" s="68" t="s">
        <v>187</v>
      </c>
      <c r="B507" s="1061" t="s">
        <v>261</v>
      </c>
      <c r="C507" s="438" t="s">
        <v>1407</v>
      </c>
      <c r="D507" s="94"/>
      <c r="E507" s="438" t="s">
        <v>1408</v>
      </c>
      <c r="F507" s="275" t="s">
        <v>737</v>
      </c>
      <c r="G507" s="439" t="s">
        <v>132</v>
      </c>
      <c r="H507" s="439" t="s">
        <v>132</v>
      </c>
      <c r="I507" s="439" t="s">
        <v>52</v>
      </c>
      <c r="J507" s="140" t="s">
        <v>53</v>
      </c>
      <c r="K507" s="439" t="s">
        <v>281</v>
      </c>
      <c r="L507" s="68" t="s">
        <v>55</v>
      </c>
      <c r="M507" s="440">
        <v>2095</v>
      </c>
      <c r="N507" s="71"/>
      <c r="O507" s="68" t="s">
        <v>56</v>
      </c>
      <c r="P507" s="68">
        <v>36</v>
      </c>
      <c r="Q507" s="68">
        <v>48</v>
      </c>
      <c r="R507" s="68">
        <v>36</v>
      </c>
      <c r="S507" s="68">
        <v>48</v>
      </c>
      <c r="T507" s="623">
        <f>Table1[[#This Row],[VO Wdth]]</f>
        <v>36</v>
      </c>
      <c r="U507" s="623">
        <f>Table1[[#This Row],[VO Hgt]]</f>
        <v>48</v>
      </c>
      <c r="V507" s="917">
        <f>IF(J507="Canvas",P507+Border,P507)</f>
        <v>44</v>
      </c>
      <c r="W507" s="917">
        <f>IF(J507="Canvas",Q507+Border,Q507)</f>
        <v>56</v>
      </c>
      <c r="X507" s="189">
        <v>59</v>
      </c>
      <c r="Y507" s="68"/>
      <c r="Z507" s="68"/>
      <c r="AA507" s="699">
        <f t="shared" si="172"/>
        <v>17.111111111111111</v>
      </c>
      <c r="AB507" s="297">
        <f t="shared" si="174"/>
        <v>360.01777777777778</v>
      </c>
      <c r="AC507" s="74">
        <f t="shared" si="177"/>
        <v>11.293333333333333</v>
      </c>
      <c r="AD507" s="74">
        <f>Table1[[#This Row],[Substrate SF]]*IncaC</f>
        <v>28.801422222222222</v>
      </c>
      <c r="AE507" s="74">
        <f>IF(Table1[[#This Row],[Work Center]]="SwissQ",Materials!G$37,IF(Table1[[#This Row],[Work Center]]="Inca",Materials!G$29,IF(Table1[[#This Row],[Work Center]]="Canon",Materials!G$49,Materials!G$45)))</f>
        <v>8</v>
      </c>
      <c r="AF507" s="74">
        <f>'Cali FPS'!C78</f>
        <v>114.31</v>
      </c>
      <c r="AG507" s="84"/>
      <c r="AH507" s="498">
        <f t="shared" si="173"/>
        <v>104.75</v>
      </c>
      <c r="AI507" s="498"/>
      <c r="AJ507" s="74">
        <f t="shared" si="171"/>
        <v>267.15475555555554</v>
      </c>
      <c r="AK507" s="650">
        <f t="shared" si="162"/>
        <v>0.87247983028374432</v>
      </c>
      <c r="AL507" s="225">
        <f>Table1[[#This Row],[WSP/Dealer]]/Table1[[#This Row],[OD Sq Inch]]</f>
        <v>1.2123842592592593</v>
      </c>
      <c r="AM507" s="68">
        <f>Table1[[#This Row],[OD Wdth]]*Table1[[#This Row],[OD Hgt]]</f>
        <v>1728</v>
      </c>
      <c r="AN507" s="238">
        <f>Table1[[#This Row],[Min VO]]+Table1[[#This Row],[Max VO]]</f>
        <v>84</v>
      </c>
      <c r="AO507" s="84"/>
      <c r="AP507" s="84"/>
      <c r="AQ507" s="126"/>
      <c r="AR507" s="126"/>
      <c r="AS507" s="126"/>
      <c r="AT507" s="74"/>
      <c r="AU507" s="1357" t="str">
        <f t="shared" si="165"/>
        <v>-</v>
      </c>
    </row>
    <row r="508" spans="1:47" s="173" customFormat="1" hidden="1" x14ac:dyDescent="0.2">
      <c r="A508" s="421" t="s">
        <v>187</v>
      </c>
      <c r="B508" s="1061" t="s">
        <v>261</v>
      </c>
      <c r="C508" s="433" t="s">
        <v>1409</v>
      </c>
      <c r="D508" s="94"/>
      <c r="E508" s="433" t="s">
        <v>1408</v>
      </c>
      <c r="F508" s="441" t="s">
        <v>737</v>
      </c>
      <c r="G508" s="431" t="s">
        <v>132</v>
      </c>
      <c r="H508" s="421" t="s">
        <v>793</v>
      </c>
      <c r="I508" s="431" t="s">
        <v>52</v>
      </c>
      <c r="J508" s="451" t="s">
        <v>53</v>
      </c>
      <c r="K508" s="431" t="s">
        <v>1410</v>
      </c>
      <c r="L508" s="421" t="s">
        <v>70</v>
      </c>
      <c r="M508" s="442">
        <v>2450</v>
      </c>
      <c r="N508" s="71"/>
      <c r="O508" s="421" t="s">
        <v>56</v>
      </c>
      <c r="P508" s="421">
        <v>36</v>
      </c>
      <c r="Q508" s="421">
        <v>48</v>
      </c>
      <c r="R508" s="421">
        <v>36</v>
      </c>
      <c r="S508" s="421">
        <v>48</v>
      </c>
      <c r="T508" s="1197">
        <v>38</v>
      </c>
      <c r="U508" s="1197">
        <v>50</v>
      </c>
      <c r="V508" s="1316">
        <f>IF(J508="Canvas",P508+Border,P508)</f>
        <v>44</v>
      </c>
      <c r="W508" s="1316">
        <f>IF(J508="Canvas",Q508+Border,Q508)</f>
        <v>56</v>
      </c>
      <c r="X508" s="189">
        <v>59</v>
      </c>
      <c r="Y508" s="421"/>
      <c r="Z508" s="421"/>
      <c r="AA508" s="836">
        <f t="shared" si="172"/>
        <v>17.111111111111111</v>
      </c>
      <c r="AB508" s="725">
        <f t="shared" si="174"/>
        <v>360.01777777777778</v>
      </c>
      <c r="AC508" s="426">
        <f t="shared" si="177"/>
        <v>11.293333333333333</v>
      </c>
      <c r="AD508" s="426">
        <f>Table1[[#This Row],[Substrate SF]]*IncaC</f>
        <v>28.801422222222222</v>
      </c>
      <c r="AE508" s="426">
        <f>IF(Table1[[#This Row],[Work Center]]="SwissQ",Materials!G$37,IF(Table1[[#This Row],[Work Center]]="Inca",Materials!G$29,IF(Table1[[#This Row],[Work Center]]="Canon",Materials!G$49,Materials!G$45)))</f>
        <v>8</v>
      </c>
      <c r="AF508" s="426">
        <f>'Cali Frames'!D300</f>
        <v>164.8</v>
      </c>
      <c r="AG508" s="450"/>
      <c r="AH508" s="498">
        <f t="shared" si="173"/>
        <v>122.5</v>
      </c>
      <c r="AI508" s="498"/>
      <c r="AJ508" s="426">
        <f t="shared" si="171"/>
        <v>335.39475555555555</v>
      </c>
      <c r="AK508" s="650">
        <f t="shared" si="162"/>
        <v>0.86310418140589573</v>
      </c>
      <c r="AL508" s="225">
        <f>Table1[[#This Row],[WSP/Dealer]]/Table1[[#This Row],[OD Sq Inch]]</f>
        <v>1.2894736842105263</v>
      </c>
      <c r="AM508" s="421">
        <f>Table1[[#This Row],[OD Wdth]]*Table1[[#This Row],[OD Hgt]]</f>
        <v>1900</v>
      </c>
      <c r="AN508" s="987">
        <f>Table1[[#This Row],[Min VO]]+Table1[[#This Row],[Max VO]]</f>
        <v>84</v>
      </c>
      <c r="AO508" s="450"/>
      <c r="AP508" s="450"/>
      <c r="AQ508" s="956"/>
      <c r="AR508" s="956"/>
      <c r="AS508" s="956"/>
      <c r="AT508" s="426"/>
      <c r="AU508" s="1374" t="str">
        <f t="shared" si="165"/>
        <v>-</v>
      </c>
    </row>
    <row r="509" spans="1:47" s="63" customFormat="1" hidden="1" x14ac:dyDescent="0.2">
      <c r="A509" s="421" t="s">
        <v>187</v>
      </c>
      <c r="B509" s="1061" t="s">
        <v>261</v>
      </c>
      <c r="C509" s="433" t="s">
        <v>1411</v>
      </c>
      <c r="D509" s="94"/>
      <c r="E509" s="433" t="s">
        <v>1408</v>
      </c>
      <c r="F509" s="441" t="s">
        <v>737</v>
      </c>
      <c r="G509" s="431" t="s">
        <v>132</v>
      </c>
      <c r="H509" s="421" t="s">
        <v>793</v>
      </c>
      <c r="I509" s="431" t="s">
        <v>52</v>
      </c>
      <c r="J509" s="451" t="s">
        <v>53</v>
      </c>
      <c r="K509" s="431" t="s">
        <v>1412</v>
      </c>
      <c r="L509" s="421" t="s">
        <v>73</v>
      </c>
      <c r="M509" s="442">
        <v>2450</v>
      </c>
      <c r="N509" s="71"/>
      <c r="O509" s="421" t="s">
        <v>56</v>
      </c>
      <c r="P509" s="421">
        <v>36</v>
      </c>
      <c r="Q509" s="421">
        <v>48</v>
      </c>
      <c r="R509" s="421">
        <v>36</v>
      </c>
      <c r="S509" s="421">
        <v>48</v>
      </c>
      <c r="T509" s="1197">
        <v>38</v>
      </c>
      <c r="U509" s="1197">
        <v>50</v>
      </c>
      <c r="V509" s="1316">
        <f>IF(J509="Canvas",P509+Border,P509)</f>
        <v>44</v>
      </c>
      <c r="W509" s="1316">
        <f>IF(J509="Canvas",Q509+Border,Q509)</f>
        <v>56</v>
      </c>
      <c r="X509" s="189">
        <v>59</v>
      </c>
      <c r="Y509" s="421"/>
      <c r="Z509" s="421"/>
      <c r="AA509" s="836">
        <f t="shared" si="172"/>
        <v>17.111111111111111</v>
      </c>
      <c r="AB509" s="725">
        <f t="shared" si="174"/>
        <v>360.01777777777778</v>
      </c>
      <c r="AC509" s="426">
        <f t="shared" si="177"/>
        <v>11.293333333333333</v>
      </c>
      <c r="AD509" s="426">
        <f>Table1[[#This Row],[Substrate SF]]*IncaC</f>
        <v>28.801422222222222</v>
      </c>
      <c r="AE509" s="426">
        <f>IF(Table1[[#This Row],[Work Center]]="SwissQ",Materials!G$37,IF(Table1[[#This Row],[Work Center]]="Inca",Materials!G$29,IF(Table1[[#This Row],[Work Center]]="Canon",Materials!G$49,Materials!G$45)))</f>
        <v>8</v>
      </c>
      <c r="AF509" s="426">
        <f>'Cali Frames'!D436</f>
        <v>145.70500000000001</v>
      </c>
      <c r="AG509" s="450"/>
      <c r="AH509" s="112">
        <f t="shared" si="173"/>
        <v>122.5</v>
      </c>
      <c r="AI509" s="112"/>
      <c r="AJ509" s="426">
        <f t="shared" si="171"/>
        <v>316.29975555555558</v>
      </c>
      <c r="AK509" s="62">
        <f t="shared" si="162"/>
        <v>0.87089805895691597</v>
      </c>
      <c r="AL509" s="225">
        <f>Table1[[#This Row],[WSP/Dealer]]/Table1[[#This Row],[OD Sq Inch]]</f>
        <v>1.2894736842105263</v>
      </c>
      <c r="AM509" s="421">
        <f>Table1[[#This Row],[OD Wdth]]*Table1[[#This Row],[OD Hgt]]</f>
        <v>1900</v>
      </c>
      <c r="AN509" s="987">
        <f>Table1[[#This Row],[Min VO]]+Table1[[#This Row],[Max VO]]</f>
        <v>84</v>
      </c>
      <c r="AO509" s="450"/>
      <c r="AP509" s="450"/>
      <c r="AQ509" s="956"/>
      <c r="AR509" s="956"/>
      <c r="AS509" s="956"/>
      <c r="AT509" s="426"/>
      <c r="AU509" s="1374" t="str">
        <f t="shared" si="165"/>
        <v>-</v>
      </c>
    </row>
    <row r="510" spans="1:47" s="103" customFormat="1" hidden="1" x14ac:dyDescent="0.2">
      <c r="A510" s="68" t="s">
        <v>187</v>
      </c>
      <c r="B510" s="1061" t="s">
        <v>261</v>
      </c>
      <c r="C510" s="627" t="s">
        <v>1413</v>
      </c>
      <c r="D510" s="94"/>
      <c r="E510" s="627" t="s">
        <v>1414</v>
      </c>
      <c r="F510" s="275" t="s">
        <v>737</v>
      </c>
      <c r="G510" s="258" t="s">
        <v>132</v>
      </c>
      <c r="H510" s="258" t="s">
        <v>132</v>
      </c>
      <c r="I510" s="274" t="s">
        <v>108</v>
      </c>
      <c r="J510" s="68" t="s">
        <v>197</v>
      </c>
      <c r="K510" s="274" t="s">
        <v>198</v>
      </c>
      <c r="L510" s="274" t="s">
        <v>199</v>
      </c>
      <c r="M510" s="455">
        <v>90</v>
      </c>
      <c r="N510" s="71"/>
      <c r="O510" s="68" t="s">
        <v>56</v>
      </c>
      <c r="P510" s="68">
        <v>36</v>
      </c>
      <c r="Q510" s="68">
        <v>48</v>
      </c>
      <c r="R510" s="68">
        <v>36</v>
      </c>
      <c r="S510" s="68">
        <v>48</v>
      </c>
      <c r="T510" s="68">
        <v>36</v>
      </c>
      <c r="U510" s="68">
        <v>48</v>
      </c>
      <c r="V510" s="277">
        <f>Table1[[#This Row],[VO Wdth]]+Materials!$C$7</f>
        <v>38</v>
      </c>
      <c r="W510" s="277">
        <f>Table1[[#This Row],[VO Hgt]]+Materials!$C$7</f>
        <v>50</v>
      </c>
      <c r="X510" s="343" t="s">
        <v>197</v>
      </c>
      <c r="Y510" s="68"/>
      <c r="Z510" s="68"/>
      <c r="AA510" s="699">
        <f t="shared" si="172"/>
        <v>13.194444444444445</v>
      </c>
      <c r="AB510" s="297">
        <f>AA510*IncaGR</f>
        <v>13.458333333333334</v>
      </c>
      <c r="AC510" s="74">
        <f>Table1[[#This Row],[Substrate SF]]*POster</f>
        <v>9.8166666666666664</v>
      </c>
      <c r="AD510" s="208">
        <f>Table1[[#This Row],[Ink g/mL]]*IncaCR</f>
        <v>1.0766666666666667</v>
      </c>
      <c r="AE510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510" s="73">
        <v>0</v>
      </c>
      <c r="AG510" s="126">
        <f>Materials!D$76</f>
        <v>10.82</v>
      </c>
      <c r="AH510" s="112">
        <f t="shared" si="173"/>
        <v>4.5</v>
      </c>
      <c r="AI510" s="112"/>
      <c r="AJ510" s="263">
        <f t="shared" si="171"/>
        <v>36.213333333333331</v>
      </c>
      <c r="AK510" s="62">
        <f t="shared" si="162"/>
        <v>0.59762962962962962</v>
      </c>
      <c r="AL510" s="225">
        <f>Table1[[#This Row],[WSP/Dealer]]/Table1[[#This Row],[OD Sq Inch]]</f>
        <v>5.2083333333333336E-2</v>
      </c>
      <c r="AM510" s="170">
        <f>Table1[[#This Row],[OD Wdth]]*Table1[[#This Row],[OD Hgt]]</f>
        <v>1728</v>
      </c>
      <c r="AN510" s="84"/>
      <c r="AO510" s="84"/>
      <c r="AP510" s="84"/>
      <c r="AQ510" s="126"/>
      <c r="AR510" s="126"/>
      <c r="AS510" s="126"/>
      <c r="AT510" s="74"/>
      <c r="AU510" s="1357" t="str">
        <f t="shared" si="165"/>
        <v>-</v>
      </c>
    </row>
    <row r="511" spans="1:47" s="103" customFormat="1" x14ac:dyDescent="0.2">
      <c r="A511" s="86" t="s">
        <v>58</v>
      </c>
      <c r="B511" s="1061" t="s">
        <v>740</v>
      </c>
      <c r="C511" s="100" t="s">
        <v>1415</v>
      </c>
      <c r="D511" s="94"/>
      <c r="E511" s="85" t="s">
        <v>1416</v>
      </c>
      <c r="F511" s="85" t="s">
        <v>737</v>
      </c>
      <c r="G511" s="86" t="s">
        <v>738</v>
      </c>
      <c r="H511" s="86" t="s">
        <v>739</v>
      </c>
      <c r="I511" s="86" t="s">
        <v>52</v>
      </c>
      <c r="J511" s="86" t="s">
        <v>53</v>
      </c>
      <c r="K511" s="86" t="s">
        <v>69</v>
      </c>
      <c r="L511" s="86" t="s">
        <v>70</v>
      </c>
      <c r="M511" s="87">
        <v>850</v>
      </c>
      <c r="N511" s="639">
        <v>800</v>
      </c>
      <c r="O511" s="101" t="s">
        <v>56</v>
      </c>
      <c r="P511" s="103">
        <v>36</v>
      </c>
      <c r="Q511" s="103">
        <v>45</v>
      </c>
      <c r="R511" s="101">
        <v>36</v>
      </c>
      <c r="S511" s="116">
        <v>45</v>
      </c>
      <c r="T511" s="697">
        <v>36</v>
      </c>
      <c r="U511" s="697">
        <v>45</v>
      </c>
      <c r="V511" s="106">
        <f t="shared" ref="V511:V525" si="178">IF(J511="Canvas",P511+BorderGW,P511)</f>
        <v>44</v>
      </c>
      <c r="W511" s="106">
        <f t="shared" ref="W511:W525" si="179">IF(J511="Canvas",Q511+BorderGW,Q511)</f>
        <v>53</v>
      </c>
      <c r="X511" s="137">
        <v>53</v>
      </c>
      <c r="Y511" s="101"/>
      <c r="Z511" s="101"/>
      <c r="AA511" s="649">
        <f t="shared" si="172"/>
        <v>16.194444444444443</v>
      </c>
      <c r="AB511" s="184">
        <f>AA511*IncaG</f>
        <v>340.73111111111109</v>
      </c>
      <c r="AC511" s="107">
        <f>AA511*Canvas</f>
        <v>10.688333333333333</v>
      </c>
      <c r="AD511" s="107">
        <f>Table1[[#This Row],[Substrate SF]]*IncaC</f>
        <v>27.258488888888888</v>
      </c>
      <c r="AE511" s="104">
        <f>IF(Table1[[#This Row],[Work Center]]="SwissQ",Materials!G$37,IF(Table1[[#This Row],[Work Center]]="Inca",Materials!G$29,IF(Table1[[#This Row],[Work Center]]="Canon",Materials!G$49,Materials!G$45)))</f>
        <v>8</v>
      </c>
      <c r="AF511" s="104">
        <f>'Cali Frames'!D$299</f>
        <v>152.3725</v>
      </c>
      <c r="AG511" s="115"/>
      <c r="AH511" s="112">
        <f t="shared" si="173"/>
        <v>42.5</v>
      </c>
      <c r="AI511" s="112"/>
      <c r="AJ511" s="107">
        <f t="shared" si="171"/>
        <v>240.81932222222224</v>
      </c>
      <c r="AK511" s="62">
        <f t="shared" si="162"/>
        <v>0.71668315032679741</v>
      </c>
      <c r="AL511" s="225">
        <f>Table1[[#This Row],[WSP/Dealer]]/Table1[[#This Row],[OD Sq Inch]]</f>
        <v>0.52469135802469136</v>
      </c>
      <c r="AM511" s="103">
        <f>Table1[[#This Row],[OD Wdth]]*Table1[[#This Row],[OD Hgt]]</f>
        <v>1620</v>
      </c>
      <c r="AN511" s="216">
        <f>Table1[[#This Row],[Min VO]]+Table1[[#This Row],[Max VO]]</f>
        <v>81</v>
      </c>
      <c r="AO511" s="101"/>
      <c r="AP511" s="101"/>
      <c r="AQ511" s="104"/>
      <c r="AR511" s="104"/>
      <c r="AS511" s="104"/>
      <c r="AT511" s="104"/>
      <c r="AU511" s="830" t="str">
        <f t="shared" si="165"/>
        <v>-</v>
      </c>
    </row>
    <row r="512" spans="1:47" s="330" customFormat="1" x14ac:dyDescent="0.2">
      <c r="A512" s="86" t="s">
        <v>58</v>
      </c>
      <c r="B512" s="1061" t="s">
        <v>740</v>
      </c>
      <c r="C512" s="100" t="s">
        <v>1417</v>
      </c>
      <c r="D512" s="94"/>
      <c r="E512" s="85" t="s">
        <v>1418</v>
      </c>
      <c r="F512" s="85" t="s">
        <v>737</v>
      </c>
      <c r="G512" s="86" t="s">
        <v>743</v>
      </c>
      <c r="H512" s="86" t="s">
        <v>191</v>
      </c>
      <c r="I512" s="86" t="s">
        <v>52</v>
      </c>
      <c r="J512" s="86" t="s">
        <v>53</v>
      </c>
      <c r="K512" s="86" t="s">
        <v>69</v>
      </c>
      <c r="L512" s="86" t="s">
        <v>70</v>
      </c>
      <c r="M512" s="87">
        <v>1250</v>
      </c>
      <c r="N512" s="639">
        <v>1100</v>
      </c>
      <c r="O512" s="101" t="s">
        <v>56</v>
      </c>
      <c r="P512" s="101">
        <v>47</v>
      </c>
      <c r="Q512" s="101">
        <v>59</v>
      </c>
      <c r="R512" s="101">
        <v>47</v>
      </c>
      <c r="S512" s="697">
        <v>59</v>
      </c>
      <c r="T512" s="697">
        <v>47</v>
      </c>
      <c r="U512" s="697">
        <v>59</v>
      </c>
      <c r="V512" s="608">
        <f t="shared" si="178"/>
        <v>55</v>
      </c>
      <c r="W512" s="608">
        <f t="shared" si="179"/>
        <v>67</v>
      </c>
      <c r="X512" s="137">
        <v>69</v>
      </c>
      <c r="Y512" s="101"/>
      <c r="Z512" s="101"/>
      <c r="AA512" s="649">
        <f t="shared" si="172"/>
        <v>25.590277777777779</v>
      </c>
      <c r="AB512" s="184">
        <f>AA512*IncaG</f>
        <v>538.41944444444448</v>
      </c>
      <c r="AC512" s="104">
        <f>AA512*Canvas</f>
        <v>16.889583333333334</v>
      </c>
      <c r="AD512" s="107">
        <f>Table1[[#This Row],[Substrate SF]]*IncaC</f>
        <v>43.073555555555558</v>
      </c>
      <c r="AE512" s="104">
        <f>IF(Table1[[#This Row],[Work Center]]="SwissQ",Materials!G$37,IF(Table1[[#This Row],[Work Center]]="Inca",Materials!G$29,IF(Table1[[#This Row],[Work Center]]="Canon",Materials!G$49,Materials!G$45)))</f>
        <v>8</v>
      </c>
      <c r="AF512" s="104">
        <f>'Cali Frames'!D$327</f>
        <v>240.625</v>
      </c>
      <c r="AG512" s="115"/>
      <c r="AH512" s="112">
        <f t="shared" si="173"/>
        <v>62.5</v>
      </c>
      <c r="AI512" s="112"/>
      <c r="AJ512" s="107">
        <f t="shared" si="171"/>
        <v>371.08813888888892</v>
      </c>
      <c r="AK512" s="62">
        <f t="shared" si="162"/>
        <v>0.70312948888888882</v>
      </c>
      <c r="AL512" s="225">
        <f>Table1[[#This Row],[WSP/Dealer]]/Table1[[#This Row],[OD Sq Inch]]</f>
        <v>0.45077533357374683</v>
      </c>
      <c r="AM512" s="218">
        <f>Table1[[#This Row],[OD Wdth]]*Table1[[#This Row],[OD Hgt]]</f>
        <v>2773</v>
      </c>
      <c r="AN512" s="216">
        <f>Table1[[#This Row],[Min VO]]+Table1[[#This Row],[Max VO]]</f>
        <v>106</v>
      </c>
      <c r="AO512" s="101"/>
      <c r="AP512" s="101"/>
      <c r="AQ512" s="104"/>
      <c r="AR512" s="104"/>
      <c r="AS512" s="104"/>
      <c r="AT512" s="104"/>
      <c r="AU512" s="830" t="str">
        <f t="shared" si="165"/>
        <v>-</v>
      </c>
    </row>
    <row r="513" spans="1:47" s="309" customFormat="1" hidden="1" x14ac:dyDescent="0.2">
      <c r="A513" s="68" t="s">
        <v>187</v>
      </c>
      <c r="B513" s="1061" t="s">
        <v>261</v>
      </c>
      <c r="C513" s="436" t="s">
        <v>1419</v>
      </c>
      <c r="D513" s="94"/>
      <c r="E513" s="436" t="s">
        <v>1420</v>
      </c>
      <c r="F513" s="275" t="s">
        <v>737</v>
      </c>
      <c r="G513" s="258" t="s">
        <v>191</v>
      </c>
      <c r="H513" s="68" t="s">
        <v>1048</v>
      </c>
      <c r="I513" s="258" t="s">
        <v>52</v>
      </c>
      <c r="J513" s="140" t="s">
        <v>53</v>
      </c>
      <c r="K513" s="258" t="s">
        <v>281</v>
      </c>
      <c r="L513" s="68" t="s">
        <v>55</v>
      </c>
      <c r="M513" s="420">
        <v>2550</v>
      </c>
      <c r="N513" s="71"/>
      <c r="O513" s="68" t="s">
        <v>56</v>
      </c>
      <c r="P513" s="68">
        <v>48</v>
      </c>
      <c r="Q513" s="68">
        <v>60</v>
      </c>
      <c r="R513" s="68">
        <v>48</v>
      </c>
      <c r="S513" s="68">
        <v>60</v>
      </c>
      <c r="T513" s="68">
        <v>48</v>
      </c>
      <c r="U513" s="68">
        <v>60</v>
      </c>
      <c r="V513" s="66">
        <f t="shared" si="178"/>
        <v>56</v>
      </c>
      <c r="W513" s="66">
        <f t="shared" si="179"/>
        <v>68</v>
      </c>
      <c r="X513" s="189">
        <v>69</v>
      </c>
      <c r="Y513" s="68"/>
      <c r="Z513" s="68"/>
      <c r="AA513" s="699">
        <f t="shared" si="172"/>
        <v>26.444444444444443</v>
      </c>
      <c r="AB513" s="297">
        <f>AA513*IncaG</f>
        <v>556.39111111111106</v>
      </c>
      <c r="AC513" s="74">
        <f>AA513*Canvas</f>
        <v>17.453333333333333</v>
      </c>
      <c r="AD513" s="67">
        <f>Table1[[#This Row],[Substrate SF]]*IncaC</f>
        <v>44.511288888888885</v>
      </c>
      <c r="AE513" s="74">
        <f>IF(Table1[[#This Row],[Work Center]]="SwissQ",Materials!G$37,IF(Table1[[#This Row],[Work Center]]="Inca",Materials!G$29,IF(Table1[[#This Row],[Work Center]]="Canon",Materials!G$49,Materials!G$45)))</f>
        <v>8</v>
      </c>
      <c r="AF513" s="74">
        <f>'Cali FPS'!C121</f>
        <v>188.18</v>
      </c>
      <c r="AG513" s="84"/>
      <c r="AH513" s="112">
        <f t="shared" si="173"/>
        <v>127.5</v>
      </c>
      <c r="AI513" s="112"/>
      <c r="AJ513" s="67">
        <f t="shared" si="171"/>
        <v>385.64462222222221</v>
      </c>
      <c r="AK513" s="62">
        <f t="shared" si="162"/>
        <v>0.84876681481481486</v>
      </c>
      <c r="AL513" s="225">
        <f>Table1[[#This Row],[WSP/Dealer]]/Table1[[#This Row],[OD Sq Inch]]</f>
        <v>0.88541666666666663</v>
      </c>
      <c r="AM513" s="63">
        <f>Table1[[#This Row],[OD Wdth]]*Table1[[#This Row],[OD Hgt]]</f>
        <v>2880</v>
      </c>
      <c r="AN513" s="238">
        <f>Table1[[#This Row],[Min VO]]+Table1[[#This Row],[Max VO]]</f>
        <v>108</v>
      </c>
      <c r="AO513" s="84"/>
      <c r="AP513" s="84"/>
      <c r="AQ513" s="126"/>
      <c r="AR513" s="126"/>
      <c r="AS513" s="126"/>
      <c r="AT513" s="74"/>
      <c r="AU513" s="1357" t="str">
        <f t="shared" si="165"/>
        <v>-</v>
      </c>
    </row>
    <row r="514" spans="1:47" s="103" customFormat="1" hidden="1" x14ac:dyDescent="0.2">
      <c r="A514" s="421" t="s">
        <v>187</v>
      </c>
      <c r="B514" s="1061" t="s">
        <v>261</v>
      </c>
      <c r="C514" s="430" t="s">
        <v>1421</v>
      </c>
      <c r="D514" s="94"/>
      <c r="E514" s="430" t="s">
        <v>1420</v>
      </c>
      <c r="F514" s="441" t="s">
        <v>737</v>
      </c>
      <c r="G514" s="431" t="s">
        <v>191</v>
      </c>
      <c r="H514" s="421" t="s">
        <v>1422</v>
      </c>
      <c r="I514" s="431" t="s">
        <v>52</v>
      </c>
      <c r="J514" s="451" t="s">
        <v>53</v>
      </c>
      <c r="K514" s="431" t="s">
        <v>1410</v>
      </c>
      <c r="L514" s="421" t="s">
        <v>70</v>
      </c>
      <c r="M514" s="429">
        <v>2950</v>
      </c>
      <c r="N514" s="71"/>
      <c r="O514" s="421" t="s">
        <v>56</v>
      </c>
      <c r="P514" s="421">
        <v>48</v>
      </c>
      <c r="Q514" s="421">
        <v>60</v>
      </c>
      <c r="R514" s="421">
        <v>48</v>
      </c>
      <c r="S514" s="421">
        <v>60</v>
      </c>
      <c r="T514" s="421">
        <v>50</v>
      </c>
      <c r="U514" s="421">
        <v>62</v>
      </c>
      <c r="V514" s="1316">
        <f t="shared" si="178"/>
        <v>56</v>
      </c>
      <c r="W514" s="1316">
        <f t="shared" si="179"/>
        <v>68</v>
      </c>
      <c r="X514" s="189">
        <v>69</v>
      </c>
      <c r="Y514" s="421"/>
      <c r="Z514" s="421"/>
      <c r="AA514" s="836">
        <f t="shared" si="172"/>
        <v>26.444444444444443</v>
      </c>
      <c r="AB514" s="725">
        <f>AA514*IncaG</f>
        <v>556.39111111111106</v>
      </c>
      <c r="AC514" s="426">
        <f>AA514*Canvas</f>
        <v>17.453333333333333</v>
      </c>
      <c r="AD514" s="426">
        <f>Table1[[#This Row],[Substrate SF]]*IncaC</f>
        <v>44.511288888888885</v>
      </c>
      <c r="AE514" s="426">
        <f>IF(Table1[[#This Row],[Work Center]]="SwissQ",Materials!G$37,IF(Table1[[#This Row],[Work Center]]="Inca",Materials!G$29,IF(Table1[[#This Row],[Work Center]]="Canon",Materials!G$49,Materials!G$45)))</f>
        <v>8</v>
      </c>
      <c r="AF514" s="426">
        <f>'Cali Frames'!D335</f>
        <v>258.27999999999997</v>
      </c>
      <c r="AG514" s="450"/>
      <c r="AH514" s="112">
        <f t="shared" si="173"/>
        <v>147.5</v>
      </c>
      <c r="AI514" s="112"/>
      <c r="AJ514" s="426">
        <f t="shared" si="171"/>
        <v>475.74462222222218</v>
      </c>
      <c r="AK514" s="62">
        <f t="shared" si="162"/>
        <v>0.83873063653484003</v>
      </c>
      <c r="AL514" s="225">
        <f>Table1[[#This Row],[WSP/Dealer]]/Table1[[#This Row],[OD Sq Inch]]</f>
        <v>0.95161290322580649</v>
      </c>
      <c r="AM514" s="421">
        <f>Table1[[#This Row],[OD Wdth]]*Table1[[#This Row],[OD Hgt]]</f>
        <v>3100</v>
      </c>
      <c r="AN514" s="987">
        <f>Table1[[#This Row],[Min VO]]+Table1[[#This Row],[Max VO]]</f>
        <v>108</v>
      </c>
      <c r="AO514" s="450"/>
      <c r="AP514" s="450"/>
      <c r="AQ514" s="956"/>
      <c r="AR514" s="956"/>
      <c r="AS514" s="956"/>
      <c r="AT514" s="426"/>
      <c r="AU514" s="1374" t="str">
        <f t="shared" si="165"/>
        <v>-</v>
      </c>
    </row>
    <row r="515" spans="1:47" s="103" customFormat="1" hidden="1" x14ac:dyDescent="0.2">
      <c r="A515" s="421" t="s">
        <v>187</v>
      </c>
      <c r="B515" s="1061" t="s">
        <v>261</v>
      </c>
      <c r="C515" s="430" t="s">
        <v>1423</v>
      </c>
      <c r="D515" s="94"/>
      <c r="E515" s="430" t="s">
        <v>1420</v>
      </c>
      <c r="F515" s="441" t="s">
        <v>737</v>
      </c>
      <c r="G515" s="431" t="s">
        <v>191</v>
      </c>
      <c r="H515" s="421" t="s">
        <v>1422</v>
      </c>
      <c r="I515" s="431" t="s">
        <v>52</v>
      </c>
      <c r="J515" s="451" t="s">
        <v>53</v>
      </c>
      <c r="K515" s="431" t="s">
        <v>1412</v>
      </c>
      <c r="L515" s="421" t="s">
        <v>73</v>
      </c>
      <c r="M515" s="429">
        <v>2950</v>
      </c>
      <c r="N515" s="71"/>
      <c r="O515" s="421" t="s">
        <v>56</v>
      </c>
      <c r="P515" s="421">
        <v>48</v>
      </c>
      <c r="Q515" s="421">
        <v>60</v>
      </c>
      <c r="R515" s="421">
        <v>48</v>
      </c>
      <c r="S515" s="421">
        <v>60</v>
      </c>
      <c r="T515" s="421">
        <v>50</v>
      </c>
      <c r="U515" s="421">
        <v>62</v>
      </c>
      <c r="V515" s="1316">
        <f t="shared" si="178"/>
        <v>56</v>
      </c>
      <c r="W515" s="1316">
        <f t="shared" si="179"/>
        <v>68</v>
      </c>
      <c r="X515" s="189">
        <v>69</v>
      </c>
      <c r="Y515" s="421"/>
      <c r="Z515" s="421"/>
      <c r="AA515" s="836">
        <f t="shared" si="172"/>
        <v>26.444444444444443</v>
      </c>
      <c r="AB515" s="725">
        <f>AA515*IncaG</f>
        <v>556.39111111111106</v>
      </c>
      <c r="AC515" s="426">
        <f>AA515*Canvas</f>
        <v>17.453333333333333</v>
      </c>
      <c r="AD515" s="426">
        <f>Table1[[#This Row],[Substrate SF]]*IncaC</f>
        <v>44.511288888888885</v>
      </c>
      <c r="AE515" s="426">
        <f>IF(Table1[[#This Row],[Work Center]]="SwissQ",Materials!G$37,IF(Table1[[#This Row],[Work Center]]="Inca",Materials!G$29,IF(Table1[[#This Row],[Work Center]]="Canon",Materials!G$49,Materials!G$45)))</f>
        <v>8</v>
      </c>
      <c r="AF515" s="426">
        <f>'Cali Frames'!D470</f>
        <v>263.70999999999998</v>
      </c>
      <c r="AG515" s="450"/>
      <c r="AH515" s="112">
        <f t="shared" si="173"/>
        <v>147.5</v>
      </c>
      <c r="AI515" s="112"/>
      <c r="AJ515" s="426">
        <f t="shared" si="171"/>
        <v>481.17462222222218</v>
      </c>
      <c r="AK515" s="62">
        <f t="shared" si="162"/>
        <v>0.83688995856873816</v>
      </c>
      <c r="AL515" s="225">
        <f>Table1[[#This Row],[WSP/Dealer]]/Table1[[#This Row],[OD Sq Inch]]</f>
        <v>0.95161290322580649</v>
      </c>
      <c r="AM515" s="421">
        <f>Table1[[#This Row],[OD Wdth]]*Table1[[#This Row],[OD Hgt]]</f>
        <v>3100</v>
      </c>
      <c r="AN515" s="987">
        <f>Table1[[#This Row],[Min VO]]+Table1[[#This Row],[Max VO]]</f>
        <v>108</v>
      </c>
      <c r="AO515" s="450"/>
      <c r="AP515" s="450"/>
      <c r="AQ515" s="956"/>
      <c r="AR515" s="956"/>
      <c r="AS515" s="956"/>
      <c r="AT515" s="426"/>
      <c r="AU515" s="1374" t="str">
        <f t="shared" si="165"/>
        <v>-</v>
      </c>
    </row>
    <row r="516" spans="1:47" s="103" customFormat="1" hidden="1" x14ac:dyDescent="0.2">
      <c r="A516" s="68" t="s">
        <v>187</v>
      </c>
      <c r="B516" s="1061" t="s">
        <v>261</v>
      </c>
      <c r="C516" s="436" t="s">
        <v>1424</v>
      </c>
      <c r="D516" s="94"/>
      <c r="E516" s="436" t="s">
        <v>1425</v>
      </c>
      <c r="F516" s="275" t="s">
        <v>737</v>
      </c>
      <c r="G516" s="258" t="s">
        <v>191</v>
      </c>
      <c r="H516" s="68" t="s">
        <v>1048</v>
      </c>
      <c r="I516" s="274" t="s">
        <v>108</v>
      </c>
      <c r="J516" s="68" t="s">
        <v>197</v>
      </c>
      <c r="K516" s="274" t="s">
        <v>198</v>
      </c>
      <c r="L516" s="274" t="s">
        <v>199</v>
      </c>
      <c r="M516" s="695">
        <v>120</v>
      </c>
      <c r="N516" s="71"/>
      <c r="O516" s="68" t="s">
        <v>56</v>
      </c>
      <c r="P516" s="68">
        <v>48</v>
      </c>
      <c r="Q516" s="68">
        <v>60</v>
      </c>
      <c r="R516" s="68">
        <v>48</v>
      </c>
      <c r="S516" s="68">
        <v>60</v>
      </c>
      <c r="T516" s="68">
        <v>48</v>
      </c>
      <c r="U516" s="68">
        <v>60</v>
      </c>
      <c r="V516" s="917">
        <f t="shared" si="178"/>
        <v>48</v>
      </c>
      <c r="W516" s="917">
        <f t="shared" si="179"/>
        <v>60</v>
      </c>
      <c r="X516" s="343" t="s">
        <v>197</v>
      </c>
      <c r="Y516" s="68"/>
      <c r="Z516" s="68"/>
      <c r="AA516" s="699">
        <f t="shared" si="172"/>
        <v>20</v>
      </c>
      <c r="AB516" s="297">
        <f>AA516*IncaGR</f>
        <v>20.399999999999999</v>
      </c>
      <c r="AC516" s="74">
        <f>Table1[[#This Row],[Substrate SF]]*POster</f>
        <v>14.879999999999999</v>
      </c>
      <c r="AD516" s="240">
        <f>Table1[[#This Row],[Ink g/mL]]*IncaCR</f>
        <v>1.6319999999999999</v>
      </c>
      <c r="AE516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516" s="73">
        <v>0</v>
      </c>
      <c r="AG516" s="126">
        <f>Materials!D$76</f>
        <v>10.82</v>
      </c>
      <c r="AH516" s="498">
        <f t="shared" si="173"/>
        <v>6</v>
      </c>
      <c r="AI516" s="498"/>
      <c r="AJ516" s="278">
        <f t="shared" si="171"/>
        <v>43.332000000000001</v>
      </c>
      <c r="AK516" s="650">
        <f t="shared" si="162"/>
        <v>0.63890000000000002</v>
      </c>
      <c r="AL516" s="225">
        <f>Table1[[#This Row],[WSP/Dealer]]/Table1[[#This Row],[OD Sq Inch]]</f>
        <v>4.1666666666666664E-2</v>
      </c>
      <c r="AM516" s="274">
        <f>Table1[[#This Row],[OD Wdth]]*Table1[[#This Row],[OD Hgt]]</f>
        <v>2880</v>
      </c>
      <c r="AN516" s="84"/>
      <c r="AO516" s="84"/>
      <c r="AP516" s="84"/>
      <c r="AQ516" s="126"/>
      <c r="AR516" s="126"/>
      <c r="AS516" s="126"/>
      <c r="AT516" s="74"/>
      <c r="AU516" s="1357" t="str">
        <f t="shared" si="165"/>
        <v>-</v>
      </c>
    </row>
    <row r="517" spans="1:47" s="103" customFormat="1" x14ac:dyDescent="0.2">
      <c r="A517" s="86" t="s">
        <v>58</v>
      </c>
      <c r="B517" s="1061" t="s">
        <v>740</v>
      </c>
      <c r="C517" s="100" t="s">
        <v>1426</v>
      </c>
      <c r="D517" s="94"/>
      <c r="E517" s="85" t="s">
        <v>1427</v>
      </c>
      <c r="F517" s="85" t="s">
        <v>737</v>
      </c>
      <c r="G517" s="86" t="s">
        <v>738</v>
      </c>
      <c r="H517" s="86" t="s">
        <v>739</v>
      </c>
      <c r="I517" s="86" t="s">
        <v>52</v>
      </c>
      <c r="J517" s="86" t="s">
        <v>53</v>
      </c>
      <c r="K517" s="86" t="s">
        <v>69</v>
      </c>
      <c r="L517" s="86" t="s">
        <v>70</v>
      </c>
      <c r="M517" s="87">
        <v>850</v>
      </c>
      <c r="N517" s="639">
        <v>800</v>
      </c>
      <c r="O517" s="101" t="s">
        <v>56</v>
      </c>
      <c r="P517" s="101">
        <v>36</v>
      </c>
      <c r="Q517" s="101">
        <v>45</v>
      </c>
      <c r="R517" s="101">
        <v>36</v>
      </c>
      <c r="S517" s="697">
        <v>45</v>
      </c>
      <c r="T517" s="697">
        <v>36</v>
      </c>
      <c r="U517" s="697">
        <v>45</v>
      </c>
      <c r="V517" s="608">
        <f t="shared" si="178"/>
        <v>44</v>
      </c>
      <c r="W517" s="608">
        <f t="shared" si="179"/>
        <v>53</v>
      </c>
      <c r="X517" s="137">
        <v>53</v>
      </c>
      <c r="Y517" s="101"/>
      <c r="Z517" s="101"/>
      <c r="AA517" s="649">
        <f t="shared" si="172"/>
        <v>16.194444444444443</v>
      </c>
      <c r="AB517" s="184">
        <f>AA517*IncaG</f>
        <v>340.73111111111109</v>
      </c>
      <c r="AC517" s="104">
        <f>AA517*Canvas</f>
        <v>10.688333333333333</v>
      </c>
      <c r="AD517" s="107">
        <f>Table1[[#This Row],[Substrate SF]]*IncaC</f>
        <v>27.258488888888888</v>
      </c>
      <c r="AE517" s="104">
        <f>IF(Table1[[#This Row],[Work Center]]="SwissQ",Materials!G$37,IF(Table1[[#This Row],[Work Center]]="Inca",Materials!G$29,IF(Table1[[#This Row],[Work Center]]="Canon",Materials!G$49,Materials!G$45)))</f>
        <v>8</v>
      </c>
      <c r="AF517" s="104">
        <f>'Cali Frames'!D$299</f>
        <v>152.3725</v>
      </c>
      <c r="AG517" s="115"/>
      <c r="AH517" s="498">
        <f t="shared" si="173"/>
        <v>42.5</v>
      </c>
      <c r="AI517" s="498"/>
      <c r="AJ517" s="104">
        <f t="shared" si="171"/>
        <v>240.81932222222224</v>
      </c>
      <c r="AK517" s="650">
        <f t="shared" si="162"/>
        <v>0.71668315032679741</v>
      </c>
      <c r="AL517" s="225">
        <f>Table1[[#This Row],[WSP/Dealer]]/Table1[[#This Row],[OD Sq Inch]]</f>
        <v>0.52469135802469136</v>
      </c>
      <c r="AM517" s="218">
        <f>Table1[[#This Row],[OD Wdth]]*Table1[[#This Row],[OD Hgt]]</f>
        <v>1620</v>
      </c>
      <c r="AN517" s="216">
        <f>Table1[[#This Row],[Min VO]]+Table1[[#This Row],[Max VO]]</f>
        <v>81</v>
      </c>
      <c r="AO517" s="101"/>
      <c r="AP517" s="101"/>
      <c r="AQ517" s="104"/>
      <c r="AR517" s="104"/>
      <c r="AS517" s="104"/>
      <c r="AT517" s="104"/>
      <c r="AU517" s="830" t="str">
        <f t="shared" si="165"/>
        <v>-</v>
      </c>
    </row>
    <row r="518" spans="1:47" s="46" customFormat="1" x14ac:dyDescent="0.2">
      <c r="A518" s="86" t="s">
        <v>58</v>
      </c>
      <c r="B518" s="1061" t="s">
        <v>740</v>
      </c>
      <c r="C518" s="100" t="s">
        <v>1428</v>
      </c>
      <c r="D518" s="94"/>
      <c r="E518" s="85" t="s">
        <v>1429</v>
      </c>
      <c r="F518" s="85" t="s">
        <v>737</v>
      </c>
      <c r="G518" s="86" t="s">
        <v>743</v>
      </c>
      <c r="H518" s="86" t="s">
        <v>191</v>
      </c>
      <c r="I518" s="86" t="s">
        <v>52</v>
      </c>
      <c r="J518" s="86" t="s">
        <v>53</v>
      </c>
      <c r="K518" s="86" t="s">
        <v>69</v>
      </c>
      <c r="L518" s="86" t="s">
        <v>70</v>
      </c>
      <c r="M518" s="87">
        <v>1250</v>
      </c>
      <c r="N518" s="639">
        <v>1100</v>
      </c>
      <c r="O518" s="101" t="s">
        <v>56</v>
      </c>
      <c r="P518" s="101">
        <v>47</v>
      </c>
      <c r="Q518" s="101">
        <v>59</v>
      </c>
      <c r="R518" s="101">
        <v>47</v>
      </c>
      <c r="S518" s="697">
        <v>59</v>
      </c>
      <c r="T518" s="697">
        <v>47</v>
      </c>
      <c r="U518" s="697">
        <v>59</v>
      </c>
      <c r="V518" s="608">
        <f t="shared" si="178"/>
        <v>55</v>
      </c>
      <c r="W518" s="608">
        <f t="shared" si="179"/>
        <v>67</v>
      </c>
      <c r="X518" s="137">
        <v>69</v>
      </c>
      <c r="Y518" s="101"/>
      <c r="Z518" s="101"/>
      <c r="AA518" s="649">
        <f t="shared" si="172"/>
        <v>25.590277777777779</v>
      </c>
      <c r="AB518" s="184">
        <f>AA518*IncaG</f>
        <v>538.41944444444448</v>
      </c>
      <c r="AC518" s="104">
        <f>AA518*Canvas</f>
        <v>16.889583333333334</v>
      </c>
      <c r="AD518" s="104">
        <f>Table1[[#This Row],[Substrate SF]]*IncaC</f>
        <v>43.073555555555558</v>
      </c>
      <c r="AE518" s="104">
        <f>IF(Table1[[#This Row],[Work Center]]="SwissQ",Materials!G$37,IF(Table1[[#This Row],[Work Center]]="Inca",Materials!G$29,IF(Table1[[#This Row],[Work Center]]="Canon",Materials!G$49,Materials!G$45)))</f>
        <v>8</v>
      </c>
      <c r="AF518" s="104">
        <f>'Cali Frames'!D$327</f>
        <v>240.625</v>
      </c>
      <c r="AG518" s="115"/>
      <c r="AH518" s="112">
        <f t="shared" si="173"/>
        <v>62.5</v>
      </c>
      <c r="AI518" s="112"/>
      <c r="AJ518" s="104">
        <f t="shared" si="171"/>
        <v>371.08813888888892</v>
      </c>
      <c r="AK518" s="62">
        <f t="shared" si="162"/>
        <v>0.70312948888888882</v>
      </c>
      <c r="AL518" s="225">
        <f>Table1[[#This Row],[WSP/Dealer]]/Table1[[#This Row],[OD Sq Inch]]</f>
        <v>0.45077533357374683</v>
      </c>
      <c r="AM518" s="101">
        <f>Table1[[#This Row],[OD Wdth]]*Table1[[#This Row],[OD Hgt]]</f>
        <v>2773</v>
      </c>
      <c r="AN518" s="216">
        <f>Table1[[#This Row],[Min VO]]+Table1[[#This Row],[Max VO]]</f>
        <v>106</v>
      </c>
      <c r="AO518" s="101"/>
      <c r="AP518" s="101"/>
      <c r="AQ518" s="104"/>
      <c r="AR518" s="104"/>
      <c r="AS518" s="104"/>
      <c r="AT518" s="104"/>
      <c r="AU518" s="830" t="str">
        <f t="shared" si="165"/>
        <v>-</v>
      </c>
    </row>
    <row r="519" spans="1:47" s="63" customFormat="1" hidden="1" x14ac:dyDescent="0.2">
      <c r="A519" s="68" t="s">
        <v>187</v>
      </c>
      <c r="B519" s="1061" t="s">
        <v>261</v>
      </c>
      <c r="C519" s="444" t="s">
        <v>1430</v>
      </c>
      <c r="D519" s="94"/>
      <c r="E519" s="444" t="s">
        <v>1431</v>
      </c>
      <c r="F519" s="275" t="s">
        <v>737</v>
      </c>
      <c r="G519" s="258" t="s">
        <v>191</v>
      </c>
      <c r="H519" s="68" t="s">
        <v>1048</v>
      </c>
      <c r="I519" s="258" t="s">
        <v>52</v>
      </c>
      <c r="J519" s="140" t="s">
        <v>53</v>
      </c>
      <c r="K519" s="258" t="s">
        <v>281</v>
      </c>
      <c r="L519" s="68" t="s">
        <v>55</v>
      </c>
      <c r="M519" s="445">
        <v>2550</v>
      </c>
      <c r="N519" s="71"/>
      <c r="O519" s="68" t="s">
        <v>56</v>
      </c>
      <c r="P519" s="68">
        <v>48</v>
      </c>
      <c r="Q519" s="68">
        <v>60</v>
      </c>
      <c r="R519" s="68">
        <v>48</v>
      </c>
      <c r="S519" s="68">
        <v>60</v>
      </c>
      <c r="T519" s="68">
        <v>48</v>
      </c>
      <c r="U519" s="68">
        <v>60</v>
      </c>
      <c r="V519" s="917">
        <f t="shared" si="178"/>
        <v>56</v>
      </c>
      <c r="W519" s="917">
        <f t="shared" si="179"/>
        <v>68</v>
      </c>
      <c r="X519" s="189">
        <v>69</v>
      </c>
      <c r="Y519" s="68"/>
      <c r="Z519" s="68"/>
      <c r="AA519" s="699">
        <f t="shared" si="172"/>
        <v>26.444444444444443</v>
      </c>
      <c r="AB519" s="297">
        <f>AA519*IncaG</f>
        <v>556.39111111111106</v>
      </c>
      <c r="AC519" s="74">
        <f>AA519*Canvas</f>
        <v>17.453333333333333</v>
      </c>
      <c r="AD519" s="74">
        <f>Table1[[#This Row],[Substrate SF]]*IncaC</f>
        <v>44.511288888888885</v>
      </c>
      <c r="AE519" s="74">
        <f>IF(Table1[[#This Row],[Work Center]]="SwissQ",Materials!G$37,IF(Table1[[#This Row],[Work Center]]="Inca",Materials!G$29,IF(Table1[[#This Row],[Work Center]]="Canon",Materials!G$49,Materials!G$45)))</f>
        <v>8</v>
      </c>
      <c r="AF519" s="74">
        <f>'Cali FPS'!C121</f>
        <v>188.18</v>
      </c>
      <c r="AG519" s="84"/>
      <c r="AH519" s="112">
        <f t="shared" si="173"/>
        <v>127.5</v>
      </c>
      <c r="AI519" s="112"/>
      <c r="AJ519" s="74">
        <f t="shared" si="171"/>
        <v>385.64462222222221</v>
      </c>
      <c r="AK519" s="62">
        <f t="shared" si="162"/>
        <v>0.84876681481481486</v>
      </c>
      <c r="AL519" s="225">
        <f>Table1[[#This Row],[WSP/Dealer]]/Table1[[#This Row],[OD Sq Inch]]</f>
        <v>0.88541666666666663</v>
      </c>
      <c r="AM519" s="68">
        <f>Table1[[#This Row],[OD Wdth]]*Table1[[#This Row],[OD Hgt]]</f>
        <v>2880</v>
      </c>
      <c r="AN519" s="238">
        <f>Table1[[#This Row],[Min VO]]+Table1[[#This Row],[Max VO]]</f>
        <v>108</v>
      </c>
      <c r="AO519" s="84"/>
      <c r="AP519" s="84"/>
      <c r="AQ519" s="126"/>
      <c r="AR519" s="126"/>
      <c r="AS519" s="126"/>
      <c r="AT519" s="74"/>
      <c r="AU519" s="1357" t="str">
        <f t="shared" si="165"/>
        <v>-</v>
      </c>
    </row>
    <row r="520" spans="1:47" s="423" customFormat="1" hidden="1" x14ac:dyDescent="0.2">
      <c r="A520" s="421" t="s">
        <v>187</v>
      </c>
      <c r="B520" s="1061" t="s">
        <v>261</v>
      </c>
      <c r="C520" s="430" t="s">
        <v>1432</v>
      </c>
      <c r="D520" s="94"/>
      <c r="E520" s="430" t="s">
        <v>1431</v>
      </c>
      <c r="F520" s="441" t="s">
        <v>737</v>
      </c>
      <c r="G520" s="431" t="s">
        <v>191</v>
      </c>
      <c r="H520" s="421" t="s">
        <v>1422</v>
      </c>
      <c r="I520" s="431" t="s">
        <v>52</v>
      </c>
      <c r="J520" s="451" t="s">
        <v>53</v>
      </c>
      <c r="K520" s="431" t="s">
        <v>1410</v>
      </c>
      <c r="L520" s="421" t="s">
        <v>70</v>
      </c>
      <c r="M520" s="429">
        <v>2950</v>
      </c>
      <c r="N520" s="71"/>
      <c r="O520" s="421" t="s">
        <v>56</v>
      </c>
      <c r="P520" s="421">
        <v>48</v>
      </c>
      <c r="Q520" s="421">
        <v>60</v>
      </c>
      <c r="R520" s="421">
        <v>48</v>
      </c>
      <c r="S520" s="421">
        <v>60</v>
      </c>
      <c r="T520" s="421">
        <v>50</v>
      </c>
      <c r="U520" s="421">
        <v>62</v>
      </c>
      <c r="V520" s="1316">
        <f t="shared" si="178"/>
        <v>56</v>
      </c>
      <c r="W520" s="1316">
        <f t="shared" si="179"/>
        <v>68</v>
      </c>
      <c r="X520" s="189">
        <v>69</v>
      </c>
      <c r="Y520" s="421"/>
      <c r="Z520" s="421"/>
      <c r="AA520" s="836">
        <f t="shared" si="172"/>
        <v>26.444444444444443</v>
      </c>
      <c r="AB520" s="725">
        <f>AA520*IncaG</f>
        <v>556.39111111111106</v>
      </c>
      <c r="AC520" s="426">
        <f>AA520*Canvas</f>
        <v>17.453333333333333</v>
      </c>
      <c r="AD520" s="426">
        <f>Table1[[#This Row],[Substrate SF]]*IncaC</f>
        <v>44.511288888888885</v>
      </c>
      <c r="AE520" s="426">
        <f>IF(Table1[[#This Row],[Work Center]]="SwissQ",Materials!G$37,IF(Table1[[#This Row],[Work Center]]="Inca",Materials!G$29,IF(Table1[[#This Row],[Work Center]]="Canon",Materials!G$49,Materials!G$45)))</f>
        <v>8</v>
      </c>
      <c r="AF520" s="426">
        <f>'Cali Frames'!D335</f>
        <v>258.27999999999997</v>
      </c>
      <c r="AG520" s="450"/>
      <c r="AH520" s="112">
        <f t="shared" si="173"/>
        <v>147.5</v>
      </c>
      <c r="AI520" s="112"/>
      <c r="AJ520" s="426">
        <f t="shared" si="171"/>
        <v>475.74462222222218</v>
      </c>
      <c r="AK520" s="62">
        <f t="shared" si="162"/>
        <v>0.83873063653484003</v>
      </c>
      <c r="AL520" s="225">
        <f>Table1[[#This Row],[WSP/Dealer]]/Table1[[#This Row],[OD Sq Inch]]</f>
        <v>0.95161290322580649</v>
      </c>
      <c r="AM520" s="421">
        <f>Table1[[#This Row],[OD Wdth]]*Table1[[#This Row],[OD Hgt]]</f>
        <v>3100</v>
      </c>
      <c r="AN520" s="987">
        <f>Table1[[#This Row],[Min VO]]+Table1[[#This Row],[Max VO]]</f>
        <v>108</v>
      </c>
      <c r="AO520" s="450"/>
      <c r="AP520" s="450"/>
      <c r="AQ520" s="956"/>
      <c r="AR520" s="956"/>
      <c r="AS520" s="956"/>
      <c r="AT520" s="426"/>
      <c r="AU520" s="1374" t="str">
        <f t="shared" si="165"/>
        <v>-</v>
      </c>
    </row>
    <row r="521" spans="1:47" s="235" customFormat="1" hidden="1" x14ac:dyDescent="0.2">
      <c r="A521" s="421" t="s">
        <v>187</v>
      </c>
      <c r="B521" s="1061" t="s">
        <v>261</v>
      </c>
      <c r="C521" s="430" t="s">
        <v>1433</v>
      </c>
      <c r="D521" s="94"/>
      <c r="E521" s="430" t="s">
        <v>1431</v>
      </c>
      <c r="F521" s="441" t="s">
        <v>737</v>
      </c>
      <c r="G521" s="431" t="s">
        <v>191</v>
      </c>
      <c r="H521" s="421" t="s">
        <v>1422</v>
      </c>
      <c r="I521" s="431" t="s">
        <v>52</v>
      </c>
      <c r="J521" s="451" t="s">
        <v>53</v>
      </c>
      <c r="K521" s="431" t="s">
        <v>1412</v>
      </c>
      <c r="L521" s="421" t="s">
        <v>73</v>
      </c>
      <c r="M521" s="429">
        <v>2950</v>
      </c>
      <c r="N521" s="71"/>
      <c r="O521" s="421" t="s">
        <v>56</v>
      </c>
      <c r="P521" s="421">
        <v>48</v>
      </c>
      <c r="Q521" s="421">
        <v>60</v>
      </c>
      <c r="R521" s="421">
        <v>48</v>
      </c>
      <c r="S521" s="421">
        <v>60</v>
      </c>
      <c r="T521" s="421">
        <v>50</v>
      </c>
      <c r="U521" s="421">
        <v>62</v>
      </c>
      <c r="V521" s="443">
        <f t="shared" si="178"/>
        <v>56</v>
      </c>
      <c r="W521" s="443">
        <f t="shared" si="179"/>
        <v>68</v>
      </c>
      <c r="X521" s="189">
        <v>69</v>
      </c>
      <c r="Y521" s="421"/>
      <c r="Z521" s="421"/>
      <c r="AA521" s="836">
        <f t="shared" si="172"/>
        <v>26.444444444444443</v>
      </c>
      <c r="AB521" s="725">
        <f>AA521*IncaG</f>
        <v>556.39111111111106</v>
      </c>
      <c r="AC521" s="426">
        <f>AA521*Canvas</f>
        <v>17.453333333333333</v>
      </c>
      <c r="AD521" s="424">
        <f>Table1[[#This Row],[Substrate SF]]*IncaC</f>
        <v>44.511288888888885</v>
      </c>
      <c r="AE521" s="426">
        <f>IF(Table1[[#This Row],[Work Center]]="SwissQ",Materials!G$37,IF(Table1[[#This Row],[Work Center]]="Inca",Materials!G$29,IF(Table1[[#This Row],[Work Center]]="Canon",Materials!G$49,Materials!G$45)))</f>
        <v>8</v>
      </c>
      <c r="AF521" s="426">
        <f>'Cali Frames'!D470</f>
        <v>263.70999999999998</v>
      </c>
      <c r="AG521" s="450"/>
      <c r="AH521" s="112">
        <f t="shared" si="173"/>
        <v>147.5</v>
      </c>
      <c r="AI521" s="112"/>
      <c r="AJ521" s="426">
        <f t="shared" si="171"/>
        <v>481.17462222222218</v>
      </c>
      <c r="AK521" s="62">
        <f t="shared" si="162"/>
        <v>0.83688995856873816</v>
      </c>
      <c r="AL521" s="225">
        <f>Table1[[#This Row],[WSP/Dealer]]/Table1[[#This Row],[OD Sq Inch]]</f>
        <v>0.95161290322580649</v>
      </c>
      <c r="AM521" s="423">
        <f>Table1[[#This Row],[OD Wdth]]*Table1[[#This Row],[OD Hgt]]</f>
        <v>3100</v>
      </c>
      <c r="AN521" s="987">
        <f>Table1[[#This Row],[Min VO]]+Table1[[#This Row],[Max VO]]</f>
        <v>108</v>
      </c>
      <c r="AO521" s="450"/>
      <c r="AP521" s="450"/>
      <c r="AQ521" s="956"/>
      <c r="AR521" s="956"/>
      <c r="AS521" s="956"/>
      <c r="AT521" s="426"/>
      <c r="AU521" s="1374" t="str">
        <f t="shared" si="165"/>
        <v>-</v>
      </c>
    </row>
    <row r="522" spans="1:47" s="423" customFormat="1" hidden="1" x14ac:dyDescent="0.2">
      <c r="A522" s="68" t="s">
        <v>187</v>
      </c>
      <c r="B522" s="1061" t="s">
        <v>261</v>
      </c>
      <c r="C522" s="436" t="s">
        <v>1434</v>
      </c>
      <c r="D522" s="94"/>
      <c r="E522" s="436" t="s">
        <v>1435</v>
      </c>
      <c r="F522" s="275" t="s">
        <v>737</v>
      </c>
      <c r="G522" s="258" t="s">
        <v>191</v>
      </c>
      <c r="H522" s="68" t="s">
        <v>1048</v>
      </c>
      <c r="I522" s="274" t="s">
        <v>108</v>
      </c>
      <c r="J522" s="68" t="s">
        <v>197</v>
      </c>
      <c r="K522" s="274" t="s">
        <v>198</v>
      </c>
      <c r="L522" s="274" t="s">
        <v>199</v>
      </c>
      <c r="M522" s="455">
        <v>120</v>
      </c>
      <c r="N522" s="71"/>
      <c r="O522" s="68" t="s">
        <v>56</v>
      </c>
      <c r="P522" s="68">
        <v>48</v>
      </c>
      <c r="Q522" s="68">
        <v>60</v>
      </c>
      <c r="R522" s="68">
        <v>48</v>
      </c>
      <c r="S522" s="68">
        <v>60</v>
      </c>
      <c r="T522" s="68">
        <v>48</v>
      </c>
      <c r="U522" s="68">
        <v>60</v>
      </c>
      <c r="V522" s="917">
        <f t="shared" si="178"/>
        <v>48</v>
      </c>
      <c r="W522" s="917">
        <f t="shared" si="179"/>
        <v>60</v>
      </c>
      <c r="X522" s="343" t="s">
        <v>197</v>
      </c>
      <c r="Y522" s="68"/>
      <c r="Z522" s="68"/>
      <c r="AA522" s="699">
        <f t="shared" si="172"/>
        <v>20</v>
      </c>
      <c r="AB522" s="297">
        <f>AA522*IncaGR</f>
        <v>20.399999999999999</v>
      </c>
      <c r="AC522" s="74">
        <f>Table1[[#This Row],[Substrate SF]]*POster</f>
        <v>14.879999999999999</v>
      </c>
      <c r="AD522" s="240">
        <f>Table1[[#This Row],[Ink g/mL]]*IncaCR</f>
        <v>1.6319999999999999</v>
      </c>
      <c r="AE522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522" s="73">
        <v>0</v>
      </c>
      <c r="AG522" s="126">
        <f>Materials!D$76</f>
        <v>10.82</v>
      </c>
      <c r="AH522" s="112">
        <f t="shared" si="173"/>
        <v>6</v>
      </c>
      <c r="AI522" s="112"/>
      <c r="AJ522" s="278">
        <f t="shared" si="171"/>
        <v>43.332000000000001</v>
      </c>
      <c r="AK522" s="62">
        <f t="shared" si="162"/>
        <v>0.63890000000000002</v>
      </c>
      <c r="AL522" s="225">
        <f>Table1[[#This Row],[WSP/Dealer]]/Table1[[#This Row],[OD Sq Inch]]</f>
        <v>4.1666666666666664E-2</v>
      </c>
      <c r="AM522" s="274">
        <f>Table1[[#This Row],[OD Wdth]]*Table1[[#This Row],[OD Hgt]]</f>
        <v>2880</v>
      </c>
      <c r="AN522" s="84"/>
      <c r="AO522" s="84"/>
      <c r="AP522" s="84"/>
      <c r="AQ522" s="126"/>
      <c r="AR522" s="126"/>
      <c r="AS522" s="126"/>
      <c r="AT522" s="74"/>
      <c r="AU522" s="1357" t="str">
        <f t="shared" si="165"/>
        <v>-</v>
      </c>
    </row>
    <row r="523" spans="1:47" s="423" customFormat="1" x14ac:dyDescent="0.2">
      <c r="A523" s="101" t="s">
        <v>58</v>
      </c>
      <c r="B523" s="1067" t="s">
        <v>1436</v>
      </c>
      <c r="C523" s="625" t="s">
        <v>1437</v>
      </c>
      <c r="D523" s="168"/>
      <c r="E523" s="169" t="s">
        <v>1438</v>
      </c>
      <c r="F523" s="115" t="s">
        <v>308</v>
      </c>
      <c r="G523" s="407" t="s">
        <v>637</v>
      </c>
      <c r="H523" s="407" t="s">
        <v>637</v>
      </c>
      <c r="I523" s="101" t="s">
        <v>52</v>
      </c>
      <c r="J523" s="487" t="s">
        <v>53</v>
      </c>
      <c r="K523" s="101" t="s">
        <v>54</v>
      </c>
      <c r="L523" s="101" t="s">
        <v>55</v>
      </c>
      <c r="M523" s="299">
        <v>950</v>
      </c>
      <c r="N523" s="114"/>
      <c r="O523" s="101" t="s">
        <v>56</v>
      </c>
      <c r="P523" s="101">
        <v>60</v>
      </c>
      <c r="Q523" s="101">
        <v>48</v>
      </c>
      <c r="R523" s="101">
        <v>48</v>
      </c>
      <c r="S523" s="101">
        <v>60</v>
      </c>
      <c r="T523" s="101">
        <v>60</v>
      </c>
      <c r="U523" s="101">
        <v>48</v>
      </c>
      <c r="V523" s="1697">
        <f t="shared" si="178"/>
        <v>68</v>
      </c>
      <c r="W523" s="1697">
        <f t="shared" si="179"/>
        <v>56</v>
      </c>
      <c r="X523" s="101">
        <v>69</v>
      </c>
      <c r="Y523" s="101">
        <v>68</v>
      </c>
      <c r="Z523" s="101">
        <v>56</v>
      </c>
      <c r="AA523" s="1210">
        <f t="shared" si="172"/>
        <v>26.444444444444443</v>
      </c>
      <c r="AB523" s="1211">
        <f>AA523*IncaG</f>
        <v>556.39111111111106</v>
      </c>
      <c r="AC523" s="1700">
        <f>AA523*Canvas</f>
        <v>17.453333333333333</v>
      </c>
      <c r="AD523" s="1700">
        <f>Table1[[#This Row],[Substrate SF]]*IncaC</f>
        <v>44.511288888888885</v>
      </c>
      <c r="AE523" s="1212">
        <f>IF(Table1[[#This Row],[Work Center]]="SwissQ",Materials!G$37,IF(Table1[[#This Row],[Work Center]]="Inca",Materials!G$29,IF(Table1[[#This Row],[Work Center]]="Canon",Materials!G$49,Materials!G$45)))</f>
        <v>8</v>
      </c>
      <c r="AF523" s="102">
        <f>'Cali FPS'!C121</f>
        <v>188.18</v>
      </c>
      <c r="AG523" s="121"/>
      <c r="AH523" s="405">
        <f t="shared" si="173"/>
        <v>47.5</v>
      </c>
      <c r="AI523" s="405"/>
      <c r="AJ523" s="406">
        <f t="shared" si="171"/>
        <v>305.64462222222221</v>
      </c>
      <c r="AK523" s="1068">
        <f t="shared" si="162"/>
        <v>0.67826881871345035</v>
      </c>
      <c r="AL523" s="406">
        <f>Table1[[#This Row],[WSP/Dealer]]/Table1[[#This Row],[OD Sq Inch]]</f>
        <v>0.3298611111111111</v>
      </c>
      <c r="AM523" s="399">
        <f>Table1[[#This Row],[OD Wdth]]*Table1[[#This Row],[OD Hgt]]</f>
        <v>2880</v>
      </c>
      <c r="AN523" s="400">
        <f>Table1[[#This Row],[Min VO]]+Table1[[#This Row],[Max VO]]</f>
        <v>108</v>
      </c>
      <c r="AO523" s="115"/>
      <c r="AP523" s="115"/>
      <c r="AQ523" s="121"/>
      <c r="AR523" s="121"/>
      <c r="AS523" s="121"/>
      <c r="AT523" s="104"/>
      <c r="AU523" s="1359" t="str">
        <f t="shared" si="165"/>
        <v>-</v>
      </c>
    </row>
    <row r="524" spans="1:47" s="103" customFormat="1" x14ac:dyDescent="0.2">
      <c r="A524" s="68" t="s">
        <v>58</v>
      </c>
      <c r="B524" s="1152" t="s">
        <v>1436</v>
      </c>
      <c r="C524" s="627" t="s">
        <v>1439</v>
      </c>
      <c r="D524" s="94"/>
      <c r="E524" s="172" t="s">
        <v>1438</v>
      </c>
      <c r="F524" s="84" t="s">
        <v>308</v>
      </c>
      <c r="G524" s="363" t="s">
        <v>637</v>
      </c>
      <c r="H524" s="363" t="s">
        <v>1119</v>
      </c>
      <c r="I524" s="68" t="s">
        <v>52</v>
      </c>
      <c r="J524" s="140" t="s">
        <v>53</v>
      </c>
      <c r="K524" s="68" t="s">
        <v>69</v>
      </c>
      <c r="L524" s="68" t="s">
        <v>70</v>
      </c>
      <c r="M524" s="93">
        <v>1150</v>
      </c>
      <c r="N524" s="93"/>
      <c r="O524" s="68" t="s">
        <v>56</v>
      </c>
      <c r="P524" s="68">
        <v>60</v>
      </c>
      <c r="Q524" s="68">
        <v>48</v>
      </c>
      <c r="R524" s="68">
        <v>48</v>
      </c>
      <c r="S524" s="68">
        <v>60</v>
      </c>
      <c r="T524" s="68">
        <v>61</v>
      </c>
      <c r="U524" s="68">
        <v>49</v>
      </c>
      <c r="V524" s="443">
        <f t="shared" si="178"/>
        <v>68</v>
      </c>
      <c r="W524" s="443">
        <f t="shared" si="179"/>
        <v>56</v>
      </c>
      <c r="X524" s="68">
        <v>69</v>
      </c>
      <c r="Y524" s="68">
        <v>68</v>
      </c>
      <c r="Z524" s="68">
        <v>56</v>
      </c>
      <c r="AA524" s="836">
        <f t="shared" si="172"/>
        <v>26.444444444444443</v>
      </c>
      <c r="AB524" s="725">
        <f>AA524*IncaG</f>
        <v>556.39111111111106</v>
      </c>
      <c r="AC524" s="426">
        <f>AA524*Canvas</f>
        <v>17.453333333333333</v>
      </c>
      <c r="AD524" s="424">
        <f>Table1[[#This Row],[Substrate SF]]*IncaC</f>
        <v>44.511288888888885</v>
      </c>
      <c r="AE524" s="426">
        <f>IF(Table1[[#This Row],[Work Center]]="SwissQ",Materials!G$37,IF(Table1[[#This Row],[Work Center]]="Inca",Materials!G$29,IF(Table1[[#This Row],[Work Center]]="Canon",Materials!G$49,Materials!G$45)))</f>
        <v>8</v>
      </c>
      <c r="AF524" s="73">
        <f>'Cali Frames'!D335</f>
        <v>258.27999999999997</v>
      </c>
      <c r="AG524" s="126"/>
      <c r="AH524" s="74">
        <f t="shared" si="173"/>
        <v>57.5</v>
      </c>
      <c r="AI524" s="74"/>
      <c r="AJ524" s="74">
        <f t="shared" si="171"/>
        <v>385.74462222222218</v>
      </c>
      <c r="AK524" s="1001">
        <f t="shared" si="162"/>
        <v>0.66456989371980679</v>
      </c>
      <c r="AL524" s="74">
        <f>Table1[[#This Row],[WSP/Dealer]]/Table1[[#This Row],[OD Sq Inch]]</f>
        <v>0.38474406155904983</v>
      </c>
      <c r="AM524" s="63">
        <f>Table1[[#This Row],[OD Wdth]]*Table1[[#This Row],[OD Hgt]]</f>
        <v>2989</v>
      </c>
      <c r="AN524" s="68">
        <f>Table1[[#This Row],[Min VO]]+Table1[[#This Row],[Max VO]]</f>
        <v>108</v>
      </c>
      <c r="AO524" s="84"/>
      <c r="AP524" s="84"/>
      <c r="AQ524" s="126">
        <f>(Table1[[#This Row],[Desgnr/Retail P]]*0.05)</f>
        <v>0</v>
      </c>
      <c r="AR524" s="126" t="b">
        <f>IF(A524="Codarus",(AP524*0.13))</f>
        <v>0</v>
      </c>
      <c r="AS524" s="126" t="e" cm="1">
        <f t="array" ref="AS524">SUM(AC524:AG524+AQ+AR)</f>
        <v>#NAME?</v>
      </c>
      <c r="AT524" s="74" t="e">
        <f>(AP524-AS524)/AP524</f>
        <v>#NAME?</v>
      </c>
      <c r="AU524" s="1357" t="str">
        <f t="shared" si="165"/>
        <v>-</v>
      </c>
    </row>
    <row r="525" spans="1:47" s="119" customFormat="1" x14ac:dyDescent="0.2">
      <c r="A525" s="101" t="s">
        <v>58</v>
      </c>
      <c r="B525" s="1064" t="s">
        <v>1436</v>
      </c>
      <c r="C525" s="625" t="s">
        <v>1440</v>
      </c>
      <c r="D525" s="168"/>
      <c r="E525" s="169" t="s">
        <v>1441</v>
      </c>
      <c r="F525" s="115" t="s">
        <v>308</v>
      </c>
      <c r="G525" s="407" t="s">
        <v>637</v>
      </c>
      <c r="H525" s="407" t="s">
        <v>637</v>
      </c>
      <c r="I525" s="101" t="s">
        <v>52</v>
      </c>
      <c r="J525" s="487" t="s">
        <v>53</v>
      </c>
      <c r="K525" s="101" t="s">
        <v>54</v>
      </c>
      <c r="L525" s="101" t="s">
        <v>55</v>
      </c>
      <c r="M525" s="299">
        <v>950</v>
      </c>
      <c r="N525" s="114"/>
      <c r="O525" s="101" t="s">
        <v>56</v>
      </c>
      <c r="P525" s="101">
        <v>60</v>
      </c>
      <c r="Q525" s="101">
        <v>48</v>
      </c>
      <c r="R525" s="101">
        <v>48</v>
      </c>
      <c r="S525" s="101">
        <v>60</v>
      </c>
      <c r="T525" s="101">
        <v>60</v>
      </c>
      <c r="U525" s="101">
        <v>48</v>
      </c>
      <c r="V525" s="1697">
        <f t="shared" si="178"/>
        <v>68</v>
      </c>
      <c r="W525" s="1697">
        <f t="shared" si="179"/>
        <v>56</v>
      </c>
      <c r="X525" s="101">
        <v>69</v>
      </c>
      <c r="Y525" s="101">
        <v>68</v>
      </c>
      <c r="Z525" s="101">
        <v>56</v>
      </c>
      <c r="AA525" s="1210">
        <f t="shared" si="172"/>
        <v>26.444444444444443</v>
      </c>
      <c r="AB525" s="1211">
        <f>AA525*IncaG</f>
        <v>556.39111111111106</v>
      </c>
      <c r="AC525" s="1212">
        <f>AA525*Canvas</f>
        <v>17.453333333333333</v>
      </c>
      <c r="AD525" s="1700">
        <f>Table1[[#This Row],[Substrate SF]]*IncaC</f>
        <v>44.511288888888885</v>
      </c>
      <c r="AE525" s="1212">
        <f>IF(Table1[[#This Row],[Work Center]]="SwissQ",Materials!G$37,IF(Table1[[#This Row],[Work Center]]="Inca",Materials!G$29,IF(Table1[[#This Row],[Work Center]]="Canon",Materials!G$49,Materials!G$45)))</f>
        <v>8</v>
      </c>
      <c r="AF525" s="102">
        <f>'Cali FPS'!C121</f>
        <v>188.18</v>
      </c>
      <c r="AG525" s="121"/>
      <c r="AH525" s="406">
        <f t="shared" si="173"/>
        <v>47.5</v>
      </c>
      <c r="AI525" s="406"/>
      <c r="AJ525" s="406">
        <f t="shared" si="171"/>
        <v>305.64462222222221</v>
      </c>
      <c r="AK525" s="1065">
        <f t="shared" si="162"/>
        <v>0.67826881871345035</v>
      </c>
      <c r="AL525" s="406">
        <f>Table1[[#This Row],[WSP/Dealer]]/Table1[[#This Row],[OD Sq Inch]]</f>
        <v>0.3298611111111111</v>
      </c>
      <c r="AM525" s="399">
        <f>Table1[[#This Row],[OD Wdth]]*Table1[[#This Row],[OD Hgt]]</f>
        <v>2880</v>
      </c>
      <c r="AN525" s="400">
        <f>Table1[[#This Row],[Min VO]]+Table1[[#This Row],[Max VO]]</f>
        <v>108</v>
      </c>
      <c r="AO525" s="115"/>
      <c r="AP525" s="115"/>
      <c r="AQ525" s="121"/>
      <c r="AR525" s="121"/>
      <c r="AS525" s="121"/>
      <c r="AT525" s="104"/>
      <c r="AU525" s="1359" t="str">
        <f t="shared" si="165"/>
        <v>-</v>
      </c>
    </row>
    <row r="526" spans="1:47" s="220" customFormat="1" hidden="1" x14ac:dyDescent="0.2">
      <c r="A526" s="469" t="s">
        <v>318</v>
      </c>
      <c r="B526" s="1061" t="s">
        <v>96</v>
      </c>
      <c r="C526" s="434" t="s">
        <v>1442</v>
      </c>
      <c r="D526" s="94">
        <v>176151</v>
      </c>
      <c r="E526" s="291" t="s">
        <v>1443</v>
      </c>
      <c r="F526" s="284" t="s">
        <v>105</v>
      </c>
      <c r="G526" s="181" t="s">
        <v>519</v>
      </c>
      <c r="H526" s="180" t="s">
        <v>974</v>
      </c>
      <c r="I526" s="180" t="s">
        <v>256</v>
      </c>
      <c r="J526" s="310" t="s">
        <v>257</v>
      </c>
      <c r="K526" s="180" t="s">
        <v>1444</v>
      </c>
      <c r="L526" s="180" t="s">
        <v>259</v>
      </c>
      <c r="M526" s="543">
        <v>200</v>
      </c>
      <c r="N526" s="786">
        <v>500</v>
      </c>
      <c r="O526" s="180" t="s">
        <v>260</v>
      </c>
      <c r="P526" s="180">
        <v>16</v>
      </c>
      <c r="Q526" s="180">
        <v>20</v>
      </c>
      <c r="R526" s="180">
        <v>16</v>
      </c>
      <c r="S526" s="180">
        <v>20</v>
      </c>
      <c r="T526" s="180">
        <v>18</v>
      </c>
      <c r="U526" s="180">
        <v>22</v>
      </c>
      <c r="V526" s="47">
        <f t="shared" ref="V526:V533" si="180">IF(J526="Canvas",P526+Border,P526)</f>
        <v>16</v>
      </c>
      <c r="W526" s="47">
        <f t="shared" ref="W526:W533" si="181">IF(J526="Canvas",Q526+Border,Q526)</f>
        <v>20</v>
      </c>
      <c r="X526" s="289">
        <v>40</v>
      </c>
      <c r="Y526" s="180">
        <v>16</v>
      </c>
      <c r="Z526" s="180">
        <v>20</v>
      </c>
      <c r="AA526" s="678">
        <f t="shared" si="172"/>
        <v>2.2222222222222223</v>
      </c>
      <c r="AB526" s="125">
        <f>AA526*canonML</f>
        <v>10.666666666666666</v>
      </c>
      <c r="AC526" s="69">
        <f>Table1[[#This Row],[Substrate SF]]*Paper</f>
        <v>3.0066666666666668</v>
      </c>
      <c r="AD526" s="48">
        <f>Table1[[#This Row],[Ink g/mL]]*CanonC</f>
        <v>2.88</v>
      </c>
      <c r="AE526" s="69">
        <f>IF(Table1[[#This Row],[Work Center]]="SwissQ",Materials!G$37,IF(Table1[[#This Row],[Work Center]]="Inca",Materials!G$29,IF(Table1[[#This Row],[Work Center]]="Canon",Materials!G$49,Materials!G$45)))</f>
        <v>7</v>
      </c>
      <c r="AF526" s="290">
        <f>'Cali Frames'!D22</f>
        <v>82.44</v>
      </c>
      <c r="AG526" s="296"/>
      <c r="AH526" s="498">
        <v>0</v>
      </c>
      <c r="AI526" s="498"/>
      <c r="AJ526" s="176">
        <f t="shared" si="171"/>
        <v>95.326666666666668</v>
      </c>
      <c r="AK526" s="650">
        <f t="shared" si="162"/>
        <v>0.52336666666666665</v>
      </c>
      <c r="AL526" s="225">
        <f>Table1[[#This Row],[WSP/Dealer]]/Table1[[#This Row],[OD Sq Inch]]</f>
        <v>0.50505050505050508</v>
      </c>
      <c r="AM526" s="173">
        <f>Table1[[#This Row],[OD Wdth]]*Table1[[#This Row],[OD Hgt]]</f>
        <v>396</v>
      </c>
      <c r="AN526" s="180" t="str">
        <f>Table1[[#This Row],[Color]]</f>
        <v>BA</v>
      </c>
      <c r="AO526" s="83" t="str">
        <f>Table1[[#This Row],[Print Type]]</f>
        <v>Work on Paper</v>
      </c>
      <c r="AP526" s="121"/>
      <c r="AQ526" s="121"/>
      <c r="AR526" s="121"/>
      <c r="AS526" s="121"/>
      <c r="AT526" s="104"/>
      <c r="AU526" s="1358" t="str">
        <f t="shared" si="165"/>
        <v>-</v>
      </c>
    </row>
    <row r="527" spans="1:47" s="423" customFormat="1" hidden="1" x14ac:dyDescent="0.2">
      <c r="A527" s="60" t="s">
        <v>101</v>
      </c>
      <c r="B527" s="1106" t="s">
        <v>102</v>
      </c>
      <c r="C527" s="434" t="s">
        <v>1445</v>
      </c>
      <c r="D527" s="79"/>
      <c r="E527" s="99" t="s">
        <v>1446</v>
      </c>
      <c r="F527" s="83" t="s">
        <v>105</v>
      </c>
      <c r="G527" s="605" t="s">
        <v>1382</v>
      </c>
      <c r="H527" s="60" t="s">
        <v>1100</v>
      </c>
      <c r="I527" s="60" t="s">
        <v>256</v>
      </c>
      <c r="J527" s="59" t="s">
        <v>257</v>
      </c>
      <c r="K527" s="60" t="s">
        <v>258</v>
      </c>
      <c r="L527" s="60" t="s">
        <v>269</v>
      </c>
      <c r="M527" s="179">
        <v>144</v>
      </c>
      <c r="N527" s="124"/>
      <c r="O527" s="60" t="s">
        <v>260</v>
      </c>
      <c r="P527" s="60">
        <v>7</v>
      </c>
      <c r="Q527" s="60">
        <v>11</v>
      </c>
      <c r="R527" s="60">
        <v>7</v>
      </c>
      <c r="S527" s="60">
        <v>11</v>
      </c>
      <c r="T527" s="60">
        <v>9</v>
      </c>
      <c r="U527" s="60">
        <v>13</v>
      </c>
      <c r="V527" s="946">
        <f t="shared" si="180"/>
        <v>7</v>
      </c>
      <c r="W527" s="946">
        <f t="shared" si="181"/>
        <v>11</v>
      </c>
      <c r="X527" s="60" t="s">
        <v>257</v>
      </c>
      <c r="Y527" s="1450">
        <f>Table1[[#This Row],[Print Wth]]+Materials!$C$7</f>
        <v>9</v>
      </c>
      <c r="Z527" s="1450">
        <f>Table1[[#This Row],[Print Ht]]+Materials!$C$7</f>
        <v>13</v>
      </c>
      <c r="AA527" s="1058">
        <f>(Table1[[#This Row],[Cut Width]]*Table1[[#This Row],[Cut Height]])/144</f>
        <v>0.8125</v>
      </c>
      <c r="AB527" s="125">
        <f>(Table1[[#This Row],[Print Wth]]*Table1[[#This Row],[Print Ht]])/144*canonML</f>
        <v>2.5666666666666664</v>
      </c>
      <c r="AC527" s="48">
        <f>Table1[[#This Row],[Substrate SF]]*Paper</f>
        <v>1.0993124999999999</v>
      </c>
      <c r="AD527" s="48">
        <f>(Table1[[#This Row],[Print Wth]]*Table1[[#This Row],[Print Ht]])/144*CanonC</f>
        <v>0.144375</v>
      </c>
      <c r="AE527" s="69">
        <f>IF(Table1[[#This Row],[Work Center]]="SwissQ",Materials!G$37,IF(Table1[[#This Row],[Work Center]]="Inca",Materials!G$29,IF(Table1[[#This Row],[Work Center]]="Canon",Materials!G$49,Materials!G$45)))</f>
        <v>7</v>
      </c>
      <c r="AF527" s="72">
        <f>'Cali Frames'!D54</f>
        <v>62</v>
      </c>
      <c r="AG527" s="540"/>
      <c r="AH527" s="69">
        <v>0</v>
      </c>
      <c r="AI527" s="48"/>
      <c r="AJ527" s="176">
        <f t="shared" si="171"/>
        <v>70.243687499999993</v>
      </c>
      <c r="AK527" s="650">
        <f t="shared" si="162"/>
        <v>0.51219661458333343</v>
      </c>
      <c r="AL527" s="225">
        <f>Table1[[#This Row],[WSP/Dealer]]/Table1[[#This Row],[OD Sq Inch]]</f>
        <v>1.2307692307692308</v>
      </c>
      <c r="AM527" s="180">
        <f>Table1[[#This Row],[OD Wdth]]*Table1[[#This Row],[OD Hgt]]</f>
        <v>117</v>
      </c>
      <c r="AN527" s="180" t="str">
        <f>Table1[[#This Row],[Color]]</f>
        <v>NA</v>
      </c>
      <c r="AO527" s="83"/>
      <c r="AP527" s="540"/>
      <c r="AQ527" s="540"/>
      <c r="AR527" s="540"/>
      <c r="AS527" s="540"/>
      <c r="AT527" s="69"/>
      <c r="AU527" s="1361" t="str">
        <f t="shared" si="165"/>
        <v>-</v>
      </c>
    </row>
    <row r="528" spans="1:47" s="20" customFormat="1" hidden="1" x14ac:dyDescent="0.2">
      <c r="A528" s="469" t="s">
        <v>318</v>
      </c>
      <c r="B528" s="1061" t="s">
        <v>96</v>
      </c>
      <c r="C528" s="434" t="s">
        <v>1447</v>
      </c>
      <c r="D528" s="94">
        <v>176170</v>
      </c>
      <c r="E528" s="291" t="s">
        <v>1448</v>
      </c>
      <c r="F528" s="83" t="s">
        <v>105</v>
      </c>
      <c r="G528" s="181" t="s">
        <v>519</v>
      </c>
      <c r="H528" s="180" t="s">
        <v>974</v>
      </c>
      <c r="I528" s="180" t="s">
        <v>256</v>
      </c>
      <c r="J528" s="310" t="s">
        <v>257</v>
      </c>
      <c r="K528" s="180" t="s">
        <v>1444</v>
      </c>
      <c r="L528" s="180" t="s">
        <v>259</v>
      </c>
      <c r="M528" s="543">
        <v>200</v>
      </c>
      <c r="N528" s="786">
        <v>500</v>
      </c>
      <c r="O528" s="180" t="s">
        <v>260</v>
      </c>
      <c r="P528" s="180">
        <v>16</v>
      </c>
      <c r="Q528" s="180">
        <v>20</v>
      </c>
      <c r="R528" s="180">
        <v>16</v>
      </c>
      <c r="S528" s="180">
        <v>20</v>
      </c>
      <c r="T528" s="180">
        <v>18</v>
      </c>
      <c r="U528" s="180">
        <v>22</v>
      </c>
      <c r="V528" s="47">
        <f t="shared" si="180"/>
        <v>16</v>
      </c>
      <c r="W528" s="47">
        <f t="shared" si="181"/>
        <v>20</v>
      </c>
      <c r="X528" s="289">
        <v>40</v>
      </c>
      <c r="Y528" s="180">
        <v>16</v>
      </c>
      <c r="Z528" s="180">
        <v>20</v>
      </c>
      <c r="AA528" s="678">
        <f t="shared" ref="AA528:AA541" si="182">V528*W528/144</f>
        <v>2.2222222222222223</v>
      </c>
      <c r="AB528" s="125">
        <f>AA528*canonML</f>
        <v>10.666666666666666</v>
      </c>
      <c r="AC528" s="69">
        <f>Table1[[#This Row],[Substrate SF]]*Paper</f>
        <v>3.0066666666666668</v>
      </c>
      <c r="AD528" s="48">
        <f>Table1[[#This Row],[Ink g/mL]]*CanonC</f>
        <v>2.88</v>
      </c>
      <c r="AE528" s="69">
        <f>IF(Table1[[#This Row],[Work Center]]="SwissQ",Materials!G$37,IF(Table1[[#This Row],[Work Center]]="Inca",Materials!G$29,IF(Table1[[#This Row],[Work Center]]="Canon",Materials!G$49,Materials!G$45)))</f>
        <v>7</v>
      </c>
      <c r="AF528" s="290">
        <f>'Cali Frames'!D22</f>
        <v>82.44</v>
      </c>
      <c r="AG528" s="296"/>
      <c r="AH528" s="498">
        <v>0</v>
      </c>
      <c r="AI528" s="498"/>
      <c r="AJ528" s="176">
        <f t="shared" si="171"/>
        <v>95.326666666666668</v>
      </c>
      <c r="AK528" s="650">
        <f t="shared" si="162"/>
        <v>0.52336666666666665</v>
      </c>
      <c r="AL528" s="225">
        <f>Table1[[#This Row],[WSP/Dealer]]/Table1[[#This Row],[OD Sq Inch]]</f>
        <v>0.50505050505050508</v>
      </c>
      <c r="AM528" s="173">
        <f>Table1[[#This Row],[OD Wdth]]*Table1[[#This Row],[OD Hgt]]</f>
        <v>396</v>
      </c>
      <c r="AN528" s="180" t="str">
        <f>Table1[[#This Row],[Color]]</f>
        <v>BA</v>
      </c>
      <c r="AO528" s="83" t="str">
        <f>Table1[[#This Row],[Print Type]]</f>
        <v>Work on Paper</v>
      </c>
      <c r="AP528" s="121"/>
      <c r="AQ528" s="121"/>
      <c r="AR528" s="121"/>
      <c r="AS528" s="121"/>
      <c r="AT528" s="104"/>
      <c r="AU528" s="1358" t="str">
        <f t="shared" si="165"/>
        <v>-</v>
      </c>
    </row>
    <row r="529" spans="1:47" s="173" customFormat="1" hidden="1" x14ac:dyDescent="0.2">
      <c r="A529" s="180" t="s">
        <v>318</v>
      </c>
      <c r="B529" s="1073" t="s">
        <v>305</v>
      </c>
      <c r="C529" s="434" t="s">
        <v>1449</v>
      </c>
      <c r="D529" s="281"/>
      <c r="E529" s="291" t="s">
        <v>1450</v>
      </c>
      <c r="F529" s="284" t="s">
        <v>1451</v>
      </c>
      <c r="G529" s="181" t="s">
        <v>115</v>
      </c>
      <c r="H529" s="180" t="s">
        <v>145</v>
      </c>
      <c r="I529" s="180" t="s">
        <v>52</v>
      </c>
      <c r="J529" s="310" t="s">
        <v>53</v>
      </c>
      <c r="K529" s="180" t="s">
        <v>69</v>
      </c>
      <c r="L529" s="180" t="s">
        <v>70</v>
      </c>
      <c r="M529" s="285">
        <v>550</v>
      </c>
      <c r="N529" s="285"/>
      <c r="O529" s="180" t="s">
        <v>56</v>
      </c>
      <c r="P529" s="60">
        <v>48</v>
      </c>
      <c r="Q529" s="60">
        <v>48</v>
      </c>
      <c r="R529" s="60">
        <v>48</v>
      </c>
      <c r="S529" s="60">
        <v>48</v>
      </c>
      <c r="T529" s="60">
        <v>49</v>
      </c>
      <c r="U529" s="60">
        <v>49</v>
      </c>
      <c r="V529" s="946">
        <f t="shared" si="180"/>
        <v>56</v>
      </c>
      <c r="W529" s="946">
        <f t="shared" si="181"/>
        <v>56</v>
      </c>
      <c r="X529" s="60">
        <v>59</v>
      </c>
      <c r="Y529" s="180">
        <v>56</v>
      </c>
      <c r="Z529" s="180">
        <v>56</v>
      </c>
      <c r="AA529" s="717">
        <f t="shared" si="182"/>
        <v>21.777777777777779</v>
      </c>
      <c r="AB529" s="329">
        <f>AA529*IncaG</f>
        <v>458.20444444444445</v>
      </c>
      <c r="AC529" s="176">
        <f t="shared" ref="AC529:AC539" si="183">AA529*Canvas</f>
        <v>14.373333333333335</v>
      </c>
      <c r="AD529" s="48">
        <f>AA529*IncaC</f>
        <v>36.656355555555557</v>
      </c>
      <c r="AE529" s="176">
        <f>IF(Table1[[#This Row],[Work Center]]="SwissQ",Materials!G$37,IF(Table1[[#This Row],[Work Center]]="Inca",Materials!G$29,IF(Table1[[#This Row],[Work Center]]="Canon",Materials!G$49,Materials!G$45)))</f>
        <v>8</v>
      </c>
      <c r="AF529" s="290">
        <f>'Cali Frames'!D331</f>
        <v>171.26</v>
      </c>
      <c r="AG529" s="296"/>
      <c r="AH529" s="176">
        <f t="shared" ref="AH529:AH541" si="184">(M529*0.05)</f>
        <v>27.5</v>
      </c>
      <c r="AI529" s="176"/>
      <c r="AJ529" s="69">
        <f>SUM(AC529:AI529)</f>
        <v>257.78968888888892</v>
      </c>
      <c r="AK529" s="1201">
        <f t="shared" si="162"/>
        <v>0.53129147474747473</v>
      </c>
      <c r="AL529" s="176">
        <f>Table1[[#This Row],[WSP/Dealer]]/Table1[[#This Row],[OD Sq Inch]]</f>
        <v>0.22907122032486463</v>
      </c>
      <c r="AM529" s="173">
        <f>Table1[[#This Row],[OD Wdth]]*Table1[[#This Row],[OD Hgt]]</f>
        <v>2401</v>
      </c>
      <c r="AN529" s="180">
        <f>Table1[[#This Row],[Min VO]]+Table1[[#This Row],[Max VO]]</f>
        <v>96</v>
      </c>
      <c r="AO529" s="284"/>
      <c r="AP529" s="296"/>
      <c r="AQ529" s="296">
        <f>(Table1[[#This Row],[Desgnr/Retail P]]*0.05)</f>
        <v>0</v>
      </c>
      <c r="AR529" s="296" t="b">
        <f>IF(A529="Codarus",(AP529*0.13))</f>
        <v>0</v>
      </c>
      <c r="AS529" s="296" t="e" cm="1">
        <f t="array" ref="AS529">SUM(AC529:AG529+AQ+AR)</f>
        <v>#NAME?</v>
      </c>
      <c r="AT529" s="176" t="e">
        <f>(AP529-AS529)/AP529</f>
        <v>#NAME?</v>
      </c>
      <c r="AU529" s="1358" t="str">
        <f t="shared" si="165"/>
        <v>-</v>
      </c>
    </row>
    <row r="530" spans="1:47" s="173" customFormat="1" hidden="1" x14ac:dyDescent="0.2">
      <c r="A530" s="180" t="s">
        <v>318</v>
      </c>
      <c r="B530" s="1073" t="s">
        <v>305</v>
      </c>
      <c r="C530" s="434" t="s">
        <v>1452</v>
      </c>
      <c r="D530" s="281"/>
      <c r="E530" s="291" t="s">
        <v>1450</v>
      </c>
      <c r="F530" s="284" t="s">
        <v>1451</v>
      </c>
      <c r="G530" s="181" t="s">
        <v>115</v>
      </c>
      <c r="H530" s="180" t="s">
        <v>145</v>
      </c>
      <c r="I530" s="180" t="s">
        <v>52</v>
      </c>
      <c r="J530" s="310" t="s">
        <v>53</v>
      </c>
      <c r="K530" s="180" t="s">
        <v>69</v>
      </c>
      <c r="L530" s="180" t="s">
        <v>315</v>
      </c>
      <c r="M530" s="285">
        <v>550</v>
      </c>
      <c r="N530" s="285"/>
      <c r="O530" s="180" t="s">
        <v>56</v>
      </c>
      <c r="P530" s="60">
        <v>48</v>
      </c>
      <c r="Q530" s="60">
        <v>48</v>
      </c>
      <c r="R530" s="60">
        <v>48</v>
      </c>
      <c r="S530" s="60">
        <v>48</v>
      </c>
      <c r="T530" s="60">
        <v>49</v>
      </c>
      <c r="U530" s="60">
        <v>49</v>
      </c>
      <c r="V530" s="946">
        <f t="shared" si="180"/>
        <v>56</v>
      </c>
      <c r="W530" s="946">
        <f t="shared" si="181"/>
        <v>56</v>
      </c>
      <c r="X530" s="60">
        <v>59</v>
      </c>
      <c r="Y530" s="180">
        <v>56</v>
      </c>
      <c r="Z530" s="180">
        <v>56</v>
      </c>
      <c r="AA530" s="717">
        <f t="shared" si="182"/>
        <v>21.777777777777779</v>
      </c>
      <c r="AB530" s="329">
        <f>AA530*IncaG</f>
        <v>458.20444444444445</v>
      </c>
      <c r="AC530" s="176">
        <f t="shared" si="183"/>
        <v>14.373333333333335</v>
      </c>
      <c r="AD530" s="69">
        <f>AA530*IncaC</f>
        <v>36.656355555555557</v>
      </c>
      <c r="AE530" s="176">
        <f>IF(Table1[[#This Row],[Work Center]]="SwissQ",Materials!G$37,IF(Table1[[#This Row],[Work Center]]="Inca",Materials!G$29,IF(Table1[[#This Row],[Work Center]]="Canon",Materials!G$49,Materials!G$45)))</f>
        <v>8</v>
      </c>
      <c r="AF530" s="72">
        <f>'Cali Frames'!D517</f>
        <v>180</v>
      </c>
      <c r="AG530" s="540"/>
      <c r="AH530" s="176">
        <f t="shared" si="184"/>
        <v>27.5</v>
      </c>
      <c r="AI530" s="176"/>
      <c r="AJ530" s="69">
        <f>SUM(AC530:AI530)</f>
        <v>266.52968888888893</v>
      </c>
      <c r="AK530" s="1201">
        <f t="shared" si="162"/>
        <v>0.51540056565656556</v>
      </c>
      <c r="AL530" s="176">
        <f>Table1[[#This Row],[WSP/Dealer]]/Table1[[#This Row],[OD Sq Inch]]</f>
        <v>0.22907122032486463</v>
      </c>
      <c r="AM530" s="180">
        <f>Table1[[#This Row],[OD Wdth]]*Table1[[#This Row],[OD Hgt]]</f>
        <v>2401</v>
      </c>
      <c r="AN530" s="180">
        <f>Table1[[#This Row],[Min VO]]+Table1[[#This Row],[Max VO]]</f>
        <v>96</v>
      </c>
      <c r="AO530" s="83"/>
      <c r="AP530" s="540"/>
      <c r="AQ530" s="540">
        <f>(Table1[[#This Row],[Desgnr/Retail P]]*0.05)</f>
        <v>0</v>
      </c>
      <c r="AR530" s="540" t="b">
        <f>IF(A530="Codarus",(AP530*0.13))</f>
        <v>0</v>
      </c>
      <c r="AS530" s="540" t="e" cm="1">
        <f t="array" ref="AS530">SUM(AC530:AG530+AQ+AR)</f>
        <v>#NAME?</v>
      </c>
      <c r="AT530" s="69" t="e">
        <f>(AP530-AS530)/AP530</f>
        <v>#NAME?</v>
      </c>
      <c r="AU530" s="1361" t="str">
        <f t="shared" si="165"/>
        <v>-</v>
      </c>
    </row>
    <row r="531" spans="1:47" s="868" customFormat="1" hidden="1" x14ac:dyDescent="0.2">
      <c r="A531" s="101" t="s">
        <v>110</v>
      </c>
      <c r="B531" s="1322" t="s">
        <v>134</v>
      </c>
      <c r="C531" s="625" t="s">
        <v>1453</v>
      </c>
      <c r="D531" s="168"/>
      <c r="E531" s="169" t="s">
        <v>1450</v>
      </c>
      <c r="F531" s="115" t="s">
        <v>1451</v>
      </c>
      <c r="G531" s="407" t="s">
        <v>115</v>
      </c>
      <c r="H531" s="101" t="s">
        <v>115</v>
      </c>
      <c r="I531" s="101" t="s">
        <v>52</v>
      </c>
      <c r="J531" s="487" t="s">
        <v>53</v>
      </c>
      <c r="K531" s="101" t="s">
        <v>54</v>
      </c>
      <c r="L531" s="101" t="s">
        <v>55</v>
      </c>
      <c r="M531" s="299">
        <v>600</v>
      </c>
      <c r="N531" s="114"/>
      <c r="O531" s="101" t="s">
        <v>56</v>
      </c>
      <c r="P531" s="101">
        <v>48</v>
      </c>
      <c r="Q531" s="101">
        <v>48</v>
      </c>
      <c r="R531" s="101">
        <v>48</v>
      </c>
      <c r="S531" s="101">
        <v>48</v>
      </c>
      <c r="T531" s="101">
        <v>48</v>
      </c>
      <c r="U531" s="101">
        <v>48</v>
      </c>
      <c r="V531" s="608">
        <f t="shared" si="180"/>
        <v>56</v>
      </c>
      <c r="W531" s="608">
        <f t="shared" si="181"/>
        <v>56</v>
      </c>
      <c r="X531" s="137">
        <v>59</v>
      </c>
      <c r="Y531" s="101">
        <v>56</v>
      </c>
      <c r="Z531" s="101">
        <v>56</v>
      </c>
      <c r="AA531" s="649">
        <f t="shared" si="182"/>
        <v>21.777777777777779</v>
      </c>
      <c r="AB531" s="184">
        <f>AA531*IncaG</f>
        <v>458.20444444444445</v>
      </c>
      <c r="AC531" s="104">
        <f t="shared" si="183"/>
        <v>14.373333333333335</v>
      </c>
      <c r="AD531" s="104">
        <f>Table1[[#This Row],[Substrate SF]]*IncaC</f>
        <v>36.656355555555557</v>
      </c>
      <c r="AE531" s="104">
        <f>IF(Table1[[#This Row],[Work Center]]="SwissQ",Materials!G$37,IF(Table1[[#This Row],[Work Center]]="Inca",Materials!G$29,IF(Table1[[#This Row],[Work Center]]="Canon",Materials!G$49,Materials!G$45)))</f>
        <v>8</v>
      </c>
      <c r="AF531" s="102">
        <f>'Cali FPS'!C117</f>
        <v>119.7</v>
      </c>
      <c r="AG531" s="121"/>
      <c r="AH531" s="406">
        <f t="shared" si="184"/>
        <v>30</v>
      </c>
      <c r="AI531" s="406">
        <f>IF(A531="Codarus",(M531*0.13))</f>
        <v>78</v>
      </c>
      <c r="AJ531" s="104">
        <f>SUM(AC531:AI531)</f>
        <v>286.72968888888886</v>
      </c>
      <c r="AK531" s="1065">
        <f t="shared" ref="AK531:AK594" si="185">(M531-AJ531)/M531</f>
        <v>0.52211718518518524</v>
      </c>
      <c r="AL531" s="406">
        <f>Table1[[#This Row],[WSP/Dealer]]/Table1[[#This Row],[OD Sq Inch]]</f>
        <v>0.26041666666666669</v>
      </c>
      <c r="AM531" s="400">
        <f>Table1[[#This Row],[OD Wdth]]*Table1[[#This Row],[OD Hgt]]</f>
        <v>2304</v>
      </c>
      <c r="AN531" s="400">
        <f>Table1[[#This Row],[Min VO]]+Table1[[#This Row],[Max VO]]</f>
        <v>96</v>
      </c>
      <c r="AO531" s="115"/>
      <c r="AP531" s="1307">
        <v>1200</v>
      </c>
      <c r="AQ531" s="121">
        <f>(Table1[[#This Row],[Desgnr/Retail P]]*0.05)</f>
        <v>60</v>
      </c>
      <c r="AR531" s="121">
        <f>IF(A531="Codarus",(AP531*0.13))</f>
        <v>156</v>
      </c>
      <c r="AS531" s="121">
        <f>SUM(Table1[[#This Row],[Substrate $]:[GP FINISH]])+Table1[[#This Row],[Retail Royalty]]+Table1[[#This Row],[Retail$Comm]]</f>
        <v>394.72968888888886</v>
      </c>
      <c r="AT531" s="830">
        <f>IF(AP531=0,"-",(AP531-AS531)/AP531)</f>
        <v>0.6710585925925926</v>
      </c>
      <c r="AU531" s="1359">
        <f t="shared" si="165"/>
        <v>0.98881569012345671</v>
      </c>
    </row>
    <row r="532" spans="1:47" s="170" customFormat="1" x14ac:dyDescent="0.2">
      <c r="A532" s="551" t="s">
        <v>58</v>
      </c>
      <c r="B532" s="1150" t="s">
        <v>310</v>
      </c>
      <c r="C532" s="878" t="s">
        <v>1454</v>
      </c>
      <c r="D532" s="77"/>
      <c r="E532" s="387" t="s">
        <v>1455</v>
      </c>
      <c r="F532" s="653" t="s">
        <v>308</v>
      </c>
      <c r="G532" s="880" t="s">
        <v>379</v>
      </c>
      <c r="H532" s="551" t="s">
        <v>379</v>
      </c>
      <c r="I532" s="551" t="s">
        <v>52</v>
      </c>
      <c r="J532" s="856" t="s">
        <v>53</v>
      </c>
      <c r="K532" s="551" t="s">
        <v>54</v>
      </c>
      <c r="L532" s="551" t="s">
        <v>55</v>
      </c>
      <c r="M532" s="896">
        <v>1120</v>
      </c>
      <c r="N532" s="896"/>
      <c r="O532" s="551" t="s">
        <v>56</v>
      </c>
      <c r="P532" s="551">
        <v>48</v>
      </c>
      <c r="Q532" s="551">
        <v>72</v>
      </c>
      <c r="R532" s="551">
        <v>48</v>
      </c>
      <c r="S532" s="551">
        <v>72</v>
      </c>
      <c r="T532" s="551">
        <v>48</v>
      </c>
      <c r="U532" s="551">
        <v>72</v>
      </c>
      <c r="V532" s="881">
        <f t="shared" si="180"/>
        <v>56</v>
      </c>
      <c r="W532" s="881">
        <f t="shared" si="181"/>
        <v>80</v>
      </c>
      <c r="X532" s="551">
        <v>80</v>
      </c>
      <c r="Y532" s="551">
        <v>56</v>
      </c>
      <c r="Z532" s="551">
        <v>80</v>
      </c>
      <c r="AA532" s="860">
        <f t="shared" si="182"/>
        <v>31.111111111111111</v>
      </c>
      <c r="AB532" s="893">
        <f>AA532*IncaG</f>
        <v>654.57777777777778</v>
      </c>
      <c r="AC532" s="867">
        <f t="shared" si="183"/>
        <v>20.533333333333335</v>
      </c>
      <c r="AD532" s="863">
        <f>AA532*IncaC</f>
        <v>52.36622222222222</v>
      </c>
      <c r="AE532" s="867">
        <f>IF(Table1[[#This Row],[Work Center]]="SwissQ",Materials!G$37,IF(Table1[[#This Row],[Work Center]]="Inca",Materials!G$29,IF(Table1[[#This Row],[Work Center]]="Canon",Materials!G$49,Materials!G$45)))</f>
        <v>8</v>
      </c>
      <c r="AF532" s="71">
        <f>'Cali FPS'!C126</f>
        <v>189.88</v>
      </c>
      <c r="AG532" s="864"/>
      <c r="AH532" s="867">
        <f t="shared" si="184"/>
        <v>56</v>
      </c>
      <c r="AI532" s="867"/>
      <c r="AJ532" s="863">
        <f>SUM(AC532:AI532)</f>
        <v>326.77955555555553</v>
      </c>
      <c r="AK532" s="1087">
        <f t="shared" si="185"/>
        <v>0.70823253968253963</v>
      </c>
      <c r="AL532" s="867">
        <f>Table1[[#This Row],[WSP/Dealer]]/Table1[[#This Row],[OD Sq Inch]]</f>
        <v>0.32407407407407407</v>
      </c>
      <c r="AM532" s="869">
        <f>Table1[[#This Row],[OD Wdth]]*Table1[[#This Row],[OD Hgt]]</f>
        <v>3456</v>
      </c>
      <c r="AN532" s="869">
        <f>Table1[[#This Row],[Min VO]]+Table1[[#This Row],[Max VO]]</f>
        <v>120</v>
      </c>
      <c r="AO532" s="653"/>
      <c r="AP532" s="864"/>
      <c r="AQ532" s="864">
        <f>(Table1[[#This Row],[Desgnr/Retail P]]*0.05)</f>
        <v>0</v>
      </c>
      <c r="AR532" s="864" t="b">
        <f>IF(A532="Codarus",(AP532*0.13))</f>
        <v>0</v>
      </c>
      <c r="AS532" s="864" t="e" cm="1">
        <f t="array" ref="AS532">SUM(AC532:AG532+AQ+AR)</f>
        <v>#NAME?</v>
      </c>
      <c r="AT532" s="863" t="e">
        <f>(AP532-AS532)/AP532</f>
        <v>#NAME?</v>
      </c>
      <c r="AU532" s="1364" t="str">
        <f t="shared" si="165"/>
        <v>-</v>
      </c>
    </row>
    <row r="533" spans="1:47" s="446" customFormat="1" x14ac:dyDescent="0.2">
      <c r="A533" s="68" t="s">
        <v>58</v>
      </c>
      <c r="B533" s="1072" t="s">
        <v>310</v>
      </c>
      <c r="C533" s="627" t="s">
        <v>1456</v>
      </c>
      <c r="D533" s="94"/>
      <c r="E533" s="172" t="s">
        <v>1455</v>
      </c>
      <c r="F533" s="84" t="s">
        <v>308</v>
      </c>
      <c r="G533" s="363" t="s">
        <v>379</v>
      </c>
      <c r="H533" s="68" t="s">
        <v>990</v>
      </c>
      <c r="I533" s="68" t="s">
        <v>52</v>
      </c>
      <c r="J533" s="140" t="s">
        <v>53</v>
      </c>
      <c r="K533" s="68" t="s">
        <v>69</v>
      </c>
      <c r="L533" s="68" t="s">
        <v>70</v>
      </c>
      <c r="M533" s="93">
        <v>1300</v>
      </c>
      <c r="N533" s="93"/>
      <c r="O533" s="68" t="s">
        <v>56</v>
      </c>
      <c r="P533" s="68">
        <v>48</v>
      </c>
      <c r="Q533" s="68">
        <v>72</v>
      </c>
      <c r="R533" s="68">
        <v>48</v>
      </c>
      <c r="S533" s="68">
        <v>72</v>
      </c>
      <c r="T533" s="68">
        <v>49</v>
      </c>
      <c r="U533" s="68">
        <v>73</v>
      </c>
      <c r="V533" s="66">
        <f t="shared" si="180"/>
        <v>56</v>
      </c>
      <c r="W533" s="66">
        <f t="shared" si="181"/>
        <v>80</v>
      </c>
      <c r="X533" s="68">
        <v>80</v>
      </c>
      <c r="Y533" s="68">
        <v>56</v>
      </c>
      <c r="Z533" s="68">
        <v>80</v>
      </c>
      <c r="AA533" s="699">
        <f t="shared" si="182"/>
        <v>31.111111111111111</v>
      </c>
      <c r="AB533" s="341">
        <f>AA533*IncaG</f>
        <v>654.57777777777778</v>
      </c>
      <c r="AC533" s="278">
        <f t="shared" si="183"/>
        <v>20.533333333333335</v>
      </c>
      <c r="AD533" s="67">
        <f>AA533*IncaC</f>
        <v>52.36622222222222</v>
      </c>
      <c r="AE533" s="278">
        <f>IF(Table1[[#This Row],[Work Center]]="SwissQ",Materials!G$37,IF(Table1[[#This Row],[Work Center]]="Inca",Materials!G$29,IF(Table1[[#This Row],[Work Center]]="Canon",Materials!G$49,Materials!G$45)))</f>
        <v>8</v>
      </c>
      <c r="AF533" s="73">
        <f>'Cali Frames'!D337</f>
        <v>263.8</v>
      </c>
      <c r="AG533" s="126"/>
      <c r="AH533" s="263">
        <f t="shared" si="184"/>
        <v>65</v>
      </c>
      <c r="AI533" s="263"/>
      <c r="AJ533" s="74">
        <f>SUM(AC533:AI533)</f>
        <v>409.69955555555555</v>
      </c>
      <c r="AK533" s="688">
        <f t="shared" si="185"/>
        <v>0.6848464957264957</v>
      </c>
      <c r="AL533" s="278">
        <f>Table1[[#This Row],[WSP/Dealer]]/Table1[[#This Row],[OD Sq Inch]]</f>
        <v>0.36343304445065699</v>
      </c>
      <c r="AM533" s="170">
        <f>Table1[[#This Row],[OD Wdth]]*Table1[[#This Row],[OD Hgt]]</f>
        <v>3577</v>
      </c>
      <c r="AN533" s="274">
        <f>Table1[[#This Row],[Min VO]]+Table1[[#This Row],[Max VO]]</f>
        <v>120</v>
      </c>
      <c r="AO533" s="84"/>
      <c r="AP533" s="126"/>
      <c r="AQ533" s="126">
        <f>(Table1[[#This Row],[Desgnr/Retail P]]*0.05)</f>
        <v>0</v>
      </c>
      <c r="AR533" s="126" t="b">
        <f>IF(A533="Codarus",(AP533*0.13))</f>
        <v>0</v>
      </c>
      <c r="AS533" s="126" t="e" cm="1">
        <f t="array" ref="AS533">SUM(AC533:AG533+AQ+AR)</f>
        <v>#NAME?</v>
      </c>
      <c r="AT533" s="74" t="e">
        <f>(AP533-AS533)/AP533</f>
        <v>#NAME?</v>
      </c>
      <c r="AU533" s="1357" t="str">
        <f t="shared" si="165"/>
        <v>-</v>
      </c>
    </row>
    <row r="534" spans="1:47" s="63" customFormat="1" x14ac:dyDescent="0.2">
      <c r="A534" s="86" t="s">
        <v>58</v>
      </c>
      <c r="B534" s="1061" t="s">
        <v>1457</v>
      </c>
      <c r="C534" s="77" t="s">
        <v>1458</v>
      </c>
      <c r="D534" s="94" t="s">
        <v>1459</v>
      </c>
      <c r="E534" s="85" t="s">
        <v>1460</v>
      </c>
      <c r="F534" s="85" t="s">
        <v>289</v>
      </c>
      <c r="G534" s="86" t="s">
        <v>1461</v>
      </c>
      <c r="H534" s="86" t="s">
        <v>1461</v>
      </c>
      <c r="I534" s="86" t="s">
        <v>52</v>
      </c>
      <c r="J534" s="86" t="s">
        <v>53</v>
      </c>
      <c r="K534" s="86" t="s">
        <v>54</v>
      </c>
      <c r="L534" s="86" t="s">
        <v>55</v>
      </c>
      <c r="M534" s="87">
        <v>1450</v>
      </c>
      <c r="N534" s="639">
        <v>1540</v>
      </c>
      <c r="O534" s="101" t="s">
        <v>64</v>
      </c>
      <c r="P534" s="273">
        <v>80</v>
      </c>
      <c r="Q534" s="623">
        <v>64</v>
      </c>
      <c r="R534" s="60">
        <v>64</v>
      </c>
      <c r="S534" s="273">
        <v>80</v>
      </c>
      <c r="T534" s="273">
        <f>Table1[[#This Row],[VO Wdth]]</f>
        <v>80</v>
      </c>
      <c r="U534" s="273">
        <f>Table1[[#This Row],[VO Hgt]]</f>
        <v>64</v>
      </c>
      <c r="V534" s="106">
        <f>IF(J534="Canvas",P534+BorderL,P534)</f>
        <v>91</v>
      </c>
      <c r="W534" s="106">
        <f>IF(J534="Canvas",Q534+BorderL,Q534)</f>
        <v>75</v>
      </c>
      <c r="X534" s="137" t="s">
        <v>1462</v>
      </c>
      <c r="Y534" s="101"/>
      <c r="Z534" s="101"/>
      <c r="AA534" s="649">
        <f t="shared" si="182"/>
        <v>47.395833333333336</v>
      </c>
      <c r="AB534" s="125">
        <f>AA534*Swiss1</f>
        <v>1341.3020833333335</v>
      </c>
      <c r="AC534" s="104">
        <f t="shared" si="183"/>
        <v>31.281250000000004</v>
      </c>
      <c r="AD534" s="107">
        <f>AA534*Materials!C$37</f>
        <v>132.70833333333334</v>
      </c>
      <c r="AE534" s="104">
        <f>IF(Table1[[#This Row],[Work Center]]="SwissQ",Materials!G$37,IF(Table1[[#This Row],[Work Center]]="Inca",Materials!G$29,IF(Table1[[#This Row],[Work Center]]="Canon",Materials!G$49,Materials!G$45)))</f>
        <v>20</v>
      </c>
      <c r="AF534" s="69">
        <f>'Cali FPS'!C$165</f>
        <v>258.52749999999997</v>
      </c>
      <c r="AG534" s="115"/>
      <c r="AH534" s="498">
        <f t="shared" si="184"/>
        <v>72.5</v>
      </c>
      <c r="AI534" s="498"/>
      <c r="AJ534" s="107">
        <f t="shared" ref="AJ534:AJ575" si="186">SUM(AC534:AH534)</f>
        <v>515.01708333333329</v>
      </c>
      <c r="AK534" s="650">
        <f t="shared" si="185"/>
        <v>0.64481580459770116</v>
      </c>
      <c r="AL534" s="225">
        <f>Table1[[#This Row],[WSP/Dealer]]/Table1[[#This Row],[OD Sq Inch]]</f>
        <v>0.283203125</v>
      </c>
      <c r="AM534" s="218">
        <f>Table1[[#This Row],[OD Wdth]]*Table1[[#This Row],[OD Hgt]]</f>
        <v>5120</v>
      </c>
      <c r="AN534" s="216">
        <f>Table1[[#This Row],[Min VO]]+Table1[[#This Row],[Max VO]]</f>
        <v>144</v>
      </c>
      <c r="AO534" s="101"/>
      <c r="AP534" s="101"/>
      <c r="AQ534" s="104"/>
      <c r="AR534" s="104"/>
      <c r="AS534" s="104"/>
      <c r="AT534" s="104"/>
      <c r="AU534" s="830" t="str">
        <f t="shared" si="165"/>
        <v>-</v>
      </c>
    </row>
    <row r="535" spans="1:47" s="103" customFormat="1" x14ac:dyDescent="0.2">
      <c r="A535" s="86" t="s">
        <v>58</v>
      </c>
      <c r="B535" s="1061" t="s">
        <v>1457</v>
      </c>
      <c r="C535" s="77" t="s">
        <v>1463</v>
      </c>
      <c r="D535" s="94" t="s">
        <v>1464</v>
      </c>
      <c r="E535" s="85" t="s">
        <v>1465</v>
      </c>
      <c r="F535" s="85" t="s">
        <v>289</v>
      </c>
      <c r="G535" s="86" t="s">
        <v>1461</v>
      </c>
      <c r="H535" s="86" t="s">
        <v>1461</v>
      </c>
      <c r="I535" s="86" t="s">
        <v>52</v>
      </c>
      <c r="J535" s="86" t="s">
        <v>53</v>
      </c>
      <c r="K535" s="86" t="s">
        <v>54</v>
      </c>
      <c r="L535" s="86" t="s">
        <v>55</v>
      </c>
      <c r="M535" s="87">
        <v>1450</v>
      </c>
      <c r="N535" s="639">
        <v>1540</v>
      </c>
      <c r="O535" s="101" t="s">
        <v>64</v>
      </c>
      <c r="P535" s="273">
        <v>80</v>
      </c>
      <c r="Q535" s="273">
        <v>64</v>
      </c>
      <c r="R535" s="60">
        <v>64</v>
      </c>
      <c r="S535" s="273">
        <v>80</v>
      </c>
      <c r="T535" s="273">
        <f>Table1[[#This Row],[VO Wdth]]</f>
        <v>80</v>
      </c>
      <c r="U535" s="273">
        <f>Table1[[#This Row],[VO Hgt]]</f>
        <v>64</v>
      </c>
      <c r="V535" s="106">
        <f>IF(J535="Canvas",P535+BorderL,P535)</f>
        <v>91</v>
      </c>
      <c r="W535" s="106">
        <f>IF(J535="Canvas",Q535+BorderL,Q535)</f>
        <v>75</v>
      </c>
      <c r="X535" s="137" t="s">
        <v>1462</v>
      </c>
      <c r="Y535" s="101"/>
      <c r="Z535" s="101"/>
      <c r="AA535" s="649">
        <f t="shared" si="182"/>
        <v>47.395833333333336</v>
      </c>
      <c r="AB535" s="125">
        <f>AA535*Swiss1</f>
        <v>1341.3020833333335</v>
      </c>
      <c r="AC535" s="104">
        <f t="shared" si="183"/>
        <v>31.281250000000004</v>
      </c>
      <c r="AD535" s="107">
        <f>AA535*Materials!C$37</f>
        <v>132.70833333333334</v>
      </c>
      <c r="AE535" s="104">
        <f>IF(Table1[[#This Row],[Work Center]]="SwissQ",Materials!G$37,IF(Table1[[#This Row],[Work Center]]="Inca",Materials!G$29,IF(Table1[[#This Row],[Work Center]]="Canon",Materials!G$49,Materials!G$45)))</f>
        <v>20</v>
      </c>
      <c r="AF535" s="69">
        <f>'Cali FPS'!C$165</f>
        <v>258.52749999999997</v>
      </c>
      <c r="AG535" s="115"/>
      <c r="AH535" s="112">
        <f t="shared" si="184"/>
        <v>72.5</v>
      </c>
      <c r="AI535" s="112"/>
      <c r="AJ535" s="104">
        <f t="shared" si="186"/>
        <v>515.01708333333329</v>
      </c>
      <c r="AK535" s="62">
        <f t="shared" si="185"/>
        <v>0.64481580459770116</v>
      </c>
      <c r="AL535" s="225">
        <f>Table1[[#This Row],[WSP/Dealer]]/Table1[[#This Row],[OD Sq Inch]]</f>
        <v>0.283203125</v>
      </c>
      <c r="AM535" s="97">
        <f>Table1[[#This Row],[OD Wdth]]*Table1[[#This Row],[OD Hgt]]</f>
        <v>5120</v>
      </c>
      <c r="AN535" s="216">
        <f>Table1[[#This Row],[Min VO]]+Table1[[#This Row],[Max VO]]</f>
        <v>144</v>
      </c>
      <c r="AO535" s="101"/>
      <c r="AP535" s="101"/>
      <c r="AQ535" s="104"/>
      <c r="AR535" s="104"/>
      <c r="AS535" s="104"/>
      <c r="AT535" s="104"/>
      <c r="AU535" s="830" t="str">
        <f t="shared" si="165"/>
        <v>-</v>
      </c>
    </row>
    <row r="536" spans="1:47" s="63" customFormat="1" x14ac:dyDescent="0.2">
      <c r="A536" s="86" t="s">
        <v>58</v>
      </c>
      <c r="B536" s="1061" t="s">
        <v>1457</v>
      </c>
      <c r="C536" s="77" t="s">
        <v>1466</v>
      </c>
      <c r="D536" s="94" t="s">
        <v>1467</v>
      </c>
      <c r="E536" s="85" t="s">
        <v>1468</v>
      </c>
      <c r="F536" s="85" t="s">
        <v>289</v>
      </c>
      <c r="G536" s="86" t="s">
        <v>296</v>
      </c>
      <c r="H536" s="86" t="s">
        <v>296</v>
      </c>
      <c r="I536" s="86" t="s">
        <v>52</v>
      </c>
      <c r="J536" s="86" t="s">
        <v>53</v>
      </c>
      <c r="K536" s="86" t="s">
        <v>54</v>
      </c>
      <c r="L536" s="86" t="s">
        <v>55</v>
      </c>
      <c r="M536" s="87">
        <v>1450</v>
      </c>
      <c r="N536" s="639">
        <v>1540</v>
      </c>
      <c r="O536" s="101" t="s">
        <v>64</v>
      </c>
      <c r="P536" s="273">
        <v>80</v>
      </c>
      <c r="Q536" s="273">
        <v>64</v>
      </c>
      <c r="R536" s="60">
        <v>64</v>
      </c>
      <c r="S536" s="273">
        <v>80</v>
      </c>
      <c r="T536" s="273">
        <f>Table1[[#This Row],[VO Wdth]]</f>
        <v>80</v>
      </c>
      <c r="U536" s="273">
        <f>Table1[[#This Row],[VO Hgt]]</f>
        <v>64</v>
      </c>
      <c r="V536" s="608">
        <f>IF(J536="Canvas",P536+BorderL,P536)</f>
        <v>91</v>
      </c>
      <c r="W536" s="608">
        <f>IF(J536="Canvas",Q536+BorderL,Q536)</f>
        <v>75</v>
      </c>
      <c r="X536" s="137" t="s">
        <v>1462</v>
      </c>
      <c r="Y536" s="101"/>
      <c r="Z536" s="101"/>
      <c r="AA536" s="649">
        <f t="shared" si="182"/>
        <v>47.395833333333336</v>
      </c>
      <c r="AB536" s="125">
        <f>AA536*Swiss1</f>
        <v>1341.3020833333335</v>
      </c>
      <c r="AC536" s="104">
        <f t="shared" si="183"/>
        <v>31.281250000000004</v>
      </c>
      <c r="AD536" s="107">
        <f>AA536*Materials!C$37</f>
        <v>132.70833333333334</v>
      </c>
      <c r="AE536" s="104">
        <f>IF(Table1[[#This Row],[Work Center]]="SwissQ",Materials!G$37,IF(Table1[[#This Row],[Work Center]]="Inca",Materials!G$29,IF(Table1[[#This Row],[Work Center]]="Canon",Materials!G$49,Materials!G$45)))</f>
        <v>20</v>
      </c>
      <c r="AF536" s="69">
        <f>'Cali FPS'!C$165</f>
        <v>258.52749999999997</v>
      </c>
      <c r="AG536" s="115"/>
      <c r="AH536" s="498">
        <f t="shared" si="184"/>
        <v>72.5</v>
      </c>
      <c r="AI536" s="498"/>
      <c r="AJ536" s="104">
        <f t="shared" si="186"/>
        <v>515.01708333333329</v>
      </c>
      <c r="AK536" s="650">
        <f t="shared" si="185"/>
        <v>0.64481580459770116</v>
      </c>
      <c r="AL536" s="225">
        <f>Table1[[#This Row],[WSP/Dealer]]/Table1[[#This Row],[OD Sq Inch]]</f>
        <v>0.283203125</v>
      </c>
      <c r="AM536" s="110">
        <f>Table1[[#This Row],[OD Wdth]]*Table1[[#This Row],[OD Hgt]]</f>
        <v>5120</v>
      </c>
      <c r="AN536" s="216">
        <f>Table1[[#This Row],[Min VO]]+Table1[[#This Row],[Max VO]]</f>
        <v>144</v>
      </c>
      <c r="AO536" s="103"/>
      <c r="AP536" s="101"/>
      <c r="AQ536" s="104"/>
      <c r="AR536" s="104"/>
      <c r="AS536" s="104"/>
      <c r="AT536" s="104"/>
      <c r="AU536" s="830" t="str">
        <f t="shared" ref="AU536:AU599" si="187">IF(AQ536=0,"-",(AQ536-AT536)/AQ536)</f>
        <v>-</v>
      </c>
    </row>
    <row r="537" spans="1:47" s="103" customFormat="1" x14ac:dyDescent="0.2">
      <c r="A537" s="86" t="s">
        <v>58</v>
      </c>
      <c r="B537" s="1061" t="s">
        <v>1457</v>
      </c>
      <c r="C537" s="77" t="s">
        <v>1469</v>
      </c>
      <c r="D537" s="94" t="s">
        <v>1470</v>
      </c>
      <c r="E537" s="85" t="s">
        <v>1471</v>
      </c>
      <c r="F537" s="85" t="s">
        <v>289</v>
      </c>
      <c r="G537" s="86" t="s">
        <v>296</v>
      </c>
      <c r="H537" s="86" t="s">
        <v>296</v>
      </c>
      <c r="I537" s="86" t="s">
        <v>52</v>
      </c>
      <c r="J537" s="86" t="s">
        <v>53</v>
      </c>
      <c r="K537" s="86" t="s">
        <v>54</v>
      </c>
      <c r="L537" s="86" t="s">
        <v>55</v>
      </c>
      <c r="M537" s="87">
        <v>1450</v>
      </c>
      <c r="N537" s="639">
        <v>1540</v>
      </c>
      <c r="O537" s="101" t="s">
        <v>64</v>
      </c>
      <c r="P537" s="273">
        <v>80</v>
      </c>
      <c r="Q537" s="273">
        <v>64</v>
      </c>
      <c r="R537" s="60">
        <v>64</v>
      </c>
      <c r="S537" s="273">
        <v>80</v>
      </c>
      <c r="T537" s="273">
        <f>Table1[[#This Row],[VO Wdth]]</f>
        <v>80</v>
      </c>
      <c r="U537" s="273">
        <f>Table1[[#This Row],[VO Hgt]]</f>
        <v>64</v>
      </c>
      <c r="V537" s="106">
        <f>IF(J537="Canvas",P537+BorderL,P537)</f>
        <v>91</v>
      </c>
      <c r="W537" s="106">
        <f>IF(J537="Canvas",Q537+BorderL,Q537)</f>
        <v>75</v>
      </c>
      <c r="X537" s="137" t="s">
        <v>1462</v>
      </c>
      <c r="Y537" s="101"/>
      <c r="Z537" s="101"/>
      <c r="AA537" s="649">
        <f t="shared" si="182"/>
        <v>47.395833333333336</v>
      </c>
      <c r="AB537" s="125">
        <f>AA537*Swiss1</f>
        <v>1341.3020833333335</v>
      </c>
      <c r="AC537" s="104">
        <f t="shared" si="183"/>
        <v>31.281250000000004</v>
      </c>
      <c r="AD537" s="107">
        <f>AA537*Materials!C$37</f>
        <v>132.70833333333334</v>
      </c>
      <c r="AE537" s="104">
        <f>IF(Table1[[#This Row],[Work Center]]="SwissQ",Materials!G$37,IF(Table1[[#This Row],[Work Center]]="Inca",Materials!G$29,IF(Table1[[#This Row],[Work Center]]="Canon",Materials!G$49,Materials!G$45)))</f>
        <v>20</v>
      </c>
      <c r="AF537" s="69">
        <f>'Cali FPS'!C$165</f>
        <v>258.52749999999997</v>
      </c>
      <c r="AG537" s="115"/>
      <c r="AH537" s="498">
        <f t="shared" si="184"/>
        <v>72.5</v>
      </c>
      <c r="AI537" s="498"/>
      <c r="AJ537" s="104">
        <f t="shared" si="186"/>
        <v>515.01708333333329</v>
      </c>
      <c r="AK537" s="650">
        <f t="shared" si="185"/>
        <v>0.64481580459770116</v>
      </c>
      <c r="AL537" s="225">
        <f>Table1[[#This Row],[WSP/Dealer]]/Table1[[#This Row],[OD Sq Inch]]</f>
        <v>0.283203125</v>
      </c>
      <c r="AM537" s="110">
        <f>Table1[[#This Row],[OD Wdth]]*Table1[[#This Row],[OD Hgt]]</f>
        <v>5120</v>
      </c>
      <c r="AN537" s="216">
        <f>Table1[[#This Row],[Min VO]]+Table1[[#This Row],[Max VO]]</f>
        <v>144</v>
      </c>
      <c r="AO537" s="101"/>
      <c r="AP537" s="101"/>
      <c r="AQ537" s="104"/>
      <c r="AR537" s="104"/>
      <c r="AS537" s="104"/>
      <c r="AT537" s="104"/>
      <c r="AU537" s="830" t="str">
        <f t="shared" si="187"/>
        <v>-</v>
      </c>
    </row>
    <row r="538" spans="1:47" s="103" customFormat="1" hidden="1" x14ac:dyDescent="0.2">
      <c r="A538" s="400" t="s">
        <v>95</v>
      </c>
      <c r="B538" s="279" t="s">
        <v>96</v>
      </c>
      <c r="C538" s="168" t="s">
        <v>1472</v>
      </c>
      <c r="D538" s="94"/>
      <c r="E538" s="115" t="s">
        <v>1473</v>
      </c>
      <c r="F538" s="115" t="s">
        <v>124</v>
      </c>
      <c r="G538" s="101" t="s">
        <v>572</v>
      </c>
      <c r="H538" s="101" t="s">
        <v>573</v>
      </c>
      <c r="I538" s="101" t="s">
        <v>52</v>
      </c>
      <c r="J538" s="487" t="s">
        <v>53</v>
      </c>
      <c r="K538" s="101" t="s">
        <v>69</v>
      </c>
      <c r="L538" s="101" t="s">
        <v>73</v>
      </c>
      <c r="M538" s="299">
        <v>1100</v>
      </c>
      <c r="N538" s="102"/>
      <c r="O538" s="101" t="s">
        <v>64</v>
      </c>
      <c r="P538" s="697">
        <v>60</v>
      </c>
      <c r="Q538" s="697">
        <v>40</v>
      </c>
      <c r="R538" s="101">
        <v>40</v>
      </c>
      <c r="S538" s="697">
        <v>60</v>
      </c>
      <c r="T538" s="697">
        <v>61</v>
      </c>
      <c r="U538" s="697">
        <v>41</v>
      </c>
      <c r="V538" s="608">
        <f>IF(J538="Canvas",P538+Border,P538)</f>
        <v>68</v>
      </c>
      <c r="W538" s="608">
        <f>IF(J538="Canvas",Q538+Border,Q538)</f>
        <v>48</v>
      </c>
      <c r="X538" s="137">
        <v>69</v>
      </c>
      <c r="Y538" s="101">
        <v>68</v>
      </c>
      <c r="Z538" s="101">
        <v>48</v>
      </c>
      <c r="AA538" s="649">
        <f t="shared" si="182"/>
        <v>22.666666666666668</v>
      </c>
      <c r="AB538" s="184">
        <f>AA538*Swiss1</f>
        <v>641.4666666666667</v>
      </c>
      <c r="AC538" s="104">
        <f t="shared" si="183"/>
        <v>14.96</v>
      </c>
      <c r="AD538" s="104">
        <f>Table1[[#This Row],[Substrate SF]]*Materials!C$37</f>
        <v>63.466666666666669</v>
      </c>
      <c r="AE538" s="104">
        <f>IF(Table1[[#This Row],[Work Center]]="SwissQ",Materials!G$37,IF(Table1[[#This Row],[Work Center]]="Inca",Materials!G$29,IF(Table1[[#This Row],[Work Center]]="Canon",Materials!G$49,Materials!G$45)))</f>
        <v>20</v>
      </c>
      <c r="AF538" s="102">
        <f>'Cali Frames'!D450</f>
        <v>224.10500000000002</v>
      </c>
      <c r="AG538" s="115"/>
      <c r="AH538" s="104">
        <f t="shared" si="184"/>
        <v>55</v>
      </c>
      <c r="AI538" s="104"/>
      <c r="AJ538" s="104">
        <f t="shared" si="186"/>
        <v>377.53166666666669</v>
      </c>
      <c r="AK538" s="830">
        <f t="shared" si="185"/>
        <v>0.65678939393939384</v>
      </c>
      <c r="AL538" s="660">
        <f>Table1[[#This Row],[WSP/Dealer]]/Table1[[#This Row],[OD Sq Inch]]</f>
        <v>0.43982407037185128</v>
      </c>
      <c r="AM538" s="266">
        <f>Table1[[#This Row],[OD Wdth]]*Table1[[#This Row],[OD Hgt]]</f>
        <v>2501</v>
      </c>
      <c r="AN538" s="266">
        <f>Table1[[#This Row],[Min VO]]+Table1[[#This Row],[Max VO]]</f>
        <v>100</v>
      </c>
      <c r="AO538" s="115"/>
      <c r="AP538" s="115"/>
      <c r="AQ538" s="121"/>
      <c r="AR538" s="121"/>
      <c r="AS538" s="121"/>
      <c r="AT538" s="104"/>
      <c r="AU538" s="1359" t="str">
        <f t="shared" si="187"/>
        <v>-</v>
      </c>
    </row>
    <row r="539" spans="1:47" s="63" customFormat="1" x14ac:dyDescent="0.2">
      <c r="A539" s="86" t="s">
        <v>58</v>
      </c>
      <c r="B539" s="279" t="s">
        <v>591</v>
      </c>
      <c r="C539" s="75" t="s">
        <v>1474</v>
      </c>
      <c r="D539" s="94" t="s">
        <v>1475</v>
      </c>
      <c r="E539" s="85" t="s">
        <v>1476</v>
      </c>
      <c r="F539" s="85" t="s">
        <v>386</v>
      </c>
      <c r="G539" s="86" t="s">
        <v>1477</v>
      </c>
      <c r="H539" s="86" t="s">
        <v>1477</v>
      </c>
      <c r="I539" s="86" t="s">
        <v>52</v>
      </c>
      <c r="J539" s="86" t="s">
        <v>53</v>
      </c>
      <c r="K539" s="86" t="s">
        <v>54</v>
      </c>
      <c r="L539" s="86" t="s">
        <v>55</v>
      </c>
      <c r="M539" s="87">
        <v>850</v>
      </c>
      <c r="N539" s="639">
        <v>890</v>
      </c>
      <c r="O539" s="101" t="s">
        <v>56</v>
      </c>
      <c r="P539" s="273">
        <v>72</v>
      </c>
      <c r="Q539" s="273">
        <v>36</v>
      </c>
      <c r="R539" s="60">
        <v>36</v>
      </c>
      <c r="S539" s="273">
        <v>72</v>
      </c>
      <c r="T539" s="273">
        <f>Table1[[#This Row],[VO Wdth]]</f>
        <v>72</v>
      </c>
      <c r="U539" s="273">
        <f>Table1[[#This Row],[VO Hgt]]</f>
        <v>36</v>
      </c>
      <c r="V539" s="608">
        <f>IF(J539="Canvas",P539+BorderGW,P539)</f>
        <v>80</v>
      </c>
      <c r="W539" s="608">
        <f>IF(J539="Canvas",Q539+BorderGW,Q539)</f>
        <v>44</v>
      </c>
      <c r="X539" s="137">
        <v>82</v>
      </c>
      <c r="Y539" s="101"/>
      <c r="Z539" s="101"/>
      <c r="AA539" s="649">
        <f t="shared" si="182"/>
        <v>24.444444444444443</v>
      </c>
      <c r="AB539" s="184">
        <f>AA539*IncaG</f>
        <v>514.31111111111102</v>
      </c>
      <c r="AC539" s="104">
        <f t="shared" si="183"/>
        <v>16.133333333333333</v>
      </c>
      <c r="AD539" s="107">
        <f>AA539*IncaC</f>
        <v>41.144888888888886</v>
      </c>
      <c r="AE539" s="104">
        <f>IF(Table1[[#This Row],[Work Center]]="SwissQ",Materials!G$37,IF(Table1[[#This Row],[Work Center]]="Inca",Materials!G$29,IF(Table1[[#This Row],[Work Center]]="Canon",Materials!G$49,Materials!G$45)))</f>
        <v>8</v>
      </c>
      <c r="AF539" s="74">
        <f>'Cali FPS'!C$76</f>
        <v>175.17499999999998</v>
      </c>
      <c r="AG539" s="115"/>
      <c r="AH539" s="498">
        <f t="shared" si="184"/>
        <v>42.5</v>
      </c>
      <c r="AI539" s="498"/>
      <c r="AJ539" s="104">
        <f t="shared" si="186"/>
        <v>282.95322222222217</v>
      </c>
      <c r="AK539" s="650">
        <f t="shared" si="185"/>
        <v>0.66711385620915042</v>
      </c>
      <c r="AL539" s="225">
        <f>Table1[[#This Row],[WSP/Dealer]]/Table1[[#This Row],[OD Sq Inch]]</f>
        <v>0.32793209876543211</v>
      </c>
      <c r="AM539" s="101">
        <f>Table1[[#This Row],[OD Wdth]]*Table1[[#This Row],[OD Hgt]]</f>
        <v>2592</v>
      </c>
      <c r="AN539" s="216">
        <f>Table1[[#This Row],[Min VO]]+Table1[[#This Row],[Max VO]]</f>
        <v>108</v>
      </c>
      <c r="AO539" s="101"/>
      <c r="AP539" s="101"/>
      <c r="AQ539" s="104"/>
      <c r="AR539" s="104"/>
      <c r="AS539" s="104"/>
      <c r="AT539" s="104"/>
      <c r="AU539" s="830" t="str">
        <f t="shared" si="187"/>
        <v>-</v>
      </c>
    </row>
    <row r="540" spans="1:47" s="446" customFormat="1" hidden="1" x14ac:dyDescent="0.2">
      <c r="A540" s="68" t="s">
        <v>187</v>
      </c>
      <c r="B540" s="1061" t="s">
        <v>261</v>
      </c>
      <c r="C540" s="94" t="s">
        <v>1478</v>
      </c>
      <c r="D540" s="94"/>
      <c r="E540" s="172" t="s">
        <v>1479</v>
      </c>
      <c r="F540" s="172" t="s">
        <v>1480</v>
      </c>
      <c r="G540" s="68" t="s">
        <v>1481</v>
      </c>
      <c r="H540" s="68"/>
      <c r="I540" s="68" t="s">
        <v>108</v>
      </c>
      <c r="J540" s="140" t="s">
        <v>257</v>
      </c>
      <c r="K540" s="68" t="s">
        <v>198</v>
      </c>
      <c r="L540" s="68" t="s">
        <v>199</v>
      </c>
      <c r="M540" s="141">
        <v>100</v>
      </c>
      <c r="N540" s="71"/>
      <c r="O540" s="68" t="s">
        <v>260</v>
      </c>
      <c r="P540" s="68">
        <v>12</v>
      </c>
      <c r="Q540" s="68">
        <v>17</v>
      </c>
      <c r="R540" s="68">
        <v>12</v>
      </c>
      <c r="S540" s="68">
        <v>17</v>
      </c>
      <c r="T540" s="68">
        <v>14</v>
      </c>
      <c r="U540" s="68">
        <v>19</v>
      </c>
      <c r="V540" s="66">
        <f>Table1[[#This Row],[VO Wdth]]+Materials!$C$50</f>
        <v>14</v>
      </c>
      <c r="W540" s="66">
        <f>Table1[[#This Row],[VO Hgt]]+Materials!$C$50</f>
        <v>19</v>
      </c>
      <c r="X540" s="189" t="s">
        <v>257</v>
      </c>
      <c r="Y540" s="68"/>
      <c r="Z540" s="68"/>
      <c r="AA540" s="699">
        <f t="shared" si="182"/>
        <v>1.8472222222222223</v>
      </c>
      <c r="AB540" s="297">
        <f>AA540*canonML</f>
        <v>8.8666666666666671</v>
      </c>
      <c r="AC540" s="74">
        <f>Table1[[#This Row],[Print Ht]]*paper60</f>
        <v>6.4600000000000009</v>
      </c>
      <c r="AD540" s="67">
        <f>Table1[[#This Row],[Ink g/mL]]*CanonC</f>
        <v>2.3940000000000001</v>
      </c>
      <c r="AE540" s="104">
        <f>IF(Table1[[#This Row],[Work Center]]="SwissQ",Materials!G$37,IF(Table1[[#This Row],[Work Center]]="Inca",Materials!G$29,IF(Table1[[#This Row],[Work Center]]="Canon",Materials!G$49,Materials!G$45)))</f>
        <v>7</v>
      </c>
      <c r="AF540" s="260"/>
      <c r="AG540" s="126">
        <f>Materials!D$76</f>
        <v>10.82</v>
      </c>
      <c r="AH540" s="112">
        <f t="shared" si="184"/>
        <v>5</v>
      </c>
      <c r="AI540" s="112"/>
      <c r="AJ540" s="278">
        <f t="shared" si="186"/>
        <v>31.673999999999999</v>
      </c>
      <c r="AK540" s="62">
        <f t="shared" si="185"/>
        <v>0.68325999999999998</v>
      </c>
      <c r="AL540" s="225">
        <f>Table1[[#This Row],[WSP/Dealer]]/Table1[[#This Row],[OD Sq Inch]]</f>
        <v>0.37593984962406013</v>
      </c>
      <c r="AM540" s="274">
        <f>Table1[[#This Row],[OD Wdth]]*Table1[[#This Row],[OD Hgt]]</f>
        <v>266</v>
      </c>
      <c r="AN540" s="216">
        <f>Table1[[#This Row],[Min VO]]+Table1[[#This Row],[Max VO]]</f>
        <v>29</v>
      </c>
      <c r="AO540" s="84"/>
      <c r="AP540" s="84"/>
      <c r="AQ540" s="126"/>
      <c r="AR540" s="126"/>
      <c r="AS540" s="126"/>
      <c r="AT540" s="74"/>
      <c r="AU540" s="1357" t="str">
        <f t="shared" si="187"/>
        <v>-</v>
      </c>
    </row>
    <row r="541" spans="1:47" s="45" customFormat="1" hidden="1" x14ac:dyDescent="0.2">
      <c r="A541" s="400" t="s">
        <v>95</v>
      </c>
      <c r="B541" s="1061" t="s">
        <v>96</v>
      </c>
      <c r="C541" s="100" t="s">
        <v>1482</v>
      </c>
      <c r="D541" s="94"/>
      <c r="E541" s="115" t="s">
        <v>1483</v>
      </c>
      <c r="F541" s="115" t="s">
        <v>634</v>
      </c>
      <c r="G541" s="101" t="s">
        <v>572</v>
      </c>
      <c r="H541" s="101" t="s">
        <v>573</v>
      </c>
      <c r="I541" s="101" t="s">
        <v>108</v>
      </c>
      <c r="J541" s="487" t="s">
        <v>53</v>
      </c>
      <c r="K541" s="101" t="s">
        <v>69</v>
      </c>
      <c r="L541" s="101" t="s">
        <v>73</v>
      </c>
      <c r="M541" s="299">
        <v>1100</v>
      </c>
      <c r="N541" s="102"/>
      <c r="O541" s="485" t="s">
        <v>109</v>
      </c>
      <c r="P541" s="101">
        <v>60</v>
      </c>
      <c r="Q541" s="101">
        <v>40</v>
      </c>
      <c r="R541" s="101">
        <v>40</v>
      </c>
      <c r="S541" s="697">
        <v>60</v>
      </c>
      <c r="T541" s="697">
        <v>61</v>
      </c>
      <c r="U541" s="697">
        <v>41</v>
      </c>
      <c r="V541" s="106">
        <f>IF(J541="Canvas",P541+Border,P541)</f>
        <v>68</v>
      </c>
      <c r="W541" s="106">
        <f>IF(J541="Canvas",Q541+Border,Q541)</f>
        <v>48</v>
      </c>
      <c r="X541" s="137">
        <v>69</v>
      </c>
      <c r="Y541" s="101">
        <v>68</v>
      </c>
      <c r="Z541" s="101">
        <v>48</v>
      </c>
      <c r="AA541" s="724">
        <f t="shared" si="182"/>
        <v>22.666666666666668</v>
      </c>
      <c r="AB541" s="633">
        <f>AA541*EPSONM</f>
        <v>102</v>
      </c>
      <c r="AC541" s="406">
        <f>AA541*Canvas</f>
        <v>14.96</v>
      </c>
      <c r="AD541" s="405">
        <f>Table1[[#This Row],[Ink g/mL]]*EPSONC</f>
        <v>22.44</v>
      </c>
      <c r="AE541" s="406">
        <f>IF(Table1[[#This Row],[Work Center]]="SwissQ",Materials!G$37,IF(Table1[[#This Row],[Work Center]]="Inca",Materials!G$29,IF(Table1[[#This Row],[Work Center]]="Canon",Materials!G$49,Materials!G$45)))</f>
        <v>5</v>
      </c>
      <c r="AF541" s="102">
        <f>'Cali Frames'!D450</f>
        <v>224.10500000000002</v>
      </c>
      <c r="AG541" s="115"/>
      <c r="AH541" s="104">
        <f t="shared" si="184"/>
        <v>55</v>
      </c>
      <c r="AI541" s="104"/>
      <c r="AJ541" s="104">
        <f t="shared" si="186"/>
        <v>321.505</v>
      </c>
      <c r="AK541" s="830">
        <f t="shared" si="185"/>
        <v>0.70772272727272723</v>
      </c>
      <c r="AL541" s="660">
        <f>Table1[[#This Row],[WSP/Dealer]]/Table1[[#This Row],[OD Sq Inch]]</f>
        <v>0.43982407037185128</v>
      </c>
      <c r="AM541" s="229">
        <f>Table1[[#This Row],[OD Wdth]]*Table1[[#This Row],[OD Hgt]]</f>
        <v>2501</v>
      </c>
      <c r="AN541" s="266">
        <f>Table1[[#This Row],[Min VO]]+Table1[[#This Row],[Max VO]]</f>
        <v>100</v>
      </c>
      <c r="AO541" s="115"/>
      <c r="AP541" s="115"/>
      <c r="AQ541" s="121"/>
      <c r="AR541" s="121"/>
      <c r="AS541" s="121"/>
      <c r="AT541" s="104"/>
      <c r="AU541" s="1359" t="str">
        <f t="shared" si="187"/>
        <v>-</v>
      </c>
    </row>
    <row r="542" spans="1:47" s="63" customFormat="1" hidden="1" x14ac:dyDescent="0.2">
      <c r="A542" s="68" t="s">
        <v>101</v>
      </c>
      <c r="B542" s="1072" t="s">
        <v>486</v>
      </c>
      <c r="C542" s="78" t="s">
        <v>1484</v>
      </c>
      <c r="D542" s="94"/>
      <c r="E542" s="84" t="s">
        <v>1485</v>
      </c>
      <c r="F542" s="84" t="s">
        <v>105</v>
      </c>
      <c r="G542" s="68" t="s">
        <v>1148</v>
      </c>
      <c r="H542" s="68" t="s">
        <v>1486</v>
      </c>
      <c r="I542" s="68" t="s">
        <v>108</v>
      </c>
      <c r="J542" s="140" t="s">
        <v>53</v>
      </c>
      <c r="K542" s="68" t="s">
        <v>814</v>
      </c>
      <c r="L542" s="68" t="s">
        <v>815</v>
      </c>
      <c r="M542" s="141">
        <v>256</v>
      </c>
      <c r="N542" s="93"/>
      <c r="O542" s="68" t="s">
        <v>109</v>
      </c>
      <c r="P542" s="68">
        <v>9</v>
      </c>
      <c r="Q542" s="68">
        <v>10</v>
      </c>
      <c r="R542" s="68">
        <v>9</v>
      </c>
      <c r="S542" s="623">
        <v>10</v>
      </c>
      <c r="T542" s="623">
        <v>12</v>
      </c>
      <c r="U542" s="623">
        <v>13</v>
      </c>
      <c r="V542" s="66">
        <f>IF(J542="Canvas",P542+Border,P542)</f>
        <v>17</v>
      </c>
      <c r="W542" s="66">
        <f>IF(J542="Canvas",Q542+Border,Q542)</f>
        <v>18</v>
      </c>
      <c r="X542" s="68">
        <v>40</v>
      </c>
      <c r="Y542" s="686">
        <f>Table1[[#This Row],[Print Wth]]</f>
        <v>17</v>
      </c>
      <c r="Z542" s="686">
        <f>Table1[[#This Row],[Print Ht]]</f>
        <v>18</v>
      </c>
      <c r="AA542" s="1027">
        <f>Table1[[#This Row],[Cut Width]]*Table1[[#This Row],[Cut Height]]/144</f>
        <v>2.125</v>
      </c>
      <c r="AB542" s="1130">
        <f>Table1[[#This Row],[Print Wth]]*Table1[[#This Row],[Print Ht]]/144*EPSONM</f>
        <v>9.5625</v>
      </c>
      <c r="AC542" s="278">
        <f>Table1[[#This Row],[Substrate SF]]*Canvas</f>
        <v>1.4025000000000001</v>
      </c>
      <c r="AD542" s="263">
        <f>Table1[[#This Row],[Ink g/mL]]*EPSONC</f>
        <v>2.1037500000000002</v>
      </c>
      <c r="AE542" s="74">
        <f>IF(Table1[[#This Row],[Work Center]]="SwissQ",Materials!G$37,IF(Table1[[#This Row],[Work Center]]="Inca",Materials!G$29,IF(Table1[[#This Row],[Work Center]]="Canon",Materials!G$49,Materials!G$45)))</f>
        <v>5</v>
      </c>
      <c r="AF542" s="73">
        <f>'Cali Frames'!D180</f>
        <v>119.28</v>
      </c>
      <c r="AG542" s="84"/>
      <c r="AH542" s="278">
        <v>0</v>
      </c>
      <c r="AI542" s="263"/>
      <c r="AJ542" s="278">
        <f t="shared" si="186"/>
        <v>127.78625</v>
      </c>
      <c r="AK542" s="688">
        <f t="shared" si="185"/>
        <v>0.50083496093750002</v>
      </c>
      <c r="AL542" s="278">
        <f>Table1[[#This Row],[WSP/Dealer]]/Table1[[#This Row],[OD Sq Inch]]</f>
        <v>1.641025641025641</v>
      </c>
      <c r="AM542" s="170">
        <f>Table1[[#This Row],[OD Wdth]]*Table1[[#This Row],[OD Hgt]]</f>
        <v>156</v>
      </c>
      <c r="AN542" s="274">
        <f>Table1[[#This Row],[Min VO]]+Table1[[#This Row],[Max VO]]</f>
        <v>19</v>
      </c>
      <c r="AO542" s="84"/>
      <c r="AP542" s="84"/>
      <c r="AQ542" s="126">
        <f>(Table1[[#This Row],[Desgnr/Retail P]]*0.05)</f>
        <v>0</v>
      </c>
      <c r="AR542" s="126" t="b">
        <f>IF(A542="Codarus",(AP542*0.13))</f>
        <v>0</v>
      </c>
      <c r="AS542" s="126" t="e" cm="1">
        <f t="array" ref="AS542">SUM(AC542:AG542+AQ+AR)</f>
        <v>#NAME?</v>
      </c>
      <c r="AT542" s="74" t="e">
        <f>(AP542-AS542)/AP542</f>
        <v>#NAME?</v>
      </c>
      <c r="AU542" s="1357" t="str">
        <f t="shared" si="187"/>
        <v>-</v>
      </c>
    </row>
    <row r="543" spans="1:47" s="446" customFormat="1" x14ac:dyDescent="0.2">
      <c r="A543" s="86" t="s">
        <v>58</v>
      </c>
      <c r="B543" s="1061" t="s">
        <v>406</v>
      </c>
      <c r="C543" s="100" t="s">
        <v>1487</v>
      </c>
      <c r="D543" s="94" t="s">
        <v>1488</v>
      </c>
      <c r="E543" s="85" t="s">
        <v>1489</v>
      </c>
      <c r="F543" s="85" t="s">
        <v>386</v>
      </c>
      <c r="G543" s="86" t="s">
        <v>637</v>
      </c>
      <c r="H543" s="86" t="s">
        <v>637</v>
      </c>
      <c r="I543" s="86" t="s">
        <v>52</v>
      </c>
      <c r="J543" s="86" t="s">
        <v>53</v>
      </c>
      <c r="K543" s="86" t="s">
        <v>54</v>
      </c>
      <c r="L543" s="86" t="s">
        <v>55</v>
      </c>
      <c r="M543" s="87">
        <v>935</v>
      </c>
      <c r="N543" s="639">
        <v>950</v>
      </c>
      <c r="O543" s="551" t="s">
        <v>56</v>
      </c>
      <c r="P543" s="101">
        <v>60</v>
      </c>
      <c r="Q543" s="101">
        <v>48</v>
      </c>
      <c r="R543" s="60">
        <v>48</v>
      </c>
      <c r="S543" s="273">
        <v>60</v>
      </c>
      <c r="T543" s="273">
        <f>Table1[[#This Row],[VO Wdth]]</f>
        <v>60</v>
      </c>
      <c r="U543" s="273">
        <f>Table1[[#This Row],[VO Hgt]]</f>
        <v>48</v>
      </c>
      <c r="V543" s="106">
        <f>IF(J543="Canvas",P543+BorderGW,P543)</f>
        <v>68</v>
      </c>
      <c r="W543" s="106">
        <f>IF(J543="Canvas",Q543+BorderGW,Q543)</f>
        <v>56</v>
      </c>
      <c r="X543" s="137">
        <v>69</v>
      </c>
      <c r="Y543" s="101"/>
      <c r="Z543" s="101"/>
      <c r="AA543" s="649">
        <f t="shared" ref="AA543:AA548" si="188">V543*W543/144</f>
        <v>26.444444444444443</v>
      </c>
      <c r="AB543" s="184">
        <f>AA543*IncaG</f>
        <v>556.39111111111106</v>
      </c>
      <c r="AC543" s="104">
        <f>AA543*Canvas</f>
        <v>17.453333333333333</v>
      </c>
      <c r="AD543" s="107">
        <f>AA543*IncaC</f>
        <v>44.511288888888885</v>
      </c>
      <c r="AE543" s="104">
        <f>IF(Table1[[#This Row],[Work Center]]="SwissQ",Materials!G$37,IF(Table1[[#This Row],[Work Center]]="Inca",Materials!G$29,IF(Table1[[#This Row],[Work Center]]="Canon",Materials!G$49,Materials!G$45)))</f>
        <v>8</v>
      </c>
      <c r="AF543" s="104">
        <f>'Cali FPS'!C$121</f>
        <v>188.18</v>
      </c>
      <c r="AG543" s="115"/>
      <c r="AH543" s="112">
        <f t="shared" ref="AH543:AH548" si="189">(M543*0.05)</f>
        <v>46.75</v>
      </c>
      <c r="AI543" s="112"/>
      <c r="AJ543" s="104">
        <f t="shared" si="186"/>
        <v>304.89462222222221</v>
      </c>
      <c r="AK543" s="62">
        <f t="shared" si="185"/>
        <v>0.67390949494949492</v>
      </c>
      <c r="AL543" s="225">
        <f>Table1[[#This Row],[WSP/Dealer]]/Table1[[#This Row],[OD Sq Inch]]</f>
        <v>0.32465277777777779</v>
      </c>
      <c r="AM543" s="103">
        <f>Table1[[#This Row],[OD Wdth]]*Table1[[#This Row],[OD Hgt]]</f>
        <v>2880</v>
      </c>
      <c r="AN543" s="216">
        <f>Table1[[#This Row],[Min VO]]+Table1[[#This Row],[Max VO]]</f>
        <v>108</v>
      </c>
      <c r="AO543" s="101"/>
      <c r="AP543" s="101"/>
      <c r="AQ543" s="104"/>
      <c r="AR543" s="104"/>
      <c r="AS543" s="104"/>
      <c r="AT543" s="104"/>
      <c r="AU543" s="830" t="str">
        <f t="shared" si="187"/>
        <v>-</v>
      </c>
    </row>
    <row r="544" spans="1:47" s="25" customFormat="1" x14ac:dyDescent="0.2">
      <c r="A544" s="400" t="s">
        <v>58</v>
      </c>
      <c r="B544" s="1062" t="s">
        <v>1013</v>
      </c>
      <c r="C544" s="496" t="s">
        <v>1490</v>
      </c>
      <c r="D544" s="689" t="s">
        <v>1491</v>
      </c>
      <c r="E544" s="401" t="s">
        <v>1492</v>
      </c>
      <c r="F544" s="401" t="s">
        <v>386</v>
      </c>
      <c r="G544" s="400" t="s">
        <v>1493</v>
      </c>
      <c r="H544" s="400" t="s">
        <v>1493</v>
      </c>
      <c r="I544" s="400" t="s">
        <v>52</v>
      </c>
      <c r="J544" s="497" t="s">
        <v>53</v>
      </c>
      <c r="K544" s="400" t="s">
        <v>54</v>
      </c>
      <c r="L544" s="400" t="s">
        <v>55</v>
      </c>
      <c r="M544" s="832">
        <v>1100</v>
      </c>
      <c r="N544" s="832"/>
      <c r="O544" s="400" t="s">
        <v>64</v>
      </c>
      <c r="P544" s="400">
        <v>70</v>
      </c>
      <c r="Q544" s="400">
        <v>56</v>
      </c>
      <c r="R544" s="400">
        <v>56</v>
      </c>
      <c r="S544" s="1244">
        <v>70</v>
      </c>
      <c r="T544" s="1244">
        <v>70</v>
      </c>
      <c r="U544" s="1244">
        <v>56</v>
      </c>
      <c r="V544" s="918">
        <f>IF(J544="Canvas",P544+BorderGW,P544)</f>
        <v>78</v>
      </c>
      <c r="W544" s="918">
        <f>IF(J544="Canvas",Q544+BorderGW,Q544)</f>
        <v>64</v>
      </c>
      <c r="X544" s="400">
        <v>82</v>
      </c>
      <c r="Y544" s="400">
        <v>78</v>
      </c>
      <c r="Z544" s="400">
        <v>64</v>
      </c>
      <c r="AA544" s="724">
        <f t="shared" si="188"/>
        <v>34.666666666666664</v>
      </c>
      <c r="AB544" s="633">
        <f>AA544*Swiss1</f>
        <v>981.06666666666661</v>
      </c>
      <c r="AC544" s="406">
        <f>AA544*Canvas</f>
        <v>22.88</v>
      </c>
      <c r="AD544" s="405">
        <f>Table1[[#This Row],[Substrate SF]]*Materials!C$37</f>
        <v>97.066666666666649</v>
      </c>
      <c r="AE544" s="406">
        <f>IF(Table1[[#This Row],[Work Center]]="SwissQ",Materials!G$37,IF(Table1[[#This Row],[Work Center]]="Inca",Materials!G$29,IF(Table1[[#This Row],[Work Center]]="Canon",Materials!G$49,Materials!G$45)))</f>
        <v>20</v>
      </c>
      <c r="AF544" s="403">
        <f>'Cali FPS'!C149</f>
        <v>231.14000000000001</v>
      </c>
      <c r="AG544" s="401"/>
      <c r="AH544" s="406">
        <f t="shared" si="189"/>
        <v>55</v>
      </c>
      <c r="AI544" s="405"/>
      <c r="AJ544" s="406">
        <f t="shared" si="186"/>
        <v>426.0866666666667</v>
      </c>
      <c r="AK544" s="1065">
        <f t="shared" si="185"/>
        <v>0.61264848484848478</v>
      </c>
      <c r="AL544" s="406">
        <f>Table1[[#This Row],[WSP/Dealer]]/Table1[[#This Row],[OD Sq Inch]]</f>
        <v>0.28061224489795916</v>
      </c>
      <c r="AM544" s="400">
        <f>Table1[[#This Row],[OD Wdth]]*Table1[[#This Row],[OD Hgt]]</f>
        <v>3920</v>
      </c>
      <c r="AN544" s="400">
        <f>Table1[[#This Row],[Min VO]]+Table1[[#This Row],[Max VO]]</f>
        <v>126</v>
      </c>
      <c r="AO544" s="401"/>
      <c r="AP544" s="401"/>
      <c r="AQ544" s="1000"/>
      <c r="AR544" s="1000"/>
      <c r="AS544" s="1000"/>
      <c r="AT544" s="406"/>
      <c r="AU544" s="1366" t="str">
        <f t="shared" si="187"/>
        <v>-</v>
      </c>
    </row>
    <row r="545" spans="1:47" s="25" customFormat="1" hidden="1" x14ac:dyDescent="0.2">
      <c r="A545" s="68" t="s">
        <v>187</v>
      </c>
      <c r="B545" s="279" t="s">
        <v>261</v>
      </c>
      <c r="C545" s="94" t="s">
        <v>1494</v>
      </c>
      <c r="D545" s="94"/>
      <c r="E545" s="172" t="s">
        <v>1495</v>
      </c>
      <c r="F545" s="172" t="s">
        <v>1496</v>
      </c>
      <c r="G545" s="68" t="s">
        <v>1497</v>
      </c>
      <c r="H545" s="68" t="s">
        <v>643</v>
      </c>
      <c r="I545" s="68" t="s">
        <v>108</v>
      </c>
      <c r="J545" s="140" t="s">
        <v>257</v>
      </c>
      <c r="K545" s="68" t="s">
        <v>198</v>
      </c>
      <c r="L545" s="68" t="s">
        <v>199</v>
      </c>
      <c r="M545" s="141"/>
      <c r="N545" s="71"/>
      <c r="O545" s="68" t="s">
        <v>260</v>
      </c>
      <c r="P545" s="68">
        <v>20</v>
      </c>
      <c r="Q545" s="68">
        <v>16</v>
      </c>
      <c r="R545" s="68">
        <v>16</v>
      </c>
      <c r="S545" s="68">
        <v>20</v>
      </c>
      <c r="T545" s="68">
        <v>20</v>
      </c>
      <c r="U545" s="68">
        <v>16</v>
      </c>
      <c r="V545" s="66">
        <f>Table1[[#This Row],[VO Wdth]]+Materials!$C$50</f>
        <v>22</v>
      </c>
      <c r="W545" s="66">
        <f>Table1[[#This Row],[VO Hgt]]+Materials!$C$50</f>
        <v>18</v>
      </c>
      <c r="X545" s="189" t="s">
        <v>257</v>
      </c>
      <c r="Y545" s="68"/>
      <c r="Z545" s="68"/>
      <c r="AA545" s="699">
        <f t="shared" si="188"/>
        <v>2.75</v>
      </c>
      <c r="AB545" s="297">
        <f>AA545*canonML</f>
        <v>13.2</v>
      </c>
      <c r="AC545" s="74">
        <f>Table1[[#This Row],[Print Ht]]*paper60</f>
        <v>6.12</v>
      </c>
      <c r="AD545" s="67">
        <f>Table1[[#This Row],[Ink g/mL]]*CanonC</f>
        <v>3.5640000000000001</v>
      </c>
      <c r="AE545" s="104">
        <f>IF(Table1[[#This Row],[Work Center]]="SwissQ",Materials!G$37,IF(Table1[[#This Row],[Work Center]]="Inca",Materials!G$29,IF(Table1[[#This Row],[Work Center]]="Canon",Materials!G$49,Materials!G$45)))</f>
        <v>7</v>
      </c>
      <c r="AF545" s="260"/>
      <c r="AG545" s="126">
        <f>Materials!D$76</f>
        <v>10.82</v>
      </c>
      <c r="AH545" s="498">
        <f t="shared" si="189"/>
        <v>0</v>
      </c>
      <c r="AI545" s="498"/>
      <c r="AJ545" s="278">
        <f t="shared" si="186"/>
        <v>27.504000000000001</v>
      </c>
      <c r="AK545" s="650" t="e">
        <f t="shared" si="185"/>
        <v>#DIV/0!</v>
      </c>
      <c r="AL545" s="225">
        <f>Table1[[#This Row],[WSP/Dealer]]/Table1[[#This Row],[OD Sq Inch]]</f>
        <v>0</v>
      </c>
      <c r="AM545" s="170">
        <f>Table1[[#This Row],[OD Wdth]]*Table1[[#This Row],[OD Hgt]]</f>
        <v>320</v>
      </c>
      <c r="AN545" s="216">
        <f>Table1[[#This Row],[Min VO]]+Table1[[#This Row],[Max VO]]</f>
        <v>36</v>
      </c>
      <c r="AO545" s="84"/>
      <c r="AP545" s="84"/>
      <c r="AQ545" s="126"/>
      <c r="AR545" s="126"/>
      <c r="AS545" s="126"/>
      <c r="AT545" s="74"/>
      <c r="AU545" s="1357" t="str">
        <f t="shared" si="187"/>
        <v>-</v>
      </c>
    </row>
    <row r="546" spans="1:47" s="546" customFormat="1" hidden="1" x14ac:dyDescent="0.2">
      <c r="A546" s="68" t="s">
        <v>187</v>
      </c>
      <c r="B546" s="279" t="s">
        <v>261</v>
      </c>
      <c r="C546" s="94" t="s">
        <v>1498</v>
      </c>
      <c r="D546" s="94"/>
      <c r="E546" s="172" t="s">
        <v>1495</v>
      </c>
      <c r="F546" s="172" t="s">
        <v>1496</v>
      </c>
      <c r="G546" s="68" t="s">
        <v>1497</v>
      </c>
      <c r="H546" s="68" t="s">
        <v>810</v>
      </c>
      <c r="I546" s="68" t="s">
        <v>108</v>
      </c>
      <c r="J546" s="140" t="s">
        <v>257</v>
      </c>
      <c r="K546" s="68" t="s">
        <v>258</v>
      </c>
      <c r="L546" s="68" t="s">
        <v>259</v>
      </c>
      <c r="M546" s="141"/>
      <c r="N546" s="71"/>
      <c r="O546" s="68" t="s">
        <v>260</v>
      </c>
      <c r="P546" s="68">
        <v>20</v>
      </c>
      <c r="Q546" s="68">
        <v>16</v>
      </c>
      <c r="R546" s="68">
        <v>16</v>
      </c>
      <c r="S546" s="68">
        <v>20</v>
      </c>
      <c r="T546" s="68">
        <v>22</v>
      </c>
      <c r="U546" s="68">
        <v>18</v>
      </c>
      <c r="V546" s="66">
        <f>Table1[[#This Row],[VO Wdth]]+Materials!$C$50</f>
        <v>22</v>
      </c>
      <c r="W546" s="66">
        <f>Table1[[#This Row],[VO Hgt]]+Materials!$C$50</f>
        <v>18</v>
      </c>
      <c r="X546" s="189" t="s">
        <v>257</v>
      </c>
      <c r="Y546" s="68"/>
      <c r="Z546" s="68"/>
      <c r="AA546" s="699">
        <f t="shared" si="188"/>
        <v>2.75</v>
      </c>
      <c r="AB546" s="297">
        <f>AA546*canonML</f>
        <v>13.2</v>
      </c>
      <c r="AC546" s="74">
        <f>Table1[[#This Row],[Print Ht]]*paper60</f>
        <v>6.12</v>
      </c>
      <c r="AD546" s="67">
        <f>Table1[[#This Row],[Ink g/mL]]*CanonC</f>
        <v>3.5640000000000001</v>
      </c>
      <c r="AE546" s="104">
        <f>IF(Table1[[#This Row],[Work Center]]="SwissQ",Materials!G$37,IF(Table1[[#This Row],[Work Center]]="Inca",Materials!G$29,IF(Table1[[#This Row],[Work Center]]="Canon",Materials!G$49,Materials!G$45)))</f>
        <v>7</v>
      </c>
      <c r="AF546" s="73">
        <v>0</v>
      </c>
      <c r="AG546" s="1029">
        <v>20</v>
      </c>
      <c r="AH546" s="498">
        <f t="shared" si="189"/>
        <v>0</v>
      </c>
      <c r="AI546" s="498"/>
      <c r="AJ546" s="278">
        <f t="shared" si="186"/>
        <v>36.683999999999997</v>
      </c>
      <c r="AK546" s="650" t="e">
        <f t="shared" si="185"/>
        <v>#DIV/0!</v>
      </c>
      <c r="AL546" s="225">
        <f>Table1[[#This Row],[WSP/Dealer]]/Table1[[#This Row],[OD Sq Inch]]</f>
        <v>0</v>
      </c>
      <c r="AM546" s="170">
        <f>Table1[[#This Row],[OD Wdth]]*Table1[[#This Row],[OD Hgt]]</f>
        <v>396</v>
      </c>
      <c r="AN546" s="216">
        <f>Table1[[#This Row],[Min VO]]+Table1[[#This Row],[Max VO]]</f>
        <v>36</v>
      </c>
      <c r="AO546" s="84"/>
      <c r="AP546" s="84"/>
      <c r="AQ546" s="126"/>
      <c r="AR546" s="126"/>
      <c r="AS546" s="126"/>
      <c r="AT546" s="74"/>
      <c r="AU546" s="1357" t="str">
        <f t="shared" si="187"/>
        <v>-</v>
      </c>
    </row>
    <row r="547" spans="1:47" s="286" customFormat="1" hidden="1" x14ac:dyDescent="0.2">
      <c r="A547" s="68" t="s">
        <v>187</v>
      </c>
      <c r="B547" s="279" t="s">
        <v>261</v>
      </c>
      <c r="C547" s="94" t="s">
        <v>1499</v>
      </c>
      <c r="D547" s="94"/>
      <c r="E547" s="172" t="s">
        <v>1495</v>
      </c>
      <c r="F547" s="172" t="s">
        <v>1496</v>
      </c>
      <c r="G547" s="68" t="s">
        <v>1497</v>
      </c>
      <c r="H547" s="68" t="s">
        <v>810</v>
      </c>
      <c r="I547" s="68" t="s">
        <v>108</v>
      </c>
      <c r="J547" s="140" t="s">
        <v>257</v>
      </c>
      <c r="K547" s="68" t="s">
        <v>258</v>
      </c>
      <c r="L547" s="68" t="s">
        <v>269</v>
      </c>
      <c r="M547" s="141"/>
      <c r="N547" s="71"/>
      <c r="O547" s="68" t="s">
        <v>260</v>
      </c>
      <c r="P547" s="68">
        <v>20</v>
      </c>
      <c r="Q547" s="68">
        <v>16</v>
      </c>
      <c r="R547" s="68">
        <v>16</v>
      </c>
      <c r="S547" s="68">
        <v>20</v>
      </c>
      <c r="T547" s="68">
        <v>22</v>
      </c>
      <c r="U547" s="68">
        <v>18</v>
      </c>
      <c r="V547" s="66">
        <f>Table1[[#This Row],[VO Wdth]]+Materials!$C$50</f>
        <v>22</v>
      </c>
      <c r="W547" s="66">
        <f>Table1[[#This Row],[VO Hgt]]+Materials!$C$50</f>
        <v>18</v>
      </c>
      <c r="X547" s="189" t="s">
        <v>257</v>
      </c>
      <c r="Y547" s="68"/>
      <c r="Z547" s="68"/>
      <c r="AA547" s="699">
        <f t="shared" si="188"/>
        <v>2.75</v>
      </c>
      <c r="AB547" s="297">
        <f>AA547*canonML</f>
        <v>13.2</v>
      </c>
      <c r="AC547" s="74">
        <f>Table1[[#This Row],[Print Ht]]*paper60</f>
        <v>6.12</v>
      </c>
      <c r="AD547" s="67">
        <f>Table1[[#This Row],[Ink g/mL]]*CanonC</f>
        <v>3.5640000000000001</v>
      </c>
      <c r="AE547" s="104">
        <f>IF(Table1[[#This Row],[Work Center]]="SwissQ",Materials!G$37,IF(Table1[[#This Row],[Work Center]]="Inca",Materials!G$29,IF(Table1[[#This Row],[Work Center]]="Canon",Materials!G$49,Materials!G$45)))</f>
        <v>7</v>
      </c>
      <c r="AF547" s="73">
        <v>0</v>
      </c>
      <c r="AG547" s="1029">
        <v>20</v>
      </c>
      <c r="AH547" s="498">
        <f t="shared" si="189"/>
        <v>0</v>
      </c>
      <c r="AI547" s="498"/>
      <c r="AJ547" s="278">
        <f t="shared" si="186"/>
        <v>36.683999999999997</v>
      </c>
      <c r="AK547" s="650" t="e">
        <f t="shared" si="185"/>
        <v>#DIV/0!</v>
      </c>
      <c r="AL547" s="225">
        <f>Table1[[#This Row],[WSP/Dealer]]/Table1[[#This Row],[OD Sq Inch]]</f>
        <v>0</v>
      </c>
      <c r="AM547" s="170">
        <f>Table1[[#This Row],[OD Wdth]]*Table1[[#This Row],[OD Hgt]]</f>
        <v>396</v>
      </c>
      <c r="AN547" s="216">
        <f>Table1[[#This Row],[Min VO]]+Table1[[#This Row],[Max VO]]</f>
        <v>36</v>
      </c>
      <c r="AO547" s="84"/>
      <c r="AP547" s="84"/>
      <c r="AQ547" s="126"/>
      <c r="AR547" s="126"/>
      <c r="AS547" s="126"/>
      <c r="AT547" s="74"/>
      <c r="AU547" s="1357" t="str">
        <f t="shared" si="187"/>
        <v>-</v>
      </c>
    </row>
    <row r="548" spans="1:47" s="220" customFormat="1" hidden="1" x14ac:dyDescent="0.2">
      <c r="A548" s="68" t="s">
        <v>187</v>
      </c>
      <c r="B548" s="1061" t="s">
        <v>261</v>
      </c>
      <c r="C548" s="94" t="s">
        <v>1500</v>
      </c>
      <c r="D548" s="94"/>
      <c r="E548" s="172" t="s">
        <v>1501</v>
      </c>
      <c r="F548" s="172" t="s">
        <v>1496</v>
      </c>
      <c r="G548" s="68" t="s">
        <v>1497</v>
      </c>
      <c r="H548" s="68" t="s">
        <v>643</v>
      </c>
      <c r="I548" s="274" t="s">
        <v>108</v>
      </c>
      <c r="J548" s="68" t="s">
        <v>197</v>
      </c>
      <c r="K548" s="457" t="s">
        <v>198</v>
      </c>
      <c r="L548" s="274" t="s">
        <v>199</v>
      </c>
      <c r="M548" s="141">
        <v>60</v>
      </c>
      <c r="N548" s="71"/>
      <c r="O548" s="68" t="s">
        <v>260</v>
      </c>
      <c r="P548" s="68">
        <v>20</v>
      </c>
      <c r="Q548" s="68">
        <v>16</v>
      </c>
      <c r="R548" s="68">
        <v>16</v>
      </c>
      <c r="S548" s="68">
        <v>20</v>
      </c>
      <c r="T548" s="68">
        <v>20</v>
      </c>
      <c r="U548" s="68">
        <v>16</v>
      </c>
      <c r="V548" s="686">
        <f>Table1[[#This Row],[VO Wdth]]+Materials!$C$7</f>
        <v>22</v>
      </c>
      <c r="W548" s="686">
        <f>Table1[[#This Row],[VO Hgt]]+Materials!$C$7</f>
        <v>18</v>
      </c>
      <c r="X548" s="343" t="s">
        <v>197</v>
      </c>
      <c r="Y548" s="101"/>
      <c r="Z548" s="101"/>
      <c r="AA548" s="699">
        <f t="shared" si="188"/>
        <v>2.75</v>
      </c>
      <c r="AB548" s="341">
        <f>AA548*canonML</f>
        <v>13.2</v>
      </c>
      <c r="AC548" s="74">
        <f>Table1[[#This Row],[Substrate SF]]*POster</f>
        <v>2.0459999999999998</v>
      </c>
      <c r="AD548" s="278">
        <f>Table1[[#This Row],[Substrate SF]]*SWISSRC</f>
        <v>0.60499999999999998</v>
      </c>
      <c r="AE548" s="104">
        <f>IF(Table1[[#This Row],[Work Center]]="SwissQ",Materials!G$37,IF(Table1[[#This Row],[Work Center]]="Inca",Materials!G$29,IF(Table1[[#This Row],[Work Center]]="Canon",Materials!G$49,Materials!G$45)))</f>
        <v>7</v>
      </c>
      <c r="AF548" s="73">
        <v>0</v>
      </c>
      <c r="AG548" s="126">
        <f>Materials!D$76</f>
        <v>10.82</v>
      </c>
      <c r="AH548" s="498">
        <f t="shared" si="189"/>
        <v>3</v>
      </c>
      <c r="AI548" s="498"/>
      <c r="AJ548" s="278">
        <f t="shared" si="186"/>
        <v>23.471</v>
      </c>
      <c r="AK548" s="650">
        <f t="shared" si="185"/>
        <v>0.60881666666666656</v>
      </c>
      <c r="AL548" s="225">
        <f>Table1[[#This Row],[WSP/Dealer]]/Table1[[#This Row],[OD Sq Inch]]</f>
        <v>0.1875</v>
      </c>
      <c r="AM548" s="274">
        <f>Table1[[#This Row],[OD Wdth]]*Table1[[#This Row],[OD Hgt]]</f>
        <v>320</v>
      </c>
      <c r="AN548" s="216">
        <f>Table1[[#This Row],[Min VO]]+Table1[[#This Row],[Max VO]]</f>
        <v>36</v>
      </c>
      <c r="AO548" s="84"/>
      <c r="AP548" s="84"/>
      <c r="AQ548" s="126"/>
      <c r="AR548" s="126"/>
      <c r="AS548" s="126"/>
      <c r="AT548" s="74"/>
      <c r="AU548" s="1357" t="str">
        <f t="shared" si="187"/>
        <v>-</v>
      </c>
    </row>
    <row r="549" spans="1:47" s="159" customFormat="1" hidden="1" x14ac:dyDescent="0.2">
      <c r="A549" s="68" t="s">
        <v>101</v>
      </c>
      <c r="B549" s="1152" t="s">
        <v>102</v>
      </c>
      <c r="C549" s="94" t="s">
        <v>1502</v>
      </c>
      <c r="D549" s="94"/>
      <c r="E549" s="172" t="s">
        <v>1503</v>
      </c>
      <c r="F549" s="172" t="s">
        <v>105</v>
      </c>
      <c r="G549" s="68" t="s">
        <v>1504</v>
      </c>
      <c r="H549" s="68" t="s">
        <v>350</v>
      </c>
      <c r="I549" s="68" t="s">
        <v>256</v>
      </c>
      <c r="J549" s="140" t="s">
        <v>257</v>
      </c>
      <c r="K549" s="68" t="s">
        <v>1315</v>
      </c>
      <c r="L549" s="68" t="s">
        <v>259</v>
      </c>
      <c r="M549" s="141">
        <v>158</v>
      </c>
      <c r="N549" s="93"/>
      <c r="O549" s="68" t="s">
        <v>260</v>
      </c>
      <c r="P549" s="68">
        <v>6</v>
      </c>
      <c r="Q549" s="68">
        <v>7</v>
      </c>
      <c r="R549" s="68">
        <v>6</v>
      </c>
      <c r="S549" s="68">
        <v>7</v>
      </c>
      <c r="T549" s="68">
        <v>12</v>
      </c>
      <c r="U549" s="68">
        <v>16</v>
      </c>
      <c r="V549" s="686">
        <f>Table1[[#This Row],[VO Wdth]]+Materials!$C$7</f>
        <v>8</v>
      </c>
      <c r="W549" s="686">
        <f>Table1[[#This Row],[VO Hgt]]+Materials!$C$7</f>
        <v>9</v>
      </c>
      <c r="X549" s="68" t="s">
        <v>257</v>
      </c>
      <c r="Y549" s="1347">
        <f>Table1[[#This Row],[Print Wth]]+Materials!$C$7</f>
        <v>10</v>
      </c>
      <c r="Z549" s="1347">
        <f>Table1[[#This Row],[Print Ht]]+Materials!$C$7</f>
        <v>11</v>
      </c>
      <c r="AA549" s="1027">
        <f>(Table1[[#This Row],[Cut Width]]*Table1[[#This Row],[Cut Height]])/144</f>
        <v>0.76388888888888884</v>
      </c>
      <c r="AB549" s="690">
        <f>(Table1[[#This Row],[Print Wth]]*Table1[[#This Row],[Print Ht]])/144*canonML</f>
        <v>2.4</v>
      </c>
      <c r="AC549" s="74">
        <f>Table1[[#This Row],[Substrate SF]]*Paper</f>
        <v>1.0335416666666666</v>
      </c>
      <c r="AD549" s="74">
        <f>(Table1[[#This Row],[Print Wth]]*Table1[[#This Row],[Print Ht]])/144*CanonC</f>
        <v>0.13500000000000001</v>
      </c>
      <c r="AE549" s="74">
        <f>IF(Table1[[#This Row],[Work Center]]="SwissQ",Materials!G$37,IF(Table1[[#This Row],[Work Center]]="Inca",Materials!G$29,IF(Table1[[#This Row],[Work Center]]="Canon",Materials!G$49,Materials!G$45)))</f>
        <v>7</v>
      </c>
      <c r="AF549" s="73">
        <f>'Cali Frames'!D90</f>
        <v>70.790000000000006</v>
      </c>
      <c r="AG549" s="126"/>
      <c r="AH549" s="74">
        <v>0</v>
      </c>
      <c r="AI549" s="74"/>
      <c r="AJ549" s="278">
        <f t="shared" si="186"/>
        <v>78.958541666666676</v>
      </c>
      <c r="AK549" s="1001">
        <f t="shared" si="185"/>
        <v>0.50026239451476784</v>
      </c>
      <c r="AL549" s="240">
        <f>Table1[[#This Row],[WSP/Dealer]]/Table1[[#This Row],[OD Sq Inch]]</f>
        <v>0.82291666666666663</v>
      </c>
      <c r="AM549" s="274">
        <f>Table1[[#This Row],[OD Wdth]]*Table1[[#This Row],[OD Hgt]]</f>
        <v>192</v>
      </c>
      <c r="AN549" s="238">
        <f>Table1[[#This Row],[Min VO]]+Table1[[#This Row],[Max VO]]</f>
        <v>13</v>
      </c>
      <c r="AO549" s="84"/>
      <c r="AP549" s="84"/>
      <c r="AQ549" s="126"/>
      <c r="AR549" s="126"/>
      <c r="AS549" s="126"/>
      <c r="AT549" s="74"/>
      <c r="AU549" s="1357" t="str">
        <f t="shared" si="187"/>
        <v>-</v>
      </c>
    </row>
    <row r="550" spans="1:47" s="170" customFormat="1" x14ac:dyDescent="0.2">
      <c r="A550" s="86" t="s">
        <v>58</v>
      </c>
      <c r="B550" s="279" t="s">
        <v>88</v>
      </c>
      <c r="C550" s="100" t="s">
        <v>1505</v>
      </c>
      <c r="D550" s="94" t="s">
        <v>1506</v>
      </c>
      <c r="E550" s="85" t="s">
        <v>1507</v>
      </c>
      <c r="F550" s="85" t="s">
        <v>634</v>
      </c>
      <c r="G550" s="86" t="s">
        <v>1508</v>
      </c>
      <c r="H550" s="86" t="s">
        <v>1509</v>
      </c>
      <c r="I550" s="86" t="s">
        <v>52</v>
      </c>
      <c r="J550" s="86" t="s">
        <v>53</v>
      </c>
      <c r="K550" s="86" t="s">
        <v>82</v>
      </c>
      <c r="L550" s="86" t="s">
        <v>83</v>
      </c>
      <c r="M550" s="87">
        <v>935</v>
      </c>
      <c r="N550" s="639">
        <v>1100</v>
      </c>
      <c r="O550" s="551" t="s">
        <v>56</v>
      </c>
      <c r="P550" s="101">
        <v>72</v>
      </c>
      <c r="Q550" s="101">
        <v>36</v>
      </c>
      <c r="R550" s="60">
        <v>36</v>
      </c>
      <c r="S550" s="61">
        <v>72</v>
      </c>
      <c r="T550" s="101">
        <v>74</v>
      </c>
      <c r="U550" s="101" t="str">
        <f>RIGHT(H550,2)</f>
        <v>38</v>
      </c>
      <c r="V550" s="608">
        <f>IF(J550="Canvas",P550+Border,P550)</f>
        <v>80</v>
      </c>
      <c r="W550" s="608">
        <f>IF(J550="Canvas",Q550+Border,Q550)</f>
        <v>44</v>
      </c>
      <c r="X550" s="311">
        <v>82</v>
      </c>
      <c r="Y550" s="551"/>
      <c r="Z550" s="551"/>
      <c r="AA550" s="649">
        <f t="shared" ref="AA550:AA556" si="190">V550*W550/144</f>
        <v>24.444444444444443</v>
      </c>
      <c r="AB550" s="184">
        <f>AA550*IncaG</f>
        <v>514.31111111111102</v>
      </c>
      <c r="AC550" s="104">
        <f t="shared" ref="AC550:AC556" si="191">AA550*Canvas</f>
        <v>16.133333333333333</v>
      </c>
      <c r="AD550" s="107">
        <f>AA550*IncaC</f>
        <v>41.144888888888886</v>
      </c>
      <c r="AE550" s="104">
        <f>IF(Table1[[#This Row],[Work Center]]="SwissQ",Materials!G$37,IF(Table1[[#This Row],[Work Center]]="Inca",Materials!G$29,IF(Table1[[#This Row],[Work Center]]="Canon",Materials!G$49,Materials!G$45)))</f>
        <v>8</v>
      </c>
      <c r="AF550" s="104">
        <f>'Cali Frames'!D$136</f>
        <v>234.30749999999998</v>
      </c>
      <c r="AG550" s="115"/>
      <c r="AH550" s="498">
        <f t="shared" ref="AH550:AH556" si="192">(M550*0.05)</f>
        <v>46.75</v>
      </c>
      <c r="AI550" s="498"/>
      <c r="AJ550" s="104">
        <f t="shared" si="186"/>
        <v>346.33572222222222</v>
      </c>
      <c r="AK550" s="650">
        <f t="shared" si="185"/>
        <v>0.62958746286393341</v>
      </c>
      <c r="AL550" s="225">
        <f>Table1[[#This Row],[WSP/Dealer]]/Table1[[#This Row],[OD Sq Inch]]</f>
        <v>0.33250355618776672</v>
      </c>
      <c r="AM550" s="218">
        <f>Table1[[#This Row],[OD Wdth]]*Table1[[#This Row],[OD Hgt]]</f>
        <v>2812</v>
      </c>
      <c r="AN550" s="216">
        <f>Table1[[#This Row],[Min VO]]+Table1[[#This Row],[Max VO]]</f>
        <v>108</v>
      </c>
      <c r="AO550" s="101"/>
      <c r="AP550" s="101"/>
      <c r="AQ550" s="104"/>
      <c r="AR550" s="104"/>
      <c r="AS550" s="104"/>
      <c r="AT550" s="104"/>
      <c r="AU550" s="830" t="str">
        <f t="shared" si="187"/>
        <v>-</v>
      </c>
    </row>
    <row r="551" spans="1:47" s="173" customFormat="1" x14ac:dyDescent="0.2">
      <c r="A551" s="101" t="s">
        <v>581</v>
      </c>
      <c r="B551" s="279" t="s">
        <v>292</v>
      </c>
      <c r="C551" s="100" t="s">
        <v>1510</v>
      </c>
      <c r="D551" s="94" t="s">
        <v>1511</v>
      </c>
      <c r="E551" s="115" t="s">
        <v>1507</v>
      </c>
      <c r="F551" s="84" t="s">
        <v>634</v>
      </c>
      <c r="G551" s="68" t="s">
        <v>1508</v>
      </c>
      <c r="H551" s="68" t="s">
        <v>1512</v>
      </c>
      <c r="I551" s="68" t="s">
        <v>52</v>
      </c>
      <c r="J551" s="68" t="s">
        <v>53</v>
      </c>
      <c r="K551" s="68" t="s">
        <v>69</v>
      </c>
      <c r="L551" s="68" t="s">
        <v>76</v>
      </c>
      <c r="M551" s="299">
        <v>1100</v>
      </c>
      <c r="N551" s="829">
        <v>1100</v>
      </c>
      <c r="O551" s="101" t="s">
        <v>56</v>
      </c>
      <c r="P551" s="101">
        <v>72</v>
      </c>
      <c r="Q551" s="101">
        <v>36</v>
      </c>
      <c r="R551" s="101">
        <v>36</v>
      </c>
      <c r="S551" s="697">
        <v>72</v>
      </c>
      <c r="T551" s="101">
        <v>74</v>
      </c>
      <c r="U551" s="101">
        <v>38</v>
      </c>
      <c r="V551" s="608">
        <f>IF(J551="Canvas",P551+Border,P551)</f>
        <v>80</v>
      </c>
      <c r="W551" s="608">
        <f>IF(J551="Canvas",Q551+Border,Q551)</f>
        <v>44</v>
      </c>
      <c r="X551" s="137">
        <v>82</v>
      </c>
      <c r="Y551" s="101">
        <v>80</v>
      </c>
      <c r="Z551" s="101">
        <v>44</v>
      </c>
      <c r="AA551" s="724">
        <f t="shared" si="190"/>
        <v>24.444444444444443</v>
      </c>
      <c r="AB551" s="633">
        <f>AA551*IncaG</f>
        <v>514.31111111111102</v>
      </c>
      <c r="AC551" s="406">
        <f t="shared" si="191"/>
        <v>16.133333333333333</v>
      </c>
      <c r="AD551" s="405">
        <f>AA551*IncaC</f>
        <v>41.144888888888886</v>
      </c>
      <c r="AE551" s="406">
        <f>IF(Table1[[#This Row],[Work Center]]="SwissQ",Materials!G$37,IF(Table1[[#This Row],[Work Center]]="Inca",Materials!G$29,IF(Table1[[#This Row],[Work Center]]="Canon",Materials!G$49,Materials!G$45)))</f>
        <v>8</v>
      </c>
      <c r="AF551" s="102" t="e">
        <f>'Cali Frames'!#REF!</f>
        <v>#REF!</v>
      </c>
      <c r="AG551" s="540"/>
      <c r="AH551" s="104">
        <f t="shared" si="192"/>
        <v>55</v>
      </c>
      <c r="AI551" s="104"/>
      <c r="AJ551" s="406" t="e">
        <f t="shared" si="186"/>
        <v>#REF!</v>
      </c>
      <c r="AK551" s="830" t="e">
        <f t="shared" si="185"/>
        <v>#REF!</v>
      </c>
      <c r="AL551" s="660">
        <f>Table1[[#This Row],[WSP/Dealer]]/Table1[[#This Row],[OD Sq Inch]]</f>
        <v>0.39118065433854909</v>
      </c>
      <c r="AM551" s="399">
        <f>Table1[[#This Row],[OD Wdth]]*Table1[[#This Row],[OD Hgt]]</f>
        <v>2812</v>
      </c>
      <c r="AN551" s="400">
        <f>Table1[[#This Row],[Min VO]]+Table1[[#This Row],[Max VO]]</f>
        <v>108</v>
      </c>
      <c r="AO551" s="115"/>
      <c r="AP551" s="115"/>
      <c r="AQ551" s="121"/>
      <c r="AR551" s="121"/>
      <c r="AS551" s="121"/>
      <c r="AT551" s="104"/>
      <c r="AU551" s="1359" t="str">
        <f t="shared" si="187"/>
        <v>-</v>
      </c>
    </row>
    <row r="552" spans="1:47" s="103" customFormat="1" x14ac:dyDescent="0.2">
      <c r="A552" s="101" t="s">
        <v>581</v>
      </c>
      <c r="B552" s="279" t="s">
        <v>292</v>
      </c>
      <c r="C552" s="100" t="s">
        <v>1513</v>
      </c>
      <c r="D552" s="94" t="s">
        <v>1514</v>
      </c>
      <c r="E552" s="115" t="s">
        <v>1515</v>
      </c>
      <c r="F552" s="84" t="s">
        <v>448</v>
      </c>
      <c r="G552" s="68" t="s">
        <v>1516</v>
      </c>
      <c r="H552" s="68" t="s">
        <v>983</v>
      </c>
      <c r="I552" s="68" t="s">
        <v>52</v>
      </c>
      <c r="J552" s="140" t="s">
        <v>53</v>
      </c>
      <c r="K552" s="68" t="s">
        <v>82</v>
      </c>
      <c r="L552" s="68" t="s">
        <v>83</v>
      </c>
      <c r="M552" s="299">
        <v>1350</v>
      </c>
      <c r="N552" s="114"/>
      <c r="O552" s="101" t="s">
        <v>56</v>
      </c>
      <c r="P552" s="101">
        <v>72</v>
      </c>
      <c r="Q552" s="101">
        <v>48</v>
      </c>
      <c r="R552" s="101">
        <v>48</v>
      </c>
      <c r="S552" s="697">
        <v>72</v>
      </c>
      <c r="T552" s="101">
        <v>73</v>
      </c>
      <c r="U552" s="101">
        <v>49</v>
      </c>
      <c r="V552" s="404">
        <f>IF(J552="Canvas",P552+BorderL,P552)</f>
        <v>83</v>
      </c>
      <c r="W552" s="404">
        <f>IF(J552="Canvas",Q552+BorderL,Q552)</f>
        <v>59</v>
      </c>
      <c r="X552" s="101">
        <v>59</v>
      </c>
      <c r="Y552" s="101">
        <v>84</v>
      </c>
      <c r="Z552" s="101">
        <v>59</v>
      </c>
      <c r="AA552" s="724">
        <f t="shared" si="190"/>
        <v>34.006944444444443</v>
      </c>
      <c r="AB552" s="633">
        <f>AA552*IncaG</f>
        <v>715.50611111111107</v>
      </c>
      <c r="AC552" s="406">
        <f t="shared" si="191"/>
        <v>22.444583333333334</v>
      </c>
      <c r="AD552" s="405">
        <f>AA552*IncaC</f>
        <v>57.240488888888891</v>
      </c>
      <c r="AE552" s="406">
        <f>IF(Table1[[#This Row],[Work Center]]="SwissQ",Materials!G$37,IF(Table1[[#This Row],[Work Center]]="Inca",Materials!G$29,IF(Table1[[#This Row],[Work Center]]="Canon",Materials!G$49,Materials!G$45)))</f>
        <v>8</v>
      </c>
      <c r="AF552" s="102">
        <f>'Cali Frames'!D157</f>
        <v>240.85249999999999</v>
      </c>
      <c r="AG552" s="540"/>
      <c r="AH552" s="104">
        <f t="shared" si="192"/>
        <v>67.5</v>
      </c>
      <c r="AI552" s="104"/>
      <c r="AJ552" s="406">
        <f t="shared" si="186"/>
        <v>396.03757222222225</v>
      </c>
      <c r="AK552" s="830">
        <f t="shared" si="185"/>
        <v>0.70663883539094652</v>
      </c>
      <c r="AL552" s="660">
        <f>Table1[[#This Row],[WSP/Dealer]]/Table1[[#This Row],[OD Sq Inch]]</f>
        <v>0.37741123846798996</v>
      </c>
      <c r="AM552" s="399">
        <f>Table1[[#This Row],[OD Wdth]]*Table1[[#This Row],[OD Hgt]]</f>
        <v>3577</v>
      </c>
      <c r="AN552" s="400">
        <f>Table1[[#This Row],[Min VO]]+Table1[[#This Row],[Max VO]]</f>
        <v>120</v>
      </c>
      <c r="AO552" s="115"/>
      <c r="AP552" s="115"/>
      <c r="AQ552" s="121"/>
      <c r="AR552" s="121"/>
      <c r="AS552" s="121"/>
      <c r="AT552" s="104"/>
      <c r="AU552" s="1359" t="str">
        <f t="shared" si="187"/>
        <v>-</v>
      </c>
    </row>
    <row r="553" spans="1:47" s="46" customFormat="1" x14ac:dyDescent="0.2">
      <c r="A553" s="60" t="s">
        <v>581</v>
      </c>
      <c r="B553" s="279" t="s">
        <v>292</v>
      </c>
      <c r="C553" s="76" t="s">
        <v>1517</v>
      </c>
      <c r="D553" s="94"/>
      <c r="E553" s="1478" t="s">
        <v>1515</v>
      </c>
      <c r="F553" s="83" t="s">
        <v>448</v>
      </c>
      <c r="G553" s="60" t="s">
        <v>1516</v>
      </c>
      <c r="H553" s="60" t="s">
        <v>983</v>
      </c>
      <c r="I553" s="60" t="s">
        <v>52</v>
      </c>
      <c r="J553" s="59" t="s">
        <v>53</v>
      </c>
      <c r="K553" s="60" t="s">
        <v>69</v>
      </c>
      <c r="L553" s="60" t="s">
        <v>76</v>
      </c>
      <c r="M553" s="179">
        <v>1350</v>
      </c>
      <c r="N553" s="124">
        <v>1350</v>
      </c>
      <c r="O553" s="60" t="s">
        <v>56</v>
      </c>
      <c r="P553" s="60">
        <v>72</v>
      </c>
      <c r="Q553" s="60">
        <v>48</v>
      </c>
      <c r="R553" s="60">
        <v>48</v>
      </c>
      <c r="S553" s="273">
        <v>72</v>
      </c>
      <c r="T553" s="60">
        <v>73</v>
      </c>
      <c r="U553" s="60">
        <v>49</v>
      </c>
      <c r="V553" s="947">
        <f>IF(J553="Canvas",P553+BorderL,P553)</f>
        <v>83</v>
      </c>
      <c r="W553" s="947">
        <f>IF(J553="Canvas",Q553+BorderL,Q553)</f>
        <v>59</v>
      </c>
      <c r="X553" s="138">
        <v>59</v>
      </c>
      <c r="Y553" s="60">
        <v>84</v>
      </c>
      <c r="Z553" s="60">
        <v>59</v>
      </c>
      <c r="AA553" s="678">
        <f t="shared" si="190"/>
        <v>34.006944444444443</v>
      </c>
      <c r="AB553" s="329">
        <f>AA553*IncaG</f>
        <v>715.50611111111107</v>
      </c>
      <c r="AC553" s="176">
        <f t="shared" si="191"/>
        <v>22.444583333333334</v>
      </c>
      <c r="AD553" s="175">
        <f>AA553*IncaC</f>
        <v>57.240488888888891</v>
      </c>
      <c r="AE553" s="176">
        <f>IF(Table1[[#This Row],[Work Center]]="SwissQ",Materials!G$37,IF(Table1[[#This Row],[Work Center]]="Inca",Materials!G$29,IF(Table1[[#This Row],[Work Center]]="Canon",Materials!G$49,Materials!G$45)))</f>
        <v>8</v>
      </c>
      <c r="AF553" s="72">
        <f>'Cali Frames'!D384</f>
        <v>279.95</v>
      </c>
      <c r="AG553" s="540"/>
      <c r="AH553" s="69">
        <f t="shared" si="192"/>
        <v>67.5</v>
      </c>
      <c r="AI553" s="69"/>
      <c r="AJ553" s="176">
        <f t="shared" si="186"/>
        <v>435.13507222222222</v>
      </c>
      <c r="AK553" s="650">
        <f t="shared" si="185"/>
        <v>0.67767772427983541</v>
      </c>
      <c r="AL553" s="225">
        <f>Table1[[#This Row],[WSP/Dealer]]/Table1[[#This Row],[OD Sq Inch]]</f>
        <v>0.37741123846798996</v>
      </c>
      <c r="AM553" s="173">
        <f>Table1[[#This Row],[OD Wdth]]*Table1[[#This Row],[OD Hgt]]</f>
        <v>3577</v>
      </c>
      <c r="AN553" s="180">
        <f>Table1[[#This Row],[Min VO]]+Table1[[#This Row],[Max VO]]</f>
        <v>120</v>
      </c>
      <c r="AO553" s="83"/>
      <c r="AP553" s="83"/>
      <c r="AQ553" s="540"/>
      <c r="AR553" s="540"/>
      <c r="AS553" s="540"/>
      <c r="AT553" s="69"/>
      <c r="AU553" s="1361" t="str">
        <f t="shared" si="187"/>
        <v>-</v>
      </c>
    </row>
    <row r="554" spans="1:47" s="63" customFormat="1" x14ac:dyDescent="0.2">
      <c r="A554" s="86" t="s">
        <v>58</v>
      </c>
      <c r="B554" s="279" t="s">
        <v>873</v>
      </c>
      <c r="C554" s="76" t="s">
        <v>1518</v>
      </c>
      <c r="D554" s="94"/>
      <c r="E554" s="85" t="s">
        <v>1519</v>
      </c>
      <c r="F554" s="85" t="s">
        <v>1269</v>
      </c>
      <c r="G554" s="86" t="s">
        <v>1520</v>
      </c>
      <c r="H554" s="86" t="s">
        <v>1520</v>
      </c>
      <c r="I554" s="86" t="s">
        <v>52</v>
      </c>
      <c r="J554" s="86" t="s">
        <v>53</v>
      </c>
      <c r="K554" s="86" t="s">
        <v>54</v>
      </c>
      <c r="L554" s="86" t="s">
        <v>55</v>
      </c>
      <c r="M554" s="87">
        <v>700</v>
      </c>
      <c r="N554" s="639">
        <v>825</v>
      </c>
      <c r="O554" s="60" t="s">
        <v>56</v>
      </c>
      <c r="P554" s="60">
        <v>42</v>
      </c>
      <c r="Q554" s="60">
        <v>51</v>
      </c>
      <c r="R554" s="60">
        <v>42</v>
      </c>
      <c r="S554" s="273">
        <v>51</v>
      </c>
      <c r="T554" s="273">
        <f>Table1[[#This Row],[VO Wdth]]</f>
        <v>42</v>
      </c>
      <c r="U554" s="273">
        <f>Table1[[#This Row],[VO Hgt]]</f>
        <v>51</v>
      </c>
      <c r="V554" s="946">
        <f>IF(J554="Canvas",P554+BorderGW,P554)</f>
        <v>50</v>
      </c>
      <c r="W554" s="946">
        <f>IF(J554="Canvas",Q554+BorderGW,Q554)</f>
        <v>59</v>
      </c>
      <c r="X554" s="138">
        <v>59</v>
      </c>
      <c r="Y554" s="60"/>
      <c r="Z554" s="60"/>
      <c r="AA554" s="717">
        <f t="shared" si="190"/>
        <v>20.486111111111111</v>
      </c>
      <c r="AB554" s="125">
        <f>AA554*IncaG</f>
        <v>431.02777777777777</v>
      </c>
      <c r="AC554" s="69">
        <f t="shared" si="191"/>
        <v>13.520833333333334</v>
      </c>
      <c r="AD554" s="69">
        <f>AA554*IncaC</f>
        <v>34.482222222222219</v>
      </c>
      <c r="AE554" s="104">
        <f>IF(Table1[[#This Row],[Work Center]]="SwissQ",Materials!G$37,IF(Table1[[#This Row],[Work Center]]="Inca",Materials!G$29,IF(Table1[[#This Row],[Work Center]]="Canon",Materials!G$49,Materials!G$45)))</f>
        <v>8</v>
      </c>
      <c r="AF554" s="69">
        <f>'Cali FPS'!C$94</f>
        <v>109.00749999999999</v>
      </c>
      <c r="AG554" s="115"/>
      <c r="AH554" s="112">
        <f t="shared" si="192"/>
        <v>35</v>
      </c>
      <c r="AI554" s="112"/>
      <c r="AJ554" s="69">
        <f t="shared" si="186"/>
        <v>200.01055555555556</v>
      </c>
      <c r="AK554" s="62">
        <f t="shared" si="185"/>
        <v>0.71427063492063492</v>
      </c>
      <c r="AL554" s="225">
        <f>Table1[[#This Row],[WSP/Dealer]]/Table1[[#This Row],[OD Sq Inch]]</f>
        <v>0.32679738562091504</v>
      </c>
      <c r="AM554" s="110">
        <f>Table1[[#This Row],[OD Wdth]]*Table1[[#This Row],[OD Hgt]]</f>
        <v>2142</v>
      </c>
      <c r="AN554" s="216">
        <f>Table1[[#This Row],[Min VO]]+Table1[[#This Row],[Max VO]]</f>
        <v>93</v>
      </c>
      <c r="AO554" s="101"/>
      <c r="AP554" s="101"/>
      <c r="AQ554" s="104"/>
      <c r="AR554" s="104"/>
      <c r="AS554" s="104"/>
      <c r="AT554" s="104"/>
      <c r="AU554" s="830" t="str">
        <f t="shared" si="187"/>
        <v>-</v>
      </c>
    </row>
    <row r="555" spans="1:47" s="399" customFormat="1" x14ac:dyDescent="0.2">
      <c r="A555" s="60" t="s">
        <v>58</v>
      </c>
      <c r="B555" s="1061" t="s">
        <v>96</v>
      </c>
      <c r="C555" s="76" t="s">
        <v>1521</v>
      </c>
      <c r="D555" s="94"/>
      <c r="E555" s="83" t="s">
        <v>1522</v>
      </c>
      <c r="F555" s="83" t="s">
        <v>374</v>
      </c>
      <c r="G555" s="60" t="s">
        <v>132</v>
      </c>
      <c r="H555" s="60" t="s">
        <v>132</v>
      </c>
      <c r="I555" s="60" t="s">
        <v>52</v>
      </c>
      <c r="J555" s="59" t="s">
        <v>53</v>
      </c>
      <c r="K555" s="60" t="s">
        <v>54</v>
      </c>
      <c r="L555" s="60" t="s">
        <v>55</v>
      </c>
      <c r="M555" s="179">
        <v>675</v>
      </c>
      <c r="N555" s="656">
        <v>720</v>
      </c>
      <c r="O555" s="60" t="s">
        <v>64</v>
      </c>
      <c r="P555" s="60">
        <v>36</v>
      </c>
      <c r="Q555" s="60">
        <v>48</v>
      </c>
      <c r="R555" s="60">
        <v>36</v>
      </c>
      <c r="S555" s="273">
        <v>48</v>
      </c>
      <c r="T555" s="60">
        <v>36</v>
      </c>
      <c r="U555" s="60">
        <v>48</v>
      </c>
      <c r="V555" s="47">
        <f>IF(J555="Canvas",P555+Materials!C$5,P555)</f>
        <v>43</v>
      </c>
      <c r="W555" s="47">
        <f>IF(J555="Canvas",Q555+Materials!C$5,Q555)</f>
        <v>55</v>
      </c>
      <c r="X555" s="138"/>
      <c r="Y555" s="60">
        <v>43</v>
      </c>
      <c r="Z555" s="60">
        <v>55</v>
      </c>
      <c r="AA555" s="717">
        <f t="shared" si="190"/>
        <v>16.423611111111111</v>
      </c>
      <c r="AB555" s="125">
        <f>AA555*Swiss1</f>
        <v>464.78819444444446</v>
      </c>
      <c r="AC555" s="69">
        <f t="shared" si="191"/>
        <v>10.839583333333334</v>
      </c>
      <c r="AD555" s="48">
        <f>Table1[[#This Row],[Substrate SF]]*Materials!C$37</f>
        <v>45.986111111111107</v>
      </c>
      <c r="AE555" s="69">
        <f>IF(Table1[[#This Row],[Work Center]]="SwissQ",Materials!G$37,IF(Table1[[#This Row],[Work Center]]="Inca",Materials!G$29,IF(Table1[[#This Row],[Work Center]]="Canon",Materials!G$49,Materials!G$45)))</f>
        <v>20</v>
      </c>
      <c r="AF555" s="72">
        <f>'Cali FPS'!C71</f>
        <v>114.31</v>
      </c>
      <c r="AG555" s="83"/>
      <c r="AH555" s="69">
        <f t="shared" si="192"/>
        <v>33.75</v>
      </c>
      <c r="AI555" s="69"/>
      <c r="AJ555" s="175">
        <f t="shared" si="186"/>
        <v>224.88569444444443</v>
      </c>
      <c r="AK555" s="650">
        <f t="shared" si="185"/>
        <v>0.66683600823045275</v>
      </c>
      <c r="AL555" s="225">
        <f>Table1[[#This Row],[WSP/Dealer]]/Table1[[#This Row],[OD Sq Inch]]</f>
        <v>0.390625</v>
      </c>
      <c r="AM555" s="173">
        <f>Table1[[#This Row],[OD Wdth]]*Table1[[#This Row],[OD Hgt]]</f>
        <v>1728</v>
      </c>
      <c r="AN555" s="180">
        <f>Table1[[#This Row],[Min VO]]+Table1[[#This Row],[Max VO]]</f>
        <v>84</v>
      </c>
      <c r="AO555" s="95"/>
      <c r="AP555" s="83"/>
      <c r="AQ555" s="540"/>
      <c r="AR555" s="540"/>
      <c r="AS555" s="540"/>
      <c r="AT555" s="69"/>
      <c r="AU555" s="1355" t="str">
        <f t="shared" si="187"/>
        <v>-</v>
      </c>
    </row>
    <row r="556" spans="1:47" s="46" customFormat="1" x14ac:dyDescent="0.2">
      <c r="A556" s="60" t="s">
        <v>58</v>
      </c>
      <c r="B556" s="1061" t="s">
        <v>96</v>
      </c>
      <c r="C556" s="76" t="s">
        <v>1523</v>
      </c>
      <c r="D556" s="94"/>
      <c r="E556" s="83" t="s">
        <v>1524</v>
      </c>
      <c r="F556" s="83" t="s">
        <v>374</v>
      </c>
      <c r="G556" s="60" t="s">
        <v>132</v>
      </c>
      <c r="H556" s="60" t="s">
        <v>132</v>
      </c>
      <c r="I556" s="60" t="s">
        <v>52</v>
      </c>
      <c r="J556" s="59" t="s">
        <v>53</v>
      </c>
      <c r="K556" s="60" t="s">
        <v>54</v>
      </c>
      <c r="L556" s="60" t="s">
        <v>55</v>
      </c>
      <c r="M556" s="179">
        <v>675</v>
      </c>
      <c r="N556" s="656">
        <v>720</v>
      </c>
      <c r="O556" s="60" t="s">
        <v>64</v>
      </c>
      <c r="P556" s="60">
        <v>36</v>
      </c>
      <c r="Q556" s="60">
        <v>48</v>
      </c>
      <c r="R556" s="60">
        <v>36</v>
      </c>
      <c r="S556" s="273">
        <v>48</v>
      </c>
      <c r="T556" s="60">
        <v>36</v>
      </c>
      <c r="U556" s="60">
        <v>48</v>
      </c>
      <c r="V556" s="946">
        <f>IF(J556="Canvas",P556+Materials!C$5,P556)</f>
        <v>43</v>
      </c>
      <c r="W556" s="946">
        <f>IF(J556="Canvas",Q556+Materials!C$5,Q556)</f>
        <v>55</v>
      </c>
      <c r="X556" s="138"/>
      <c r="Y556" s="60">
        <v>43</v>
      </c>
      <c r="Z556" s="60">
        <v>55</v>
      </c>
      <c r="AA556" s="717">
        <f t="shared" si="190"/>
        <v>16.423611111111111</v>
      </c>
      <c r="AB556" s="125">
        <f>AA556*Swiss1</f>
        <v>464.78819444444446</v>
      </c>
      <c r="AC556" s="69">
        <f t="shared" si="191"/>
        <v>10.839583333333334</v>
      </c>
      <c r="AD556" s="104">
        <f>AA556*Materials!C$37</f>
        <v>45.986111111111107</v>
      </c>
      <c r="AE556" s="69">
        <f>IF(Table1[[#This Row],[Work Center]]="SwissQ",Materials!G$37,IF(Table1[[#This Row],[Work Center]]="Inca",Materials!G$29,IF(Table1[[#This Row],[Work Center]]="Canon",Materials!G$49,Materials!G$45)))</f>
        <v>20</v>
      </c>
      <c r="AF556" s="72">
        <f>'Cali FPS'!C71</f>
        <v>114.31</v>
      </c>
      <c r="AG556" s="83"/>
      <c r="AH556" s="48">
        <f t="shared" si="192"/>
        <v>33.75</v>
      </c>
      <c r="AI556" s="48"/>
      <c r="AJ556" s="176">
        <f t="shared" si="186"/>
        <v>224.88569444444443</v>
      </c>
      <c r="AK556" s="62">
        <f t="shared" si="185"/>
        <v>0.66683600823045275</v>
      </c>
      <c r="AL556" s="225">
        <f>Table1[[#This Row],[WSP/Dealer]]/Table1[[#This Row],[OD Sq Inch]]</f>
        <v>0.390625</v>
      </c>
      <c r="AM556" s="180">
        <f>Table1[[#This Row],[OD Wdth]]*Table1[[#This Row],[OD Hgt]]</f>
        <v>1728</v>
      </c>
      <c r="AN556" s="180">
        <f>Table1[[#This Row],[Min VO]]+Table1[[#This Row],[Max VO]]</f>
        <v>84</v>
      </c>
      <c r="AO556" s="83"/>
      <c r="AP556" s="83"/>
      <c r="AQ556" s="540"/>
      <c r="AR556" s="540"/>
      <c r="AS556" s="540"/>
      <c r="AT556" s="69"/>
      <c r="AU556" s="1361" t="str">
        <f t="shared" si="187"/>
        <v>-</v>
      </c>
    </row>
    <row r="557" spans="1:47" s="46" customFormat="1" hidden="1" x14ac:dyDescent="0.2">
      <c r="A557" s="101" t="s">
        <v>101</v>
      </c>
      <c r="B557" s="1067" t="s">
        <v>102</v>
      </c>
      <c r="C557" s="100" t="s">
        <v>1525</v>
      </c>
      <c r="D557" s="168"/>
      <c r="E557" s="115" t="s">
        <v>1526</v>
      </c>
      <c r="F557" s="115" t="s">
        <v>105</v>
      </c>
      <c r="G557" s="101" t="s">
        <v>1527</v>
      </c>
      <c r="H557" s="101" t="s">
        <v>519</v>
      </c>
      <c r="I557" s="101" t="s">
        <v>256</v>
      </c>
      <c r="J557" s="487" t="s">
        <v>257</v>
      </c>
      <c r="K557" s="551" t="s">
        <v>1315</v>
      </c>
      <c r="L557" s="101" t="s">
        <v>269</v>
      </c>
      <c r="M557" s="141">
        <v>162</v>
      </c>
      <c r="N557" s="114"/>
      <c r="O557" s="101" t="s">
        <v>260</v>
      </c>
      <c r="P557" s="101">
        <v>6</v>
      </c>
      <c r="Q557" s="101">
        <v>5</v>
      </c>
      <c r="R557" s="101">
        <v>5</v>
      </c>
      <c r="S557" s="697">
        <v>6</v>
      </c>
      <c r="T557" s="101">
        <v>16</v>
      </c>
      <c r="U557" s="101">
        <v>20</v>
      </c>
      <c r="V557" s="106">
        <f>IF(J557="Canvas",P557+Materials!C$5,P557)</f>
        <v>6</v>
      </c>
      <c r="W557" s="106">
        <f>IF(J557="Canvas",Q557+Materials!C$5,Q557)</f>
        <v>5</v>
      </c>
      <c r="X557" s="101" t="s">
        <v>257</v>
      </c>
      <c r="Y557" s="1346">
        <f>Table1[[#This Row],[Print Wth]]+Materials!$C$7</f>
        <v>8</v>
      </c>
      <c r="Z557" s="1346">
        <f>Table1[[#This Row],[Print Ht]]+Materials!$C$7</f>
        <v>7</v>
      </c>
      <c r="AA557" s="903">
        <f>(Table1[[#This Row],[Cut Width]]*Table1[[#This Row],[Cut Height]])/144</f>
        <v>0.3888888888888889</v>
      </c>
      <c r="AB557" s="1168">
        <f>(Table1[[#This Row],[Print Wth]]*Table1[[#This Row],[Print Ht]])/144*canonML</f>
        <v>1</v>
      </c>
      <c r="AC557" s="863">
        <f>Table1[[#This Row],[Substrate SF]]*Paper</f>
        <v>0.52616666666666667</v>
      </c>
      <c r="AD557" s="862">
        <f>(Table1[[#This Row],[Print Wth]]*Table1[[#This Row],[Print Ht]])/144*CanonC</f>
        <v>5.6250000000000008E-2</v>
      </c>
      <c r="AE557" s="863">
        <f>IF(Table1[[#This Row],[Work Center]]="SwissQ",Materials!G$37,IF(Table1[[#This Row],[Work Center]]="Inca",Materials!G$29,IF(Table1[[#This Row],[Work Center]]="Canon",Materials!G$49,Materials!G$45)))</f>
        <v>7</v>
      </c>
      <c r="AF557" s="102">
        <f>'Cali Frames'!D93</f>
        <v>73.260000000000005</v>
      </c>
      <c r="AG557" s="115"/>
      <c r="AH557" s="104">
        <v>0</v>
      </c>
      <c r="AI557" s="104"/>
      <c r="AJ557" s="406">
        <f t="shared" si="186"/>
        <v>80.842416666666679</v>
      </c>
      <c r="AK557" s="830">
        <f t="shared" si="185"/>
        <v>0.50097273662551434</v>
      </c>
      <c r="AL557" s="660">
        <f>Table1[[#This Row],[WSP/Dealer]]/Table1[[#This Row],[OD Sq Inch]]</f>
        <v>0.50624999999999998</v>
      </c>
      <c r="AM557" s="399">
        <f>Table1[[#This Row],[OD Wdth]]*Table1[[#This Row],[OD Hgt]]</f>
        <v>320</v>
      </c>
      <c r="AN557" s="400">
        <f>Table1[[#This Row],[Min VO]]+Table1[[#This Row],[Max VO]]</f>
        <v>11</v>
      </c>
      <c r="AO557" s="113"/>
      <c r="AP557" s="115"/>
      <c r="AQ557" s="121"/>
      <c r="AR557" s="121"/>
      <c r="AS557" s="121"/>
      <c r="AT557" s="104"/>
      <c r="AU557" s="1359" t="str">
        <f t="shared" si="187"/>
        <v>-</v>
      </c>
    </row>
    <row r="558" spans="1:47" s="103" customFormat="1" hidden="1" x14ac:dyDescent="0.2">
      <c r="A558" s="60" t="s">
        <v>101</v>
      </c>
      <c r="B558" s="1071" t="s">
        <v>102</v>
      </c>
      <c r="C558" s="76" t="s">
        <v>1528</v>
      </c>
      <c r="D558" s="79"/>
      <c r="E558" s="83" t="s">
        <v>1529</v>
      </c>
      <c r="F558" s="83" t="s">
        <v>105</v>
      </c>
      <c r="G558" s="60" t="s">
        <v>1530</v>
      </c>
      <c r="H558" s="60" t="s">
        <v>1531</v>
      </c>
      <c r="I558" s="60" t="s">
        <v>108</v>
      </c>
      <c r="J558" s="59" t="s">
        <v>53</v>
      </c>
      <c r="K558" s="60" t="s">
        <v>69</v>
      </c>
      <c r="L558" s="60" t="s">
        <v>315</v>
      </c>
      <c r="M558" s="179">
        <v>197</v>
      </c>
      <c r="N558" s="124"/>
      <c r="O558" s="60" t="s">
        <v>109</v>
      </c>
      <c r="P558" s="60">
        <v>23</v>
      </c>
      <c r="Q558" s="60">
        <v>14</v>
      </c>
      <c r="R558" s="60">
        <v>14</v>
      </c>
      <c r="S558" s="273">
        <v>23</v>
      </c>
      <c r="T558" s="60">
        <v>24</v>
      </c>
      <c r="U558" s="60">
        <v>15</v>
      </c>
      <c r="V558" s="47">
        <f>IF(J558="Canvas",P558+Materials!C$5,P558)</f>
        <v>30</v>
      </c>
      <c r="W558" s="47">
        <f>IF(J558="Canvas",Q558+Materials!C$5,Q558)</f>
        <v>21</v>
      </c>
      <c r="X558" s="60">
        <v>40</v>
      </c>
      <c r="Y558" s="947">
        <f>Table1[[#This Row],[Print Wth]]</f>
        <v>30</v>
      </c>
      <c r="Z558" s="947">
        <f>Table1[[#This Row],[Print Ht]]</f>
        <v>21</v>
      </c>
      <c r="AA558" s="1058">
        <f>Table1[[#This Row],[Cut Width]]*Table1[[#This Row],[Cut Height]]/144</f>
        <v>4.375</v>
      </c>
      <c r="AB558" s="1120">
        <f>Table1[[#This Row],[Print Wth]]*Table1[[#This Row],[Print Ht]]/144*EPSONM</f>
        <v>19.6875</v>
      </c>
      <c r="AC558" s="176">
        <f>Table1[[#This Row],[Substrate SF]]*Canvas</f>
        <v>2.8875000000000002</v>
      </c>
      <c r="AD558" s="175">
        <f>Table1[[#This Row],[Ink g/mL]]*EPSONC</f>
        <v>4.3312499999999998</v>
      </c>
      <c r="AE558" s="69">
        <f>IF(Table1[[#This Row],[Work Center]]="SwissQ",Materials!G$37,IF(Table1[[#This Row],[Work Center]]="Inca",Materials!G$29,IF(Table1[[#This Row],[Work Center]]="Canon",Materials!G$49,Materials!G$45)))</f>
        <v>5</v>
      </c>
      <c r="AF558" s="72">
        <f>'Cali Frames'!D501</f>
        <v>86.7</v>
      </c>
      <c r="AG558" s="83"/>
      <c r="AH558" s="48">
        <v>0</v>
      </c>
      <c r="AI558" s="48"/>
      <c r="AJ558" s="176">
        <f t="shared" si="186"/>
        <v>98.918750000000003</v>
      </c>
      <c r="AK558" s="62">
        <f t="shared" si="185"/>
        <v>0.49787436548223346</v>
      </c>
      <c r="AL558" s="225">
        <f>Table1[[#This Row],[WSP/Dealer]]/Table1[[#This Row],[OD Sq Inch]]</f>
        <v>0.54722222222222228</v>
      </c>
      <c r="AM558" s="173">
        <f>Table1[[#This Row],[OD Wdth]]*Table1[[#This Row],[OD Hgt]]</f>
        <v>360</v>
      </c>
      <c r="AN558" s="180">
        <f>Table1[[#This Row],[Min VO]]+Table1[[#This Row],[Max VO]]</f>
        <v>37</v>
      </c>
      <c r="AO558" s="83"/>
      <c r="AP558" s="83"/>
      <c r="AQ558" s="540"/>
      <c r="AR558" s="540"/>
      <c r="AS558" s="540"/>
      <c r="AT558" s="69"/>
      <c r="AU558" s="1361" t="str">
        <f t="shared" si="187"/>
        <v>-</v>
      </c>
    </row>
    <row r="559" spans="1:47" s="63" customFormat="1" ht="16" x14ac:dyDescent="0.2">
      <c r="A559" s="101" t="s">
        <v>58</v>
      </c>
      <c r="B559" s="1067" t="s">
        <v>1436</v>
      </c>
      <c r="C559" s="100" t="s">
        <v>1532</v>
      </c>
      <c r="D559" s="1476" t="s">
        <v>1533</v>
      </c>
      <c r="E559" s="115" t="s">
        <v>1534</v>
      </c>
      <c r="F559" s="115" t="s">
        <v>308</v>
      </c>
      <c r="G559" s="101" t="s">
        <v>191</v>
      </c>
      <c r="H559" s="101" t="s">
        <v>191</v>
      </c>
      <c r="I559" s="101" t="s">
        <v>52</v>
      </c>
      <c r="J559" s="487" t="s">
        <v>53</v>
      </c>
      <c r="K559" s="101" t="s">
        <v>54</v>
      </c>
      <c r="L559" s="101" t="s">
        <v>55</v>
      </c>
      <c r="M559" s="299">
        <v>950</v>
      </c>
      <c r="N559" s="114"/>
      <c r="O559" s="101" t="s">
        <v>56</v>
      </c>
      <c r="P559" s="101">
        <v>48</v>
      </c>
      <c r="Q559" s="101">
        <v>60</v>
      </c>
      <c r="R559" s="101">
        <v>48</v>
      </c>
      <c r="S559" s="101">
        <v>60</v>
      </c>
      <c r="T559" s="101">
        <v>48</v>
      </c>
      <c r="U559" s="101">
        <v>60</v>
      </c>
      <c r="V559" s="106">
        <f>IF(J559="Canvas",P559+Materials!C$5,P559)</f>
        <v>55</v>
      </c>
      <c r="W559" s="106">
        <f>IF(J559="Canvas",Q559+Materials!C$5,Q559)</f>
        <v>67</v>
      </c>
      <c r="X559" s="101">
        <v>69</v>
      </c>
      <c r="Y559" s="101">
        <v>55</v>
      </c>
      <c r="Z559" s="101">
        <v>67</v>
      </c>
      <c r="AA559" s="649">
        <f t="shared" ref="AA559:AA584" si="193">V559*W559/144</f>
        <v>25.590277777777779</v>
      </c>
      <c r="AB559" s="184">
        <f t="shared" ref="AB559:AB565" si="194">AA559*IncaG</f>
        <v>538.41944444444448</v>
      </c>
      <c r="AC559" s="104">
        <f t="shared" ref="AC559:AC565" si="195">AA559*Canvas</f>
        <v>16.889583333333334</v>
      </c>
      <c r="AD559" s="107">
        <f t="shared" ref="AD559:AD565" si="196">AA559*IncaC</f>
        <v>43.073555555555558</v>
      </c>
      <c r="AE559" s="104">
        <f>IF(Table1[[#This Row],[Work Center]]="SwissQ",Materials!G$37,IF(Table1[[#This Row],[Work Center]]="Inca",Materials!G$29,IF(Table1[[#This Row],[Work Center]]="Canon",Materials!G$49,Materials!G$45)))</f>
        <v>8</v>
      </c>
      <c r="AF559" s="102">
        <f>'Cali FPS'!C121</f>
        <v>188.18</v>
      </c>
      <c r="AG559" s="115"/>
      <c r="AH559" s="107">
        <f t="shared" ref="AH559:AH584" si="197">(M559*0.05)</f>
        <v>47.5</v>
      </c>
      <c r="AI559" s="107"/>
      <c r="AJ559" s="406">
        <f t="shared" si="186"/>
        <v>303.64313888888887</v>
      </c>
      <c r="AK559" s="108">
        <f t="shared" si="185"/>
        <v>0.68037564327485378</v>
      </c>
      <c r="AL559" s="660">
        <f>Table1[[#This Row],[WSP/Dealer]]/Table1[[#This Row],[OD Sq Inch]]</f>
        <v>0.3298611111111111</v>
      </c>
      <c r="AM559" s="399">
        <f>Table1[[#This Row],[OD Wdth]]*Table1[[#This Row],[OD Hgt]]</f>
        <v>2880</v>
      </c>
      <c r="AN559" s="400">
        <f>Table1[[#This Row],[Min VO]]+Table1[[#This Row],[Max VO]]</f>
        <v>108</v>
      </c>
      <c r="AO559" s="115"/>
      <c r="AP559" s="115"/>
      <c r="AQ559" s="121"/>
      <c r="AR559" s="121"/>
      <c r="AS559" s="121"/>
      <c r="AT559" s="104"/>
      <c r="AU559" s="1359" t="str">
        <f t="shared" si="187"/>
        <v>-</v>
      </c>
    </row>
    <row r="560" spans="1:47" s="63" customFormat="1" ht="16" x14ac:dyDescent="0.2">
      <c r="A560" s="68" t="s">
        <v>58</v>
      </c>
      <c r="B560" s="1072" t="s">
        <v>1436</v>
      </c>
      <c r="C560" s="78" t="s">
        <v>1535</v>
      </c>
      <c r="D560" s="1582"/>
      <c r="E560" s="84" t="s">
        <v>1534</v>
      </c>
      <c r="F560" s="84" t="s">
        <v>308</v>
      </c>
      <c r="G560" s="68" t="s">
        <v>191</v>
      </c>
      <c r="H560" s="68" t="s">
        <v>191</v>
      </c>
      <c r="I560" s="68" t="s">
        <v>52</v>
      </c>
      <c r="J560" s="140" t="s">
        <v>53</v>
      </c>
      <c r="K560" s="68" t="s">
        <v>54</v>
      </c>
      <c r="L560" s="68" t="s">
        <v>73</v>
      </c>
      <c r="M560" s="141">
        <v>1150</v>
      </c>
      <c r="N560" s="93"/>
      <c r="O560" s="68" t="s">
        <v>56</v>
      </c>
      <c r="P560" s="68">
        <v>48</v>
      </c>
      <c r="Q560" s="68">
        <v>60</v>
      </c>
      <c r="R560" s="68">
        <v>48</v>
      </c>
      <c r="S560" s="68">
        <v>60</v>
      </c>
      <c r="T560" s="68">
        <v>48</v>
      </c>
      <c r="U560" s="68">
        <v>60</v>
      </c>
      <c r="V560" s="66">
        <f>IF(J560="Canvas",P560+Materials!C$5,P560)</f>
        <v>55</v>
      </c>
      <c r="W560" s="66">
        <f>IF(J560="Canvas",Q560+Materials!C$5,Q560)</f>
        <v>67</v>
      </c>
      <c r="X560" s="68">
        <v>69</v>
      </c>
      <c r="Y560" s="68">
        <v>55</v>
      </c>
      <c r="Z560" s="68">
        <v>67</v>
      </c>
      <c r="AA560" s="699">
        <f t="shared" si="193"/>
        <v>25.590277777777779</v>
      </c>
      <c r="AB560" s="297">
        <f t="shared" si="194"/>
        <v>538.41944444444448</v>
      </c>
      <c r="AC560" s="74">
        <f t="shared" si="195"/>
        <v>16.889583333333334</v>
      </c>
      <c r="AD560" s="67">
        <f t="shared" si="196"/>
        <v>43.073555555555558</v>
      </c>
      <c r="AE560" s="74">
        <f>IF(Table1[[#This Row],[Work Center]]="SwissQ",Materials!G$37,IF(Table1[[#This Row],[Work Center]]="Inca",Materials!G$29,IF(Table1[[#This Row],[Work Center]]="Canon",Materials!G$49,Materials!G$45)))</f>
        <v>8</v>
      </c>
      <c r="AF560" s="73">
        <f>'Cali Frames'!D470</f>
        <v>263.70999999999998</v>
      </c>
      <c r="AG560" s="84"/>
      <c r="AH560" s="67">
        <f t="shared" si="197"/>
        <v>57.5</v>
      </c>
      <c r="AI560" s="67"/>
      <c r="AJ560" s="278">
        <f t="shared" si="186"/>
        <v>389.17313888888884</v>
      </c>
      <c r="AK560" s="661">
        <f t="shared" si="185"/>
        <v>0.66158857487922706</v>
      </c>
      <c r="AL560" s="240">
        <f>Table1[[#This Row],[WSP/Dealer]]/Table1[[#This Row],[OD Sq Inch]]</f>
        <v>0.39930555555555558</v>
      </c>
      <c r="AM560" s="170">
        <f>Table1[[#This Row],[OD Wdth]]*Table1[[#This Row],[OD Hgt]]</f>
        <v>2880</v>
      </c>
      <c r="AN560" s="274">
        <f>Table1[[#This Row],[Min VO]]+Table1[[#This Row],[Max VO]]</f>
        <v>108</v>
      </c>
      <c r="AO560" s="84"/>
      <c r="AP560" s="84"/>
      <c r="AQ560" s="126"/>
      <c r="AR560" s="126"/>
      <c r="AS560" s="126"/>
      <c r="AT560" s="74"/>
      <c r="AU560" s="1357" t="str">
        <f t="shared" si="187"/>
        <v>-</v>
      </c>
    </row>
    <row r="561" spans="1:47" s="103" customFormat="1" ht="16" x14ac:dyDescent="0.2">
      <c r="A561" s="68" t="s">
        <v>58</v>
      </c>
      <c r="B561" s="1072" t="s">
        <v>1436</v>
      </c>
      <c r="C561" s="78" t="s">
        <v>1536</v>
      </c>
      <c r="D561" s="1582"/>
      <c r="E561" s="84" t="s">
        <v>1534</v>
      </c>
      <c r="F561" s="84" t="s">
        <v>308</v>
      </c>
      <c r="G561" s="68" t="s">
        <v>191</v>
      </c>
      <c r="H561" s="68" t="s">
        <v>193</v>
      </c>
      <c r="I561" s="68" t="s">
        <v>52</v>
      </c>
      <c r="J561" s="140" t="s">
        <v>53</v>
      </c>
      <c r="K561" s="68" t="s">
        <v>54</v>
      </c>
      <c r="L561" s="68" t="s">
        <v>76</v>
      </c>
      <c r="M561" s="141">
        <v>1150</v>
      </c>
      <c r="N561" s="93"/>
      <c r="O561" s="68" t="s">
        <v>56</v>
      </c>
      <c r="P561" s="68">
        <v>48</v>
      </c>
      <c r="Q561" s="68">
        <v>60</v>
      </c>
      <c r="R561" s="68">
        <v>48</v>
      </c>
      <c r="S561" s="68">
        <v>60</v>
      </c>
      <c r="T561" s="68">
        <v>48</v>
      </c>
      <c r="U561" s="68">
        <v>60</v>
      </c>
      <c r="V561" s="66">
        <f>IF(J561="Canvas",P561+Materials!C$5,P561)</f>
        <v>55</v>
      </c>
      <c r="W561" s="66">
        <f>IF(J561="Canvas",Q561+Materials!C$5,Q561)</f>
        <v>67</v>
      </c>
      <c r="X561" s="68">
        <v>69</v>
      </c>
      <c r="Y561" s="68">
        <v>55</v>
      </c>
      <c r="Z561" s="68">
        <v>67</v>
      </c>
      <c r="AA561" s="699">
        <f t="shared" si="193"/>
        <v>25.590277777777779</v>
      </c>
      <c r="AB561" s="297">
        <f t="shared" si="194"/>
        <v>538.41944444444448</v>
      </c>
      <c r="AC561" s="74">
        <f t="shared" si="195"/>
        <v>16.889583333333334</v>
      </c>
      <c r="AD561" s="67">
        <f t="shared" si="196"/>
        <v>43.073555555555558</v>
      </c>
      <c r="AE561" s="74">
        <f>IF(Table1[[#This Row],[Work Center]]="SwissQ",Materials!G$37,IF(Table1[[#This Row],[Work Center]]="Inca",Materials!G$29,IF(Table1[[#This Row],[Work Center]]="Canon",Materials!G$49,Materials!G$45)))</f>
        <v>8</v>
      </c>
      <c r="AF561" s="73">
        <f>'Cali Frames'!D381</f>
        <v>272.89999999999998</v>
      </c>
      <c r="AG561" s="84"/>
      <c r="AH561" s="67">
        <f t="shared" si="197"/>
        <v>57.5</v>
      </c>
      <c r="AI561" s="67"/>
      <c r="AJ561" s="278">
        <f t="shared" si="186"/>
        <v>398.3631388888889</v>
      </c>
      <c r="AK561" s="661">
        <f t="shared" si="185"/>
        <v>0.65359727053140093</v>
      </c>
      <c r="AL561" s="240">
        <f>Table1[[#This Row],[WSP/Dealer]]/Table1[[#This Row],[OD Sq Inch]]</f>
        <v>0.39930555555555558</v>
      </c>
      <c r="AM561" s="170">
        <f>Table1[[#This Row],[OD Wdth]]*Table1[[#This Row],[OD Hgt]]</f>
        <v>2880</v>
      </c>
      <c r="AN561" s="274">
        <f>Table1[[#This Row],[Min VO]]+Table1[[#This Row],[Max VO]]</f>
        <v>108</v>
      </c>
      <c r="AO561" s="84"/>
      <c r="AP561" s="84"/>
      <c r="AQ561" s="126"/>
      <c r="AR561" s="126"/>
      <c r="AS561" s="126"/>
      <c r="AT561" s="74"/>
      <c r="AU561" s="1357" t="str">
        <f t="shared" si="187"/>
        <v>-</v>
      </c>
    </row>
    <row r="562" spans="1:47" s="103" customFormat="1" ht="16" x14ac:dyDescent="0.2">
      <c r="A562" s="68" t="s">
        <v>58</v>
      </c>
      <c r="B562" s="1072" t="s">
        <v>1436</v>
      </c>
      <c r="C562" s="78" t="s">
        <v>1537</v>
      </c>
      <c r="D562" s="1582"/>
      <c r="E562" s="84" t="s">
        <v>1534</v>
      </c>
      <c r="F562" s="84" t="s">
        <v>308</v>
      </c>
      <c r="G562" s="68" t="s">
        <v>191</v>
      </c>
      <c r="H562" s="68" t="s">
        <v>193</v>
      </c>
      <c r="I562" s="68" t="s">
        <v>52</v>
      </c>
      <c r="J562" s="140" t="s">
        <v>53</v>
      </c>
      <c r="K562" s="68" t="s">
        <v>54</v>
      </c>
      <c r="L562" s="68" t="s">
        <v>70</v>
      </c>
      <c r="M562" s="141">
        <v>1150</v>
      </c>
      <c r="N562" s="93"/>
      <c r="O562" s="68" t="s">
        <v>56</v>
      </c>
      <c r="P562" s="68">
        <v>48</v>
      </c>
      <c r="Q562" s="68">
        <v>60</v>
      </c>
      <c r="R562" s="68">
        <v>48</v>
      </c>
      <c r="S562" s="68">
        <v>60</v>
      </c>
      <c r="T562" s="68">
        <v>48</v>
      </c>
      <c r="U562" s="68">
        <v>60</v>
      </c>
      <c r="V562" s="66">
        <f>IF(J562="Canvas",P562+Materials!C$5,P562)</f>
        <v>55</v>
      </c>
      <c r="W562" s="66">
        <f>IF(J562="Canvas",Q562+Materials!C$5,Q562)</f>
        <v>67</v>
      </c>
      <c r="X562" s="68">
        <v>69</v>
      </c>
      <c r="Y562" s="68">
        <v>55</v>
      </c>
      <c r="Z562" s="68">
        <v>67</v>
      </c>
      <c r="AA562" s="699">
        <f t="shared" si="193"/>
        <v>25.590277777777779</v>
      </c>
      <c r="AB562" s="297">
        <f t="shared" si="194"/>
        <v>538.41944444444448</v>
      </c>
      <c r="AC562" s="74">
        <f t="shared" si="195"/>
        <v>16.889583333333334</v>
      </c>
      <c r="AD562" s="67">
        <f t="shared" si="196"/>
        <v>43.073555555555558</v>
      </c>
      <c r="AE562" s="74">
        <f>IF(Table1[[#This Row],[Work Center]]="SwissQ",Materials!G$37,IF(Table1[[#This Row],[Work Center]]="Inca",Materials!G$29,IF(Table1[[#This Row],[Work Center]]="Canon",Materials!G$49,Materials!G$45)))</f>
        <v>8</v>
      </c>
      <c r="AF562" s="73">
        <f>'Cali Frames'!D335</f>
        <v>258.27999999999997</v>
      </c>
      <c r="AG562" s="84"/>
      <c r="AH562" s="67">
        <f t="shared" si="197"/>
        <v>57.5</v>
      </c>
      <c r="AI562" s="67"/>
      <c r="AJ562" s="278">
        <f t="shared" si="186"/>
        <v>383.74313888888889</v>
      </c>
      <c r="AK562" s="661">
        <f t="shared" si="185"/>
        <v>0.66631031400966179</v>
      </c>
      <c r="AL562" s="240">
        <f>Table1[[#This Row],[WSP/Dealer]]/Table1[[#This Row],[OD Sq Inch]]</f>
        <v>0.39930555555555558</v>
      </c>
      <c r="AM562" s="170">
        <f>Table1[[#This Row],[OD Wdth]]*Table1[[#This Row],[OD Hgt]]</f>
        <v>2880</v>
      </c>
      <c r="AN562" s="274">
        <f>Table1[[#This Row],[Min VO]]+Table1[[#This Row],[Max VO]]</f>
        <v>108</v>
      </c>
      <c r="AO562" s="84"/>
      <c r="AP562" s="84"/>
      <c r="AQ562" s="126"/>
      <c r="AR562" s="126"/>
      <c r="AS562" s="126"/>
      <c r="AT562" s="74"/>
      <c r="AU562" s="1357" t="str">
        <f t="shared" si="187"/>
        <v>-</v>
      </c>
    </row>
    <row r="563" spans="1:47" s="103" customFormat="1" x14ac:dyDescent="0.2">
      <c r="A563" s="101" t="s">
        <v>58</v>
      </c>
      <c r="B563" s="1067" t="s">
        <v>1436</v>
      </c>
      <c r="C563" s="100" t="s">
        <v>1538</v>
      </c>
      <c r="D563" s="168"/>
      <c r="E563" s="115" t="s">
        <v>1539</v>
      </c>
      <c r="F563" s="115" t="s">
        <v>308</v>
      </c>
      <c r="G563" s="101" t="s">
        <v>191</v>
      </c>
      <c r="H563" s="101" t="s">
        <v>191</v>
      </c>
      <c r="I563" s="101" t="s">
        <v>52</v>
      </c>
      <c r="J563" s="487" t="s">
        <v>53</v>
      </c>
      <c r="K563" s="101" t="s">
        <v>54</v>
      </c>
      <c r="L563" s="101" t="s">
        <v>55</v>
      </c>
      <c r="M563" s="299">
        <v>950</v>
      </c>
      <c r="N563" s="114"/>
      <c r="O563" s="101" t="s">
        <v>56</v>
      </c>
      <c r="P563" s="101">
        <v>48</v>
      </c>
      <c r="Q563" s="101">
        <v>60</v>
      </c>
      <c r="R563" s="101">
        <v>48</v>
      </c>
      <c r="S563" s="101">
        <v>60</v>
      </c>
      <c r="T563" s="101">
        <v>48</v>
      </c>
      <c r="U563" s="101">
        <v>60</v>
      </c>
      <c r="V563" s="608">
        <f>IF(J563="Canvas",P563+Materials!C$5,P563)</f>
        <v>55</v>
      </c>
      <c r="W563" s="608">
        <f>IF(J563="Canvas",Q563+Materials!C$5,Q563)</f>
        <v>67</v>
      </c>
      <c r="X563" s="101">
        <v>69</v>
      </c>
      <c r="Y563" s="101">
        <v>55</v>
      </c>
      <c r="Z563" s="101">
        <v>67</v>
      </c>
      <c r="AA563" s="649">
        <f t="shared" si="193"/>
        <v>25.590277777777779</v>
      </c>
      <c r="AB563" s="184">
        <f t="shared" si="194"/>
        <v>538.41944444444448</v>
      </c>
      <c r="AC563" s="104">
        <f t="shared" si="195"/>
        <v>16.889583333333334</v>
      </c>
      <c r="AD563" s="104">
        <f t="shared" si="196"/>
        <v>43.073555555555558</v>
      </c>
      <c r="AE563" s="104">
        <f>IF(Table1[[#This Row],[Work Center]]="SwissQ",Materials!G$37,IF(Table1[[#This Row],[Work Center]]="Inca",Materials!G$29,IF(Table1[[#This Row],[Work Center]]="Canon",Materials!G$49,Materials!G$45)))</f>
        <v>8</v>
      </c>
      <c r="AF563" s="102">
        <f>'Cali FPS'!C121</f>
        <v>188.18</v>
      </c>
      <c r="AG563" s="115"/>
      <c r="AH563" s="104">
        <f t="shared" si="197"/>
        <v>47.5</v>
      </c>
      <c r="AI563" s="104"/>
      <c r="AJ563" s="406">
        <f t="shared" si="186"/>
        <v>303.64313888888887</v>
      </c>
      <c r="AK563" s="830">
        <f t="shared" si="185"/>
        <v>0.68037564327485378</v>
      </c>
      <c r="AL563" s="660">
        <f>Table1[[#This Row],[WSP/Dealer]]/Table1[[#This Row],[OD Sq Inch]]</f>
        <v>0.3298611111111111</v>
      </c>
      <c r="AM563" s="400">
        <f>Table1[[#This Row],[OD Wdth]]*Table1[[#This Row],[OD Hgt]]</f>
        <v>2880</v>
      </c>
      <c r="AN563" s="400">
        <f>Table1[[#This Row],[Min VO]]+Table1[[#This Row],[Max VO]]</f>
        <v>108</v>
      </c>
      <c r="AO563" s="115"/>
      <c r="AP563" s="115"/>
      <c r="AQ563" s="121"/>
      <c r="AR563" s="121"/>
      <c r="AS563" s="121"/>
      <c r="AT563" s="104"/>
      <c r="AU563" s="1359" t="str">
        <f t="shared" si="187"/>
        <v>-</v>
      </c>
    </row>
    <row r="564" spans="1:47" s="103" customFormat="1" x14ac:dyDescent="0.2">
      <c r="A564" s="68" t="s">
        <v>58</v>
      </c>
      <c r="B564" s="1072" t="s">
        <v>1436</v>
      </c>
      <c r="C564" s="78" t="s">
        <v>1540</v>
      </c>
      <c r="D564" s="94"/>
      <c r="E564" s="84" t="s">
        <v>1539</v>
      </c>
      <c r="F564" s="84" t="s">
        <v>308</v>
      </c>
      <c r="G564" s="68" t="s">
        <v>191</v>
      </c>
      <c r="H564" s="68" t="s">
        <v>193</v>
      </c>
      <c r="I564" s="68" t="s">
        <v>52</v>
      </c>
      <c r="J564" s="140" t="s">
        <v>53</v>
      </c>
      <c r="K564" s="68" t="s">
        <v>69</v>
      </c>
      <c r="L564" s="68" t="s">
        <v>70</v>
      </c>
      <c r="M564" s="93">
        <v>1150</v>
      </c>
      <c r="N564" s="93"/>
      <c r="O564" s="68" t="s">
        <v>56</v>
      </c>
      <c r="P564" s="68">
        <v>48</v>
      </c>
      <c r="Q564" s="68">
        <v>60</v>
      </c>
      <c r="R564" s="68">
        <v>48</v>
      </c>
      <c r="S564" s="68">
        <v>60</v>
      </c>
      <c r="T564" s="68">
        <v>49</v>
      </c>
      <c r="U564" s="68">
        <v>61</v>
      </c>
      <c r="V564" s="917">
        <f>IF(J564="Canvas",P564+Materials!C$5,P564)</f>
        <v>55</v>
      </c>
      <c r="W564" s="917">
        <f>IF(J564="Canvas",Q564+Materials!C$5,Q564)</f>
        <v>67</v>
      </c>
      <c r="X564" s="68">
        <v>69</v>
      </c>
      <c r="Y564" s="68">
        <v>55</v>
      </c>
      <c r="Z564" s="68">
        <v>67</v>
      </c>
      <c r="AA564" s="699">
        <f t="shared" si="193"/>
        <v>25.590277777777779</v>
      </c>
      <c r="AB564" s="297">
        <f t="shared" si="194"/>
        <v>538.41944444444448</v>
      </c>
      <c r="AC564" s="74">
        <f t="shared" si="195"/>
        <v>16.889583333333334</v>
      </c>
      <c r="AD564" s="74">
        <f t="shared" si="196"/>
        <v>43.073555555555558</v>
      </c>
      <c r="AE564" s="74">
        <f>IF(Table1[[#This Row],[Work Center]]="SwissQ",Materials!G$37,IF(Table1[[#This Row],[Work Center]]="Inca",Materials!G$29,IF(Table1[[#This Row],[Work Center]]="Canon",Materials!G$49,Materials!G$45)))</f>
        <v>8</v>
      </c>
      <c r="AF564" s="73">
        <f>'Cali Frames'!D335</f>
        <v>258.27999999999997</v>
      </c>
      <c r="AG564" s="84"/>
      <c r="AH564" s="74">
        <f t="shared" si="197"/>
        <v>57.5</v>
      </c>
      <c r="AI564" s="74"/>
      <c r="AJ564" s="278">
        <f t="shared" si="186"/>
        <v>383.74313888888889</v>
      </c>
      <c r="AK564" s="1001">
        <f t="shared" si="185"/>
        <v>0.66631031400966179</v>
      </c>
      <c r="AL564" s="240">
        <f>Table1[[#This Row],[WSP/Dealer]]/Table1[[#This Row],[OD Sq Inch]]</f>
        <v>0.38474406155904983</v>
      </c>
      <c r="AM564" s="274">
        <f>Table1[[#This Row],[OD Wdth]]*Table1[[#This Row],[OD Hgt]]</f>
        <v>2989</v>
      </c>
      <c r="AN564" s="274">
        <f>Table1[[#This Row],[Min VO]]+Table1[[#This Row],[Max VO]]</f>
        <v>108</v>
      </c>
      <c r="AO564" s="84"/>
      <c r="AP564" s="84"/>
      <c r="AQ564" s="126">
        <f>(Table1[[#This Row],[Desgnr/Retail P]]*0.05)</f>
        <v>0</v>
      </c>
      <c r="AR564" s="126" t="b">
        <f>IF(A564="Codarus",(AP564*0.13))</f>
        <v>0</v>
      </c>
      <c r="AS564" s="126" t="e" cm="1">
        <f t="array" ref="AS564">SUM(AC564:AG564+AQ+AR)</f>
        <v>#NAME?</v>
      </c>
      <c r="AT564" s="74" t="e">
        <f>(AP564-AS564)/AP564</f>
        <v>#NAME?</v>
      </c>
      <c r="AU564" s="1357" t="str">
        <f t="shared" si="187"/>
        <v>-</v>
      </c>
    </row>
    <row r="565" spans="1:47" s="103" customFormat="1" x14ac:dyDescent="0.2">
      <c r="A565" s="68" t="s">
        <v>58</v>
      </c>
      <c r="B565" s="1152" t="s">
        <v>1436</v>
      </c>
      <c r="C565" s="78" t="s">
        <v>1541</v>
      </c>
      <c r="D565" s="94"/>
      <c r="E565" s="84" t="s">
        <v>1539</v>
      </c>
      <c r="F565" s="84" t="s">
        <v>308</v>
      </c>
      <c r="G565" s="68" t="s">
        <v>191</v>
      </c>
      <c r="H565" s="68" t="s">
        <v>193</v>
      </c>
      <c r="I565" s="68" t="s">
        <v>52</v>
      </c>
      <c r="J565" s="140" t="s">
        <v>53</v>
      </c>
      <c r="K565" s="68" t="s">
        <v>69</v>
      </c>
      <c r="L565" s="68" t="s">
        <v>73</v>
      </c>
      <c r="M565" s="93">
        <v>1150</v>
      </c>
      <c r="N565" s="93"/>
      <c r="O565" s="68" t="s">
        <v>56</v>
      </c>
      <c r="P565" s="68">
        <v>48</v>
      </c>
      <c r="Q565" s="68">
        <v>60</v>
      </c>
      <c r="R565" s="68">
        <v>48</v>
      </c>
      <c r="S565" s="68">
        <v>60</v>
      </c>
      <c r="T565" s="68">
        <v>49</v>
      </c>
      <c r="U565" s="68">
        <v>61</v>
      </c>
      <c r="V565" s="917">
        <f>IF(J565="Canvas",P565+Materials!C$5,P565)</f>
        <v>55</v>
      </c>
      <c r="W565" s="917">
        <f>IF(J565="Canvas",Q565+Materials!C$5,Q565)</f>
        <v>67</v>
      </c>
      <c r="X565" s="68">
        <v>69</v>
      </c>
      <c r="Y565" s="68">
        <v>55</v>
      </c>
      <c r="Z565" s="68">
        <v>67</v>
      </c>
      <c r="AA565" s="699">
        <f t="shared" si="193"/>
        <v>25.590277777777779</v>
      </c>
      <c r="AB565" s="297">
        <f t="shared" si="194"/>
        <v>538.41944444444448</v>
      </c>
      <c r="AC565" s="74">
        <f t="shared" si="195"/>
        <v>16.889583333333334</v>
      </c>
      <c r="AD565" s="74">
        <f t="shared" si="196"/>
        <v>43.073555555555558</v>
      </c>
      <c r="AE565" s="74">
        <f>IF(Table1[[#This Row],[Work Center]]="SwissQ",Materials!G$37,IF(Table1[[#This Row],[Work Center]]="Inca",Materials!G$29,IF(Table1[[#This Row],[Work Center]]="Canon",Materials!G$49,Materials!G$45)))</f>
        <v>8</v>
      </c>
      <c r="AF565" s="73">
        <f>'Cali Frames'!D470</f>
        <v>263.70999999999998</v>
      </c>
      <c r="AG565" s="84"/>
      <c r="AH565" s="74">
        <f t="shared" si="197"/>
        <v>57.5</v>
      </c>
      <c r="AI565" s="74"/>
      <c r="AJ565" s="278">
        <f t="shared" si="186"/>
        <v>389.17313888888884</v>
      </c>
      <c r="AK565" s="1001">
        <f t="shared" si="185"/>
        <v>0.66158857487922706</v>
      </c>
      <c r="AL565" s="240">
        <f>Table1[[#This Row],[WSP/Dealer]]/Table1[[#This Row],[OD Sq Inch]]</f>
        <v>0.38474406155904983</v>
      </c>
      <c r="AM565" s="170">
        <f>Table1[[#This Row],[OD Wdth]]*Table1[[#This Row],[OD Hgt]]</f>
        <v>2989</v>
      </c>
      <c r="AN565" s="274">
        <f>Table1[[#This Row],[Min VO]]+Table1[[#This Row],[Max VO]]</f>
        <v>108</v>
      </c>
      <c r="AO565" s="84"/>
      <c r="AP565" s="84"/>
      <c r="AQ565" s="126">
        <f>(Table1[[#This Row],[Desgnr/Retail P]]*0.05)</f>
        <v>0</v>
      </c>
      <c r="AR565" s="126" t="b">
        <f>IF(A565="Codarus",(AP565*0.13))</f>
        <v>0</v>
      </c>
      <c r="AS565" s="126" t="e" cm="1">
        <f t="array" ref="AS565">SUM(AC565:AG565+AQ+AR)</f>
        <v>#NAME?</v>
      </c>
      <c r="AT565" s="74" t="e">
        <f>(AP565-AS565)/AP565</f>
        <v>#NAME?</v>
      </c>
      <c r="AU565" s="1357" t="str">
        <f t="shared" si="187"/>
        <v>-</v>
      </c>
    </row>
    <row r="566" spans="1:47" s="46" customFormat="1" hidden="1" x14ac:dyDescent="0.2">
      <c r="A566" s="101"/>
      <c r="B566" s="279"/>
      <c r="C566" s="77" t="s">
        <v>1542</v>
      </c>
      <c r="D566" s="94"/>
      <c r="E566" s="115" t="s">
        <v>1543</v>
      </c>
      <c r="F566" s="115" t="s">
        <v>879</v>
      </c>
      <c r="G566" s="101" t="s">
        <v>1544</v>
      </c>
      <c r="H566" s="101"/>
      <c r="I566" s="60" t="s">
        <v>108</v>
      </c>
      <c r="J566" s="59" t="s">
        <v>257</v>
      </c>
      <c r="K566" s="101" t="s">
        <v>258</v>
      </c>
      <c r="L566" s="101" t="s">
        <v>259</v>
      </c>
      <c r="M566" s="299">
        <v>1600</v>
      </c>
      <c r="N566" s="71"/>
      <c r="O566" s="101" t="s">
        <v>260</v>
      </c>
      <c r="P566" s="60">
        <v>100</v>
      </c>
      <c r="Q566" s="60">
        <v>47</v>
      </c>
      <c r="R566" s="60">
        <v>47</v>
      </c>
      <c r="S566" s="60">
        <v>100</v>
      </c>
      <c r="T566" s="101">
        <v>102</v>
      </c>
      <c r="U566" s="101">
        <v>49</v>
      </c>
      <c r="V566" s="946">
        <f>Table1[[#This Row],[VO Wdth]]+Materials!$C$50</f>
        <v>102</v>
      </c>
      <c r="W566" s="946">
        <f>Table1[[#This Row],[VO Hgt]]+Materials!$C$50</f>
        <v>49</v>
      </c>
      <c r="X566" s="137" t="s">
        <v>257</v>
      </c>
      <c r="Y566" s="101"/>
      <c r="Z566" s="101"/>
      <c r="AA566" s="717">
        <f t="shared" si="193"/>
        <v>34.708333333333336</v>
      </c>
      <c r="AB566" s="125">
        <f>AA566*canonML</f>
        <v>166.6</v>
      </c>
      <c r="AC566" s="69">
        <f>Table1[[#This Row],[Print Wth]]*paper60</f>
        <v>34.68</v>
      </c>
      <c r="AD566" s="69">
        <f>Table1[[#This Row],[Ink g/mL]]*CanonC</f>
        <v>44.981999999999999</v>
      </c>
      <c r="AE566" s="104">
        <f>IF(Table1[[#This Row],[Work Center]]="SwissQ",Materials!G$37,IF(Table1[[#This Row],[Work Center]]="Inca",Materials!G$29,IF(Table1[[#This Row],[Work Center]]="Canon",Materials!G$49,Materials!G$45)))</f>
        <v>7</v>
      </c>
      <c r="AF566" s="102">
        <v>400</v>
      </c>
      <c r="AG566" s="121"/>
      <c r="AH566" s="498">
        <f t="shared" si="197"/>
        <v>80</v>
      </c>
      <c r="AI566" s="498"/>
      <c r="AJ566" s="104">
        <f t="shared" si="186"/>
        <v>566.66200000000003</v>
      </c>
      <c r="AK566" s="650">
        <f t="shared" si="185"/>
        <v>0.64583625</v>
      </c>
      <c r="AL566" s="225" t="e">
        <f>Table1[[#This Row],[WSP/Dealer]]/Table1[[#This Row],[OD Sq Inch]]</f>
        <v>#DIV/0!</v>
      </c>
      <c r="AM566" s="113"/>
      <c r="AN566" s="216">
        <f>Table1[[#This Row],[Min VO]]+Table1[[#This Row],[Max VO]]</f>
        <v>147</v>
      </c>
      <c r="AO566" s="113"/>
      <c r="AP566" s="115"/>
      <c r="AQ566" s="121"/>
      <c r="AR566" s="121"/>
      <c r="AS566" s="121"/>
      <c r="AT566" s="104"/>
      <c r="AU566" s="1367" t="str">
        <f t="shared" si="187"/>
        <v>-</v>
      </c>
    </row>
    <row r="567" spans="1:47" s="103" customFormat="1" hidden="1" x14ac:dyDescent="0.2">
      <c r="A567" s="101"/>
      <c r="B567" s="1061"/>
      <c r="C567" s="77" t="s">
        <v>1545</v>
      </c>
      <c r="D567" s="94"/>
      <c r="E567" s="115" t="s">
        <v>1543</v>
      </c>
      <c r="F567" s="115" t="s">
        <v>879</v>
      </c>
      <c r="G567" s="101" t="s">
        <v>1544</v>
      </c>
      <c r="H567" s="101"/>
      <c r="I567" s="60" t="s">
        <v>108</v>
      </c>
      <c r="J567" s="59" t="s">
        <v>257</v>
      </c>
      <c r="K567" s="101" t="s">
        <v>258</v>
      </c>
      <c r="L567" s="101" t="s">
        <v>269</v>
      </c>
      <c r="M567" s="299">
        <v>1800</v>
      </c>
      <c r="N567" s="71"/>
      <c r="O567" s="101" t="s">
        <v>260</v>
      </c>
      <c r="P567" s="60">
        <v>100</v>
      </c>
      <c r="Q567" s="60">
        <v>47</v>
      </c>
      <c r="R567" s="60">
        <v>47</v>
      </c>
      <c r="S567" s="60">
        <v>100</v>
      </c>
      <c r="T567" s="101">
        <v>102</v>
      </c>
      <c r="U567" s="101">
        <v>49</v>
      </c>
      <c r="V567" s="47">
        <f>Table1[[#This Row],[VO Wdth]]+Materials!$C$50</f>
        <v>102</v>
      </c>
      <c r="W567" s="47">
        <f>Table1[[#This Row],[VO Hgt]]+Materials!$C$50</f>
        <v>49</v>
      </c>
      <c r="X567" s="137" t="s">
        <v>257</v>
      </c>
      <c r="Y567" s="101"/>
      <c r="Z567" s="101"/>
      <c r="AA567" s="717">
        <f t="shared" si="193"/>
        <v>34.708333333333336</v>
      </c>
      <c r="AB567" s="125">
        <f>AA567*canonML</f>
        <v>166.6</v>
      </c>
      <c r="AC567" s="69">
        <f>Table1[[#This Row],[Print Wth]]*paper60</f>
        <v>34.68</v>
      </c>
      <c r="AD567" s="48">
        <f>Table1[[#This Row],[Ink g/mL]]*CanonC</f>
        <v>44.981999999999999</v>
      </c>
      <c r="AE567" s="104">
        <f>IF(Table1[[#This Row],[Work Center]]="SwissQ",Materials!G$37,IF(Table1[[#This Row],[Work Center]]="Inca",Materials!G$29,IF(Table1[[#This Row],[Work Center]]="Canon",Materials!G$49,Materials!G$45)))</f>
        <v>7</v>
      </c>
      <c r="AF567" s="102">
        <v>450</v>
      </c>
      <c r="AG567" s="121"/>
      <c r="AH567" s="112">
        <f t="shared" si="197"/>
        <v>90</v>
      </c>
      <c r="AI567" s="112"/>
      <c r="AJ567" s="104">
        <f t="shared" si="186"/>
        <v>626.66200000000003</v>
      </c>
      <c r="AK567" s="62">
        <f t="shared" si="185"/>
        <v>0.6518544444444444</v>
      </c>
      <c r="AL567" s="225" t="e">
        <f>Table1[[#This Row],[WSP/Dealer]]/Table1[[#This Row],[OD Sq Inch]]</f>
        <v>#DIV/0!</v>
      </c>
      <c r="AM567" s="113"/>
      <c r="AN567" s="216">
        <f>Table1[[#This Row],[Min VO]]+Table1[[#This Row],[Max VO]]</f>
        <v>147</v>
      </c>
      <c r="AO567" s="115"/>
      <c r="AP567" s="115"/>
      <c r="AQ567" s="121"/>
      <c r="AR567" s="121"/>
      <c r="AS567" s="121"/>
      <c r="AT567" s="104"/>
      <c r="AU567" s="1359" t="str">
        <f t="shared" si="187"/>
        <v>-</v>
      </c>
    </row>
    <row r="568" spans="1:47" s="46" customFormat="1" hidden="1" x14ac:dyDescent="0.2">
      <c r="A568" s="60" t="s">
        <v>1020</v>
      </c>
      <c r="B568" s="1061" t="s">
        <v>1021</v>
      </c>
      <c r="C568" s="79" t="s">
        <v>1546</v>
      </c>
      <c r="D568" s="94"/>
      <c r="E568" s="83" t="s">
        <v>1547</v>
      </c>
      <c r="F568" s="83" t="s">
        <v>448</v>
      </c>
      <c r="G568" s="60" t="s">
        <v>100</v>
      </c>
      <c r="H568" s="60" t="s">
        <v>100</v>
      </c>
      <c r="I568" s="60" t="s">
        <v>52</v>
      </c>
      <c r="J568" s="59" t="s">
        <v>53</v>
      </c>
      <c r="K568" s="60" t="s">
        <v>54</v>
      </c>
      <c r="L568" s="60" t="s">
        <v>55</v>
      </c>
      <c r="M568" s="124">
        <v>325</v>
      </c>
      <c r="N568" s="124"/>
      <c r="O568" s="60" t="s">
        <v>56</v>
      </c>
      <c r="P568" s="60">
        <v>24</v>
      </c>
      <c r="Q568" s="60">
        <v>36</v>
      </c>
      <c r="R568" s="60">
        <v>24</v>
      </c>
      <c r="S568" s="60">
        <v>36</v>
      </c>
      <c r="T568" s="60">
        <v>24</v>
      </c>
      <c r="U568" s="60">
        <v>36</v>
      </c>
      <c r="V568" s="174">
        <f>IF(J568="Canvas",P568+BorderL,P568)</f>
        <v>35</v>
      </c>
      <c r="W568" s="174">
        <f>IF(J568="Canvas",Q568+BorderL,Q568)</f>
        <v>47</v>
      </c>
      <c r="X568" s="60">
        <v>40</v>
      </c>
      <c r="Y568" s="60">
        <v>26</v>
      </c>
      <c r="Z568" s="60">
        <v>38</v>
      </c>
      <c r="AA568" s="678">
        <f t="shared" si="193"/>
        <v>11.423611111111111</v>
      </c>
      <c r="AB568" s="329">
        <f>AA568*IncaG</f>
        <v>240.35277777777776</v>
      </c>
      <c r="AC568" s="176">
        <f>AA568*Canvas</f>
        <v>7.5395833333333337</v>
      </c>
      <c r="AD568" s="175">
        <f>AA568*IncaC</f>
        <v>19.228222222222222</v>
      </c>
      <c r="AE568" s="176">
        <f>IF(Table1[[#This Row],[Work Center]]="SwissQ",Materials!G$37,IF(Table1[[#This Row],[Work Center]]="Inca",Materials!G$29,IF(Table1[[#This Row],[Work Center]]="Canon",Materials!G$49,Materials!G$45)))</f>
        <v>8</v>
      </c>
      <c r="AF568" s="72">
        <f>'Cali FPS'!C37</f>
        <v>75.162500000000009</v>
      </c>
      <c r="AG568" s="540"/>
      <c r="AH568" s="48">
        <f t="shared" si="197"/>
        <v>16.25</v>
      </c>
      <c r="AI568" s="48"/>
      <c r="AJ568" s="176">
        <f t="shared" si="186"/>
        <v>126.18030555555556</v>
      </c>
      <c r="AK568" s="62">
        <f t="shared" si="185"/>
        <v>0.61175290598290599</v>
      </c>
      <c r="AL568" s="225">
        <f>Table1[[#This Row],[WSP/Dealer]]/Table1[[#This Row],[OD Sq Inch]]</f>
        <v>0.37615740740740738</v>
      </c>
      <c r="AM568" s="173">
        <f>Table1[[#This Row],[OD Wdth]]*Table1[[#This Row],[OD Hgt]]</f>
        <v>864</v>
      </c>
      <c r="AN568" s="83"/>
      <c r="AO568" s="83"/>
      <c r="AP568" s="83"/>
      <c r="AQ568" s="540"/>
      <c r="AR568" s="540"/>
      <c r="AS568" s="540"/>
      <c r="AT568" s="69"/>
      <c r="AU568" s="1361" t="str">
        <f t="shared" si="187"/>
        <v>-</v>
      </c>
    </row>
    <row r="569" spans="1:47" s="103" customFormat="1" hidden="1" x14ac:dyDescent="0.2">
      <c r="A569" s="60" t="s">
        <v>1020</v>
      </c>
      <c r="B569" s="1061" t="s">
        <v>1021</v>
      </c>
      <c r="C569" s="79" t="s">
        <v>1546</v>
      </c>
      <c r="D569" s="94"/>
      <c r="E569" s="83" t="s">
        <v>1547</v>
      </c>
      <c r="F569" s="83" t="s">
        <v>448</v>
      </c>
      <c r="G569" s="60" t="s">
        <v>100</v>
      </c>
      <c r="H569" s="60" t="s">
        <v>100</v>
      </c>
      <c r="I569" s="60" t="s">
        <v>52</v>
      </c>
      <c r="J569" s="59" t="s">
        <v>53</v>
      </c>
      <c r="K569" s="60" t="s">
        <v>54</v>
      </c>
      <c r="L569" s="60" t="s">
        <v>55</v>
      </c>
      <c r="M569" s="124">
        <v>325</v>
      </c>
      <c r="N569" s="124"/>
      <c r="O569" s="60" t="s">
        <v>64</v>
      </c>
      <c r="P569" s="60">
        <v>24</v>
      </c>
      <c r="Q569" s="60">
        <v>36</v>
      </c>
      <c r="R569" s="60">
        <v>24</v>
      </c>
      <c r="S569" s="60">
        <v>36</v>
      </c>
      <c r="T569" s="60">
        <v>24</v>
      </c>
      <c r="U569" s="60">
        <v>36</v>
      </c>
      <c r="V569" s="174">
        <f>IF(J569="Canvas",P569+BorderL,P569)</f>
        <v>35</v>
      </c>
      <c r="W569" s="174">
        <f>IF(J569="Canvas",Q569+BorderL,Q569)</f>
        <v>47</v>
      </c>
      <c r="X569" s="60">
        <v>40</v>
      </c>
      <c r="Y569" s="60">
        <v>26</v>
      </c>
      <c r="Z569" s="60">
        <v>38</v>
      </c>
      <c r="AA569" s="678">
        <f t="shared" si="193"/>
        <v>11.423611111111111</v>
      </c>
      <c r="AB569" s="125">
        <f>AA569*Swiss1</f>
        <v>323.28819444444446</v>
      </c>
      <c r="AC569" s="176">
        <f>AA569*Canvas</f>
        <v>7.5395833333333337</v>
      </c>
      <c r="AD569" s="175">
        <f>AA569*IncaC</f>
        <v>19.228222222222222</v>
      </c>
      <c r="AE569" s="176">
        <f>IF(Table1[[#This Row],[Work Center]]="SwissQ",Materials!G$37,IF(Table1[[#This Row],[Work Center]]="Inca",Materials!G$29,IF(Table1[[#This Row],[Work Center]]="Canon",Materials!G$49,Materials!G$45)))</f>
        <v>20</v>
      </c>
      <c r="AF569" s="72">
        <f>'Cali FPS'!C38</f>
        <v>78.137500000000003</v>
      </c>
      <c r="AG569" s="540"/>
      <c r="AH569" s="69">
        <f t="shared" si="197"/>
        <v>16.25</v>
      </c>
      <c r="AI569" s="69"/>
      <c r="AJ569" s="175">
        <f t="shared" si="186"/>
        <v>141.15530555555557</v>
      </c>
      <c r="AK569" s="650">
        <f t="shared" si="185"/>
        <v>0.56567598290598287</v>
      </c>
      <c r="AL569" s="225">
        <f>Table1[[#This Row],[WSP/Dealer]]/Table1[[#This Row],[OD Sq Inch]]</f>
        <v>0.37615740740740738</v>
      </c>
      <c r="AM569" s="173">
        <f>Table1[[#This Row],[OD Wdth]]*Table1[[#This Row],[OD Hgt]]</f>
        <v>864</v>
      </c>
      <c r="AN569" s="83"/>
      <c r="AO569" s="95"/>
      <c r="AP569" s="83"/>
      <c r="AQ569" s="540"/>
      <c r="AR569" s="540"/>
      <c r="AS569" s="540"/>
      <c r="AT569" s="69"/>
      <c r="AU569" s="1355" t="str">
        <f t="shared" si="187"/>
        <v>-</v>
      </c>
    </row>
    <row r="570" spans="1:47" s="63" customFormat="1" x14ac:dyDescent="0.2">
      <c r="A570" s="400" t="s">
        <v>58</v>
      </c>
      <c r="B570" s="1061" t="s">
        <v>445</v>
      </c>
      <c r="C570" s="496" t="s">
        <v>1548</v>
      </c>
      <c r="D570" s="94"/>
      <c r="E570" s="401" t="s">
        <v>1549</v>
      </c>
      <c r="F570" s="401" t="s">
        <v>448</v>
      </c>
      <c r="G570" s="400" t="s">
        <v>482</v>
      </c>
      <c r="H570" s="400" t="s">
        <v>482</v>
      </c>
      <c r="I570" s="400" t="s">
        <v>52</v>
      </c>
      <c r="J570" s="497" t="s">
        <v>53</v>
      </c>
      <c r="K570" s="400" t="s">
        <v>54</v>
      </c>
      <c r="L570" s="400" t="s">
        <v>55</v>
      </c>
      <c r="M570" s="488">
        <v>920</v>
      </c>
      <c r="N570" s="639">
        <v>850</v>
      </c>
      <c r="O570" s="400" t="s">
        <v>56</v>
      </c>
      <c r="P570" s="400">
        <v>40</v>
      </c>
      <c r="Q570" s="400">
        <v>60</v>
      </c>
      <c r="R570" s="400">
        <v>40</v>
      </c>
      <c r="S570" s="400">
        <v>60</v>
      </c>
      <c r="T570" s="400">
        <v>40</v>
      </c>
      <c r="U570" s="400">
        <v>60</v>
      </c>
      <c r="V570" s="918">
        <f>IF(J570="Canvas",P570+BorderGW,P570)</f>
        <v>48</v>
      </c>
      <c r="W570" s="918">
        <f>IF(J570="Canvas",Q570+BorderGW,Q570)</f>
        <v>68</v>
      </c>
      <c r="X570" s="525">
        <v>69</v>
      </c>
      <c r="Y570" s="400">
        <v>48</v>
      </c>
      <c r="Z570" s="400">
        <v>68</v>
      </c>
      <c r="AA570" s="724">
        <f t="shared" si="193"/>
        <v>22.666666666666668</v>
      </c>
      <c r="AB570" s="633">
        <f>AA570*IncaG</f>
        <v>476.90666666666669</v>
      </c>
      <c r="AC570" s="406">
        <f>AA570*Canvas</f>
        <v>14.96</v>
      </c>
      <c r="AD570" s="405">
        <f>AA570*IncaC</f>
        <v>38.152533333333338</v>
      </c>
      <c r="AE570" s="406">
        <f>IF(Table1[[#This Row],[Work Center]]="SwissQ",Materials!G$37,IF(Table1[[#This Row],[Work Center]]="Inca",Materials!G$29,IF(Table1[[#This Row],[Work Center]]="Canon",Materials!G$49,Materials!G$45)))</f>
        <v>8</v>
      </c>
      <c r="AF570" s="403">
        <f>'Cali FPS'!C89</f>
        <v>112.01750000000001</v>
      </c>
      <c r="AG570" s="401"/>
      <c r="AH570" s="498">
        <f t="shared" si="197"/>
        <v>46</v>
      </c>
      <c r="AI570" s="498"/>
      <c r="AJ570" s="405">
        <f t="shared" si="186"/>
        <v>219.13003333333336</v>
      </c>
      <c r="AK570" s="650">
        <f t="shared" si="185"/>
        <v>0.76181518115942026</v>
      </c>
      <c r="AL570" s="225">
        <f>Table1[[#This Row],[WSP/Dealer]]/Table1[[#This Row],[OD Sq Inch]]</f>
        <v>0.38333333333333336</v>
      </c>
      <c r="AM570" s="399">
        <f>Table1[[#This Row],[OD Wdth]]*Table1[[#This Row],[OD Hgt]]</f>
        <v>2400</v>
      </c>
      <c r="AN570" s="400">
        <f>Table1[[#This Row],[Min VO]]+Table1[[#This Row],[Max VO]]</f>
        <v>100</v>
      </c>
      <c r="AO570" s="402"/>
      <c r="AP570" s="912"/>
      <c r="AQ570" s="912"/>
      <c r="AR570" s="912"/>
      <c r="AS570" s="912"/>
      <c r="AT570" s="403"/>
      <c r="AU570" s="1818" t="str">
        <f t="shared" si="187"/>
        <v>-</v>
      </c>
    </row>
    <row r="571" spans="1:47" s="46" customFormat="1" x14ac:dyDescent="0.2">
      <c r="A571" s="400" t="s">
        <v>58</v>
      </c>
      <c r="B571" s="1061" t="s">
        <v>445</v>
      </c>
      <c r="C571" s="496" t="s">
        <v>1550</v>
      </c>
      <c r="D571" s="94"/>
      <c r="E571" s="401" t="s">
        <v>1551</v>
      </c>
      <c r="F571" s="401" t="s">
        <v>448</v>
      </c>
      <c r="G571" s="400" t="s">
        <v>482</v>
      </c>
      <c r="H571" s="400" t="s">
        <v>482</v>
      </c>
      <c r="I571" s="400" t="s">
        <v>52</v>
      </c>
      <c r="J571" s="497" t="s">
        <v>53</v>
      </c>
      <c r="K571" s="400" t="s">
        <v>54</v>
      </c>
      <c r="L571" s="400" t="s">
        <v>55</v>
      </c>
      <c r="M571" s="488">
        <v>920</v>
      </c>
      <c r="N571" s="639">
        <v>850</v>
      </c>
      <c r="O571" s="400" t="s">
        <v>56</v>
      </c>
      <c r="P571" s="400">
        <v>40</v>
      </c>
      <c r="Q571" s="400">
        <v>60</v>
      </c>
      <c r="R571" s="400">
        <v>40</v>
      </c>
      <c r="S571" s="400">
        <v>60</v>
      </c>
      <c r="T571" s="400">
        <v>40</v>
      </c>
      <c r="U571" s="400">
        <v>60</v>
      </c>
      <c r="V571" s="404">
        <f>IF(J571="Canvas",P571+BorderGW,P571)</f>
        <v>48</v>
      </c>
      <c r="W571" s="404">
        <f>IF(J571="Canvas",Q571+BorderGW,Q571)</f>
        <v>68</v>
      </c>
      <c r="X571" s="525">
        <v>69</v>
      </c>
      <c r="Y571" s="400">
        <v>48</v>
      </c>
      <c r="Z571" s="400">
        <v>68</v>
      </c>
      <c r="AA571" s="724">
        <f t="shared" si="193"/>
        <v>22.666666666666668</v>
      </c>
      <c r="AB571" s="633">
        <f>AA571*IncaG</f>
        <v>476.90666666666669</v>
      </c>
      <c r="AC571" s="406">
        <f>AA571*Canvas</f>
        <v>14.96</v>
      </c>
      <c r="AD571" s="405">
        <f>AA571*IncaC</f>
        <v>38.152533333333338</v>
      </c>
      <c r="AE571" s="406">
        <f>IF(Table1[[#This Row],[Work Center]]="SwissQ",Materials!G$37,IF(Table1[[#This Row],[Work Center]]="Inca",Materials!G$29,IF(Table1[[#This Row],[Work Center]]="Canon",Materials!G$49,Materials!G$45)))</f>
        <v>8</v>
      </c>
      <c r="AF571" s="403">
        <f>'Cali FPS'!C89</f>
        <v>112.01750000000001</v>
      </c>
      <c r="AG571" s="401"/>
      <c r="AH571" s="112">
        <f t="shared" si="197"/>
        <v>46</v>
      </c>
      <c r="AI571" s="112"/>
      <c r="AJ571" s="406">
        <f t="shared" si="186"/>
        <v>219.13003333333336</v>
      </c>
      <c r="AK571" s="62">
        <f t="shared" si="185"/>
        <v>0.76181518115942026</v>
      </c>
      <c r="AL571" s="225">
        <f>Table1[[#This Row],[WSP/Dealer]]/Table1[[#This Row],[OD Sq Inch]]</f>
        <v>0.38333333333333336</v>
      </c>
      <c r="AM571" s="399">
        <f>Table1[[#This Row],[OD Wdth]]*Table1[[#This Row],[OD Hgt]]</f>
        <v>2400</v>
      </c>
      <c r="AN571" s="400">
        <f>Table1[[#This Row],[Min VO]]+Table1[[#This Row],[Max VO]]</f>
        <v>100</v>
      </c>
      <c r="AO571" s="401"/>
      <c r="AP571" s="912"/>
      <c r="AQ571" s="912"/>
      <c r="AR571" s="912"/>
      <c r="AS571" s="912"/>
      <c r="AT571" s="403"/>
      <c r="AU571" s="1366" t="str">
        <f t="shared" si="187"/>
        <v>-</v>
      </c>
    </row>
    <row r="572" spans="1:47" s="103" customFormat="1" x14ac:dyDescent="0.2">
      <c r="A572" s="145" t="s">
        <v>58</v>
      </c>
      <c r="B572" s="1061" t="s">
        <v>533</v>
      </c>
      <c r="C572" s="146" t="s">
        <v>1552</v>
      </c>
      <c r="D572" s="94" t="s">
        <v>1553</v>
      </c>
      <c r="E572" s="146" t="s">
        <v>1554</v>
      </c>
      <c r="F572" s="154" t="s">
        <v>454</v>
      </c>
      <c r="G572" s="145" t="s">
        <v>405</v>
      </c>
      <c r="H572" s="145" t="s">
        <v>405</v>
      </c>
      <c r="I572" s="145" t="s">
        <v>52</v>
      </c>
      <c r="J572" s="145" t="s">
        <v>53</v>
      </c>
      <c r="K572" s="145" t="s">
        <v>54</v>
      </c>
      <c r="L572" s="145" t="s">
        <v>55</v>
      </c>
      <c r="M572" s="151">
        <v>750</v>
      </c>
      <c r="N572" s="639">
        <v>830</v>
      </c>
      <c r="O572" s="145" t="s">
        <v>64</v>
      </c>
      <c r="P572" s="145">
        <v>48</v>
      </c>
      <c r="Q572" s="145">
        <v>48</v>
      </c>
      <c r="R572" s="145">
        <v>48</v>
      </c>
      <c r="S572" s="145">
        <v>48</v>
      </c>
      <c r="T572" s="698">
        <f>Table1[[#This Row],[VO Wdth]]</f>
        <v>48</v>
      </c>
      <c r="U572" s="698">
        <f>Table1[[#This Row],[VO Hgt]]</f>
        <v>48</v>
      </c>
      <c r="V572" s="149">
        <f>IF(J572="Canvas",P572+Border,P572)</f>
        <v>56</v>
      </c>
      <c r="W572" s="149">
        <f>IF(J572="Canvas",Q572+Border,Q572)</f>
        <v>56</v>
      </c>
      <c r="X572" s="157">
        <v>59</v>
      </c>
      <c r="Y572" s="145"/>
      <c r="Z572" s="145"/>
      <c r="AA572" s="722">
        <f t="shared" si="193"/>
        <v>21.777777777777779</v>
      </c>
      <c r="AB572" s="125">
        <f>AA572*Swiss1</f>
        <v>616.31111111111113</v>
      </c>
      <c r="AC572" s="143">
        <f>Table1[[#This Row],[Substrate SF]]*Paper</f>
        <v>29.465333333333334</v>
      </c>
      <c r="AD572" s="21">
        <f>AA572*Materials!C$37</f>
        <v>60.977777777777774</v>
      </c>
      <c r="AE572" s="104">
        <f>IF(Table1[[#This Row],[Work Center]]="SwissQ",Materials!G$37,IF(Table1[[#This Row],[Work Center]]="Inca",Materials!G$29,IF(Table1[[#This Row],[Work Center]]="Canon",Materials!G$49,Materials!G$45)))</f>
        <v>20</v>
      </c>
      <c r="AF572" s="143">
        <f>'Cali FPS'!C$117</f>
        <v>119.7</v>
      </c>
      <c r="AG572" s="115"/>
      <c r="AH572" s="112">
        <f t="shared" si="197"/>
        <v>37.5</v>
      </c>
      <c r="AI572" s="112"/>
      <c r="AJ572" s="143">
        <f t="shared" si="186"/>
        <v>267.64311111111112</v>
      </c>
      <c r="AK572" s="62">
        <f t="shared" si="185"/>
        <v>0.64314251851851845</v>
      </c>
      <c r="AL572" s="225">
        <f>Table1[[#This Row],[WSP/Dealer]]/Table1[[#This Row],[OD Sq Inch]]</f>
        <v>0.32552083333333331</v>
      </c>
      <c r="AM572" s="103">
        <f>Table1[[#This Row],[OD Wdth]]*Table1[[#This Row],[OD Hgt]]</f>
        <v>2304</v>
      </c>
      <c r="AN572" s="216">
        <f>Table1[[#This Row],[Min VO]]+Table1[[#This Row],[Max VO]]</f>
        <v>96</v>
      </c>
      <c r="AO572" s="144"/>
      <c r="AP572" s="145"/>
      <c r="AQ572" s="143"/>
      <c r="AR572" s="143"/>
      <c r="AS572" s="143"/>
      <c r="AT572" s="143"/>
      <c r="AU572" s="1814" t="str">
        <f t="shared" si="187"/>
        <v>-</v>
      </c>
    </row>
    <row r="573" spans="1:47" s="63" customFormat="1" hidden="1" x14ac:dyDescent="0.2">
      <c r="A573" s="216" t="s">
        <v>272</v>
      </c>
      <c r="B573" s="279" t="s">
        <v>273</v>
      </c>
      <c r="C573" s="243" t="s">
        <v>1555</v>
      </c>
      <c r="D573" s="94" t="s">
        <v>1556</v>
      </c>
      <c r="E573" s="217" t="s">
        <v>1557</v>
      </c>
      <c r="F573" s="217" t="s">
        <v>454</v>
      </c>
      <c r="G573" s="216" t="s">
        <v>405</v>
      </c>
      <c r="H573" s="216" t="s">
        <v>405</v>
      </c>
      <c r="I573" s="216" t="s">
        <v>108</v>
      </c>
      <c r="J573" s="216" t="s">
        <v>53</v>
      </c>
      <c r="K573" s="216" t="s">
        <v>54</v>
      </c>
      <c r="L573" s="216" t="s">
        <v>55</v>
      </c>
      <c r="M573" s="219">
        <v>350</v>
      </c>
      <c r="N573" s="219"/>
      <c r="O573" s="216" t="s">
        <v>109</v>
      </c>
      <c r="P573" s="216">
        <v>48</v>
      </c>
      <c r="Q573" s="216">
        <v>48</v>
      </c>
      <c r="R573" s="216">
        <v>48</v>
      </c>
      <c r="S573" s="216">
        <v>48</v>
      </c>
      <c r="T573" s="216">
        <v>48</v>
      </c>
      <c r="U573" s="216">
        <v>48</v>
      </c>
      <c r="V573" s="907">
        <f>IF(J573="Canvas",P573+BorderGW,P573)</f>
        <v>56</v>
      </c>
      <c r="W573" s="907">
        <f>IF(J573="Canvas",Q573+BorderGW,Q573)</f>
        <v>56</v>
      </c>
      <c r="X573" s="223">
        <v>59</v>
      </c>
      <c r="Y573" s="216"/>
      <c r="Z573" s="216"/>
      <c r="AA573" s="718">
        <f t="shared" si="193"/>
        <v>21.777777777777779</v>
      </c>
      <c r="AB573" s="233">
        <f>AA573*EPSONM</f>
        <v>98</v>
      </c>
      <c r="AC573" s="225">
        <f t="shared" ref="AC573:AC584" si="198">AA573*Canvas</f>
        <v>14.373333333333335</v>
      </c>
      <c r="AD573" s="225">
        <f>Table1[[#This Row],[Ink g/mL]]*EPSONC</f>
        <v>21.56</v>
      </c>
      <c r="AE573" s="104">
        <f>IF(Table1[[#This Row],[Work Center]]="SwissQ",Materials!G$37,IF(Table1[[#This Row],[Work Center]]="Inca",Materials!G$29,IF(Table1[[#This Row],[Work Center]]="Canon",Materials!G$49,Materials!G$45)))</f>
        <v>5</v>
      </c>
      <c r="AF573" s="225">
        <f>'Cali FPS'!C117</f>
        <v>119.7</v>
      </c>
      <c r="AG573" s="115"/>
      <c r="AH573" s="498">
        <f t="shared" si="197"/>
        <v>17.5</v>
      </c>
      <c r="AI573" s="498"/>
      <c r="AJ573" s="225">
        <f t="shared" si="186"/>
        <v>178.13333333333333</v>
      </c>
      <c r="AK573" s="650">
        <f t="shared" si="185"/>
        <v>0.49104761904761907</v>
      </c>
      <c r="AL573" s="225">
        <f>Table1[[#This Row],[WSP/Dealer]]/Table1[[#This Row],[OD Sq Inch]]</f>
        <v>0.15190972222222221</v>
      </c>
      <c r="AM573" s="46">
        <f>Table1[[#This Row],[OD Wdth]]*Table1[[#This Row],[OD Hgt]]</f>
        <v>2304</v>
      </c>
      <c r="AN573" s="216">
        <f>Table1[[#This Row],[Min VO]]+Table1[[#This Row],[Max VO]]</f>
        <v>96</v>
      </c>
      <c r="AO573" s="216" t="s">
        <v>467</v>
      </c>
      <c r="AP573" s="226"/>
      <c r="AQ573" s="226"/>
      <c r="AR573" s="226"/>
      <c r="AS573" s="226"/>
      <c r="AT573" s="226"/>
      <c r="AU573" s="1363" t="str">
        <f t="shared" si="187"/>
        <v>-</v>
      </c>
    </row>
    <row r="574" spans="1:47" s="103" customFormat="1" hidden="1" x14ac:dyDescent="0.2">
      <c r="A574" s="216" t="s">
        <v>272</v>
      </c>
      <c r="B574" s="1061" t="s">
        <v>273</v>
      </c>
      <c r="C574" s="232" t="s">
        <v>1558</v>
      </c>
      <c r="D574" s="94"/>
      <c r="E574" s="217" t="s">
        <v>1559</v>
      </c>
      <c r="F574" s="217" t="s">
        <v>454</v>
      </c>
      <c r="G574" s="216" t="s">
        <v>405</v>
      </c>
      <c r="H574" s="216" t="s">
        <v>405</v>
      </c>
      <c r="I574" s="216" t="s">
        <v>52</v>
      </c>
      <c r="J574" s="216" t="s">
        <v>53</v>
      </c>
      <c r="K574" s="216" t="s">
        <v>54</v>
      </c>
      <c r="L574" s="216" t="s">
        <v>55</v>
      </c>
      <c r="M574" s="219">
        <v>400</v>
      </c>
      <c r="N574" s="219"/>
      <c r="O574" s="216" t="s">
        <v>56</v>
      </c>
      <c r="P574" s="216">
        <v>48</v>
      </c>
      <c r="Q574" s="216">
        <v>48</v>
      </c>
      <c r="R574" s="216">
        <v>48</v>
      </c>
      <c r="S574" s="216">
        <v>48</v>
      </c>
      <c r="T574" s="216">
        <v>48</v>
      </c>
      <c r="U574" s="216">
        <v>48</v>
      </c>
      <c r="V574" s="907">
        <f>IF(J574="Canvas",P574+BorderGW,P574)</f>
        <v>56</v>
      </c>
      <c r="W574" s="907">
        <f>IF(J574="Canvas",Q574+BorderGW,Q574)</f>
        <v>56</v>
      </c>
      <c r="X574" s="223">
        <v>59</v>
      </c>
      <c r="Y574" s="216"/>
      <c r="Z574" s="216"/>
      <c r="AA574" s="718">
        <f t="shared" si="193"/>
        <v>21.777777777777779</v>
      </c>
      <c r="AB574" s="233">
        <f>AA574*IncaG</f>
        <v>458.20444444444445</v>
      </c>
      <c r="AC574" s="225">
        <f t="shared" si="198"/>
        <v>14.373333333333335</v>
      </c>
      <c r="AD574" s="206">
        <f>Table1[[#This Row],[Ink g/mL]]*Materials!$C$29</f>
        <v>36.656355555555557</v>
      </c>
      <c r="AE574" s="104">
        <f>IF(Table1[[#This Row],[Work Center]]="SwissQ",Materials!G$37,IF(Table1[[#This Row],[Work Center]]="Inca",Materials!G$29,IF(Table1[[#This Row],[Work Center]]="Canon",Materials!G$49,Materials!G$45)))</f>
        <v>8</v>
      </c>
      <c r="AF574" s="225"/>
      <c r="AG574" s="115"/>
      <c r="AH574" s="498">
        <f t="shared" si="197"/>
        <v>20</v>
      </c>
      <c r="AI574" s="498"/>
      <c r="AJ574" s="225">
        <f t="shared" si="186"/>
        <v>79.029688888888899</v>
      </c>
      <c r="AK574" s="650">
        <f t="shared" si="185"/>
        <v>0.80242577777777768</v>
      </c>
      <c r="AL574" s="225">
        <f>Table1[[#This Row],[WSP/Dealer]]/Table1[[#This Row],[OD Sq Inch]]</f>
        <v>0.1736111111111111</v>
      </c>
      <c r="AM574" s="218">
        <f>Table1[[#This Row],[OD Wdth]]*Table1[[#This Row],[OD Hgt]]</f>
        <v>2304</v>
      </c>
      <c r="AN574" s="216">
        <f>Table1[[#This Row],[Min VO]]+Table1[[#This Row],[Max VO]]</f>
        <v>96</v>
      </c>
      <c r="AO574" s="216" t="s">
        <v>467</v>
      </c>
      <c r="AP574" s="226"/>
      <c r="AQ574" s="226"/>
      <c r="AR574" s="226"/>
      <c r="AS574" s="226"/>
      <c r="AT574" s="226"/>
      <c r="AU574" s="1365" t="str">
        <f t="shared" si="187"/>
        <v>-</v>
      </c>
    </row>
    <row r="575" spans="1:47" s="63" customFormat="1" hidden="1" x14ac:dyDescent="0.2">
      <c r="A575" s="68" t="s">
        <v>1560</v>
      </c>
      <c r="B575" s="1061" t="s">
        <v>1021</v>
      </c>
      <c r="C575" s="76" t="s">
        <v>1561</v>
      </c>
      <c r="D575" s="94"/>
      <c r="E575" s="84" t="s">
        <v>1562</v>
      </c>
      <c r="F575" s="84" t="s">
        <v>634</v>
      </c>
      <c r="G575" s="68" t="s">
        <v>100</v>
      </c>
      <c r="H575" s="68" t="s">
        <v>100</v>
      </c>
      <c r="I575" s="68" t="s">
        <v>108</v>
      </c>
      <c r="J575" s="140" t="s">
        <v>53</v>
      </c>
      <c r="K575" s="68" t="s">
        <v>54</v>
      </c>
      <c r="L575" s="68" t="s">
        <v>55</v>
      </c>
      <c r="M575" s="141">
        <v>250</v>
      </c>
      <c r="N575" s="93"/>
      <c r="O575" s="68" t="s">
        <v>109</v>
      </c>
      <c r="P575" s="68">
        <v>24</v>
      </c>
      <c r="Q575" s="68">
        <v>36</v>
      </c>
      <c r="R575" s="68">
        <v>24</v>
      </c>
      <c r="S575" s="68">
        <v>36</v>
      </c>
      <c r="T575" s="68">
        <v>24</v>
      </c>
      <c r="U575" s="68">
        <v>36</v>
      </c>
      <c r="V575" s="686">
        <f>IF(J575="Canvas",P575+BorderL,P575)</f>
        <v>35</v>
      </c>
      <c r="W575" s="686">
        <f>IF(J575="Canvas",Q575+BorderL,Q575)</f>
        <v>47</v>
      </c>
      <c r="X575" s="189">
        <v>40</v>
      </c>
      <c r="Y575" s="68">
        <v>35</v>
      </c>
      <c r="Z575" s="68">
        <v>47</v>
      </c>
      <c r="AA575" s="727">
        <f t="shared" si="193"/>
        <v>11.423611111111111</v>
      </c>
      <c r="AB575" s="341">
        <f>AA575*EPSONM</f>
        <v>51.40625</v>
      </c>
      <c r="AC575" s="278">
        <f t="shared" si="198"/>
        <v>7.5395833333333337</v>
      </c>
      <c r="AD575" s="278">
        <f>Table1[[#This Row],[Ink g/mL]]*EPSONC</f>
        <v>11.309374999999999</v>
      </c>
      <c r="AE575" s="278">
        <f>IF(Table1[[#This Row],[Work Center]]="SwissQ",Materials!G$37,IF(Table1[[#This Row],[Work Center]]="Inca",Materials!G$29,IF(Table1[[#This Row],[Work Center]]="Canon",Materials!G$49,Materials!G$45)))</f>
        <v>5</v>
      </c>
      <c r="AF575" s="73">
        <f>'Cali FPS'!C37</f>
        <v>75.162500000000009</v>
      </c>
      <c r="AG575" s="84"/>
      <c r="AH575" s="74">
        <f t="shared" si="197"/>
        <v>12.5</v>
      </c>
      <c r="AI575" s="74"/>
      <c r="AJ575" s="278">
        <f t="shared" si="186"/>
        <v>111.51145833333334</v>
      </c>
      <c r="AK575" s="1001">
        <f t="shared" si="185"/>
        <v>0.55395416666666664</v>
      </c>
      <c r="AL575" s="240">
        <f>Table1[[#This Row],[WSP/Dealer]]/Table1[[#This Row],[OD Sq Inch]]</f>
        <v>0.28935185185185186</v>
      </c>
      <c r="AM575" s="274">
        <f>Table1[[#This Row],[OD Wdth]]*Table1[[#This Row],[OD Hgt]]</f>
        <v>864</v>
      </c>
      <c r="AN575" s="274">
        <f>Table1[[#This Row],[Min VO]]+Table1[[#This Row],[Max VO]]</f>
        <v>60</v>
      </c>
      <c r="AO575" s="84"/>
      <c r="AP575" s="535"/>
      <c r="AQ575" s="535"/>
      <c r="AR575" s="535"/>
      <c r="AS575" s="535"/>
      <c r="AT575" s="73"/>
      <c r="AU575" s="1357" t="str">
        <f t="shared" si="187"/>
        <v>-</v>
      </c>
    </row>
    <row r="576" spans="1:47" s="46" customFormat="1" hidden="1" x14ac:dyDescent="0.2">
      <c r="A576" s="101" t="s">
        <v>110</v>
      </c>
      <c r="B576" s="1067" t="s">
        <v>134</v>
      </c>
      <c r="C576" s="100" t="s">
        <v>1561</v>
      </c>
      <c r="D576" s="168"/>
      <c r="E576" s="115" t="s">
        <v>1562</v>
      </c>
      <c r="F576" s="115" t="s">
        <v>634</v>
      </c>
      <c r="G576" s="101" t="s">
        <v>100</v>
      </c>
      <c r="H576" s="101" t="s">
        <v>100</v>
      </c>
      <c r="I576" s="101" t="s">
        <v>108</v>
      </c>
      <c r="J576" s="487" t="s">
        <v>53</v>
      </c>
      <c r="K576" s="101" t="s">
        <v>54</v>
      </c>
      <c r="L576" s="101" t="s">
        <v>55</v>
      </c>
      <c r="M576" s="299">
        <v>300</v>
      </c>
      <c r="N576" s="114"/>
      <c r="O576" s="101" t="s">
        <v>56</v>
      </c>
      <c r="P576" s="101">
        <v>24</v>
      </c>
      <c r="Q576" s="101">
        <v>36</v>
      </c>
      <c r="R576" s="101">
        <v>24</v>
      </c>
      <c r="S576" s="101">
        <v>36</v>
      </c>
      <c r="T576" s="101">
        <v>24</v>
      </c>
      <c r="U576" s="101">
        <v>36</v>
      </c>
      <c r="V576" s="608">
        <f>IF(J576="Canvas",P576+Border,P576)</f>
        <v>32</v>
      </c>
      <c r="W576" s="608">
        <f>IF(J576="Canvas",Q576+Border,Q576)</f>
        <v>44</v>
      </c>
      <c r="X576" s="137">
        <v>40</v>
      </c>
      <c r="Y576" s="101">
        <v>35</v>
      </c>
      <c r="Z576" s="101">
        <v>47</v>
      </c>
      <c r="AA576" s="649">
        <f t="shared" si="193"/>
        <v>9.7777777777777786</v>
      </c>
      <c r="AB576" s="184">
        <f t="shared" ref="AB576:AB584" si="199">AA576*IncaG</f>
        <v>205.72444444444446</v>
      </c>
      <c r="AC576" s="104">
        <f t="shared" si="198"/>
        <v>6.453333333333334</v>
      </c>
      <c r="AD576" s="1066">
        <f>Table1[[#This Row],[Substrate SF]]*IncaC</f>
        <v>16.457955555555557</v>
      </c>
      <c r="AE576" s="406">
        <f>IF(Table1[[#This Row],[Work Center]]="SwissQ",Materials!G$37,IF(Table1[[#This Row],[Work Center]]="Inca",Materials!G$29,IF(Table1[[#This Row],[Work Center]]="Canon",Materials!G$49,Materials!G$45)))</f>
        <v>8</v>
      </c>
      <c r="AF576" s="102">
        <f>'Cali FPS'!C37</f>
        <v>75.162500000000009</v>
      </c>
      <c r="AG576" s="115"/>
      <c r="AH576" s="104">
        <f t="shared" si="197"/>
        <v>15</v>
      </c>
      <c r="AI576" s="406">
        <f>IF(A576="Codarus",(M576*0.13))</f>
        <v>39</v>
      </c>
      <c r="AJ576" s="104">
        <f>SUM(AC576:AI576)</f>
        <v>160.07378888888888</v>
      </c>
      <c r="AK576" s="830">
        <f t="shared" si="185"/>
        <v>0.4664207037037037</v>
      </c>
      <c r="AL576" s="660">
        <f>Table1[[#This Row],[WSP/Dealer]]/Table1[[#This Row],[OD Sq Inch]]</f>
        <v>0.34722222222222221</v>
      </c>
      <c r="AM576" s="399">
        <f>Table1[[#This Row],[OD Wdth]]*Table1[[#This Row],[OD Hgt]]</f>
        <v>864</v>
      </c>
      <c r="AN576" s="400">
        <f>Table1[[#This Row],[Min VO]]+Table1[[#This Row],[Max VO]]</f>
        <v>60</v>
      </c>
      <c r="AO576" s="115"/>
      <c r="AP576" s="1307">
        <f>(M576*2)</f>
        <v>600</v>
      </c>
      <c r="AQ576" s="121">
        <f>(Table1[[#This Row],[Desgnr/Retail P]]*0.05)</f>
        <v>30</v>
      </c>
      <c r="AR576" s="121">
        <f>IF(A576="Codarus",(AP576*0.13))</f>
        <v>78</v>
      </c>
      <c r="AS576" s="121">
        <f>SUM(Table1[[#This Row],[Substrate $]:[GP FINISH]])+Table1[[#This Row],[Retail Royalty]]+Table1[[#This Row],[Retail$Comm]]</f>
        <v>214.07378888888888</v>
      </c>
      <c r="AT576" s="830">
        <f>IF(AP576=0,"-",(AP576-AS576)/AP576)</f>
        <v>0.64321035185185182</v>
      </c>
      <c r="AU576" s="1359">
        <f t="shared" si="187"/>
        <v>0.97855965493827157</v>
      </c>
    </row>
    <row r="577" spans="1:48" s="46" customFormat="1" hidden="1" x14ac:dyDescent="0.2">
      <c r="A577" s="68" t="s">
        <v>187</v>
      </c>
      <c r="B577" s="1061" t="s">
        <v>292</v>
      </c>
      <c r="C577" s="653" t="s">
        <v>1563</v>
      </c>
      <c r="D577" s="94"/>
      <c r="E577" s="115" t="s">
        <v>1564</v>
      </c>
      <c r="F577" s="115" t="s">
        <v>349</v>
      </c>
      <c r="G577" s="101" t="s">
        <v>1565</v>
      </c>
      <c r="H577" s="101" t="s">
        <v>1566</v>
      </c>
      <c r="I577" s="60" t="s">
        <v>52</v>
      </c>
      <c r="J577" s="59" t="s">
        <v>53</v>
      </c>
      <c r="K577" s="68" t="s">
        <v>54</v>
      </c>
      <c r="L577" s="101" t="s">
        <v>70</v>
      </c>
      <c r="M577" s="299">
        <v>800</v>
      </c>
      <c r="N577" s="785"/>
      <c r="O577" s="101" t="s">
        <v>56</v>
      </c>
      <c r="P577" s="60">
        <v>18</v>
      </c>
      <c r="Q577" s="60">
        <v>23</v>
      </c>
      <c r="R577" s="60">
        <v>18</v>
      </c>
      <c r="S577" s="60">
        <v>23</v>
      </c>
      <c r="T577" s="101">
        <v>20</v>
      </c>
      <c r="U577" s="101">
        <v>25</v>
      </c>
      <c r="V577" s="47">
        <f>Table1[[#This Row],[VO Wdth]]+Materials!$C$50</f>
        <v>20</v>
      </c>
      <c r="W577" s="47">
        <f>Table1[[#This Row],[VO Hgt]]+Materials!$C$50</f>
        <v>25</v>
      </c>
      <c r="X577" s="137"/>
      <c r="Y577" s="101"/>
      <c r="Z577" s="101"/>
      <c r="AA577" s="717">
        <f t="shared" si="193"/>
        <v>3.4722222222222223</v>
      </c>
      <c r="AB577" s="297">
        <f t="shared" si="199"/>
        <v>73.055555555555557</v>
      </c>
      <c r="AC577" s="74">
        <f t="shared" si="198"/>
        <v>2.291666666666667</v>
      </c>
      <c r="AD577" s="319">
        <f>Table1[[#This Row],[Substrate SF]]*IncaC</f>
        <v>5.844444444444445</v>
      </c>
      <c r="AE577" s="278">
        <f>IF(Table1[[#This Row],[Work Center]]="SwissQ",Materials!G$37,IF(Table1[[#This Row],[Work Center]]="Inca",Materials!G$29,IF(Table1[[#This Row],[Work Center]]="Canon",Materials!G$49,Materials!G$45)))</f>
        <v>8</v>
      </c>
      <c r="AF577" s="321">
        <f>'Cali Frames'!D272</f>
        <v>79.45</v>
      </c>
      <c r="AG577" s="121"/>
      <c r="AH577" s="112">
        <f t="shared" si="197"/>
        <v>40</v>
      </c>
      <c r="AI577" s="112"/>
      <c r="AJ577" s="104">
        <f t="shared" ref="AJ577:AJ595" si="200">SUM(AC577:AH577)</f>
        <v>135.58611111111111</v>
      </c>
      <c r="AK577" s="62">
        <f t="shared" si="185"/>
        <v>0.83051736111111107</v>
      </c>
      <c r="AL577" s="225">
        <f>Table1[[#This Row],[WSP/Dealer]]/Table1[[#This Row],[OD Sq Inch]]</f>
        <v>1.6</v>
      </c>
      <c r="AM577" s="170">
        <f>Table1[[#This Row],[OD Wdth]]*Table1[[#This Row],[OD Hgt]]</f>
        <v>500</v>
      </c>
      <c r="AN577" s="216">
        <f>Table1[[#This Row],[Min VO]]+Table1[[#This Row],[Max VO]]</f>
        <v>41</v>
      </c>
      <c r="AO577" s="115"/>
      <c r="AP577" s="115"/>
      <c r="AQ577" s="121"/>
      <c r="AR577" s="121"/>
      <c r="AS577" s="121"/>
      <c r="AT577" s="104"/>
      <c r="AU577" s="1359" t="str">
        <f t="shared" si="187"/>
        <v>-</v>
      </c>
    </row>
    <row r="578" spans="1:48" s="63" customFormat="1" hidden="1" x14ac:dyDescent="0.2">
      <c r="A578" s="68" t="s">
        <v>187</v>
      </c>
      <c r="B578" s="279" t="s">
        <v>292</v>
      </c>
      <c r="C578" s="653" t="s">
        <v>1563</v>
      </c>
      <c r="D578" s="94"/>
      <c r="E578" s="115" t="s">
        <v>1564</v>
      </c>
      <c r="F578" s="115" t="s">
        <v>349</v>
      </c>
      <c r="G578" s="101" t="s">
        <v>1565</v>
      </c>
      <c r="H578" s="101" t="s">
        <v>1566</v>
      </c>
      <c r="I578" s="60" t="s">
        <v>52</v>
      </c>
      <c r="J578" s="59" t="s">
        <v>53</v>
      </c>
      <c r="K578" s="68" t="s">
        <v>54</v>
      </c>
      <c r="L578" s="101" t="s">
        <v>70</v>
      </c>
      <c r="M578" s="299">
        <v>800</v>
      </c>
      <c r="N578" s="785"/>
      <c r="O578" s="101" t="s">
        <v>56</v>
      </c>
      <c r="P578" s="60">
        <v>18</v>
      </c>
      <c r="Q578" s="60">
        <v>23</v>
      </c>
      <c r="R578" s="60">
        <v>18</v>
      </c>
      <c r="S578" s="60">
        <v>23</v>
      </c>
      <c r="T578" s="101">
        <v>20</v>
      </c>
      <c r="U578" s="101">
        <v>25</v>
      </c>
      <c r="V578" s="47">
        <f>Table1[[#This Row],[VO Wdth]]+Materials!$C$50</f>
        <v>20</v>
      </c>
      <c r="W578" s="47">
        <f>Table1[[#This Row],[VO Hgt]]+Materials!$C$50</f>
        <v>25</v>
      </c>
      <c r="X578" s="137"/>
      <c r="Y578" s="101"/>
      <c r="Z578" s="101"/>
      <c r="AA578" s="717">
        <f t="shared" si="193"/>
        <v>3.4722222222222223</v>
      </c>
      <c r="AB578" s="297">
        <f t="shared" si="199"/>
        <v>73.055555555555557</v>
      </c>
      <c r="AC578" s="74">
        <f t="shared" si="198"/>
        <v>2.291666666666667</v>
      </c>
      <c r="AD578" s="319">
        <f>Table1[[#This Row],[Substrate SF]]*IncaC</f>
        <v>5.844444444444445</v>
      </c>
      <c r="AE578" s="278">
        <f>IF(Table1[[#This Row],[Work Center]]="SwissQ",Materials!G$37,IF(Table1[[#This Row],[Work Center]]="Inca",Materials!G$29,IF(Table1[[#This Row],[Work Center]]="Canon",Materials!G$49,Materials!G$45)))</f>
        <v>8</v>
      </c>
      <c r="AF578" s="321">
        <f>'Cali Frames'!D62</f>
        <v>99.592500000000001</v>
      </c>
      <c r="AG578" s="121"/>
      <c r="AH578" s="498">
        <f t="shared" si="197"/>
        <v>40</v>
      </c>
      <c r="AI578" s="498"/>
      <c r="AJ578" s="104">
        <f t="shared" si="200"/>
        <v>155.72861111111112</v>
      </c>
      <c r="AK578" s="650">
        <f t="shared" si="185"/>
        <v>0.80533923611111102</v>
      </c>
      <c r="AL578" s="225">
        <f>Table1[[#This Row],[WSP/Dealer]]/Table1[[#This Row],[OD Sq Inch]]</f>
        <v>1.6</v>
      </c>
      <c r="AM578" s="170">
        <f>Table1[[#This Row],[OD Wdth]]*Table1[[#This Row],[OD Hgt]]</f>
        <v>500</v>
      </c>
      <c r="AN578" s="216">
        <f>Table1[[#This Row],[Min VO]]+Table1[[#This Row],[Max VO]]</f>
        <v>41</v>
      </c>
      <c r="AO578" s="115"/>
      <c r="AP578" s="115"/>
      <c r="AQ578" s="121"/>
      <c r="AR578" s="121"/>
      <c r="AS578" s="121"/>
      <c r="AT578" s="104"/>
      <c r="AU578" s="1359" t="str">
        <f t="shared" si="187"/>
        <v>-</v>
      </c>
    </row>
    <row r="579" spans="1:48" s="63" customFormat="1" hidden="1" x14ac:dyDescent="0.2">
      <c r="A579" s="68" t="s">
        <v>110</v>
      </c>
      <c r="B579" s="1152" t="s">
        <v>102</v>
      </c>
      <c r="C579" s="83" t="s">
        <v>1567</v>
      </c>
      <c r="D579" s="94"/>
      <c r="E579" s="84" t="s">
        <v>1568</v>
      </c>
      <c r="F579" s="84" t="s">
        <v>1569</v>
      </c>
      <c r="G579" s="68" t="s">
        <v>519</v>
      </c>
      <c r="H579" s="68" t="s">
        <v>519</v>
      </c>
      <c r="I579" s="68" t="s">
        <v>52</v>
      </c>
      <c r="J579" s="140" t="s">
        <v>53</v>
      </c>
      <c r="K579" s="68" t="s">
        <v>54</v>
      </c>
      <c r="L579" s="68" t="s">
        <v>55</v>
      </c>
      <c r="M579" s="141">
        <v>225</v>
      </c>
      <c r="N579" s="93"/>
      <c r="O579" s="68" t="s">
        <v>56</v>
      </c>
      <c r="P579" s="68">
        <v>16</v>
      </c>
      <c r="Q579" s="68">
        <v>20</v>
      </c>
      <c r="R579" s="68">
        <v>16</v>
      </c>
      <c r="S579" s="68">
        <v>20</v>
      </c>
      <c r="T579" s="68">
        <v>16</v>
      </c>
      <c r="U579" s="68">
        <v>20</v>
      </c>
      <c r="V579" s="917">
        <f t="shared" ref="V579:V610" si="201">IF(J579="Canvas",P579+Border,P579)</f>
        <v>24</v>
      </c>
      <c r="W579" s="917">
        <f t="shared" ref="W579:W610" si="202">IF(J579="Canvas",Q579+Border,Q579)</f>
        <v>28</v>
      </c>
      <c r="X579" s="68">
        <v>40</v>
      </c>
      <c r="Y579" s="68">
        <v>24</v>
      </c>
      <c r="Z579" s="68">
        <v>28</v>
      </c>
      <c r="AA579" s="699">
        <f t="shared" si="193"/>
        <v>4.666666666666667</v>
      </c>
      <c r="AB579" s="297">
        <f t="shared" si="199"/>
        <v>98.186666666666667</v>
      </c>
      <c r="AC579" s="74">
        <f t="shared" si="198"/>
        <v>3.0800000000000005</v>
      </c>
      <c r="AD579" s="319">
        <f>Table1[[#This Row],[Substrate SF]]*IncaC</f>
        <v>7.8549333333333342</v>
      </c>
      <c r="AE579" s="278">
        <f>IF(Table1[[#This Row],[Work Center]]="SwissQ",Materials!G$37,IF(Table1[[#This Row],[Work Center]]="Inca",Materials!G$29,IF(Table1[[#This Row],[Work Center]]="Canon",Materials!G$49,Materials!G$45)))</f>
        <v>8</v>
      </c>
      <c r="AF579" s="73">
        <f>'Cali FPS'!C18</f>
        <v>61.15</v>
      </c>
      <c r="AG579" s="126"/>
      <c r="AH579" s="74">
        <f t="shared" si="197"/>
        <v>11.25</v>
      </c>
      <c r="AI579" s="278">
        <f t="shared" ref="AI579:AI584" si="203">IF(A579="Codarus",(M579*0.13))</f>
        <v>29.25</v>
      </c>
      <c r="AJ579" s="74">
        <f t="shared" si="200"/>
        <v>91.334933333333339</v>
      </c>
      <c r="AK579" s="1001">
        <f t="shared" si="185"/>
        <v>0.59406696296296291</v>
      </c>
      <c r="AL579" s="240">
        <f>Table1[[#This Row],[WSP/Dealer]]/Table1[[#This Row],[OD Sq Inch]]</f>
        <v>0.703125</v>
      </c>
      <c r="AM579" s="170">
        <f>Table1[[#This Row],[OD Wdth]]*Table1[[#This Row],[OD Hgt]]</f>
        <v>320</v>
      </c>
      <c r="AN579" s="238">
        <f>Table1[[#This Row],[Min VO]]+Table1[[#This Row],[Max VO]]</f>
        <v>36</v>
      </c>
      <c r="AO579" s="84"/>
      <c r="AP579" s="1185">
        <v>450</v>
      </c>
      <c r="AQ579" s="126">
        <f>(Table1[[#This Row],[Desgnr/Retail P]]*0.05)</f>
        <v>22.5</v>
      </c>
      <c r="AR579" s="126">
        <f t="shared" ref="AR579:AR584" si="204">IF(A579="Codarus",(AP579*0.13))</f>
        <v>58.5</v>
      </c>
      <c r="AS579" s="126">
        <f>SUM(Table1[[#This Row],[Substrate $]:[GP FINISH]])+Table1[[#This Row],[Retail Royalty]]+Table1[[#This Row],[Retail$Comm]]</f>
        <v>161.08493333333334</v>
      </c>
      <c r="AT579" s="1001">
        <f t="shared" ref="AT579:AT584" si="205">IF(AP579=0,"-",(AP579-AS579)/AP579)</f>
        <v>0.64203348148148154</v>
      </c>
      <c r="AU579" s="1357">
        <f t="shared" si="187"/>
        <v>0.97146517860082315</v>
      </c>
    </row>
    <row r="580" spans="1:48" s="63" customFormat="1" hidden="1" x14ac:dyDescent="0.2">
      <c r="A580" s="68" t="s">
        <v>110</v>
      </c>
      <c r="B580" s="1152" t="s">
        <v>102</v>
      </c>
      <c r="C580" s="83" t="s">
        <v>1570</v>
      </c>
      <c r="D580" s="94"/>
      <c r="E580" s="84" t="s">
        <v>1571</v>
      </c>
      <c r="F580" s="84" t="s">
        <v>1569</v>
      </c>
      <c r="G580" s="68" t="s">
        <v>519</v>
      </c>
      <c r="H580" s="68" t="s">
        <v>519</v>
      </c>
      <c r="I580" s="68" t="s">
        <v>52</v>
      </c>
      <c r="J580" s="140" t="s">
        <v>53</v>
      </c>
      <c r="K580" s="68" t="s">
        <v>54</v>
      </c>
      <c r="L580" s="68" t="s">
        <v>55</v>
      </c>
      <c r="M580" s="141">
        <v>225</v>
      </c>
      <c r="N580" s="93"/>
      <c r="O580" s="68" t="s">
        <v>56</v>
      </c>
      <c r="P580" s="68">
        <v>16</v>
      </c>
      <c r="Q580" s="68">
        <v>20</v>
      </c>
      <c r="R580" s="68">
        <v>16</v>
      </c>
      <c r="S580" s="68">
        <v>20</v>
      </c>
      <c r="T580" s="68">
        <v>16</v>
      </c>
      <c r="U580" s="68">
        <v>20</v>
      </c>
      <c r="V580" s="917">
        <f t="shared" si="201"/>
        <v>24</v>
      </c>
      <c r="W580" s="917">
        <f t="shared" si="202"/>
        <v>28</v>
      </c>
      <c r="X580" s="68">
        <v>40</v>
      </c>
      <c r="Y580" s="68">
        <v>24</v>
      </c>
      <c r="Z580" s="68">
        <v>28</v>
      </c>
      <c r="AA580" s="699">
        <f t="shared" si="193"/>
        <v>4.666666666666667</v>
      </c>
      <c r="AB580" s="297">
        <f t="shared" si="199"/>
        <v>98.186666666666667</v>
      </c>
      <c r="AC580" s="74">
        <f t="shared" si="198"/>
        <v>3.0800000000000005</v>
      </c>
      <c r="AD580" s="319">
        <f>Table1[[#This Row],[Substrate SF]]*IncaC</f>
        <v>7.8549333333333342</v>
      </c>
      <c r="AE580" s="278">
        <f>IF(Table1[[#This Row],[Work Center]]="SwissQ",Materials!G$37,IF(Table1[[#This Row],[Work Center]]="Inca",Materials!G$29,IF(Table1[[#This Row],[Work Center]]="Canon",Materials!G$49,Materials!G$45)))</f>
        <v>8</v>
      </c>
      <c r="AF580" s="73">
        <f>'Cali FPS'!C18</f>
        <v>61.15</v>
      </c>
      <c r="AG580" s="126"/>
      <c r="AH580" s="74">
        <f t="shared" si="197"/>
        <v>11.25</v>
      </c>
      <c r="AI580" s="278">
        <f t="shared" si="203"/>
        <v>29.25</v>
      </c>
      <c r="AJ580" s="74">
        <f t="shared" si="200"/>
        <v>91.334933333333339</v>
      </c>
      <c r="AK580" s="1001">
        <f t="shared" si="185"/>
        <v>0.59406696296296291</v>
      </c>
      <c r="AL580" s="240">
        <f>Table1[[#This Row],[WSP/Dealer]]/Table1[[#This Row],[OD Sq Inch]]</f>
        <v>0.703125</v>
      </c>
      <c r="AM580" s="170">
        <f>Table1[[#This Row],[OD Wdth]]*Table1[[#This Row],[OD Hgt]]</f>
        <v>320</v>
      </c>
      <c r="AN580" s="238">
        <f>Table1[[#This Row],[Min VO]]+Table1[[#This Row],[Max VO]]</f>
        <v>36</v>
      </c>
      <c r="AO580" s="84"/>
      <c r="AP580" s="1185">
        <v>450</v>
      </c>
      <c r="AQ580" s="126">
        <f>(Table1[[#This Row],[Desgnr/Retail P]]*0.05)</f>
        <v>22.5</v>
      </c>
      <c r="AR580" s="126">
        <f t="shared" si="204"/>
        <v>58.5</v>
      </c>
      <c r="AS580" s="126">
        <f>SUM(Table1[[#This Row],[Substrate $]:[GP FINISH]])+Table1[[#This Row],[Retail Royalty]]+Table1[[#This Row],[Retail$Comm]]</f>
        <v>161.08493333333334</v>
      </c>
      <c r="AT580" s="1001">
        <f t="shared" si="205"/>
        <v>0.64203348148148154</v>
      </c>
      <c r="AU580" s="1357">
        <f t="shared" si="187"/>
        <v>0.97146517860082315</v>
      </c>
    </row>
    <row r="581" spans="1:48" s="170" customFormat="1" hidden="1" x14ac:dyDescent="0.2">
      <c r="A581" s="68" t="s">
        <v>110</v>
      </c>
      <c r="B581" s="1152" t="s">
        <v>102</v>
      </c>
      <c r="C581" s="83" t="s">
        <v>1572</v>
      </c>
      <c r="D581" s="94"/>
      <c r="E581" s="84" t="s">
        <v>1573</v>
      </c>
      <c r="F581" s="84" t="s">
        <v>1569</v>
      </c>
      <c r="G581" s="68" t="s">
        <v>519</v>
      </c>
      <c r="H581" s="68" t="s">
        <v>519</v>
      </c>
      <c r="I581" s="68" t="s">
        <v>52</v>
      </c>
      <c r="J581" s="140" t="s">
        <v>53</v>
      </c>
      <c r="K581" s="68" t="s">
        <v>54</v>
      </c>
      <c r="L581" s="68" t="s">
        <v>55</v>
      </c>
      <c r="M581" s="141">
        <v>225</v>
      </c>
      <c r="N581" s="93"/>
      <c r="O581" s="68" t="s">
        <v>56</v>
      </c>
      <c r="P581" s="68">
        <v>16</v>
      </c>
      <c r="Q581" s="68">
        <v>20</v>
      </c>
      <c r="R581" s="68">
        <v>16</v>
      </c>
      <c r="S581" s="68">
        <v>20</v>
      </c>
      <c r="T581" s="68">
        <v>16</v>
      </c>
      <c r="U581" s="68">
        <v>20</v>
      </c>
      <c r="V581" s="917">
        <f t="shared" si="201"/>
        <v>24</v>
      </c>
      <c r="W581" s="917">
        <f t="shared" si="202"/>
        <v>28</v>
      </c>
      <c r="X581" s="68">
        <v>40</v>
      </c>
      <c r="Y581" s="68">
        <v>24</v>
      </c>
      <c r="Z581" s="68">
        <v>28</v>
      </c>
      <c r="AA581" s="699">
        <f t="shared" si="193"/>
        <v>4.666666666666667</v>
      </c>
      <c r="AB581" s="297">
        <f t="shared" si="199"/>
        <v>98.186666666666667</v>
      </c>
      <c r="AC581" s="74">
        <f t="shared" si="198"/>
        <v>3.0800000000000005</v>
      </c>
      <c r="AD581" s="320">
        <f>Table1[[#This Row],[Substrate SF]]*IncaC</f>
        <v>7.8549333333333342</v>
      </c>
      <c r="AE581" s="278">
        <f>IF(Table1[[#This Row],[Work Center]]="SwissQ",Materials!G$37,IF(Table1[[#This Row],[Work Center]]="Inca",Materials!G$29,IF(Table1[[#This Row],[Work Center]]="Canon",Materials!G$49,Materials!G$45)))</f>
        <v>8</v>
      </c>
      <c r="AF581" s="73">
        <f>'Cali FPS'!C18</f>
        <v>61.15</v>
      </c>
      <c r="AG581" s="126"/>
      <c r="AH581" s="74">
        <f t="shared" si="197"/>
        <v>11.25</v>
      </c>
      <c r="AI581" s="263">
        <f t="shared" si="203"/>
        <v>29.25</v>
      </c>
      <c r="AJ581" s="74">
        <f t="shared" si="200"/>
        <v>91.334933333333339</v>
      </c>
      <c r="AK581" s="1001">
        <f t="shared" si="185"/>
        <v>0.59406696296296291</v>
      </c>
      <c r="AL581" s="240">
        <f>Table1[[#This Row],[WSP/Dealer]]/Table1[[#This Row],[OD Sq Inch]]</f>
        <v>0.703125</v>
      </c>
      <c r="AM581" s="274">
        <f>Table1[[#This Row],[OD Wdth]]*Table1[[#This Row],[OD Hgt]]</f>
        <v>320</v>
      </c>
      <c r="AN581" s="238">
        <f>Table1[[#This Row],[Min VO]]+Table1[[#This Row],[Max VO]]</f>
        <v>36</v>
      </c>
      <c r="AO581" s="84"/>
      <c r="AP581" s="1185">
        <v>450</v>
      </c>
      <c r="AQ581" s="126">
        <f>(Table1[[#This Row],[Desgnr/Retail P]]*0.05)</f>
        <v>22.5</v>
      </c>
      <c r="AR581" s="126">
        <f t="shared" si="204"/>
        <v>58.5</v>
      </c>
      <c r="AS581" s="126">
        <f>SUM(Table1[[#This Row],[Substrate $]:[GP FINISH]])+Table1[[#This Row],[Retail Royalty]]+Table1[[#This Row],[Retail$Comm]]</f>
        <v>161.08493333333334</v>
      </c>
      <c r="AT581" s="1001">
        <f t="shared" si="205"/>
        <v>0.64203348148148154</v>
      </c>
      <c r="AU581" s="1357">
        <f t="shared" si="187"/>
        <v>0.97146517860082315</v>
      </c>
      <c r="AV581" s="63"/>
    </row>
    <row r="582" spans="1:48" s="170" customFormat="1" hidden="1" x14ac:dyDescent="0.2">
      <c r="A582" s="68" t="s">
        <v>110</v>
      </c>
      <c r="B582" s="1152" t="s">
        <v>102</v>
      </c>
      <c r="C582" s="83" t="s">
        <v>1574</v>
      </c>
      <c r="D582" s="94"/>
      <c r="E582" s="84" t="s">
        <v>1575</v>
      </c>
      <c r="F582" s="84" t="s">
        <v>1569</v>
      </c>
      <c r="G582" s="68" t="s">
        <v>519</v>
      </c>
      <c r="H582" s="68" t="s">
        <v>519</v>
      </c>
      <c r="I582" s="68" t="s">
        <v>52</v>
      </c>
      <c r="J582" s="140" t="s">
        <v>53</v>
      </c>
      <c r="K582" s="68" t="s">
        <v>54</v>
      </c>
      <c r="L582" s="68" t="s">
        <v>55</v>
      </c>
      <c r="M582" s="141">
        <v>225</v>
      </c>
      <c r="N582" s="93"/>
      <c r="O582" s="68" t="s">
        <v>56</v>
      </c>
      <c r="P582" s="68">
        <v>16</v>
      </c>
      <c r="Q582" s="68">
        <v>20</v>
      </c>
      <c r="R582" s="68">
        <v>16</v>
      </c>
      <c r="S582" s="68">
        <v>20</v>
      </c>
      <c r="T582" s="68">
        <v>16</v>
      </c>
      <c r="U582" s="68">
        <v>20</v>
      </c>
      <c r="V582" s="66">
        <f t="shared" si="201"/>
        <v>24</v>
      </c>
      <c r="W582" s="66">
        <f t="shared" si="202"/>
        <v>28</v>
      </c>
      <c r="X582" s="68">
        <v>40</v>
      </c>
      <c r="Y582" s="68">
        <v>24</v>
      </c>
      <c r="Z582" s="68">
        <v>28</v>
      </c>
      <c r="AA582" s="699">
        <f t="shared" si="193"/>
        <v>4.666666666666667</v>
      </c>
      <c r="AB582" s="297">
        <f t="shared" si="199"/>
        <v>98.186666666666667</v>
      </c>
      <c r="AC582" s="74">
        <f t="shared" si="198"/>
        <v>3.0800000000000005</v>
      </c>
      <c r="AD582" s="319">
        <f>Table1[[#This Row],[Substrate SF]]*IncaC</f>
        <v>7.8549333333333342</v>
      </c>
      <c r="AE582" s="278">
        <f>IF(Table1[[#This Row],[Work Center]]="SwissQ",Materials!G$37,IF(Table1[[#This Row],[Work Center]]="Inca",Materials!G$29,IF(Table1[[#This Row],[Work Center]]="Canon",Materials!G$49,Materials!G$45)))</f>
        <v>8</v>
      </c>
      <c r="AF582" s="73">
        <f>'Cali FPS'!C18</f>
        <v>61.15</v>
      </c>
      <c r="AG582" s="126"/>
      <c r="AH582" s="67">
        <f t="shared" si="197"/>
        <v>11.25</v>
      </c>
      <c r="AI582" s="263">
        <f t="shared" si="203"/>
        <v>29.25</v>
      </c>
      <c r="AJ582" s="74">
        <f t="shared" si="200"/>
        <v>91.334933333333339</v>
      </c>
      <c r="AK582" s="661">
        <f t="shared" si="185"/>
        <v>0.59406696296296291</v>
      </c>
      <c r="AL582" s="240">
        <f>Table1[[#This Row],[WSP/Dealer]]/Table1[[#This Row],[OD Sq Inch]]</f>
        <v>0.703125</v>
      </c>
      <c r="AM582" s="170">
        <f>Table1[[#This Row],[OD Wdth]]*Table1[[#This Row],[OD Hgt]]</f>
        <v>320</v>
      </c>
      <c r="AN582" s="238">
        <f>Table1[[#This Row],[Min VO]]+Table1[[#This Row],[Max VO]]</f>
        <v>36</v>
      </c>
      <c r="AO582" s="84"/>
      <c r="AP582" s="1185">
        <v>450</v>
      </c>
      <c r="AQ582" s="126">
        <f>(Table1[[#This Row],[Desgnr/Retail P]]*0.05)</f>
        <v>22.5</v>
      </c>
      <c r="AR582" s="126">
        <f t="shared" si="204"/>
        <v>58.5</v>
      </c>
      <c r="AS582" s="126">
        <f>SUM(Table1[[#This Row],[Substrate $]:[GP FINISH]])+Table1[[#This Row],[Retail Royalty]]+Table1[[#This Row],[Retail$Comm]]</f>
        <v>161.08493333333334</v>
      </c>
      <c r="AT582" s="1001">
        <f t="shared" si="205"/>
        <v>0.64203348148148154</v>
      </c>
      <c r="AU582" s="1357">
        <f t="shared" si="187"/>
        <v>0.97146517860082315</v>
      </c>
      <c r="AV582" s="63"/>
    </row>
    <row r="583" spans="1:48" s="170" customFormat="1" hidden="1" x14ac:dyDescent="0.2">
      <c r="A583" s="68" t="s">
        <v>110</v>
      </c>
      <c r="B583" s="1152" t="s">
        <v>102</v>
      </c>
      <c r="C583" s="83" t="s">
        <v>1576</v>
      </c>
      <c r="D583" s="94"/>
      <c r="E583" s="84" t="s">
        <v>1577</v>
      </c>
      <c r="F583" s="84" t="s">
        <v>1569</v>
      </c>
      <c r="G583" s="68" t="s">
        <v>519</v>
      </c>
      <c r="H583" s="68" t="s">
        <v>519</v>
      </c>
      <c r="I583" s="68" t="s">
        <v>52</v>
      </c>
      <c r="J583" s="140" t="s">
        <v>53</v>
      </c>
      <c r="K583" s="68" t="s">
        <v>54</v>
      </c>
      <c r="L583" s="68" t="s">
        <v>55</v>
      </c>
      <c r="M583" s="141">
        <v>225</v>
      </c>
      <c r="N583" s="93"/>
      <c r="O583" s="68" t="s">
        <v>56</v>
      </c>
      <c r="P583" s="68">
        <v>16</v>
      </c>
      <c r="Q583" s="68">
        <v>20</v>
      </c>
      <c r="R583" s="68">
        <v>16</v>
      </c>
      <c r="S583" s="68">
        <v>20</v>
      </c>
      <c r="T583" s="68">
        <v>16</v>
      </c>
      <c r="U583" s="68">
        <v>20</v>
      </c>
      <c r="V583" s="917">
        <f t="shared" si="201"/>
        <v>24</v>
      </c>
      <c r="W583" s="917">
        <f t="shared" si="202"/>
        <v>28</v>
      </c>
      <c r="X583" s="68">
        <v>40</v>
      </c>
      <c r="Y583" s="68">
        <v>24</v>
      </c>
      <c r="Z583" s="68">
        <v>28</v>
      </c>
      <c r="AA583" s="699">
        <f t="shared" si="193"/>
        <v>4.666666666666667</v>
      </c>
      <c r="AB583" s="297">
        <f t="shared" si="199"/>
        <v>98.186666666666667</v>
      </c>
      <c r="AC583" s="74">
        <f t="shared" si="198"/>
        <v>3.0800000000000005</v>
      </c>
      <c r="AD583" s="319">
        <f>Table1[[#This Row],[Substrate SF]]*IncaC</f>
        <v>7.8549333333333342</v>
      </c>
      <c r="AE583" s="278">
        <f>IF(Table1[[#This Row],[Work Center]]="SwissQ",Materials!G$37,IF(Table1[[#This Row],[Work Center]]="Inca",Materials!G$29,IF(Table1[[#This Row],[Work Center]]="Canon",Materials!G$49,Materials!G$45)))</f>
        <v>8</v>
      </c>
      <c r="AF583" s="73">
        <f>'Cali FPS'!C18</f>
        <v>61.15</v>
      </c>
      <c r="AG583" s="126"/>
      <c r="AH583" s="74">
        <f t="shared" si="197"/>
        <v>11.25</v>
      </c>
      <c r="AI583" s="278">
        <f t="shared" si="203"/>
        <v>29.25</v>
      </c>
      <c r="AJ583" s="74">
        <f t="shared" si="200"/>
        <v>91.334933333333339</v>
      </c>
      <c r="AK583" s="1001">
        <f t="shared" si="185"/>
        <v>0.59406696296296291</v>
      </c>
      <c r="AL583" s="240">
        <f>Table1[[#This Row],[WSP/Dealer]]/Table1[[#This Row],[OD Sq Inch]]</f>
        <v>0.703125</v>
      </c>
      <c r="AM583" s="170">
        <f>Table1[[#This Row],[OD Wdth]]*Table1[[#This Row],[OD Hgt]]</f>
        <v>320</v>
      </c>
      <c r="AN583" s="238">
        <f>Table1[[#This Row],[Min VO]]+Table1[[#This Row],[Max VO]]</f>
        <v>36</v>
      </c>
      <c r="AO583" s="84"/>
      <c r="AP583" s="1185">
        <v>450</v>
      </c>
      <c r="AQ583" s="126">
        <f>(Table1[[#This Row],[Desgnr/Retail P]]*0.05)</f>
        <v>22.5</v>
      </c>
      <c r="AR583" s="126">
        <f t="shared" si="204"/>
        <v>58.5</v>
      </c>
      <c r="AS583" s="126">
        <f>SUM(Table1[[#This Row],[Substrate $]:[GP FINISH]])+Table1[[#This Row],[Retail Royalty]]+Table1[[#This Row],[Retail$Comm]]</f>
        <v>161.08493333333334</v>
      </c>
      <c r="AT583" s="1001">
        <f t="shared" si="205"/>
        <v>0.64203348148148154</v>
      </c>
      <c r="AU583" s="1357">
        <f t="shared" si="187"/>
        <v>0.97146517860082315</v>
      </c>
      <c r="AV583" s="63"/>
    </row>
    <row r="584" spans="1:48" s="868" customFormat="1" hidden="1" x14ac:dyDescent="0.2">
      <c r="A584" s="68" t="s">
        <v>110</v>
      </c>
      <c r="B584" s="1072" t="s">
        <v>102</v>
      </c>
      <c r="C584" s="83" t="s">
        <v>1578</v>
      </c>
      <c r="D584" s="94"/>
      <c r="E584" s="84" t="s">
        <v>1579</v>
      </c>
      <c r="F584" s="84" t="s">
        <v>1569</v>
      </c>
      <c r="G584" s="68" t="s">
        <v>519</v>
      </c>
      <c r="H584" s="68" t="s">
        <v>519</v>
      </c>
      <c r="I584" s="68" t="s">
        <v>52</v>
      </c>
      <c r="J584" s="140" t="s">
        <v>53</v>
      </c>
      <c r="K584" s="68" t="s">
        <v>54</v>
      </c>
      <c r="L584" s="68" t="s">
        <v>55</v>
      </c>
      <c r="M584" s="141">
        <v>225</v>
      </c>
      <c r="N584" s="93"/>
      <c r="O584" s="68" t="s">
        <v>56</v>
      </c>
      <c r="P584" s="68">
        <v>16</v>
      </c>
      <c r="Q584" s="68">
        <v>20</v>
      </c>
      <c r="R584" s="68">
        <v>16</v>
      </c>
      <c r="S584" s="68">
        <v>20</v>
      </c>
      <c r="T584" s="68">
        <v>16</v>
      </c>
      <c r="U584" s="68">
        <v>20</v>
      </c>
      <c r="V584" s="917">
        <f t="shared" si="201"/>
        <v>24</v>
      </c>
      <c r="W584" s="917">
        <f t="shared" si="202"/>
        <v>28</v>
      </c>
      <c r="X584" s="68">
        <v>40</v>
      </c>
      <c r="Y584" s="68">
        <v>24</v>
      </c>
      <c r="Z584" s="68">
        <v>28</v>
      </c>
      <c r="AA584" s="699">
        <f t="shared" si="193"/>
        <v>4.666666666666667</v>
      </c>
      <c r="AB584" s="297">
        <f t="shared" si="199"/>
        <v>98.186666666666667</v>
      </c>
      <c r="AC584" s="74">
        <f t="shared" si="198"/>
        <v>3.0800000000000005</v>
      </c>
      <c r="AD584" s="319">
        <f>Table1[[#This Row],[Substrate SF]]*IncaC</f>
        <v>7.8549333333333342</v>
      </c>
      <c r="AE584" s="278">
        <f>IF(Table1[[#This Row],[Work Center]]="SwissQ",Materials!G$37,IF(Table1[[#This Row],[Work Center]]="Inca",Materials!G$29,IF(Table1[[#This Row],[Work Center]]="Canon",Materials!G$49,Materials!G$45)))</f>
        <v>8</v>
      </c>
      <c r="AF584" s="73">
        <f>'Cali FPS'!C18</f>
        <v>61.15</v>
      </c>
      <c r="AG584" s="126"/>
      <c r="AH584" s="74">
        <f t="shared" si="197"/>
        <v>11.25</v>
      </c>
      <c r="AI584" s="278">
        <f t="shared" si="203"/>
        <v>29.25</v>
      </c>
      <c r="AJ584" s="74">
        <f t="shared" si="200"/>
        <v>91.334933333333339</v>
      </c>
      <c r="AK584" s="1001">
        <f t="shared" si="185"/>
        <v>0.59406696296296291</v>
      </c>
      <c r="AL584" s="240">
        <f>Table1[[#This Row],[WSP/Dealer]]/Table1[[#This Row],[OD Sq Inch]]</f>
        <v>0.703125</v>
      </c>
      <c r="AM584" s="170">
        <f>Table1[[#This Row],[OD Wdth]]*Table1[[#This Row],[OD Hgt]]</f>
        <v>320</v>
      </c>
      <c r="AN584" s="238">
        <f>Table1[[#This Row],[Min VO]]+Table1[[#This Row],[Max VO]]</f>
        <v>36</v>
      </c>
      <c r="AO584" s="119"/>
      <c r="AP584" s="1185">
        <v>450</v>
      </c>
      <c r="AQ584" s="126">
        <f>(Table1[[#This Row],[Desgnr/Retail P]]*0.05)</f>
        <v>22.5</v>
      </c>
      <c r="AR584" s="126">
        <f t="shared" si="204"/>
        <v>58.5</v>
      </c>
      <c r="AS584" s="126">
        <f>SUM(Table1[[#This Row],[Substrate $]:[GP FINISH]])+Table1[[#This Row],[Retail Royalty]]+Table1[[#This Row],[Retail$Comm]]</f>
        <v>161.08493333333334</v>
      </c>
      <c r="AT584" s="1001">
        <f t="shared" si="205"/>
        <v>0.64203348148148154</v>
      </c>
      <c r="AU584" s="1356">
        <f t="shared" si="187"/>
        <v>0.97146517860082315</v>
      </c>
    </row>
    <row r="585" spans="1:48" s="868" customFormat="1" hidden="1" x14ac:dyDescent="0.2">
      <c r="A585" s="68" t="s">
        <v>101</v>
      </c>
      <c r="B585" s="1072" t="s">
        <v>102</v>
      </c>
      <c r="C585" s="84" t="s">
        <v>1580</v>
      </c>
      <c r="D585" s="94"/>
      <c r="E585" s="84" t="s">
        <v>1581</v>
      </c>
      <c r="F585" s="84" t="s">
        <v>105</v>
      </c>
      <c r="G585" s="68" t="s">
        <v>1582</v>
      </c>
      <c r="H585" s="68" t="s">
        <v>1583</v>
      </c>
      <c r="I585" s="68" t="s">
        <v>256</v>
      </c>
      <c r="J585" s="140" t="s">
        <v>257</v>
      </c>
      <c r="K585" s="68" t="s">
        <v>1315</v>
      </c>
      <c r="L585" s="68" t="s">
        <v>269</v>
      </c>
      <c r="M585" s="141">
        <v>162</v>
      </c>
      <c r="N585" s="93"/>
      <c r="O585" s="68" t="s">
        <v>260</v>
      </c>
      <c r="P585" s="68">
        <v>3</v>
      </c>
      <c r="Q585" s="68">
        <v>4</v>
      </c>
      <c r="R585" s="68">
        <v>3</v>
      </c>
      <c r="S585" s="68">
        <v>4</v>
      </c>
      <c r="T585" s="68">
        <v>8</v>
      </c>
      <c r="U585" s="68">
        <v>10</v>
      </c>
      <c r="V585" s="66">
        <f t="shared" si="201"/>
        <v>3</v>
      </c>
      <c r="W585" s="66">
        <f t="shared" si="202"/>
        <v>4</v>
      </c>
      <c r="X585" s="68" t="s">
        <v>257</v>
      </c>
      <c r="Y585" s="1347">
        <f>Table1[[#This Row],[Print Wth]]+Materials!$C$7</f>
        <v>5</v>
      </c>
      <c r="Z585" s="1347">
        <f>Table1[[#This Row],[Print Ht]]+Materials!$C$7</f>
        <v>6</v>
      </c>
      <c r="AA585" s="1027">
        <f>(Table1[[#This Row],[Cut Width]]*Table1[[#This Row],[Cut Height]])/144</f>
        <v>0.20833333333333334</v>
      </c>
      <c r="AB585" s="690">
        <f>(Table1[[#This Row],[Print Wth]]*Table1[[#This Row],[Print Ht]])/144*canonML</f>
        <v>0.39999999999999997</v>
      </c>
      <c r="AC585" s="74">
        <f>Table1[[#This Row],[Substrate SF]]*Paper</f>
        <v>0.28187499999999999</v>
      </c>
      <c r="AD585" s="67">
        <f>(Table1[[#This Row],[Print Wth]]*Table1[[#This Row],[Print Ht]])/144*CanonC</f>
        <v>2.2499999999999999E-2</v>
      </c>
      <c r="AE585" s="74">
        <f>IF(Table1[[#This Row],[Work Center]]="SwissQ",Materials!G$37,IF(Table1[[#This Row],[Work Center]]="Inca",Materials!G$29,IF(Table1[[#This Row],[Work Center]]="Canon",Materials!G$49,Materials!G$45)))</f>
        <v>7</v>
      </c>
      <c r="AF585" s="73">
        <f>'Cali Frames'!D93</f>
        <v>73.260000000000005</v>
      </c>
      <c r="AG585" s="126"/>
      <c r="AH585" s="263">
        <v>0</v>
      </c>
      <c r="AI585" s="263"/>
      <c r="AJ585" s="278">
        <f t="shared" si="200"/>
        <v>80.564375000000013</v>
      </c>
      <c r="AK585" s="688">
        <f t="shared" si="185"/>
        <v>0.50268904320987651</v>
      </c>
      <c r="AL585" s="278">
        <f>Table1[[#This Row],[WSP/Dealer]]/Table1[[#This Row],[OD Sq Inch]]</f>
        <v>2.0249999999999999</v>
      </c>
      <c r="AM585" s="170">
        <f>Table1[[#This Row],[OD Wdth]]*Table1[[#This Row],[OD Hgt]]</f>
        <v>80</v>
      </c>
      <c r="AN585" s="274">
        <f>Table1[[#This Row],[Min VO]]+Table1[[#This Row],[Max VO]]</f>
        <v>7</v>
      </c>
      <c r="AO585" s="119"/>
      <c r="AP585" s="84"/>
      <c r="AQ585" s="126"/>
      <c r="AR585" s="126"/>
      <c r="AS585" s="126"/>
      <c r="AT585" s="74"/>
      <c r="AU585" s="1356" t="str">
        <f t="shared" si="187"/>
        <v>-</v>
      </c>
    </row>
    <row r="586" spans="1:48" s="97" customFormat="1" x14ac:dyDescent="0.2">
      <c r="A586" s="68" t="s">
        <v>58</v>
      </c>
      <c r="B586" s="1072" t="s">
        <v>1584</v>
      </c>
      <c r="C586" s="84" t="s">
        <v>1585</v>
      </c>
      <c r="D586" s="94"/>
      <c r="E586" s="84" t="s">
        <v>1586</v>
      </c>
      <c r="F586" s="84" t="s">
        <v>1587</v>
      </c>
      <c r="G586" s="68" t="s">
        <v>1588</v>
      </c>
      <c r="H586" s="68" t="s">
        <v>1588</v>
      </c>
      <c r="I586" s="68" t="s">
        <v>52</v>
      </c>
      <c r="J586" s="140" t="s">
        <v>53</v>
      </c>
      <c r="K586" s="68" t="s">
        <v>54</v>
      </c>
      <c r="L586" s="68" t="s">
        <v>55</v>
      </c>
      <c r="M586" s="141">
        <v>500</v>
      </c>
      <c r="N586" s="93"/>
      <c r="O586" s="68" t="s">
        <v>56</v>
      </c>
      <c r="P586" s="68">
        <v>30</v>
      </c>
      <c r="Q586" s="68">
        <v>30</v>
      </c>
      <c r="R586" s="68">
        <v>30</v>
      </c>
      <c r="S586" s="63">
        <v>30</v>
      </c>
      <c r="T586" s="68">
        <v>30</v>
      </c>
      <c r="U586" s="68">
        <v>30</v>
      </c>
      <c r="V586" s="66">
        <f t="shared" si="201"/>
        <v>38</v>
      </c>
      <c r="W586" s="66">
        <f t="shared" si="202"/>
        <v>38</v>
      </c>
      <c r="X586" s="1283">
        <v>40</v>
      </c>
      <c r="Y586" s="68">
        <v>38</v>
      </c>
      <c r="Z586" s="68">
        <v>38</v>
      </c>
      <c r="AA586" s="699">
        <f t="shared" ref="AA586:AA617" si="206">V586*W586/144</f>
        <v>10.027777777777779</v>
      </c>
      <c r="AB586" s="297">
        <f>AA586*IncaG</f>
        <v>210.98444444444445</v>
      </c>
      <c r="AC586" s="74">
        <f t="shared" ref="AC586:AC617" si="207">AA586*Canvas</f>
        <v>6.6183333333333341</v>
      </c>
      <c r="AD586" s="67">
        <f>Table1[[#This Row],[Substrate SF]]*IncaC</f>
        <v>16.878755555555557</v>
      </c>
      <c r="AE586" s="74">
        <f>IF(Table1[[#This Row],[Work Center]]="SwissQ",Materials!G$37,IF(Table1[[#This Row],[Work Center]]="Inca",Materials!G$29,IF(Table1[[#This Row],[Work Center]]="Canon",Materials!G$49,Materials!G$45)))</f>
        <v>8</v>
      </c>
      <c r="AF586" s="73">
        <f>'Cali FPS'!C46</f>
        <v>80.27</v>
      </c>
      <c r="AG586" s="126"/>
      <c r="AH586" s="278">
        <f t="shared" ref="AH586:AH617" si="208">(M586*0.05)</f>
        <v>25</v>
      </c>
      <c r="AI586" s="278"/>
      <c r="AJ586" s="278">
        <f t="shared" si="200"/>
        <v>136.76708888888888</v>
      </c>
      <c r="AK586" s="1192">
        <f t="shared" si="185"/>
        <v>0.72646582222222222</v>
      </c>
      <c r="AL586" s="278">
        <f>Table1[[#This Row],[WSP/Dealer]]/Table1[[#This Row],[OD Sq Inch]]</f>
        <v>0.55555555555555558</v>
      </c>
      <c r="AM586" s="170">
        <f>Table1[[#This Row],[OD Wdth]]*Table1[[#This Row],[OD Hgt]]</f>
        <v>900</v>
      </c>
      <c r="AN586" s="274">
        <f>Table1[[#This Row],[Min VO]]+Table1[[#This Row],[Max VO]]</f>
        <v>60</v>
      </c>
      <c r="AO586" s="119"/>
      <c r="AP586" s="84"/>
      <c r="AQ586" s="126"/>
      <c r="AR586" s="126"/>
      <c r="AS586" s="126"/>
      <c r="AT586" s="74"/>
      <c r="AU586" s="1356" t="str">
        <f t="shared" si="187"/>
        <v>-</v>
      </c>
    </row>
    <row r="587" spans="1:48" s="63" customFormat="1" ht="16" x14ac:dyDescent="0.2">
      <c r="A587" s="180" t="s">
        <v>58</v>
      </c>
      <c r="B587" s="1073" t="s">
        <v>1584</v>
      </c>
      <c r="C587" s="83" t="s">
        <v>1589</v>
      </c>
      <c r="D587" s="1476" t="s">
        <v>1590</v>
      </c>
      <c r="E587" s="284" t="s">
        <v>1591</v>
      </c>
      <c r="F587" s="284" t="s">
        <v>1587</v>
      </c>
      <c r="G587" s="180" t="s">
        <v>1342</v>
      </c>
      <c r="H587" s="180" t="s">
        <v>1342</v>
      </c>
      <c r="I587" s="180" t="s">
        <v>52</v>
      </c>
      <c r="J587" s="310" t="s">
        <v>53</v>
      </c>
      <c r="K587" s="180" t="s">
        <v>54</v>
      </c>
      <c r="L587" s="180" t="s">
        <v>55</v>
      </c>
      <c r="M587" s="292">
        <v>650</v>
      </c>
      <c r="N587" s="285"/>
      <c r="O587" s="180" t="s">
        <v>56</v>
      </c>
      <c r="P587" s="180">
        <v>48</v>
      </c>
      <c r="Q587" s="180">
        <v>36</v>
      </c>
      <c r="R587" s="180">
        <v>36</v>
      </c>
      <c r="S587" s="180">
        <v>48</v>
      </c>
      <c r="T587" s="180">
        <v>48</v>
      </c>
      <c r="U587" s="180">
        <v>36</v>
      </c>
      <c r="V587" s="947">
        <f t="shared" si="201"/>
        <v>56</v>
      </c>
      <c r="W587" s="947">
        <f t="shared" si="202"/>
        <v>44</v>
      </c>
      <c r="X587" s="1281">
        <v>59</v>
      </c>
      <c r="Y587" s="180"/>
      <c r="Z587" s="180"/>
      <c r="AA587" s="717">
        <f t="shared" si="206"/>
        <v>17.111111111111111</v>
      </c>
      <c r="AB587" s="125">
        <f>AA587*IncaG</f>
        <v>360.01777777777778</v>
      </c>
      <c r="AC587" s="69">
        <f t="shared" si="207"/>
        <v>11.293333333333333</v>
      </c>
      <c r="AD587" s="69">
        <f>Table1[[#This Row],[Substrate SF]]*IncaC</f>
        <v>28.801422222222222</v>
      </c>
      <c r="AE587" s="69">
        <f>IF(Table1[[#This Row],[Work Center]]="SwissQ",Materials!G$37,IF(Table1[[#This Row],[Work Center]]="Inca",Materials!G$29,IF(Table1[[#This Row],[Work Center]]="Canon",Materials!G$49,Materials!G$45)))</f>
        <v>8</v>
      </c>
      <c r="AF587" s="290">
        <f>'Cali FPS'!C71</f>
        <v>114.31</v>
      </c>
      <c r="AG587" s="296"/>
      <c r="AH587" s="48">
        <f t="shared" si="208"/>
        <v>32.5</v>
      </c>
      <c r="AI587" s="48"/>
      <c r="AJ587" s="69">
        <f t="shared" si="200"/>
        <v>194.90475555555554</v>
      </c>
      <c r="AK587" s="62">
        <f t="shared" si="185"/>
        <v>0.70014652991452997</v>
      </c>
      <c r="AL587" s="225">
        <f>Table1[[#This Row],[WSP/Dealer]]/Table1[[#This Row],[OD Sq Inch]]</f>
        <v>0.37615740740740738</v>
      </c>
      <c r="AM587" s="216">
        <f>Table1[[#This Row],[OD Wdth]]*Table1[[#This Row],[OD Hgt]]</f>
        <v>1728</v>
      </c>
      <c r="AN587" s="216">
        <f>Table1[[#This Row],[Min VO]]+Table1[[#This Row],[Max VO]]</f>
        <v>84</v>
      </c>
      <c r="AO587" s="284"/>
      <c r="AP587" s="284"/>
      <c r="AQ587" s="296"/>
      <c r="AR587" s="296"/>
      <c r="AS587" s="296"/>
      <c r="AT587" s="176"/>
      <c r="AU587" s="1358" t="str">
        <f t="shared" si="187"/>
        <v>-</v>
      </c>
    </row>
    <row r="588" spans="1:48" s="63" customFormat="1" ht="16" x14ac:dyDescent="0.2">
      <c r="A588" s="180" t="s">
        <v>58</v>
      </c>
      <c r="B588" s="1073" t="s">
        <v>1584</v>
      </c>
      <c r="C588" s="83" t="s">
        <v>1592</v>
      </c>
      <c r="D588" s="1476" t="s">
        <v>1593</v>
      </c>
      <c r="E588" s="284" t="s">
        <v>1594</v>
      </c>
      <c r="F588" s="284" t="s">
        <v>1587</v>
      </c>
      <c r="G588" s="180" t="s">
        <v>1342</v>
      </c>
      <c r="H588" s="180" t="s">
        <v>1342</v>
      </c>
      <c r="I588" s="180" t="s">
        <v>52</v>
      </c>
      <c r="J588" s="310" t="s">
        <v>53</v>
      </c>
      <c r="K588" s="180" t="s">
        <v>54</v>
      </c>
      <c r="L588" s="180" t="s">
        <v>55</v>
      </c>
      <c r="M588" s="292">
        <v>650</v>
      </c>
      <c r="N588" s="285"/>
      <c r="O588" s="180" t="s">
        <v>56</v>
      </c>
      <c r="P588" s="180">
        <v>48</v>
      </c>
      <c r="Q588" s="180">
        <v>36</v>
      </c>
      <c r="R588" s="180">
        <v>36</v>
      </c>
      <c r="S588" s="180">
        <v>48</v>
      </c>
      <c r="T588" s="180">
        <v>48</v>
      </c>
      <c r="U588" s="180">
        <v>36</v>
      </c>
      <c r="V588" s="947">
        <f t="shared" si="201"/>
        <v>56</v>
      </c>
      <c r="W588" s="947">
        <f t="shared" si="202"/>
        <v>44</v>
      </c>
      <c r="X588" s="1281">
        <v>59</v>
      </c>
      <c r="Y588" s="180"/>
      <c r="Z588" s="180"/>
      <c r="AA588" s="717">
        <f t="shared" si="206"/>
        <v>17.111111111111111</v>
      </c>
      <c r="AB588" s="125">
        <f>AA588*IncaG</f>
        <v>360.01777777777778</v>
      </c>
      <c r="AC588" s="69">
        <f t="shared" si="207"/>
        <v>11.293333333333333</v>
      </c>
      <c r="AD588" s="69">
        <f>Table1[[#This Row],[Substrate SF]]*IncaC</f>
        <v>28.801422222222222</v>
      </c>
      <c r="AE588" s="69">
        <f>IF(Table1[[#This Row],[Work Center]]="SwissQ",Materials!G$37,IF(Table1[[#This Row],[Work Center]]="Inca",Materials!G$29,IF(Table1[[#This Row],[Work Center]]="Canon",Materials!G$49,Materials!G$45)))</f>
        <v>8</v>
      </c>
      <c r="AF588" s="290">
        <f>'Cali FPS'!C71</f>
        <v>114.31</v>
      </c>
      <c r="AG588" s="296"/>
      <c r="AH588" s="69">
        <f t="shared" si="208"/>
        <v>32.5</v>
      </c>
      <c r="AI588" s="69"/>
      <c r="AJ588" s="69">
        <f t="shared" si="200"/>
        <v>194.90475555555554</v>
      </c>
      <c r="AK588" s="650">
        <f t="shared" si="185"/>
        <v>0.70014652991452997</v>
      </c>
      <c r="AL588" s="225">
        <f>Table1[[#This Row],[WSP/Dealer]]/Table1[[#This Row],[OD Sq Inch]]</f>
        <v>0.37615740740740738</v>
      </c>
      <c r="AM588" s="216">
        <f>Table1[[#This Row],[OD Wdth]]*Table1[[#This Row],[OD Hgt]]</f>
        <v>1728</v>
      </c>
      <c r="AN588" s="216">
        <f>Table1[[#This Row],[Min VO]]+Table1[[#This Row],[Max VO]]</f>
        <v>84</v>
      </c>
      <c r="AO588" s="284"/>
      <c r="AP588" s="284"/>
      <c r="AQ588" s="296"/>
      <c r="AR588" s="296"/>
      <c r="AS588" s="296"/>
      <c r="AT588" s="176"/>
      <c r="AU588" s="1358" t="str">
        <f t="shared" si="187"/>
        <v>-</v>
      </c>
    </row>
    <row r="589" spans="1:48" s="63" customFormat="1" ht="16" x14ac:dyDescent="0.2">
      <c r="A589" s="274" t="s">
        <v>58</v>
      </c>
      <c r="B589" s="1061" t="s">
        <v>1584</v>
      </c>
      <c r="C589" s="84" t="s">
        <v>1595</v>
      </c>
      <c r="D589" s="1476" t="s">
        <v>1596</v>
      </c>
      <c r="E589" s="275" t="s">
        <v>1594</v>
      </c>
      <c r="F589" s="275" t="s">
        <v>1587</v>
      </c>
      <c r="G589" s="274" t="s">
        <v>1342</v>
      </c>
      <c r="H589" s="68" t="s">
        <v>1343</v>
      </c>
      <c r="I589" s="68" t="s">
        <v>52</v>
      </c>
      <c r="J589" s="140" t="s">
        <v>53</v>
      </c>
      <c r="K589" s="68" t="s">
        <v>69</v>
      </c>
      <c r="L589" s="68" t="s">
        <v>73</v>
      </c>
      <c r="M589" s="93">
        <v>750</v>
      </c>
      <c r="N589" s="93"/>
      <c r="O589" s="274" t="s">
        <v>56</v>
      </c>
      <c r="P589" s="274">
        <v>48</v>
      </c>
      <c r="Q589" s="274">
        <v>36</v>
      </c>
      <c r="R589" s="274">
        <v>36</v>
      </c>
      <c r="S589" s="274">
        <v>48</v>
      </c>
      <c r="T589" s="68">
        <v>49</v>
      </c>
      <c r="U589" s="68">
        <v>37</v>
      </c>
      <c r="V589" s="160">
        <f t="shared" si="201"/>
        <v>56</v>
      </c>
      <c r="W589" s="160">
        <f t="shared" si="202"/>
        <v>44</v>
      </c>
      <c r="X589" s="68">
        <v>59</v>
      </c>
      <c r="Y589" s="68">
        <v>56</v>
      </c>
      <c r="Z589" s="68">
        <v>44</v>
      </c>
      <c r="AA589" s="699">
        <f t="shared" si="206"/>
        <v>17.111111111111111</v>
      </c>
      <c r="AB589" s="297">
        <f>AA589*IncaG</f>
        <v>360.01777777777778</v>
      </c>
      <c r="AC589" s="74">
        <f t="shared" si="207"/>
        <v>11.293333333333333</v>
      </c>
      <c r="AD589" s="67">
        <f>Table1[[#This Row],[Substrate SF]]*IncaC</f>
        <v>28.801422222222222</v>
      </c>
      <c r="AE589" s="74">
        <f>IF(Table1[[#This Row],[Work Center]]="SwissQ",Materials!G$37,IF(Table1[[#This Row],[Work Center]]="Inca",Materials!G$29,IF(Table1[[#This Row],[Work Center]]="Canon",Materials!G$49,Materials!G$45)))</f>
        <v>8</v>
      </c>
      <c r="AF589" s="73">
        <f>'Cali Frames'!D436</f>
        <v>145.70500000000001</v>
      </c>
      <c r="AG589" s="126"/>
      <c r="AH589" s="278">
        <f t="shared" si="208"/>
        <v>37.5</v>
      </c>
      <c r="AI589" s="278"/>
      <c r="AJ589" s="278">
        <f t="shared" si="200"/>
        <v>231.29975555555558</v>
      </c>
      <c r="AK589" s="1192">
        <f t="shared" si="185"/>
        <v>0.69160032592592602</v>
      </c>
      <c r="AL589" s="278">
        <f>Table1[[#This Row],[WSP/Dealer]]/Table1[[#This Row],[OD Sq Inch]]</f>
        <v>0.41367898510755652</v>
      </c>
      <c r="AM589" s="170">
        <f>Table1[[#This Row],[OD Wdth]]*Table1[[#This Row],[OD Hgt]]</f>
        <v>1813</v>
      </c>
      <c r="AN589" s="274">
        <f>Table1[[#This Row],[Min VO]]+Table1[[#This Row],[Max VO]]</f>
        <v>84</v>
      </c>
      <c r="AO589" s="84"/>
      <c r="AP589" s="84"/>
      <c r="AQ589" s="126"/>
      <c r="AR589" s="126"/>
      <c r="AS589" s="126"/>
      <c r="AT589" s="74"/>
      <c r="AU589" s="1357" t="str">
        <f t="shared" si="187"/>
        <v>-</v>
      </c>
    </row>
    <row r="590" spans="1:48" s="63" customFormat="1" ht="16" x14ac:dyDescent="0.2">
      <c r="A590" s="274" t="s">
        <v>58</v>
      </c>
      <c r="B590" s="1061" t="s">
        <v>1584</v>
      </c>
      <c r="C590" s="84" t="s">
        <v>1597</v>
      </c>
      <c r="D590" s="1476" t="s">
        <v>1598</v>
      </c>
      <c r="E590" s="275" t="s">
        <v>1594</v>
      </c>
      <c r="F590" s="275" t="s">
        <v>1587</v>
      </c>
      <c r="G590" s="274" t="s">
        <v>1342</v>
      </c>
      <c r="H590" s="68" t="s">
        <v>1343</v>
      </c>
      <c r="I590" s="68" t="s">
        <v>52</v>
      </c>
      <c r="J590" s="140" t="s">
        <v>53</v>
      </c>
      <c r="K590" s="68" t="s">
        <v>69</v>
      </c>
      <c r="L590" s="101" t="s">
        <v>76</v>
      </c>
      <c r="M590" s="114">
        <v>750</v>
      </c>
      <c r="N590" s="114"/>
      <c r="O590" s="274" t="s">
        <v>56</v>
      </c>
      <c r="P590" s="274">
        <v>48</v>
      </c>
      <c r="Q590" s="274">
        <v>36</v>
      </c>
      <c r="R590" s="274">
        <v>36</v>
      </c>
      <c r="S590" s="274">
        <v>48</v>
      </c>
      <c r="T590" s="68">
        <v>49</v>
      </c>
      <c r="U590" s="68">
        <v>37</v>
      </c>
      <c r="V590" s="160">
        <f t="shared" si="201"/>
        <v>56</v>
      </c>
      <c r="W590" s="160">
        <f t="shared" si="202"/>
        <v>44</v>
      </c>
      <c r="X590" s="68">
        <v>59</v>
      </c>
      <c r="Y590" s="68">
        <v>56</v>
      </c>
      <c r="Z590" s="68">
        <v>44</v>
      </c>
      <c r="AA590" s="952">
        <f t="shared" si="206"/>
        <v>17.111111111111111</v>
      </c>
      <c r="AB590" s="690">
        <f>AA590*IncaG</f>
        <v>360.01777777777778</v>
      </c>
      <c r="AC590" s="74">
        <f t="shared" si="207"/>
        <v>11.293333333333333</v>
      </c>
      <c r="AD590" s="67">
        <f>Table1[[#This Row],[Substrate SF]]*IncaC</f>
        <v>28.801422222222222</v>
      </c>
      <c r="AE590" s="74">
        <f>IF(Table1[[#This Row],[Work Center]]="SwissQ",Materials!G$37,IF(Table1[[#This Row],[Work Center]]="Inca",Materials!G$29,IF(Table1[[#This Row],[Work Center]]="Canon",Materials!G$49,Materials!G$45)))</f>
        <v>8</v>
      </c>
      <c r="AF590" s="102">
        <f>'Cali Frames'!D371</f>
        <v>160</v>
      </c>
      <c r="AG590" s="121"/>
      <c r="AH590" s="278">
        <f t="shared" si="208"/>
        <v>37.5</v>
      </c>
      <c r="AI590" s="278"/>
      <c r="AJ590" s="278">
        <f t="shared" si="200"/>
        <v>245.59475555555554</v>
      </c>
      <c r="AK590" s="1192">
        <f t="shared" si="185"/>
        <v>0.67254032592592594</v>
      </c>
      <c r="AL590" s="278">
        <f>Table1[[#This Row],[WSP/Dealer]]/Table1[[#This Row],[OD Sq Inch]]</f>
        <v>0.41367898510755652</v>
      </c>
      <c r="AM590" s="170">
        <f>Table1[[#This Row],[OD Wdth]]*Table1[[#This Row],[OD Hgt]]</f>
        <v>1813</v>
      </c>
      <c r="AN590" s="274">
        <f>Table1[[#This Row],[Min VO]]+Table1[[#This Row],[Max VO]]</f>
        <v>84</v>
      </c>
      <c r="AO590" s="115"/>
      <c r="AP590" s="115"/>
      <c r="AQ590" s="121"/>
      <c r="AR590" s="121"/>
      <c r="AS590" s="121"/>
      <c r="AT590" s="104"/>
      <c r="AU590" s="1359" t="str">
        <f t="shared" si="187"/>
        <v>-</v>
      </c>
    </row>
    <row r="591" spans="1:48" s="63" customFormat="1" hidden="1" x14ac:dyDescent="0.2">
      <c r="A591" s="68"/>
      <c r="B591" s="1061"/>
      <c r="C591" s="653" t="s">
        <v>1599</v>
      </c>
      <c r="D591" s="94"/>
      <c r="E591" s="115" t="s">
        <v>1600</v>
      </c>
      <c r="F591" s="115" t="s">
        <v>1587</v>
      </c>
      <c r="G591" s="101" t="s">
        <v>731</v>
      </c>
      <c r="H591" s="101" t="s">
        <v>731</v>
      </c>
      <c r="I591" s="60" t="s">
        <v>52</v>
      </c>
      <c r="J591" s="59" t="s">
        <v>53</v>
      </c>
      <c r="K591" s="68" t="s">
        <v>54</v>
      </c>
      <c r="L591" s="101" t="s">
        <v>55</v>
      </c>
      <c r="M591" s="299">
        <v>300</v>
      </c>
      <c r="N591" s="785"/>
      <c r="O591" s="101" t="s">
        <v>64</v>
      </c>
      <c r="P591" s="46">
        <v>30</v>
      </c>
      <c r="Q591" s="46">
        <v>20</v>
      </c>
      <c r="R591" s="60">
        <v>30</v>
      </c>
      <c r="S591" s="46">
        <v>20</v>
      </c>
      <c r="T591" s="103">
        <v>30</v>
      </c>
      <c r="U591" s="103">
        <v>20</v>
      </c>
      <c r="V591" s="149">
        <f t="shared" si="201"/>
        <v>38</v>
      </c>
      <c r="W591" s="149">
        <f t="shared" si="202"/>
        <v>28</v>
      </c>
      <c r="X591" s="137">
        <v>40</v>
      </c>
      <c r="Y591" s="101"/>
      <c r="Z591" s="101"/>
      <c r="AA591" s="717">
        <f t="shared" si="206"/>
        <v>7.3888888888888893</v>
      </c>
      <c r="AB591" s="297">
        <f>AA591*Swiss1ML</f>
        <v>209.10555555555558</v>
      </c>
      <c r="AC591" s="74">
        <f t="shared" si="207"/>
        <v>4.8766666666666669</v>
      </c>
      <c r="AD591" s="319">
        <f>Table1[[#This Row],[Substrate SF]]*IncaC</f>
        <v>12.436977777777779</v>
      </c>
      <c r="AE591" s="278">
        <f>IF(Table1[[#This Row],[Work Center]]="SwissQ",Materials!G$37,IF(Table1[[#This Row],[Work Center]]="Inca",Materials!G$29,IF(Table1[[#This Row],[Work Center]]="Canon",Materials!G$49,Materials!G$45)))</f>
        <v>20</v>
      </c>
      <c r="AF591" s="321">
        <f>'Cali FPS'!C28</f>
        <v>62.93</v>
      </c>
      <c r="AG591" s="121"/>
      <c r="AH591" s="112">
        <f t="shared" si="208"/>
        <v>15</v>
      </c>
      <c r="AI591" s="112"/>
      <c r="AJ591" s="104">
        <f t="shared" si="200"/>
        <v>115.24364444444444</v>
      </c>
      <c r="AK591" s="62">
        <f t="shared" si="185"/>
        <v>0.61585451851851858</v>
      </c>
      <c r="AL591" s="225">
        <f>Table1[[#This Row],[WSP/Dealer]]/Table1[[#This Row],[OD Sq Inch]]</f>
        <v>0.5</v>
      </c>
      <c r="AM591" s="170">
        <f>Table1[[#This Row],[OD Wdth]]*Table1[[#This Row],[OD Hgt]]</f>
        <v>600</v>
      </c>
      <c r="AN591" s="216">
        <f>Table1[[#This Row],[Min VO]]+Table1[[#This Row],[Max VO]]</f>
        <v>50</v>
      </c>
      <c r="AO591" s="113"/>
      <c r="AP591" s="115"/>
      <c r="AQ591" s="121"/>
      <c r="AR591" s="121"/>
      <c r="AS591" s="121"/>
      <c r="AT591" s="104"/>
      <c r="AU591" s="1367" t="str">
        <f t="shared" si="187"/>
        <v>-</v>
      </c>
    </row>
    <row r="592" spans="1:48" s="63" customFormat="1" x14ac:dyDescent="0.2">
      <c r="A592" s="180" t="s">
        <v>58</v>
      </c>
      <c r="B592" s="1073"/>
      <c r="C592" s="83" t="s">
        <v>1601</v>
      </c>
      <c r="D592" s="94"/>
      <c r="E592" s="284" t="s">
        <v>1602</v>
      </c>
      <c r="F592" s="284" t="s">
        <v>1587</v>
      </c>
      <c r="G592" s="180" t="s">
        <v>449</v>
      </c>
      <c r="H592" s="180" t="s">
        <v>449</v>
      </c>
      <c r="I592" s="180" t="s">
        <v>52</v>
      </c>
      <c r="J592" s="310" t="s">
        <v>53</v>
      </c>
      <c r="K592" s="180" t="s">
        <v>54</v>
      </c>
      <c r="L592" s="180" t="s">
        <v>55</v>
      </c>
      <c r="M592" s="292">
        <v>550</v>
      </c>
      <c r="N592" s="285"/>
      <c r="O592" s="180" t="s">
        <v>56</v>
      </c>
      <c r="P592" s="180">
        <v>36</v>
      </c>
      <c r="Q592" s="180">
        <v>36</v>
      </c>
      <c r="R592" s="180">
        <v>36</v>
      </c>
      <c r="S592" s="180">
        <v>36</v>
      </c>
      <c r="T592" s="180">
        <v>36</v>
      </c>
      <c r="U592" s="180">
        <v>36</v>
      </c>
      <c r="V592" s="174">
        <f t="shared" si="201"/>
        <v>44</v>
      </c>
      <c r="W592" s="174">
        <f t="shared" si="202"/>
        <v>44</v>
      </c>
      <c r="X592" s="1281">
        <v>53</v>
      </c>
      <c r="Y592" s="180"/>
      <c r="Z592" s="180"/>
      <c r="AA592" s="717">
        <f t="shared" si="206"/>
        <v>13.444444444444445</v>
      </c>
      <c r="AB592" s="125">
        <f t="shared" ref="AB592:AB613" si="209">AA592*IncaG</f>
        <v>282.87111111111108</v>
      </c>
      <c r="AC592" s="69">
        <f t="shared" si="207"/>
        <v>8.8733333333333331</v>
      </c>
      <c r="AD592" s="48">
        <f>Table1[[#This Row],[Substrate SF]]*IncaC</f>
        <v>22.629688888888889</v>
      </c>
      <c r="AE592" s="69">
        <f>IF(Table1[[#This Row],[Work Center]]="SwissQ",Materials!G$37,IF(Table1[[#This Row],[Work Center]]="Inca",Materials!G$29,IF(Table1[[#This Row],[Work Center]]="Canon",Materials!G$49,Materials!G$45)))</f>
        <v>8</v>
      </c>
      <c r="AF592" s="290">
        <f>'Cali FPS'!C67</f>
        <v>83.46</v>
      </c>
      <c r="AG592" s="296"/>
      <c r="AH592" s="69">
        <f t="shared" si="208"/>
        <v>27.5</v>
      </c>
      <c r="AI592" s="69"/>
      <c r="AJ592" s="69">
        <f t="shared" si="200"/>
        <v>150.46302222222221</v>
      </c>
      <c r="AK592" s="650">
        <f t="shared" si="185"/>
        <v>0.72643086868686868</v>
      </c>
      <c r="AL592" s="225">
        <f>Table1[[#This Row],[WSP/Dealer]]/Table1[[#This Row],[OD Sq Inch]]</f>
        <v>0.42438271604938271</v>
      </c>
      <c r="AM592" s="218">
        <f>Table1[[#This Row],[OD Wdth]]*Table1[[#This Row],[OD Hgt]]</f>
        <v>1296</v>
      </c>
      <c r="AN592" s="216">
        <f>Table1[[#This Row],[Min VO]]+Table1[[#This Row],[Max VO]]</f>
        <v>72</v>
      </c>
      <c r="AO592" s="284"/>
      <c r="AP592" s="284"/>
      <c r="AQ592" s="296"/>
      <c r="AR592" s="296"/>
      <c r="AS592" s="296"/>
      <c r="AT592" s="176"/>
      <c r="AU592" s="1358" t="str">
        <f t="shared" si="187"/>
        <v>-</v>
      </c>
    </row>
    <row r="593" spans="1:47" s="63" customFormat="1" x14ac:dyDescent="0.2">
      <c r="A593" s="180" t="s">
        <v>58</v>
      </c>
      <c r="B593" s="1073" t="s">
        <v>1584</v>
      </c>
      <c r="C593" s="83" t="s">
        <v>1603</v>
      </c>
      <c r="D593" s="94" t="s">
        <v>1604</v>
      </c>
      <c r="E593" s="284" t="s">
        <v>1605</v>
      </c>
      <c r="F593" s="284" t="s">
        <v>1587</v>
      </c>
      <c r="G593" s="180" t="s">
        <v>1588</v>
      </c>
      <c r="H593" s="180" t="s">
        <v>1588</v>
      </c>
      <c r="I593" s="180" t="s">
        <v>52</v>
      </c>
      <c r="J593" s="310" t="s">
        <v>53</v>
      </c>
      <c r="K593" s="180" t="s">
        <v>54</v>
      </c>
      <c r="L593" s="180" t="s">
        <v>55</v>
      </c>
      <c r="M593" s="292">
        <v>450</v>
      </c>
      <c r="N593" s="285"/>
      <c r="O593" s="180" t="s">
        <v>56</v>
      </c>
      <c r="P593" s="180">
        <v>30</v>
      </c>
      <c r="Q593" s="180">
        <v>30</v>
      </c>
      <c r="R593" s="180">
        <v>30</v>
      </c>
      <c r="S593" s="180">
        <v>30</v>
      </c>
      <c r="T593" s="180">
        <v>30</v>
      </c>
      <c r="U593" s="180">
        <v>30</v>
      </c>
      <c r="V593" s="174">
        <f t="shared" si="201"/>
        <v>38</v>
      </c>
      <c r="W593" s="174">
        <f t="shared" si="202"/>
        <v>38</v>
      </c>
      <c r="X593" s="1281">
        <v>40</v>
      </c>
      <c r="Y593" s="180"/>
      <c r="Z593" s="180"/>
      <c r="AA593" s="717">
        <f t="shared" si="206"/>
        <v>10.027777777777779</v>
      </c>
      <c r="AB593" s="125">
        <f t="shared" si="209"/>
        <v>210.98444444444445</v>
      </c>
      <c r="AC593" s="69">
        <f t="shared" si="207"/>
        <v>6.6183333333333341</v>
      </c>
      <c r="AD593" s="48">
        <f>Table1[[#This Row],[Substrate SF]]*IncaC</f>
        <v>16.878755555555557</v>
      </c>
      <c r="AE593" s="69">
        <f>IF(Table1[[#This Row],[Work Center]]="SwissQ",Materials!G$37,IF(Table1[[#This Row],[Work Center]]="Inca",Materials!G$29,IF(Table1[[#This Row],[Work Center]]="Canon",Materials!G$49,Materials!G$45)))</f>
        <v>8</v>
      </c>
      <c r="AF593" s="290">
        <f>'Cali FPS'!C46</f>
        <v>80.27</v>
      </c>
      <c r="AG593" s="296"/>
      <c r="AH593" s="69">
        <f t="shared" si="208"/>
        <v>22.5</v>
      </c>
      <c r="AI593" s="69"/>
      <c r="AJ593" s="69">
        <f t="shared" si="200"/>
        <v>134.26708888888888</v>
      </c>
      <c r="AK593" s="650">
        <f t="shared" si="185"/>
        <v>0.70162869135802464</v>
      </c>
      <c r="AL593" s="225">
        <f>Table1[[#This Row],[WSP/Dealer]]/Table1[[#This Row],[OD Sq Inch]]</f>
        <v>0.5</v>
      </c>
      <c r="AM593" s="218">
        <f>Table1[[#This Row],[OD Wdth]]*Table1[[#This Row],[OD Hgt]]</f>
        <v>900</v>
      </c>
      <c r="AN593" s="216">
        <f>Table1[[#This Row],[Min VO]]+Table1[[#This Row],[Max VO]]</f>
        <v>60</v>
      </c>
      <c r="AO593" s="284"/>
      <c r="AP593" s="284"/>
      <c r="AQ593" s="296"/>
      <c r="AR593" s="296"/>
      <c r="AS593" s="296"/>
      <c r="AT593" s="176"/>
      <c r="AU593" s="1358" t="str">
        <f t="shared" si="187"/>
        <v>-</v>
      </c>
    </row>
    <row r="594" spans="1:47" s="63" customFormat="1" x14ac:dyDescent="0.2">
      <c r="A594" s="274" t="s">
        <v>58</v>
      </c>
      <c r="B594" s="1061" t="s">
        <v>1584</v>
      </c>
      <c r="C594" s="84" t="s">
        <v>1606</v>
      </c>
      <c r="D594" s="94" t="s">
        <v>1607</v>
      </c>
      <c r="E594" s="275" t="s">
        <v>1605</v>
      </c>
      <c r="F594" s="275" t="s">
        <v>1587</v>
      </c>
      <c r="G594" s="274" t="s">
        <v>1588</v>
      </c>
      <c r="H594" s="274" t="s">
        <v>1608</v>
      </c>
      <c r="I594" s="274" t="s">
        <v>52</v>
      </c>
      <c r="J594" s="344" t="s">
        <v>53</v>
      </c>
      <c r="K594" s="274" t="s">
        <v>69</v>
      </c>
      <c r="L594" s="274" t="s">
        <v>76</v>
      </c>
      <c r="M594" s="178">
        <v>550</v>
      </c>
      <c r="N594" s="1190"/>
      <c r="O594" s="274" t="s">
        <v>56</v>
      </c>
      <c r="P594" s="274">
        <v>30</v>
      </c>
      <c r="Q594" s="274">
        <v>30</v>
      </c>
      <c r="R594" s="274">
        <v>30</v>
      </c>
      <c r="S594" s="274">
        <v>30</v>
      </c>
      <c r="T594" s="274">
        <v>30</v>
      </c>
      <c r="U594" s="274">
        <v>30</v>
      </c>
      <c r="V594" s="277">
        <f t="shared" si="201"/>
        <v>38</v>
      </c>
      <c r="W594" s="277">
        <f t="shared" si="202"/>
        <v>38</v>
      </c>
      <c r="X594" s="1099">
        <v>40</v>
      </c>
      <c r="Y594" s="274"/>
      <c r="Z594" s="274"/>
      <c r="AA594" s="952">
        <f t="shared" si="206"/>
        <v>10.027777777777779</v>
      </c>
      <c r="AB594" s="690">
        <f t="shared" si="209"/>
        <v>210.98444444444445</v>
      </c>
      <c r="AC594" s="74">
        <f t="shared" si="207"/>
        <v>6.6183333333333341</v>
      </c>
      <c r="AD594" s="67">
        <f>Table1[[#This Row],[Substrate SF]]*IncaC</f>
        <v>16.878755555555557</v>
      </c>
      <c r="AE594" s="74">
        <f>IF(Table1[[#This Row],[Work Center]]="SwissQ",Materials!G$37,IF(Table1[[#This Row],[Work Center]]="Inca",Materials!G$29,IF(Table1[[#This Row],[Work Center]]="Canon",Materials!G$49,Materials!G$45)))</f>
        <v>8</v>
      </c>
      <c r="AF594" s="1191">
        <f>'Cali Frames'!D369</f>
        <v>125</v>
      </c>
      <c r="AG594" s="320"/>
      <c r="AH594" s="74">
        <f t="shared" si="208"/>
        <v>27.5</v>
      </c>
      <c r="AI594" s="74"/>
      <c r="AJ594" s="74">
        <f t="shared" si="200"/>
        <v>183.9970888888889</v>
      </c>
      <c r="AK594" s="1001">
        <f t="shared" si="185"/>
        <v>0.66545983838383826</v>
      </c>
      <c r="AL594" s="240">
        <f>Table1[[#This Row],[WSP/Dealer]]/Table1[[#This Row],[OD Sq Inch]]</f>
        <v>0.61111111111111116</v>
      </c>
      <c r="AM594" s="235">
        <f>Table1[[#This Row],[OD Wdth]]*Table1[[#This Row],[OD Hgt]]</f>
        <v>900</v>
      </c>
      <c r="AN594" s="238">
        <f>Table1[[#This Row],[Min VO]]+Table1[[#This Row],[Max VO]]</f>
        <v>60</v>
      </c>
      <c r="AO594" s="275"/>
      <c r="AP594" s="275"/>
      <c r="AQ594" s="320"/>
      <c r="AR594" s="320"/>
      <c r="AS594" s="320"/>
      <c r="AT594" s="278"/>
      <c r="AU594" s="1368" t="str">
        <f t="shared" si="187"/>
        <v>-</v>
      </c>
    </row>
    <row r="595" spans="1:47" s="63" customFormat="1" x14ac:dyDescent="0.2">
      <c r="A595" s="180" t="s">
        <v>58</v>
      </c>
      <c r="B595" s="1073" t="s">
        <v>1584</v>
      </c>
      <c r="C595" s="83" t="s">
        <v>1609</v>
      </c>
      <c r="D595" s="94" t="s">
        <v>1610</v>
      </c>
      <c r="E595" s="284" t="s">
        <v>1611</v>
      </c>
      <c r="F595" s="284" t="s">
        <v>1587</v>
      </c>
      <c r="G595" s="180" t="s">
        <v>1588</v>
      </c>
      <c r="H595" s="180" t="s">
        <v>1588</v>
      </c>
      <c r="I595" s="180" t="s">
        <v>52</v>
      </c>
      <c r="J595" s="310" t="s">
        <v>53</v>
      </c>
      <c r="K595" s="180" t="s">
        <v>54</v>
      </c>
      <c r="L595" s="180" t="s">
        <v>55</v>
      </c>
      <c r="M595" s="292">
        <v>450</v>
      </c>
      <c r="N595" s="285"/>
      <c r="O595" s="180" t="s">
        <v>56</v>
      </c>
      <c r="P595" s="180">
        <v>30</v>
      </c>
      <c r="Q595" s="180">
        <v>30</v>
      </c>
      <c r="R595" s="180">
        <v>30</v>
      </c>
      <c r="S595" s="173">
        <v>30</v>
      </c>
      <c r="T595" s="180">
        <v>30</v>
      </c>
      <c r="U595" s="180">
        <v>30</v>
      </c>
      <c r="V595" s="947">
        <f t="shared" si="201"/>
        <v>38</v>
      </c>
      <c r="W595" s="947">
        <f t="shared" si="202"/>
        <v>38</v>
      </c>
      <c r="X595" s="1281">
        <v>40</v>
      </c>
      <c r="Y595" s="180"/>
      <c r="Z595" s="180"/>
      <c r="AA595" s="717">
        <f t="shared" si="206"/>
        <v>10.027777777777779</v>
      </c>
      <c r="AB595" s="125">
        <f t="shared" si="209"/>
        <v>210.98444444444445</v>
      </c>
      <c r="AC595" s="69">
        <f t="shared" si="207"/>
        <v>6.6183333333333341</v>
      </c>
      <c r="AD595" s="48">
        <f>Table1[[#This Row],[Substrate SF]]*IncaC</f>
        <v>16.878755555555557</v>
      </c>
      <c r="AE595" s="69">
        <f>IF(Table1[[#This Row],[Work Center]]="SwissQ",Materials!G$37,IF(Table1[[#This Row],[Work Center]]="Inca",Materials!G$29,IF(Table1[[#This Row],[Work Center]]="Canon",Materials!G$49,Materials!G$45)))</f>
        <v>8</v>
      </c>
      <c r="AF595" s="290">
        <f>'Cali FPS'!C46</f>
        <v>80.27</v>
      </c>
      <c r="AG595" s="296"/>
      <c r="AH595" s="48">
        <f t="shared" si="208"/>
        <v>22.5</v>
      </c>
      <c r="AI595" s="69"/>
      <c r="AJ595" s="69">
        <f t="shared" si="200"/>
        <v>134.26708888888888</v>
      </c>
      <c r="AK595" s="62">
        <f t="shared" ref="AK595:AK658" si="210">(M595-AJ595)/M595</f>
        <v>0.70162869135802464</v>
      </c>
      <c r="AL595" s="225">
        <f>Table1[[#This Row],[WSP/Dealer]]/Table1[[#This Row],[OD Sq Inch]]</f>
        <v>0.5</v>
      </c>
      <c r="AM595" s="218">
        <f>Table1[[#This Row],[OD Wdth]]*Table1[[#This Row],[OD Hgt]]</f>
        <v>900</v>
      </c>
      <c r="AN595" s="216">
        <f>Table1[[#This Row],[Min VO]]+Table1[[#This Row],[Max VO]]</f>
        <v>60</v>
      </c>
      <c r="AO595" s="284"/>
      <c r="AP595" s="284"/>
      <c r="AQ595" s="296"/>
      <c r="AR595" s="296"/>
      <c r="AS595" s="296"/>
      <c r="AT595" s="176"/>
      <c r="AU595" s="1358" t="str">
        <f t="shared" si="187"/>
        <v>-</v>
      </c>
    </row>
    <row r="596" spans="1:47" s="103" customFormat="1" hidden="1" x14ac:dyDescent="0.2">
      <c r="A596" s="101" t="s">
        <v>110</v>
      </c>
      <c r="B596" s="1064" t="s">
        <v>134</v>
      </c>
      <c r="C596" s="115" t="s">
        <v>1612</v>
      </c>
      <c r="D596" s="168"/>
      <c r="E596" s="115" t="s">
        <v>1613</v>
      </c>
      <c r="F596" s="115" t="s">
        <v>1587</v>
      </c>
      <c r="G596" s="101" t="s">
        <v>693</v>
      </c>
      <c r="H596" s="101" t="s">
        <v>693</v>
      </c>
      <c r="I596" s="101" t="s">
        <v>52</v>
      </c>
      <c r="J596" s="487" t="s">
        <v>53</v>
      </c>
      <c r="K596" s="101" t="s">
        <v>54</v>
      </c>
      <c r="L596" s="101" t="s">
        <v>55</v>
      </c>
      <c r="M596" s="114"/>
      <c r="N596" s="114"/>
      <c r="O596" s="101" t="s">
        <v>56</v>
      </c>
      <c r="P596" s="101">
        <v>12</v>
      </c>
      <c r="Q596" s="101">
        <v>12</v>
      </c>
      <c r="R596" s="101">
        <v>12</v>
      </c>
      <c r="S596" s="101">
        <v>12</v>
      </c>
      <c r="T596" s="101">
        <v>12</v>
      </c>
      <c r="U596" s="101">
        <v>12</v>
      </c>
      <c r="V596" s="608">
        <f t="shared" si="201"/>
        <v>20</v>
      </c>
      <c r="W596" s="608">
        <f t="shared" si="202"/>
        <v>20</v>
      </c>
      <c r="X596" s="137">
        <v>40</v>
      </c>
      <c r="Y596" s="101">
        <v>23</v>
      </c>
      <c r="Z596" s="101">
        <v>23</v>
      </c>
      <c r="AA596" s="649">
        <f t="shared" si="206"/>
        <v>2.7777777777777777</v>
      </c>
      <c r="AB596" s="184">
        <f t="shared" si="209"/>
        <v>58.444444444444443</v>
      </c>
      <c r="AC596" s="104">
        <f t="shared" si="207"/>
        <v>1.8333333333333333</v>
      </c>
      <c r="AD596" s="1066">
        <f>Table1[[#This Row],[Substrate SF]]*IncaC</f>
        <v>4.6755555555555555</v>
      </c>
      <c r="AE596" s="406">
        <f>IF(Table1[[#This Row],[Work Center]]="SwissQ",Materials!G$37,IF(Table1[[#This Row],[Work Center]]="Inca",Materials!G$29,IF(Table1[[#This Row],[Work Center]]="Canon",Materials!G$49,Materials!G$45)))</f>
        <v>8</v>
      </c>
      <c r="AF596" s="102">
        <f>'Cali FPS'!C10</f>
        <v>58.77</v>
      </c>
      <c r="AG596" s="121"/>
      <c r="AH596" s="406">
        <f t="shared" si="208"/>
        <v>0</v>
      </c>
      <c r="AI596" s="406">
        <f>IF(A596="Codarus",(M596*0.13))</f>
        <v>0</v>
      </c>
      <c r="AJ596" s="104">
        <f>SUM(AC596:AI596)</f>
        <v>73.278888888888886</v>
      </c>
      <c r="AK596" s="830" t="e">
        <f t="shared" si="210"/>
        <v>#DIV/0!</v>
      </c>
      <c r="AL596" s="660">
        <f>Table1[[#This Row],[WSP/Dealer]]/Table1[[#This Row],[OD Sq Inch]]</f>
        <v>0</v>
      </c>
      <c r="AM596" s="399">
        <f>Table1[[#This Row],[OD Wdth]]*Table1[[#This Row],[OD Hgt]]</f>
        <v>144</v>
      </c>
      <c r="AN596" s="400">
        <f>Table1[[#This Row],[Min VO]]+Table1[[#This Row],[Max VO]]</f>
        <v>24</v>
      </c>
      <c r="AO596" s="115"/>
      <c r="AP596" s="121"/>
      <c r="AQ596" s="121">
        <f>(Table1[[#This Row],[Desgnr/Retail P]]*0.05)</f>
        <v>0</v>
      </c>
      <c r="AR596" s="121">
        <f>IF(A596="Codarus",(AP596*0.13))</f>
        <v>0</v>
      </c>
      <c r="AS596" s="121">
        <f>SUM(Table1[[#This Row],[Substrate $]:[GP FINISH]])+Table1[[#This Row],[Retail Royalty]]+Table1[[#This Row],[Retail$Comm]]</f>
        <v>73.278888888888886</v>
      </c>
      <c r="AT596" s="830" t="str">
        <f>IF(AP596=0,"-",(AP596-AS596)/AP596)</f>
        <v>-</v>
      </c>
      <c r="AU596" s="1359" t="str">
        <f t="shared" si="187"/>
        <v>-</v>
      </c>
    </row>
    <row r="597" spans="1:47" s="97" customFormat="1" x14ac:dyDescent="0.2">
      <c r="A597" s="68" t="s">
        <v>58</v>
      </c>
      <c r="B597" s="1152" t="s">
        <v>1584</v>
      </c>
      <c r="C597" s="84" t="s">
        <v>1614</v>
      </c>
      <c r="D597" s="94"/>
      <c r="E597" s="84" t="s">
        <v>1615</v>
      </c>
      <c r="F597" s="84" t="s">
        <v>1587</v>
      </c>
      <c r="G597" s="68" t="s">
        <v>1588</v>
      </c>
      <c r="H597" s="68" t="s">
        <v>1588</v>
      </c>
      <c r="I597" s="68" t="s">
        <v>52</v>
      </c>
      <c r="J597" s="140" t="s">
        <v>53</v>
      </c>
      <c r="K597" s="274" t="s">
        <v>54</v>
      </c>
      <c r="L597" s="274" t="s">
        <v>55</v>
      </c>
      <c r="M597" s="93">
        <v>500</v>
      </c>
      <c r="N597" s="93"/>
      <c r="O597" s="68" t="s">
        <v>56</v>
      </c>
      <c r="P597" s="68">
        <v>30</v>
      </c>
      <c r="Q597" s="68">
        <v>30</v>
      </c>
      <c r="R597" s="68">
        <v>30</v>
      </c>
      <c r="S597" s="68">
        <v>30</v>
      </c>
      <c r="T597" s="68">
        <v>30</v>
      </c>
      <c r="U597" s="68">
        <v>30</v>
      </c>
      <c r="V597" s="66">
        <f t="shared" si="201"/>
        <v>38</v>
      </c>
      <c r="W597" s="66">
        <f t="shared" si="202"/>
        <v>38</v>
      </c>
      <c r="X597" s="1283">
        <v>40</v>
      </c>
      <c r="Y597" s="68">
        <v>38</v>
      </c>
      <c r="Z597" s="68">
        <v>38</v>
      </c>
      <c r="AA597" s="699">
        <f t="shared" si="206"/>
        <v>10.027777777777779</v>
      </c>
      <c r="AB597" s="297">
        <f t="shared" si="209"/>
        <v>210.98444444444445</v>
      </c>
      <c r="AC597" s="74">
        <f t="shared" si="207"/>
        <v>6.6183333333333341</v>
      </c>
      <c r="AD597" s="67">
        <f>Table1[[#This Row],[Substrate SF]]*IncaC</f>
        <v>16.878755555555557</v>
      </c>
      <c r="AE597" s="74">
        <f>IF(Table1[[#This Row],[Work Center]]="SwissQ",Materials!G$37,IF(Table1[[#This Row],[Work Center]]="Inca",Materials!G$29,IF(Table1[[#This Row],[Work Center]]="Canon",Materials!G$49,Materials!G$45)))</f>
        <v>8</v>
      </c>
      <c r="AF597" s="73">
        <f>'Cali FPS'!C46</f>
        <v>80.27</v>
      </c>
      <c r="AG597" s="126"/>
      <c r="AH597" s="278">
        <f t="shared" si="208"/>
        <v>25</v>
      </c>
      <c r="AI597" s="278"/>
      <c r="AJ597" s="278">
        <f t="shared" ref="AJ597:AJ637" si="211">SUM(AC597:AH597)</f>
        <v>136.76708888888888</v>
      </c>
      <c r="AK597" s="1192">
        <f t="shared" si="210"/>
        <v>0.72646582222222222</v>
      </c>
      <c r="AL597" s="278">
        <f>Table1[[#This Row],[WSP/Dealer]]/Table1[[#This Row],[OD Sq Inch]]</f>
        <v>0.55555555555555558</v>
      </c>
      <c r="AM597" s="170">
        <f>Table1[[#This Row],[OD Wdth]]*Table1[[#This Row],[OD Hgt]]</f>
        <v>900</v>
      </c>
      <c r="AN597" s="274">
        <f>Table1[[#This Row],[Min VO]]+Table1[[#This Row],[Max VO]]</f>
        <v>60</v>
      </c>
      <c r="AO597" s="84"/>
      <c r="AP597" s="84"/>
      <c r="AQ597" s="126"/>
      <c r="AR597" s="126"/>
      <c r="AS597" s="126"/>
      <c r="AT597" s="74"/>
      <c r="AU597" s="1357" t="str">
        <f t="shared" si="187"/>
        <v>-</v>
      </c>
    </row>
    <row r="598" spans="1:47" s="63" customFormat="1" x14ac:dyDescent="0.2">
      <c r="A598" s="180" t="s">
        <v>58</v>
      </c>
      <c r="B598" s="1194" t="s">
        <v>1584</v>
      </c>
      <c r="C598" s="83" t="s">
        <v>1616</v>
      </c>
      <c r="D598" s="94"/>
      <c r="E598" s="284" t="s">
        <v>1617</v>
      </c>
      <c r="F598" s="284" t="s">
        <v>1587</v>
      </c>
      <c r="G598" s="180" t="s">
        <v>449</v>
      </c>
      <c r="H598" s="180" t="s">
        <v>449</v>
      </c>
      <c r="I598" s="180" t="s">
        <v>52</v>
      </c>
      <c r="J598" s="310" t="s">
        <v>53</v>
      </c>
      <c r="K598" s="180" t="s">
        <v>54</v>
      </c>
      <c r="L598" s="180" t="s">
        <v>55</v>
      </c>
      <c r="M598" s="292">
        <v>550</v>
      </c>
      <c r="N598" s="285"/>
      <c r="O598" s="180" t="s">
        <v>56</v>
      </c>
      <c r="P598" s="180">
        <v>36</v>
      </c>
      <c r="Q598" s="180">
        <v>36</v>
      </c>
      <c r="R598" s="180">
        <v>36</v>
      </c>
      <c r="S598" s="180">
        <v>36</v>
      </c>
      <c r="T598" s="180">
        <v>36</v>
      </c>
      <c r="U598" s="180">
        <v>36</v>
      </c>
      <c r="V598" s="174">
        <f t="shared" si="201"/>
        <v>44</v>
      </c>
      <c r="W598" s="174">
        <f t="shared" si="202"/>
        <v>44</v>
      </c>
      <c r="X598" s="1281">
        <v>53</v>
      </c>
      <c r="Y598" s="180"/>
      <c r="Z598" s="180"/>
      <c r="AA598" s="717">
        <f t="shared" si="206"/>
        <v>13.444444444444445</v>
      </c>
      <c r="AB598" s="125">
        <f t="shared" si="209"/>
        <v>282.87111111111108</v>
      </c>
      <c r="AC598" s="69">
        <f t="shared" si="207"/>
        <v>8.8733333333333331</v>
      </c>
      <c r="AD598" s="48">
        <f>Table1[[#This Row],[Substrate SF]]*IncaC</f>
        <v>22.629688888888889</v>
      </c>
      <c r="AE598" s="69">
        <f>IF(Table1[[#This Row],[Work Center]]="SwissQ",Materials!G$37,IF(Table1[[#This Row],[Work Center]]="Inca",Materials!G$29,IF(Table1[[#This Row],[Work Center]]="Canon",Materials!G$49,Materials!G$45)))</f>
        <v>8</v>
      </c>
      <c r="AF598" s="290">
        <f>'Cali FPS'!C32</f>
        <v>63.47</v>
      </c>
      <c r="AG598" s="296"/>
      <c r="AH598" s="48">
        <f t="shared" si="208"/>
        <v>27.5</v>
      </c>
      <c r="AI598" s="48"/>
      <c r="AJ598" s="69">
        <f t="shared" si="211"/>
        <v>130.47302222222223</v>
      </c>
      <c r="AK598" s="62">
        <f t="shared" si="210"/>
        <v>0.76277632323232325</v>
      </c>
      <c r="AL598" s="225">
        <f>Table1[[#This Row],[WSP/Dealer]]/Table1[[#This Row],[OD Sq Inch]]</f>
        <v>0.42438271604938271</v>
      </c>
      <c r="AM598" s="218">
        <f>Table1[[#This Row],[OD Wdth]]*Table1[[#This Row],[OD Hgt]]</f>
        <v>1296</v>
      </c>
      <c r="AN598" s="216">
        <f>Table1[[#This Row],[Min VO]]+Table1[[#This Row],[Max VO]]</f>
        <v>72</v>
      </c>
      <c r="AO598" s="284"/>
      <c r="AP598" s="284"/>
      <c r="AQ598" s="296"/>
      <c r="AR598" s="296"/>
      <c r="AS598" s="296"/>
      <c r="AT598" s="176"/>
      <c r="AU598" s="1358" t="str">
        <f t="shared" si="187"/>
        <v>-</v>
      </c>
    </row>
    <row r="599" spans="1:47" s="46" customFormat="1" x14ac:dyDescent="0.2">
      <c r="A599" s="274" t="s">
        <v>58</v>
      </c>
      <c r="B599" s="1061" t="s">
        <v>1584</v>
      </c>
      <c r="C599" s="84" t="s">
        <v>1618</v>
      </c>
      <c r="D599" s="94"/>
      <c r="E599" s="275" t="s">
        <v>1617</v>
      </c>
      <c r="F599" s="275" t="s">
        <v>1587</v>
      </c>
      <c r="G599" s="274" t="s">
        <v>449</v>
      </c>
      <c r="H599" s="274" t="s">
        <v>1619</v>
      </c>
      <c r="I599" s="274" t="s">
        <v>52</v>
      </c>
      <c r="J599" s="344" t="s">
        <v>53</v>
      </c>
      <c r="K599" s="274" t="s">
        <v>54</v>
      </c>
      <c r="L599" s="274" t="s">
        <v>70</v>
      </c>
      <c r="M599" s="178">
        <v>650</v>
      </c>
      <c r="N599" s="1190"/>
      <c r="O599" s="274" t="s">
        <v>56</v>
      </c>
      <c r="P599" s="274">
        <v>36</v>
      </c>
      <c r="Q599" s="274">
        <v>36</v>
      </c>
      <c r="R599" s="274">
        <v>36</v>
      </c>
      <c r="S599" s="274">
        <v>36</v>
      </c>
      <c r="T599" s="274">
        <v>37</v>
      </c>
      <c r="U599" s="274">
        <v>37</v>
      </c>
      <c r="V599" s="686">
        <f t="shared" si="201"/>
        <v>44</v>
      </c>
      <c r="W599" s="686">
        <f t="shared" si="202"/>
        <v>44</v>
      </c>
      <c r="X599" s="1099">
        <v>53</v>
      </c>
      <c r="Y599" s="274">
        <v>44</v>
      </c>
      <c r="Z599" s="274">
        <v>44</v>
      </c>
      <c r="AA599" s="952">
        <f t="shared" si="206"/>
        <v>13.444444444444445</v>
      </c>
      <c r="AB599" s="690">
        <f t="shared" si="209"/>
        <v>282.87111111111108</v>
      </c>
      <c r="AC599" s="74">
        <f t="shared" si="207"/>
        <v>8.8733333333333331</v>
      </c>
      <c r="AD599" s="74">
        <f>Table1[[#This Row],[Substrate SF]]*IncaC</f>
        <v>22.629688888888889</v>
      </c>
      <c r="AE599" s="74">
        <f>IF(Table1[[#This Row],[Work Center]]="SwissQ",Materials!G$37,IF(Table1[[#This Row],[Work Center]]="Inca",Materials!G$29,IF(Table1[[#This Row],[Work Center]]="Canon",Materials!G$49,Materials!G$45)))</f>
        <v>8</v>
      </c>
      <c r="AF599" s="1191">
        <f>'Cali Frames'!D297</f>
        <v>119.875</v>
      </c>
      <c r="AG599" s="320"/>
      <c r="AH599" s="74">
        <f t="shared" si="208"/>
        <v>32.5</v>
      </c>
      <c r="AI599" s="74"/>
      <c r="AJ599" s="74">
        <f t="shared" si="211"/>
        <v>191.87802222222223</v>
      </c>
      <c r="AK599" s="1001">
        <f t="shared" si="210"/>
        <v>0.70480304273504268</v>
      </c>
      <c r="AL599" s="240">
        <f>Table1[[#This Row],[WSP/Dealer]]/Table1[[#This Row],[OD Sq Inch]]</f>
        <v>0.47479912344777209</v>
      </c>
      <c r="AM599" s="238">
        <f>Table1[[#This Row],[OD Wdth]]*Table1[[#This Row],[OD Hgt]]</f>
        <v>1369</v>
      </c>
      <c r="AN599" s="238">
        <f>Table1[[#This Row],[Min VO]]+Table1[[#This Row],[Max VO]]</f>
        <v>72</v>
      </c>
      <c r="AO599" s="275"/>
      <c r="AP599" s="275"/>
      <c r="AQ599" s="320"/>
      <c r="AR599" s="320"/>
      <c r="AS599" s="320"/>
      <c r="AT599" s="278"/>
      <c r="AU599" s="1368" t="str">
        <f t="shared" si="187"/>
        <v>-</v>
      </c>
    </row>
    <row r="600" spans="1:47" s="173" customFormat="1" x14ac:dyDescent="0.2">
      <c r="A600" s="101" t="s">
        <v>58</v>
      </c>
      <c r="B600" s="1067" t="s">
        <v>1620</v>
      </c>
      <c r="C600" s="115" t="s">
        <v>1621</v>
      </c>
      <c r="D600" s="168"/>
      <c r="E600" s="115" t="s">
        <v>1622</v>
      </c>
      <c r="F600" s="401" t="s">
        <v>1587</v>
      </c>
      <c r="G600" s="101" t="s">
        <v>132</v>
      </c>
      <c r="H600" s="101" t="s">
        <v>132</v>
      </c>
      <c r="I600" s="400" t="s">
        <v>52</v>
      </c>
      <c r="J600" s="497" t="s">
        <v>53</v>
      </c>
      <c r="K600" s="400" t="s">
        <v>54</v>
      </c>
      <c r="L600" s="400" t="s">
        <v>55</v>
      </c>
      <c r="M600" s="114">
        <v>675</v>
      </c>
      <c r="N600" s="114"/>
      <c r="O600" s="101" t="s">
        <v>56</v>
      </c>
      <c r="P600" s="101">
        <v>36</v>
      </c>
      <c r="Q600" s="101">
        <v>48</v>
      </c>
      <c r="R600" s="101">
        <v>36</v>
      </c>
      <c r="S600" s="101">
        <v>48</v>
      </c>
      <c r="T600" s="101">
        <v>36</v>
      </c>
      <c r="U600" s="101">
        <v>48</v>
      </c>
      <c r="V600" s="106">
        <f t="shared" si="201"/>
        <v>44</v>
      </c>
      <c r="W600" s="106">
        <f t="shared" si="202"/>
        <v>56</v>
      </c>
      <c r="X600" s="137">
        <v>59</v>
      </c>
      <c r="Y600" s="101">
        <v>44</v>
      </c>
      <c r="Z600" s="101">
        <v>56</v>
      </c>
      <c r="AA600" s="649">
        <f t="shared" si="206"/>
        <v>17.111111111111111</v>
      </c>
      <c r="AB600" s="184">
        <f t="shared" si="209"/>
        <v>360.01777777777778</v>
      </c>
      <c r="AC600" s="104">
        <f t="shared" si="207"/>
        <v>11.293333333333333</v>
      </c>
      <c r="AD600" s="107">
        <f>Table1[[#This Row],[Substrate SF]]*IncaC</f>
        <v>28.801422222222222</v>
      </c>
      <c r="AE600" s="104">
        <f>IF(Table1[[#This Row],[Work Center]]="SwissQ",Materials!G$37,IF(Table1[[#This Row],[Work Center]]="Inca",Materials!G$29,IF(Table1[[#This Row],[Work Center]]="Canon",Materials!G$49,Materials!G$45)))</f>
        <v>8</v>
      </c>
      <c r="AF600" s="102">
        <f>'Cali FPS'!C71</f>
        <v>114.31</v>
      </c>
      <c r="AG600" s="121"/>
      <c r="AH600" s="406">
        <f t="shared" si="208"/>
        <v>33.75</v>
      </c>
      <c r="AI600" s="406"/>
      <c r="AJ600" s="406">
        <f t="shared" si="211"/>
        <v>196.15475555555554</v>
      </c>
      <c r="AK600" s="1065">
        <f t="shared" si="210"/>
        <v>0.70940036213991775</v>
      </c>
      <c r="AL600" s="406">
        <f>Table1[[#This Row],[WSP/Dealer]]/Table1[[#This Row],[OD Sq Inch]]</f>
        <v>0.390625</v>
      </c>
      <c r="AM600" s="399">
        <f>Table1[[#This Row],[OD Wdth]]*Table1[[#This Row],[OD Hgt]]</f>
        <v>1728</v>
      </c>
      <c r="AN600" s="400">
        <f>Table1[[#This Row],[Min VO]]+Table1[[#This Row],[Max VO]]</f>
        <v>84</v>
      </c>
      <c r="AO600" s="115"/>
      <c r="AP600" s="115"/>
      <c r="AQ600" s="121"/>
      <c r="AR600" s="121"/>
      <c r="AS600" s="121"/>
      <c r="AT600" s="104"/>
      <c r="AU600" s="1359" t="str">
        <f t="shared" ref="AU600:AU663" si="212">IF(AQ600=0,"-",(AQ600-AT600)/AQ600)</f>
        <v>-</v>
      </c>
    </row>
    <row r="601" spans="1:47" s="170" customFormat="1" x14ac:dyDescent="0.2">
      <c r="A601" s="68" t="s">
        <v>58</v>
      </c>
      <c r="B601" s="1072" t="s">
        <v>310</v>
      </c>
      <c r="C601" s="84" t="s">
        <v>1623</v>
      </c>
      <c r="D601" s="94"/>
      <c r="E601" s="84" t="s">
        <v>1622</v>
      </c>
      <c r="F601" s="275" t="s">
        <v>1587</v>
      </c>
      <c r="G601" s="68" t="s">
        <v>132</v>
      </c>
      <c r="H601" s="68" t="s">
        <v>133</v>
      </c>
      <c r="I601" s="68" t="s">
        <v>52</v>
      </c>
      <c r="J601" s="140" t="s">
        <v>53</v>
      </c>
      <c r="K601" s="68" t="s">
        <v>69</v>
      </c>
      <c r="L601" s="68" t="s">
        <v>76</v>
      </c>
      <c r="M601" s="93">
        <v>925</v>
      </c>
      <c r="N601" s="93"/>
      <c r="O601" s="68" t="s">
        <v>56</v>
      </c>
      <c r="P601" s="68">
        <v>36</v>
      </c>
      <c r="Q601" s="68">
        <v>48</v>
      </c>
      <c r="R601" s="68">
        <v>36</v>
      </c>
      <c r="S601" s="68">
        <v>48</v>
      </c>
      <c r="T601" s="68">
        <v>37</v>
      </c>
      <c r="U601" s="68">
        <v>49</v>
      </c>
      <c r="V601" s="66">
        <f t="shared" si="201"/>
        <v>44</v>
      </c>
      <c r="W601" s="66">
        <f t="shared" si="202"/>
        <v>56</v>
      </c>
      <c r="X601" s="68">
        <v>59</v>
      </c>
      <c r="Y601" s="68">
        <v>44</v>
      </c>
      <c r="Z601" s="68">
        <v>56</v>
      </c>
      <c r="AA601" s="699">
        <f t="shared" si="206"/>
        <v>17.111111111111111</v>
      </c>
      <c r="AB601" s="297">
        <f t="shared" si="209"/>
        <v>360.01777777777778</v>
      </c>
      <c r="AC601" s="74">
        <f t="shared" si="207"/>
        <v>11.293333333333333</v>
      </c>
      <c r="AD601" s="67">
        <f>Table1[[#This Row],[Substrate SF]]*IncaC</f>
        <v>28.801422222222222</v>
      </c>
      <c r="AE601" s="74">
        <f>IF(Table1[[#This Row],[Work Center]]="SwissQ",Materials!G$37,IF(Table1[[#This Row],[Work Center]]="Inca",Materials!G$29,IF(Table1[[#This Row],[Work Center]]="Canon",Materials!G$49,Materials!G$45)))</f>
        <v>8</v>
      </c>
      <c r="AF601" s="73">
        <f>'Cali Frames'!D371</f>
        <v>160</v>
      </c>
      <c r="AG601" s="126"/>
      <c r="AH601" s="74">
        <f t="shared" si="208"/>
        <v>46.25</v>
      </c>
      <c r="AI601" s="74"/>
      <c r="AJ601" s="74">
        <f t="shared" si="211"/>
        <v>254.34475555555554</v>
      </c>
      <c r="AK601" s="1001">
        <f t="shared" si="210"/>
        <v>0.72503269669669668</v>
      </c>
      <c r="AL601" s="74">
        <f>Table1[[#This Row],[WSP/Dealer]]/Table1[[#This Row],[OD Sq Inch]]</f>
        <v>0.51020408163265307</v>
      </c>
      <c r="AM601" s="63">
        <f>Table1[[#This Row],[OD Wdth]]*Table1[[#This Row],[OD Hgt]]</f>
        <v>1813</v>
      </c>
      <c r="AN601" s="68">
        <f>Table1[[#This Row],[Min VO]]+Table1[[#This Row],[Max VO]]</f>
        <v>84</v>
      </c>
      <c r="AO601" s="119"/>
      <c r="AP601" s="84"/>
      <c r="AQ601" s="126">
        <f>(Table1[[#This Row],[Desgnr/Retail P]]*0.05)</f>
        <v>0</v>
      </c>
      <c r="AR601" s="126" t="b">
        <f>IF(A601="Codarus",(AP601*0.13))</f>
        <v>0</v>
      </c>
      <c r="AS601" s="126" t="e" cm="1">
        <f t="array" ref="AS601">SUM(AC601:AG601+AQ+AR)</f>
        <v>#NAME?</v>
      </c>
      <c r="AT601" s="74" t="e">
        <f>(AP601-AS601)/AP601</f>
        <v>#NAME?</v>
      </c>
      <c r="AU601" s="1356" t="str">
        <f t="shared" si="212"/>
        <v>-</v>
      </c>
    </row>
    <row r="602" spans="1:47" s="170" customFormat="1" x14ac:dyDescent="0.2">
      <c r="A602" s="68" t="s">
        <v>58</v>
      </c>
      <c r="B602" s="1152" t="s">
        <v>310</v>
      </c>
      <c r="C602" s="84" t="s">
        <v>1624</v>
      </c>
      <c r="D602" s="94"/>
      <c r="E602" s="84" t="s">
        <v>1622</v>
      </c>
      <c r="F602" s="275" t="s">
        <v>1587</v>
      </c>
      <c r="G602" s="68" t="s">
        <v>132</v>
      </c>
      <c r="H602" s="68" t="s">
        <v>133</v>
      </c>
      <c r="I602" s="68" t="s">
        <v>52</v>
      </c>
      <c r="J602" s="140" t="s">
        <v>53</v>
      </c>
      <c r="K602" s="68" t="s">
        <v>69</v>
      </c>
      <c r="L602" s="68" t="s">
        <v>70</v>
      </c>
      <c r="M602" s="93">
        <v>925</v>
      </c>
      <c r="N602" s="93"/>
      <c r="O602" s="68" t="s">
        <v>56</v>
      </c>
      <c r="P602" s="68">
        <v>36</v>
      </c>
      <c r="Q602" s="68">
        <v>48</v>
      </c>
      <c r="R602" s="68">
        <v>36</v>
      </c>
      <c r="S602" s="68">
        <v>48</v>
      </c>
      <c r="T602" s="68">
        <v>37</v>
      </c>
      <c r="U602" s="68">
        <v>49</v>
      </c>
      <c r="V602" s="917">
        <f t="shared" si="201"/>
        <v>44</v>
      </c>
      <c r="W602" s="917">
        <f t="shared" si="202"/>
        <v>56</v>
      </c>
      <c r="X602" s="68">
        <v>59</v>
      </c>
      <c r="Y602" s="68">
        <v>44</v>
      </c>
      <c r="Z602" s="68">
        <v>56</v>
      </c>
      <c r="AA602" s="699">
        <f t="shared" si="206"/>
        <v>17.111111111111111</v>
      </c>
      <c r="AB602" s="297">
        <f t="shared" si="209"/>
        <v>360.01777777777778</v>
      </c>
      <c r="AC602" s="74">
        <f t="shared" si="207"/>
        <v>11.293333333333333</v>
      </c>
      <c r="AD602" s="67">
        <f>Table1[[#This Row],[Substrate SF]]*IncaC</f>
        <v>28.801422222222222</v>
      </c>
      <c r="AE602" s="74">
        <f>IF(Table1[[#This Row],[Work Center]]="SwissQ",Materials!G$37,IF(Table1[[#This Row],[Work Center]]="Inca",Materials!G$29,IF(Table1[[#This Row],[Work Center]]="Canon",Materials!G$49,Materials!G$45)))</f>
        <v>8</v>
      </c>
      <c r="AF602" s="73">
        <f>'Cali Frames'!D300</f>
        <v>164.8</v>
      </c>
      <c r="AG602" s="126"/>
      <c r="AH602" s="67">
        <f t="shared" si="208"/>
        <v>46.25</v>
      </c>
      <c r="AI602" s="67"/>
      <c r="AJ602" s="74">
        <f t="shared" si="211"/>
        <v>259.14475555555555</v>
      </c>
      <c r="AK602" s="661">
        <f t="shared" si="210"/>
        <v>0.71984350750750747</v>
      </c>
      <c r="AL602" s="74">
        <f>Table1[[#This Row],[WSP/Dealer]]/Table1[[#This Row],[OD Sq Inch]]</f>
        <v>0.51020408163265307</v>
      </c>
      <c r="AM602" s="63">
        <f>Table1[[#This Row],[OD Wdth]]*Table1[[#This Row],[OD Hgt]]</f>
        <v>1813</v>
      </c>
      <c r="AN602" s="68">
        <f>Table1[[#This Row],[Min VO]]+Table1[[#This Row],[Max VO]]</f>
        <v>84</v>
      </c>
      <c r="AO602" s="119"/>
      <c r="AP602" s="84"/>
      <c r="AQ602" s="126">
        <f>(Table1[[#This Row],[Desgnr/Retail P]]*0.05)</f>
        <v>0</v>
      </c>
      <c r="AR602" s="126" t="b">
        <f>IF(A602="Codarus",(AP602*0.13))</f>
        <v>0</v>
      </c>
      <c r="AS602" s="126" t="e" cm="1">
        <f t="array" ref="AS602">SUM(AC602:AG602+AQ+AR)</f>
        <v>#NAME?</v>
      </c>
      <c r="AT602" s="74" t="e">
        <f>(AP602-AS602)/AP602</f>
        <v>#NAME?</v>
      </c>
      <c r="AU602" s="1357" t="str">
        <f t="shared" si="212"/>
        <v>-</v>
      </c>
    </row>
    <row r="603" spans="1:47" s="170" customFormat="1" x14ac:dyDescent="0.2">
      <c r="A603" s="68" t="s">
        <v>58</v>
      </c>
      <c r="B603" s="1072" t="s">
        <v>310</v>
      </c>
      <c r="C603" s="84" t="s">
        <v>1625</v>
      </c>
      <c r="D603" s="94"/>
      <c r="E603" s="84" t="s">
        <v>1622</v>
      </c>
      <c r="F603" s="275" t="s">
        <v>1587</v>
      </c>
      <c r="G603" s="68" t="s">
        <v>132</v>
      </c>
      <c r="H603" s="68" t="s">
        <v>133</v>
      </c>
      <c r="I603" s="68" t="s">
        <v>52</v>
      </c>
      <c r="J603" s="140" t="s">
        <v>53</v>
      </c>
      <c r="K603" s="68" t="s">
        <v>69</v>
      </c>
      <c r="L603" s="68" t="s">
        <v>315</v>
      </c>
      <c r="M603" s="93">
        <v>925</v>
      </c>
      <c r="N603" s="93"/>
      <c r="O603" s="68" t="s">
        <v>56</v>
      </c>
      <c r="P603" s="68">
        <v>36</v>
      </c>
      <c r="Q603" s="68">
        <v>48</v>
      </c>
      <c r="R603" s="68">
        <v>36</v>
      </c>
      <c r="S603" s="68">
        <v>48</v>
      </c>
      <c r="T603" s="68">
        <v>37</v>
      </c>
      <c r="U603" s="68">
        <v>49</v>
      </c>
      <c r="V603" s="66">
        <f t="shared" si="201"/>
        <v>44</v>
      </c>
      <c r="W603" s="66">
        <f t="shared" si="202"/>
        <v>56</v>
      </c>
      <c r="X603" s="68">
        <v>59</v>
      </c>
      <c r="Y603" s="68">
        <v>44</v>
      </c>
      <c r="Z603" s="68">
        <v>56</v>
      </c>
      <c r="AA603" s="699">
        <f t="shared" si="206"/>
        <v>17.111111111111111</v>
      </c>
      <c r="AB603" s="297">
        <f t="shared" si="209"/>
        <v>360.01777777777778</v>
      </c>
      <c r="AC603" s="74">
        <f t="shared" si="207"/>
        <v>11.293333333333333</v>
      </c>
      <c r="AD603" s="67">
        <f>Table1[[#This Row],[Substrate SF]]*IncaC</f>
        <v>28.801422222222222</v>
      </c>
      <c r="AE603" s="74">
        <f>IF(Table1[[#This Row],[Work Center]]="SwissQ",Materials!G$37,IF(Table1[[#This Row],[Work Center]]="Inca",Materials!G$29,IF(Table1[[#This Row],[Work Center]]="Canon",Materials!G$49,Materials!G$45)))</f>
        <v>8</v>
      </c>
      <c r="AF603" s="73">
        <f>'Cali Frames'!D515</f>
        <v>200</v>
      </c>
      <c r="AG603" s="126"/>
      <c r="AH603" s="67">
        <f t="shared" si="208"/>
        <v>46.25</v>
      </c>
      <c r="AI603" s="67"/>
      <c r="AJ603" s="74">
        <f t="shared" si="211"/>
        <v>294.34475555555554</v>
      </c>
      <c r="AK603" s="661">
        <f t="shared" si="210"/>
        <v>0.68178945345345343</v>
      </c>
      <c r="AL603" s="74">
        <f>Table1[[#This Row],[WSP/Dealer]]/Table1[[#This Row],[OD Sq Inch]]</f>
        <v>0.51020408163265307</v>
      </c>
      <c r="AM603" s="63">
        <f>Table1[[#This Row],[OD Wdth]]*Table1[[#This Row],[OD Hgt]]</f>
        <v>1813</v>
      </c>
      <c r="AN603" s="68">
        <f>Table1[[#This Row],[Min VO]]+Table1[[#This Row],[Max VO]]</f>
        <v>84</v>
      </c>
      <c r="AO603" s="84"/>
      <c r="AP603" s="84"/>
      <c r="AQ603" s="126">
        <f>(Table1[[#This Row],[Desgnr/Retail P]]*0.05)</f>
        <v>0</v>
      </c>
      <c r="AR603" s="126" t="b">
        <f>IF(A603="Codarus",(AP603*0.13))</f>
        <v>0</v>
      </c>
      <c r="AS603" s="126" t="e" cm="1">
        <f t="array" ref="AS603">SUM(AC603:AG603+AQ+AR)</f>
        <v>#NAME?</v>
      </c>
      <c r="AT603" s="74" t="e">
        <f>(AP603-AS603)/AP603</f>
        <v>#NAME?</v>
      </c>
      <c r="AU603" s="1357" t="str">
        <f t="shared" si="212"/>
        <v>-</v>
      </c>
    </row>
    <row r="604" spans="1:47" s="170" customFormat="1" x14ac:dyDescent="0.2">
      <c r="A604" s="274" t="s">
        <v>58</v>
      </c>
      <c r="B604" s="1152" t="s">
        <v>1620</v>
      </c>
      <c r="C604" s="275" t="s">
        <v>1626</v>
      </c>
      <c r="D604" s="94"/>
      <c r="E604" s="275" t="s">
        <v>1627</v>
      </c>
      <c r="F604" s="275" t="s">
        <v>1587</v>
      </c>
      <c r="G604" s="274" t="s">
        <v>647</v>
      </c>
      <c r="H604" s="274" t="s">
        <v>1226</v>
      </c>
      <c r="I604" s="274" t="s">
        <v>52</v>
      </c>
      <c r="J604" s="344" t="s">
        <v>53</v>
      </c>
      <c r="K604" s="274" t="s">
        <v>54</v>
      </c>
      <c r="L604" s="274" t="s">
        <v>55</v>
      </c>
      <c r="M604" s="178">
        <v>300</v>
      </c>
      <c r="N604" s="318"/>
      <c r="O604" s="274" t="s">
        <v>56</v>
      </c>
      <c r="P604" s="274">
        <v>20</v>
      </c>
      <c r="Q604" s="274">
        <v>24</v>
      </c>
      <c r="R604" s="274">
        <v>20</v>
      </c>
      <c r="S604" s="274">
        <v>24</v>
      </c>
      <c r="T604" s="274">
        <v>22</v>
      </c>
      <c r="U604" s="274">
        <v>26</v>
      </c>
      <c r="V604" s="277">
        <f t="shared" si="201"/>
        <v>28</v>
      </c>
      <c r="W604" s="277">
        <f t="shared" si="202"/>
        <v>32</v>
      </c>
      <c r="X604" s="343">
        <v>40</v>
      </c>
      <c r="Y604" s="274"/>
      <c r="Z604" s="274"/>
      <c r="AA604" s="649">
        <f t="shared" si="206"/>
        <v>6.2222222222222223</v>
      </c>
      <c r="AB604" s="184">
        <f t="shared" si="209"/>
        <v>130.91555555555556</v>
      </c>
      <c r="AC604" s="104">
        <f t="shared" si="207"/>
        <v>4.1066666666666674</v>
      </c>
      <c r="AD604" s="107">
        <f>Table1[[#This Row],[Substrate SF]]*IncaC</f>
        <v>10.473244444444445</v>
      </c>
      <c r="AE604" s="104">
        <f>IF(Table1[[#This Row],[Work Center]]="SwissQ",Materials!G$37,IF(Table1[[#This Row],[Work Center]]="Inca",Materials!G$29,IF(Table1[[#This Row],[Work Center]]="Canon",Materials!G$49,Materials!G$45)))</f>
        <v>8</v>
      </c>
      <c r="AF604" s="321">
        <f>'Cali FPS'!C26</f>
        <v>62.16</v>
      </c>
      <c r="AG604" s="320"/>
      <c r="AH604" s="498">
        <f t="shared" si="208"/>
        <v>15</v>
      </c>
      <c r="AI604" s="498"/>
      <c r="AJ604" s="104">
        <f t="shared" si="211"/>
        <v>99.739911111111113</v>
      </c>
      <c r="AK604" s="650">
        <f t="shared" si="210"/>
        <v>0.6675336296296297</v>
      </c>
      <c r="AL604" s="225">
        <f>Table1[[#This Row],[WSP/Dealer]]/Table1[[#This Row],[OD Sq Inch]]</f>
        <v>0.52447552447552448</v>
      </c>
      <c r="AM604" s="218">
        <f>Table1[[#This Row],[OD Wdth]]*Table1[[#This Row],[OD Hgt]]</f>
        <v>572</v>
      </c>
      <c r="AN604" s="216">
        <f>Table1[[#This Row],[Min VO]]+Table1[[#This Row],[Max VO]]</f>
        <v>44</v>
      </c>
      <c r="AO604" s="275"/>
      <c r="AP604" s="275"/>
      <c r="AQ604" s="320"/>
      <c r="AR604" s="320"/>
      <c r="AS604" s="320"/>
      <c r="AT604" s="278"/>
      <c r="AU604" s="1368" t="str">
        <f t="shared" si="212"/>
        <v>-</v>
      </c>
    </row>
    <row r="605" spans="1:47" s="170" customFormat="1" x14ac:dyDescent="0.2">
      <c r="A605" s="68" t="s">
        <v>58</v>
      </c>
      <c r="B605" s="1072" t="s">
        <v>1620</v>
      </c>
      <c r="C605" s="84" t="s">
        <v>1628</v>
      </c>
      <c r="D605" s="94"/>
      <c r="E605" s="84" t="s">
        <v>1629</v>
      </c>
      <c r="F605" s="275" t="s">
        <v>1587</v>
      </c>
      <c r="G605" s="68" t="s">
        <v>139</v>
      </c>
      <c r="H605" s="68" t="s">
        <v>139</v>
      </c>
      <c r="I605" s="274" t="s">
        <v>52</v>
      </c>
      <c r="J605" s="344" t="s">
        <v>53</v>
      </c>
      <c r="K605" s="274" t="s">
        <v>54</v>
      </c>
      <c r="L605" s="274" t="s">
        <v>55</v>
      </c>
      <c r="M605" s="141">
        <v>325</v>
      </c>
      <c r="N605" s="93"/>
      <c r="O605" s="68" t="s">
        <v>56</v>
      </c>
      <c r="P605" s="68">
        <v>24</v>
      </c>
      <c r="Q605" s="68">
        <v>24</v>
      </c>
      <c r="R605" s="68">
        <v>24</v>
      </c>
      <c r="S605" s="68">
        <v>24</v>
      </c>
      <c r="T605" s="68">
        <v>24</v>
      </c>
      <c r="U605" s="68">
        <v>24</v>
      </c>
      <c r="V605" s="686">
        <f t="shared" si="201"/>
        <v>32</v>
      </c>
      <c r="W605" s="686">
        <f t="shared" si="202"/>
        <v>32</v>
      </c>
      <c r="X605" s="189">
        <v>40</v>
      </c>
      <c r="Y605" s="68">
        <v>32</v>
      </c>
      <c r="Z605" s="68">
        <v>32</v>
      </c>
      <c r="AA605" s="699">
        <f t="shared" si="206"/>
        <v>7.1111111111111107</v>
      </c>
      <c r="AB605" s="297">
        <f t="shared" si="209"/>
        <v>149.61777777777777</v>
      </c>
      <c r="AC605" s="74">
        <f t="shared" si="207"/>
        <v>4.6933333333333334</v>
      </c>
      <c r="AD605" s="74">
        <f>Table1[[#This Row],[Substrate SF]]*IncaC</f>
        <v>11.969422222222223</v>
      </c>
      <c r="AE605" s="74">
        <f>IF(Table1[[#This Row],[Work Center]]="SwissQ",Materials!G$37,IF(Table1[[#This Row],[Work Center]]="Inca",Materials!G$29,IF(Table1[[#This Row],[Work Center]]="Canon",Materials!G$49,Materials!G$45)))</f>
        <v>8</v>
      </c>
      <c r="AF605" s="73">
        <f>'Cali FPS'!C32</f>
        <v>63.47</v>
      </c>
      <c r="AG605" s="126"/>
      <c r="AH605" s="278">
        <f t="shared" si="208"/>
        <v>16.25</v>
      </c>
      <c r="AI605" s="278"/>
      <c r="AJ605" s="278">
        <f t="shared" si="211"/>
        <v>104.38275555555555</v>
      </c>
      <c r="AK605" s="1192">
        <f t="shared" si="210"/>
        <v>0.67882229059829058</v>
      </c>
      <c r="AL605" s="278">
        <f>Table1[[#This Row],[WSP/Dealer]]/Table1[[#This Row],[OD Sq Inch]]</f>
        <v>0.56423611111111116</v>
      </c>
      <c r="AM605" s="274">
        <f>Table1[[#This Row],[OD Wdth]]*Table1[[#This Row],[OD Hgt]]</f>
        <v>576</v>
      </c>
      <c r="AN605" s="274">
        <f>Table1[[#This Row],[Min VO]]+Table1[[#This Row],[Max VO]]</f>
        <v>48</v>
      </c>
      <c r="AO605" s="84"/>
      <c r="AP605" s="84"/>
      <c r="AQ605" s="126"/>
      <c r="AR605" s="126"/>
      <c r="AS605" s="126"/>
      <c r="AT605" s="74"/>
      <c r="AU605" s="1357" t="str">
        <f t="shared" si="212"/>
        <v>-</v>
      </c>
    </row>
    <row r="606" spans="1:47" s="173" customFormat="1" x14ac:dyDescent="0.2">
      <c r="A606" s="60" t="s">
        <v>58</v>
      </c>
      <c r="B606" s="1108" t="s">
        <v>305</v>
      </c>
      <c r="C606" s="83" t="s">
        <v>1630</v>
      </c>
      <c r="D606" s="79"/>
      <c r="E606" s="83" t="s">
        <v>1631</v>
      </c>
      <c r="F606" s="284" t="s">
        <v>1587</v>
      </c>
      <c r="G606" s="60" t="s">
        <v>132</v>
      </c>
      <c r="H606" s="60" t="s">
        <v>132</v>
      </c>
      <c r="I606" s="180" t="s">
        <v>52</v>
      </c>
      <c r="J606" s="310" t="s">
        <v>53</v>
      </c>
      <c r="K606" s="180" t="s">
        <v>54</v>
      </c>
      <c r="L606" s="180" t="s">
        <v>55</v>
      </c>
      <c r="M606" s="179">
        <v>675</v>
      </c>
      <c r="N606" s="124"/>
      <c r="O606" s="60" t="s">
        <v>56</v>
      </c>
      <c r="P606" s="60">
        <v>36</v>
      </c>
      <c r="Q606" s="60">
        <v>48</v>
      </c>
      <c r="R606" s="60">
        <v>36</v>
      </c>
      <c r="S606" s="60">
        <v>48</v>
      </c>
      <c r="T606" s="60">
        <v>36</v>
      </c>
      <c r="U606" s="60">
        <v>48</v>
      </c>
      <c r="V606" s="947">
        <f t="shared" si="201"/>
        <v>44</v>
      </c>
      <c r="W606" s="947">
        <f t="shared" si="202"/>
        <v>56</v>
      </c>
      <c r="X606" s="138">
        <v>59</v>
      </c>
      <c r="Y606" s="60">
        <v>44</v>
      </c>
      <c r="Z606" s="60">
        <v>56</v>
      </c>
      <c r="AA606" s="717">
        <f t="shared" si="206"/>
        <v>17.111111111111111</v>
      </c>
      <c r="AB606" s="125">
        <f t="shared" si="209"/>
        <v>360.01777777777778</v>
      </c>
      <c r="AC606" s="69">
        <f t="shared" si="207"/>
        <v>11.293333333333333</v>
      </c>
      <c r="AD606" s="48">
        <f>Table1[[#This Row],[Substrate SF]]*IncaC</f>
        <v>28.801422222222222</v>
      </c>
      <c r="AE606" s="69">
        <f>IF(Table1[[#This Row],[Work Center]]="SwissQ",Materials!G$37,IF(Table1[[#This Row],[Work Center]]="Inca",Materials!G$29,IF(Table1[[#This Row],[Work Center]]="Canon",Materials!G$49,Materials!G$45)))</f>
        <v>8</v>
      </c>
      <c r="AF606" s="72">
        <f>'Cali FPS'!C78</f>
        <v>114.31</v>
      </c>
      <c r="AG606" s="540"/>
      <c r="AH606" s="176">
        <f t="shared" si="208"/>
        <v>33.75</v>
      </c>
      <c r="AI606" s="176"/>
      <c r="AJ606" s="176">
        <f t="shared" si="211"/>
        <v>196.15475555555554</v>
      </c>
      <c r="AK606" s="1201">
        <f t="shared" si="210"/>
        <v>0.70940036213991775</v>
      </c>
      <c r="AL606" s="176">
        <f>Table1[[#This Row],[WSP/Dealer]]/Table1[[#This Row],[OD Sq Inch]]</f>
        <v>0.390625</v>
      </c>
      <c r="AM606" s="180">
        <f>Table1[[#This Row],[OD Wdth]]*Table1[[#This Row],[OD Hgt]]</f>
        <v>1728</v>
      </c>
      <c r="AN606" s="180">
        <f>Table1[[#This Row],[Min VO]]+Table1[[#This Row],[Max VO]]</f>
        <v>84</v>
      </c>
      <c r="AO606" s="83"/>
      <c r="AP606" s="83"/>
      <c r="AQ606" s="540"/>
      <c r="AR606" s="540"/>
      <c r="AS606" s="540"/>
      <c r="AT606" s="69"/>
      <c r="AU606" s="1361" t="str">
        <f t="shared" si="212"/>
        <v>-</v>
      </c>
    </row>
    <row r="607" spans="1:47" s="173" customFormat="1" x14ac:dyDescent="0.2">
      <c r="A607" s="60" t="s">
        <v>58</v>
      </c>
      <c r="B607" s="1108" t="s">
        <v>305</v>
      </c>
      <c r="C607" s="83" t="s">
        <v>1632</v>
      </c>
      <c r="D607" s="79"/>
      <c r="E607" s="83" t="s">
        <v>1633</v>
      </c>
      <c r="F607" s="284" t="s">
        <v>1587</v>
      </c>
      <c r="G607" s="60" t="s">
        <v>1290</v>
      </c>
      <c r="H607" s="60" t="s">
        <v>1290</v>
      </c>
      <c r="I607" s="180" t="s">
        <v>52</v>
      </c>
      <c r="J607" s="310" t="s">
        <v>53</v>
      </c>
      <c r="K607" s="180" t="s">
        <v>54</v>
      </c>
      <c r="L607" s="180" t="s">
        <v>55</v>
      </c>
      <c r="M607" s="179">
        <v>300</v>
      </c>
      <c r="N607" s="124"/>
      <c r="O607" s="60" t="s">
        <v>56</v>
      </c>
      <c r="P607" s="60">
        <v>20</v>
      </c>
      <c r="Q607" s="60">
        <v>30</v>
      </c>
      <c r="R607" s="60">
        <v>20</v>
      </c>
      <c r="S607" s="60">
        <v>30</v>
      </c>
      <c r="T607" s="60">
        <v>20</v>
      </c>
      <c r="U607" s="60">
        <v>30</v>
      </c>
      <c r="V607" s="947">
        <f t="shared" si="201"/>
        <v>28</v>
      </c>
      <c r="W607" s="947">
        <f t="shared" si="202"/>
        <v>38</v>
      </c>
      <c r="X607" s="138">
        <v>40</v>
      </c>
      <c r="Y607" s="60">
        <v>28</v>
      </c>
      <c r="Z607" s="60">
        <v>38</v>
      </c>
      <c r="AA607" s="717">
        <f t="shared" si="206"/>
        <v>7.3888888888888893</v>
      </c>
      <c r="AB607" s="125">
        <f t="shared" si="209"/>
        <v>155.46222222222224</v>
      </c>
      <c r="AC607" s="69">
        <f t="shared" si="207"/>
        <v>4.8766666666666669</v>
      </c>
      <c r="AD607" s="69">
        <f>Table1[[#This Row],[Substrate SF]]*IncaC</f>
        <v>12.436977777777779</v>
      </c>
      <c r="AE607" s="69">
        <f>IF(Table1[[#This Row],[Work Center]]="SwissQ",Materials!G$37,IF(Table1[[#This Row],[Work Center]]="Inca",Materials!G$29,IF(Table1[[#This Row],[Work Center]]="Canon",Materials!G$49,Materials!G$45)))</f>
        <v>8</v>
      </c>
      <c r="AF607" s="72">
        <f>'Cali FPS'!C28</f>
        <v>62.93</v>
      </c>
      <c r="AG607" s="540"/>
      <c r="AH607" s="176">
        <f t="shared" si="208"/>
        <v>15</v>
      </c>
      <c r="AI607" s="176"/>
      <c r="AJ607" s="176">
        <f t="shared" si="211"/>
        <v>103.24364444444444</v>
      </c>
      <c r="AK607" s="1201">
        <f t="shared" si="210"/>
        <v>0.6558545185185185</v>
      </c>
      <c r="AL607" s="176">
        <f>Table1[[#This Row],[WSP/Dealer]]/Table1[[#This Row],[OD Sq Inch]]</f>
        <v>0.5</v>
      </c>
      <c r="AM607" s="180">
        <f>Table1[[#This Row],[OD Wdth]]*Table1[[#This Row],[OD Hgt]]</f>
        <v>600</v>
      </c>
      <c r="AN607" s="180">
        <f>Table1[[#This Row],[Min VO]]+Table1[[#This Row],[Max VO]]</f>
        <v>50</v>
      </c>
      <c r="AO607" s="83"/>
      <c r="AP607" s="83"/>
      <c r="AQ607" s="540"/>
      <c r="AR607" s="540"/>
      <c r="AS607" s="540"/>
      <c r="AT607" s="69"/>
      <c r="AU607" s="1361" t="str">
        <f t="shared" si="212"/>
        <v>-</v>
      </c>
    </row>
    <row r="608" spans="1:47" s="173" customFormat="1" x14ac:dyDescent="0.2">
      <c r="A608" s="60" t="s">
        <v>58</v>
      </c>
      <c r="B608" s="1108" t="s">
        <v>305</v>
      </c>
      <c r="C608" s="83" t="s">
        <v>1634</v>
      </c>
      <c r="D608" s="79"/>
      <c r="E608" s="83" t="s">
        <v>1635</v>
      </c>
      <c r="F608" s="284" t="s">
        <v>1587</v>
      </c>
      <c r="G608" s="60" t="s">
        <v>1290</v>
      </c>
      <c r="H608" s="60" t="s">
        <v>1290</v>
      </c>
      <c r="I608" s="180" t="s">
        <v>52</v>
      </c>
      <c r="J608" s="310" t="s">
        <v>53</v>
      </c>
      <c r="K608" s="180" t="s">
        <v>54</v>
      </c>
      <c r="L608" s="180" t="s">
        <v>55</v>
      </c>
      <c r="M608" s="179">
        <v>300</v>
      </c>
      <c r="N608" s="124"/>
      <c r="O608" s="60" t="s">
        <v>56</v>
      </c>
      <c r="P608" s="60">
        <v>20</v>
      </c>
      <c r="Q608" s="60">
        <v>30</v>
      </c>
      <c r="R608" s="60">
        <v>20</v>
      </c>
      <c r="S608" s="60">
        <v>30</v>
      </c>
      <c r="T608" s="60">
        <v>20</v>
      </c>
      <c r="U608" s="60">
        <v>30</v>
      </c>
      <c r="V608" s="947">
        <f t="shared" si="201"/>
        <v>28</v>
      </c>
      <c r="W608" s="947">
        <f t="shared" si="202"/>
        <v>38</v>
      </c>
      <c r="X608" s="138">
        <v>40</v>
      </c>
      <c r="Y608" s="60">
        <v>28</v>
      </c>
      <c r="Z608" s="60">
        <v>38</v>
      </c>
      <c r="AA608" s="717">
        <f t="shared" si="206"/>
        <v>7.3888888888888893</v>
      </c>
      <c r="AB608" s="125">
        <f t="shared" si="209"/>
        <v>155.46222222222224</v>
      </c>
      <c r="AC608" s="69">
        <f t="shared" si="207"/>
        <v>4.8766666666666669</v>
      </c>
      <c r="AD608" s="48">
        <f>Table1[[#This Row],[Substrate SF]]*IncaC</f>
        <v>12.436977777777779</v>
      </c>
      <c r="AE608" s="69">
        <f>IF(Table1[[#This Row],[Work Center]]="SwissQ",Materials!G$37,IF(Table1[[#This Row],[Work Center]]="Inca",Materials!G$29,IF(Table1[[#This Row],[Work Center]]="Canon",Materials!G$49,Materials!G$45)))</f>
        <v>8</v>
      </c>
      <c r="AF608" s="72">
        <f>'Cali FPS'!C28</f>
        <v>62.93</v>
      </c>
      <c r="AG608" s="540"/>
      <c r="AH608" s="175">
        <f t="shared" si="208"/>
        <v>15</v>
      </c>
      <c r="AI608" s="176"/>
      <c r="AJ608" s="176">
        <f t="shared" si="211"/>
        <v>103.24364444444444</v>
      </c>
      <c r="AK608" s="676">
        <f t="shared" si="210"/>
        <v>0.6558545185185185</v>
      </c>
      <c r="AL608" s="176">
        <f>Table1[[#This Row],[WSP/Dealer]]/Table1[[#This Row],[OD Sq Inch]]</f>
        <v>0.5</v>
      </c>
      <c r="AM608" s="180">
        <f>Table1[[#This Row],[OD Wdth]]*Table1[[#This Row],[OD Hgt]]</f>
        <v>600</v>
      </c>
      <c r="AN608" s="180">
        <f>Table1[[#This Row],[Min VO]]+Table1[[#This Row],[Max VO]]</f>
        <v>50</v>
      </c>
      <c r="AO608" s="83"/>
      <c r="AP608" s="83"/>
      <c r="AQ608" s="540"/>
      <c r="AR608" s="540"/>
      <c r="AS608" s="540"/>
      <c r="AT608" s="69"/>
      <c r="AU608" s="1361" t="str">
        <f t="shared" si="212"/>
        <v>-</v>
      </c>
    </row>
    <row r="609" spans="1:47" s="170" customFormat="1" x14ac:dyDescent="0.2">
      <c r="A609" s="86" t="s">
        <v>58</v>
      </c>
      <c r="B609" s="279" t="s">
        <v>527</v>
      </c>
      <c r="C609" s="77" t="s">
        <v>1636</v>
      </c>
      <c r="D609" s="94" t="s">
        <v>1637</v>
      </c>
      <c r="E609" s="85" t="s">
        <v>1638</v>
      </c>
      <c r="F609" s="85" t="s">
        <v>531</v>
      </c>
      <c r="G609" s="86" t="s">
        <v>1639</v>
      </c>
      <c r="H609" s="86" t="s">
        <v>1639</v>
      </c>
      <c r="I609" s="86" t="s">
        <v>52</v>
      </c>
      <c r="J609" s="86" t="s">
        <v>53</v>
      </c>
      <c r="K609" s="86" t="s">
        <v>54</v>
      </c>
      <c r="L609" s="86" t="s">
        <v>55</v>
      </c>
      <c r="M609" s="87">
        <v>650</v>
      </c>
      <c r="N609" s="639">
        <v>715.00000000000011</v>
      </c>
      <c r="O609" s="551" t="s">
        <v>56</v>
      </c>
      <c r="P609" s="101">
        <v>36</v>
      </c>
      <c r="Q609" s="101">
        <v>44</v>
      </c>
      <c r="R609" s="101">
        <v>36</v>
      </c>
      <c r="S609" s="101">
        <v>44</v>
      </c>
      <c r="T609" s="273">
        <f>Table1[[#This Row],[VO Wdth]]</f>
        <v>36</v>
      </c>
      <c r="U609" s="273">
        <f>Table1[[#This Row],[VO Hgt]]</f>
        <v>44</v>
      </c>
      <c r="V609" s="608">
        <f t="shared" si="201"/>
        <v>44</v>
      </c>
      <c r="W609" s="608">
        <f t="shared" si="202"/>
        <v>52</v>
      </c>
      <c r="X609" s="137">
        <v>53</v>
      </c>
      <c r="Y609" s="101"/>
      <c r="Z609" s="101"/>
      <c r="AA609" s="649">
        <f t="shared" si="206"/>
        <v>15.888888888888889</v>
      </c>
      <c r="AB609" s="184">
        <f t="shared" si="209"/>
        <v>334.30222222222221</v>
      </c>
      <c r="AC609" s="104">
        <f t="shared" si="207"/>
        <v>10.486666666666668</v>
      </c>
      <c r="AD609" s="107">
        <f>Table1[[#This Row],[Substrate SF]]*IncaC</f>
        <v>26.744177777777779</v>
      </c>
      <c r="AE609" s="104">
        <f>IF(Table1[[#This Row],[Work Center]]="SwissQ",Materials!G$37,IF(Table1[[#This Row],[Work Center]]="Inca",Materials!G$29,IF(Table1[[#This Row],[Work Center]]="Canon",Materials!G$49,Materials!G$45)))</f>
        <v>8</v>
      </c>
      <c r="AF609" s="74" t="s">
        <v>551</v>
      </c>
      <c r="AG609" s="115"/>
      <c r="AH609" s="498">
        <f t="shared" si="208"/>
        <v>32.5</v>
      </c>
      <c r="AI609" s="498"/>
      <c r="AJ609" s="104">
        <f t="shared" si="211"/>
        <v>77.730844444444443</v>
      </c>
      <c r="AK609" s="650">
        <f t="shared" si="210"/>
        <v>0.88041408547008548</v>
      </c>
      <c r="AL609" s="225">
        <f>Table1[[#This Row],[WSP/Dealer]]/Table1[[#This Row],[OD Sq Inch]]</f>
        <v>0.41035353535353536</v>
      </c>
      <c r="AM609" s="218">
        <f>Table1[[#This Row],[OD Wdth]]*Table1[[#This Row],[OD Hgt]]</f>
        <v>1584</v>
      </c>
      <c r="AN609" s="216">
        <f>Table1[[#This Row],[Min VO]]+Table1[[#This Row],[Max VO]]</f>
        <v>80</v>
      </c>
      <c r="AO609" s="101"/>
      <c r="AP609" s="101"/>
      <c r="AQ609" s="104"/>
      <c r="AR609" s="104"/>
      <c r="AS609" s="104"/>
      <c r="AT609" s="104"/>
      <c r="AU609" s="830" t="str">
        <f t="shared" si="212"/>
        <v>-</v>
      </c>
    </row>
    <row r="610" spans="1:47" s="173" customFormat="1" x14ac:dyDescent="0.2">
      <c r="A610" s="86" t="s">
        <v>58</v>
      </c>
      <c r="B610" s="1061" t="s">
        <v>527</v>
      </c>
      <c r="C610" s="77" t="s">
        <v>1640</v>
      </c>
      <c r="D610" s="94" t="s">
        <v>1641</v>
      </c>
      <c r="E610" s="85" t="s">
        <v>1642</v>
      </c>
      <c r="F610" s="85" t="s">
        <v>531</v>
      </c>
      <c r="G610" s="86" t="s">
        <v>1643</v>
      </c>
      <c r="H610" s="86" t="s">
        <v>1643</v>
      </c>
      <c r="I610" s="86" t="s">
        <v>52</v>
      </c>
      <c r="J610" s="86" t="s">
        <v>53</v>
      </c>
      <c r="K610" s="86" t="s">
        <v>54</v>
      </c>
      <c r="L610" s="86" t="s">
        <v>55</v>
      </c>
      <c r="M610" s="87">
        <v>1250</v>
      </c>
      <c r="N610" s="639">
        <v>1250</v>
      </c>
      <c r="O610" s="551" t="s">
        <v>56</v>
      </c>
      <c r="P610" s="103">
        <v>56</v>
      </c>
      <c r="Q610" s="103">
        <v>68</v>
      </c>
      <c r="R610" s="101">
        <v>56</v>
      </c>
      <c r="S610" s="103">
        <v>68</v>
      </c>
      <c r="T610" s="61">
        <f>Table1[[#This Row],[VO Wdth]]</f>
        <v>56</v>
      </c>
      <c r="U610" s="61">
        <f>Table1[[#This Row],[VO Hgt]]</f>
        <v>68</v>
      </c>
      <c r="V610" s="608">
        <f t="shared" si="201"/>
        <v>64</v>
      </c>
      <c r="W610" s="608">
        <f t="shared" si="202"/>
        <v>76</v>
      </c>
      <c r="X610" s="137">
        <v>80</v>
      </c>
      <c r="Y610" s="101"/>
      <c r="Z610" s="101"/>
      <c r="AA610" s="649">
        <f t="shared" si="206"/>
        <v>33.777777777777779</v>
      </c>
      <c r="AB610" s="184">
        <f t="shared" si="209"/>
        <v>710.68444444444447</v>
      </c>
      <c r="AC610" s="104">
        <f t="shared" si="207"/>
        <v>22.293333333333337</v>
      </c>
      <c r="AD610" s="107">
        <f>Table1[[#This Row],[Substrate SF]]*IncaC</f>
        <v>56.854755555555556</v>
      </c>
      <c r="AE610" s="104">
        <f>IF(Table1[[#This Row],[Work Center]]="SwissQ",Materials!G$37,IF(Table1[[#This Row],[Work Center]]="Inca",Materials!G$29,IF(Table1[[#This Row],[Work Center]]="Canon",Materials!G$49,Materials!G$45)))</f>
        <v>8</v>
      </c>
      <c r="AF610" s="74">
        <f>'Cali FPS'!C148</f>
        <v>230.42249999999999</v>
      </c>
      <c r="AG610" s="115"/>
      <c r="AH610" s="112">
        <f t="shared" si="208"/>
        <v>62.5</v>
      </c>
      <c r="AI610" s="112"/>
      <c r="AJ610" s="104">
        <f t="shared" si="211"/>
        <v>380.07058888888889</v>
      </c>
      <c r="AK610" s="62">
        <f t="shared" si="210"/>
        <v>0.69594352888888888</v>
      </c>
      <c r="AL610" s="225">
        <f>Table1[[#This Row],[WSP/Dealer]]/Table1[[#This Row],[OD Sq Inch]]</f>
        <v>0.3282563025210084</v>
      </c>
      <c r="AM610" s="218">
        <f>Table1[[#This Row],[OD Wdth]]*Table1[[#This Row],[OD Hgt]]</f>
        <v>3808</v>
      </c>
      <c r="AN610" s="216">
        <f>Table1[[#This Row],[Min VO]]+Table1[[#This Row],[Max VO]]</f>
        <v>124</v>
      </c>
      <c r="AO610" s="103"/>
      <c r="AP610" s="101"/>
      <c r="AQ610" s="104"/>
      <c r="AR610" s="104"/>
      <c r="AS610" s="104"/>
      <c r="AT610" s="104"/>
      <c r="AU610" s="108" t="str">
        <f t="shared" si="212"/>
        <v>-</v>
      </c>
    </row>
    <row r="611" spans="1:47" s="173" customFormat="1" x14ac:dyDescent="0.2">
      <c r="A611" s="86" t="s">
        <v>58</v>
      </c>
      <c r="B611" s="279" t="s">
        <v>527</v>
      </c>
      <c r="C611" s="77" t="s">
        <v>1644</v>
      </c>
      <c r="D611" s="94" t="s">
        <v>1645</v>
      </c>
      <c r="E611" s="85" t="s">
        <v>1646</v>
      </c>
      <c r="F611" s="85" t="s">
        <v>531</v>
      </c>
      <c r="G611" s="86" t="s">
        <v>1647</v>
      </c>
      <c r="H611" s="86" t="s">
        <v>1647</v>
      </c>
      <c r="I611" s="86" t="s">
        <v>52</v>
      </c>
      <c r="J611" s="86" t="s">
        <v>53</v>
      </c>
      <c r="K611" s="86" t="s">
        <v>54</v>
      </c>
      <c r="L611" s="86" t="s">
        <v>55</v>
      </c>
      <c r="M611" s="87">
        <v>700</v>
      </c>
      <c r="N611" s="639">
        <v>760</v>
      </c>
      <c r="O611" s="551" t="s">
        <v>56</v>
      </c>
      <c r="P611" s="101">
        <v>48</v>
      </c>
      <c r="Q611" s="101">
        <v>38</v>
      </c>
      <c r="R611" s="101">
        <v>38</v>
      </c>
      <c r="S611" s="101">
        <v>48</v>
      </c>
      <c r="T611" s="273">
        <f>Table1[[#This Row],[VO Wdth]]</f>
        <v>48</v>
      </c>
      <c r="U611" s="273">
        <f>Table1[[#This Row],[VO Hgt]]</f>
        <v>38</v>
      </c>
      <c r="V611" s="608">
        <f t="shared" ref="V611:V637" si="213">IF(J611="Canvas",P611+Border,P611)</f>
        <v>56</v>
      </c>
      <c r="W611" s="608">
        <f t="shared" ref="W611:W637" si="214">IF(J611="Canvas",Q611+Border,Q611)</f>
        <v>46</v>
      </c>
      <c r="X611" s="137">
        <v>59</v>
      </c>
      <c r="Y611" s="101"/>
      <c r="Z611" s="101"/>
      <c r="AA611" s="649">
        <f t="shared" si="206"/>
        <v>17.888888888888889</v>
      </c>
      <c r="AB611" s="184">
        <f t="shared" si="209"/>
        <v>376.3822222222222</v>
      </c>
      <c r="AC611" s="104">
        <f t="shared" si="207"/>
        <v>11.806666666666667</v>
      </c>
      <c r="AD611" s="104">
        <f>Table1[[#This Row],[Substrate SF]]*IncaC</f>
        <v>30.110577777777777</v>
      </c>
      <c r="AE611" s="104">
        <f>IF(Table1[[#This Row],[Work Center]]="SwissQ",Materials!G$37,IF(Table1[[#This Row],[Work Center]]="Inca",Materials!G$29,IF(Table1[[#This Row],[Work Center]]="Canon",Materials!G$49,Materials!G$45)))</f>
        <v>8</v>
      </c>
      <c r="AF611" s="74">
        <f>'Cali FPS'!C78</f>
        <v>114.31</v>
      </c>
      <c r="AG611" s="115"/>
      <c r="AH611" s="498">
        <f t="shared" si="208"/>
        <v>35</v>
      </c>
      <c r="AI611" s="498"/>
      <c r="AJ611" s="104">
        <f t="shared" si="211"/>
        <v>199.22724444444444</v>
      </c>
      <c r="AK611" s="650">
        <f t="shared" si="210"/>
        <v>0.7153896507936508</v>
      </c>
      <c r="AL611" s="225">
        <f>Table1[[#This Row],[WSP/Dealer]]/Table1[[#This Row],[OD Sq Inch]]</f>
        <v>0.38377192982456143</v>
      </c>
      <c r="AM611" s="101">
        <f>Table1[[#This Row],[OD Wdth]]*Table1[[#This Row],[OD Hgt]]</f>
        <v>1824</v>
      </c>
      <c r="AN611" s="216">
        <f>Table1[[#This Row],[Min VO]]+Table1[[#This Row],[Max VO]]</f>
        <v>86</v>
      </c>
      <c r="AO611" s="101"/>
      <c r="AP611" s="101"/>
      <c r="AQ611" s="104"/>
      <c r="AR611" s="104"/>
      <c r="AS611" s="104"/>
      <c r="AT611" s="104"/>
      <c r="AU611" s="830" t="str">
        <f t="shared" si="212"/>
        <v>-</v>
      </c>
    </row>
    <row r="612" spans="1:47" s="170" customFormat="1" x14ac:dyDescent="0.2">
      <c r="A612" s="86" t="s">
        <v>58</v>
      </c>
      <c r="B612" s="1061" t="s">
        <v>527</v>
      </c>
      <c r="C612" s="77" t="s">
        <v>1648</v>
      </c>
      <c r="D612" s="94" t="s">
        <v>1649</v>
      </c>
      <c r="E612" s="85" t="s">
        <v>1650</v>
      </c>
      <c r="F612" s="85" t="s">
        <v>531</v>
      </c>
      <c r="G612" s="86" t="s">
        <v>1651</v>
      </c>
      <c r="H612" s="86" t="s">
        <v>1651</v>
      </c>
      <c r="I612" s="86" t="s">
        <v>52</v>
      </c>
      <c r="J612" s="86" t="s">
        <v>53</v>
      </c>
      <c r="K612" s="86" t="s">
        <v>54</v>
      </c>
      <c r="L612" s="86" t="s">
        <v>55</v>
      </c>
      <c r="M612" s="87">
        <v>950</v>
      </c>
      <c r="N612" s="639">
        <v>950</v>
      </c>
      <c r="O612" s="551" t="s">
        <v>56</v>
      </c>
      <c r="P612" s="101">
        <v>60</v>
      </c>
      <c r="Q612" s="101">
        <v>48</v>
      </c>
      <c r="R612" s="101">
        <v>48</v>
      </c>
      <c r="S612" s="101">
        <v>60</v>
      </c>
      <c r="T612" s="273">
        <f>Table1[[#This Row],[VO Wdth]]</f>
        <v>60</v>
      </c>
      <c r="U612" s="273">
        <f>Table1[[#This Row],[VO Hgt]]</f>
        <v>48</v>
      </c>
      <c r="V612" s="106">
        <f t="shared" si="213"/>
        <v>68</v>
      </c>
      <c r="W612" s="106">
        <f t="shared" si="214"/>
        <v>56</v>
      </c>
      <c r="X612" s="137">
        <v>69</v>
      </c>
      <c r="Y612" s="101"/>
      <c r="Z612" s="101"/>
      <c r="AA612" s="649">
        <f t="shared" si="206"/>
        <v>26.444444444444443</v>
      </c>
      <c r="AB612" s="184">
        <f t="shared" si="209"/>
        <v>556.39111111111106</v>
      </c>
      <c r="AC612" s="104">
        <f t="shared" si="207"/>
        <v>17.453333333333333</v>
      </c>
      <c r="AD612" s="107">
        <f>Table1[[#This Row],[Substrate SF]]*IncaC</f>
        <v>44.511288888888885</v>
      </c>
      <c r="AE612" s="104">
        <f>IF(Table1[[#This Row],[Work Center]]="SwissQ",Materials!G$37,IF(Table1[[#This Row],[Work Center]]="Inca",Materials!G$29,IF(Table1[[#This Row],[Work Center]]="Canon",Materials!G$49,Materials!G$45)))</f>
        <v>8</v>
      </c>
      <c r="AF612" s="104">
        <f>'Cali FPS'!C121</f>
        <v>188.18</v>
      </c>
      <c r="AG612" s="115"/>
      <c r="AH612" s="498">
        <f t="shared" si="208"/>
        <v>47.5</v>
      </c>
      <c r="AI612" s="498"/>
      <c r="AJ612" s="104">
        <f t="shared" si="211"/>
        <v>305.64462222222221</v>
      </c>
      <c r="AK612" s="650">
        <f t="shared" si="210"/>
        <v>0.67826881871345035</v>
      </c>
      <c r="AL612" s="225">
        <f>Table1[[#This Row],[WSP/Dealer]]/Table1[[#This Row],[OD Sq Inch]]</f>
        <v>0.3298611111111111</v>
      </c>
      <c r="AM612" s="218">
        <f>Table1[[#This Row],[OD Wdth]]*Table1[[#This Row],[OD Hgt]]</f>
        <v>2880</v>
      </c>
      <c r="AN612" s="216">
        <f>Table1[[#This Row],[Min VO]]+Table1[[#This Row],[Max VO]]</f>
        <v>108</v>
      </c>
      <c r="AO612" s="101"/>
      <c r="AP612" s="101"/>
      <c r="AQ612" s="104"/>
      <c r="AR612" s="104"/>
      <c r="AS612" s="104"/>
      <c r="AT612" s="104"/>
      <c r="AU612" s="830" t="str">
        <f t="shared" si="212"/>
        <v>-</v>
      </c>
    </row>
    <row r="613" spans="1:47" s="170" customFormat="1" hidden="1" x14ac:dyDescent="0.2">
      <c r="A613" s="216" t="s">
        <v>272</v>
      </c>
      <c r="B613" s="1061" t="s">
        <v>273</v>
      </c>
      <c r="C613" s="234" t="s">
        <v>1652</v>
      </c>
      <c r="D613" s="94"/>
      <c r="E613" s="217" t="s">
        <v>1650</v>
      </c>
      <c r="F613" s="217" t="s">
        <v>531</v>
      </c>
      <c r="G613" s="216" t="s">
        <v>1651</v>
      </c>
      <c r="H613" s="216" t="s">
        <v>1651</v>
      </c>
      <c r="I613" s="216" t="s">
        <v>52</v>
      </c>
      <c r="J613" s="216" t="s">
        <v>53</v>
      </c>
      <c r="K613" s="216" t="s">
        <v>54</v>
      </c>
      <c r="L613" s="216" t="s">
        <v>55</v>
      </c>
      <c r="M613" s="219">
        <f>Table1[[#This Row],[Desgnr/Retail P]]</f>
        <v>0</v>
      </c>
      <c r="N613" s="219"/>
      <c r="O613" s="216" t="s">
        <v>56</v>
      </c>
      <c r="P613" s="216">
        <v>60</v>
      </c>
      <c r="Q613" s="216">
        <v>48</v>
      </c>
      <c r="R613" s="216">
        <v>48</v>
      </c>
      <c r="S613" s="216">
        <v>60</v>
      </c>
      <c r="T613" s="216">
        <v>60</v>
      </c>
      <c r="U613" s="216">
        <v>48</v>
      </c>
      <c r="V613" s="222">
        <f t="shared" si="213"/>
        <v>68</v>
      </c>
      <c r="W613" s="222">
        <f t="shared" si="214"/>
        <v>56</v>
      </c>
      <c r="X613" s="223">
        <v>69</v>
      </c>
      <c r="Y613" s="216"/>
      <c r="Z613" s="216"/>
      <c r="AA613" s="718">
        <f t="shared" si="206"/>
        <v>26.444444444444443</v>
      </c>
      <c r="AB613" s="233">
        <f t="shared" si="209"/>
        <v>556.39111111111106</v>
      </c>
      <c r="AC613" s="225">
        <f t="shared" si="207"/>
        <v>17.453333333333333</v>
      </c>
      <c r="AD613" s="206">
        <f>Table1[[#This Row],[Ink g/mL]]*Materials!$C$29</f>
        <v>44.511288888888885</v>
      </c>
      <c r="AE613" s="104">
        <f>IF(Table1[[#This Row],[Work Center]]="SwissQ",Materials!G$37,IF(Table1[[#This Row],[Work Center]]="Inca",Materials!G$29,IF(Table1[[#This Row],[Work Center]]="Canon",Materials!G$49,Materials!G$45)))</f>
        <v>8</v>
      </c>
      <c r="AF613" s="226">
        <f>'CALI_SONDER '!H$31</f>
        <v>143.43</v>
      </c>
      <c r="AG613" s="225"/>
      <c r="AH613" s="498">
        <f t="shared" si="208"/>
        <v>0</v>
      </c>
      <c r="AI613" s="498"/>
      <c r="AJ613" s="225">
        <f t="shared" si="211"/>
        <v>213.39462222222221</v>
      </c>
      <c r="AK613" s="650" t="e">
        <f t="shared" si="210"/>
        <v>#DIV/0!</v>
      </c>
      <c r="AL613" s="225">
        <f>Table1[[#This Row],[WSP/Dealer]]/Table1[[#This Row],[OD Sq Inch]]</f>
        <v>0</v>
      </c>
      <c r="AM613" s="103">
        <f>Table1[[#This Row],[OD Wdth]]*Table1[[#This Row],[OD Hgt]]</f>
        <v>2880</v>
      </c>
      <c r="AN613" s="216">
        <f>Table1[[#This Row],[Min VO]]+Table1[[#This Row],[Max VO]]</f>
        <v>108</v>
      </c>
      <c r="AO613" s="216" t="s">
        <v>683</v>
      </c>
      <c r="AP613" s="226"/>
      <c r="AQ613" s="226"/>
      <c r="AR613" s="226"/>
      <c r="AS613" s="226"/>
      <c r="AT613" s="226"/>
      <c r="AU613" s="1365" t="str">
        <f t="shared" si="212"/>
        <v>-</v>
      </c>
    </row>
    <row r="614" spans="1:47" s="399" customFormat="1" hidden="1" x14ac:dyDescent="0.2">
      <c r="A614" s="216" t="s">
        <v>272</v>
      </c>
      <c r="B614" s="279" t="s">
        <v>273</v>
      </c>
      <c r="C614" s="342" t="s">
        <v>1653</v>
      </c>
      <c r="D614" s="94"/>
      <c r="E614" s="217" t="s">
        <v>1654</v>
      </c>
      <c r="F614" s="217" t="s">
        <v>531</v>
      </c>
      <c r="G614" s="216" t="s">
        <v>1651</v>
      </c>
      <c r="H614" s="216" t="s">
        <v>1651</v>
      </c>
      <c r="I614" s="216" t="s">
        <v>108</v>
      </c>
      <c r="J614" s="216" t="s">
        <v>53</v>
      </c>
      <c r="K614" s="216" t="s">
        <v>54</v>
      </c>
      <c r="L614" s="216" t="s">
        <v>55</v>
      </c>
      <c r="M614" s="219">
        <v>400</v>
      </c>
      <c r="N614" s="219"/>
      <c r="O614" s="216" t="s">
        <v>109</v>
      </c>
      <c r="P614" s="216">
        <v>60</v>
      </c>
      <c r="Q614" s="216">
        <v>48</v>
      </c>
      <c r="R614" s="216">
        <v>48</v>
      </c>
      <c r="S614" s="216">
        <v>60</v>
      </c>
      <c r="T614" s="216">
        <v>60</v>
      </c>
      <c r="U614" s="216">
        <v>48</v>
      </c>
      <c r="V614" s="907">
        <f t="shared" si="213"/>
        <v>68</v>
      </c>
      <c r="W614" s="907">
        <f t="shared" si="214"/>
        <v>56</v>
      </c>
      <c r="X614" s="223">
        <v>69</v>
      </c>
      <c r="Y614" s="216"/>
      <c r="Z614" s="216"/>
      <c r="AA614" s="718">
        <f t="shared" si="206"/>
        <v>26.444444444444443</v>
      </c>
      <c r="AB614" s="233">
        <f>AA614*EPSONM</f>
        <v>119</v>
      </c>
      <c r="AC614" s="225">
        <f t="shared" si="207"/>
        <v>17.453333333333333</v>
      </c>
      <c r="AD614" s="225">
        <f>Table1[[#This Row],[Ink g/mL]]*EPSONC</f>
        <v>26.18</v>
      </c>
      <c r="AE614" s="104">
        <f>IF(Table1[[#This Row],[Work Center]]="SwissQ",Materials!G$37,IF(Table1[[#This Row],[Work Center]]="Inca",Materials!G$29,IF(Table1[[#This Row],[Work Center]]="Canon",Materials!G$49,Materials!G$45)))</f>
        <v>5</v>
      </c>
      <c r="AF614" s="226">
        <f>'CALI_SONDER '!H$31</f>
        <v>143.43</v>
      </c>
      <c r="AG614" s="225"/>
      <c r="AH614" s="112">
        <f t="shared" si="208"/>
        <v>20</v>
      </c>
      <c r="AI614" s="112"/>
      <c r="AJ614" s="225">
        <f t="shared" si="211"/>
        <v>212.06333333333333</v>
      </c>
      <c r="AK614" s="62">
        <f t="shared" si="210"/>
        <v>0.46984166666666666</v>
      </c>
      <c r="AL614" s="225">
        <f>Table1[[#This Row],[WSP/Dealer]]/Table1[[#This Row],[OD Sq Inch]]</f>
        <v>0.1388888888888889</v>
      </c>
      <c r="AM614" s="101">
        <f>Table1[[#This Row],[OD Wdth]]*Table1[[#This Row],[OD Hgt]]</f>
        <v>2880</v>
      </c>
      <c r="AN614" s="216">
        <f>Table1[[#This Row],[Min VO]]+Table1[[#This Row],[Max VO]]</f>
        <v>108</v>
      </c>
      <c r="AO614" s="216" t="s">
        <v>683</v>
      </c>
      <c r="AP614" s="226"/>
      <c r="AQ614" s="226"/>
      <c r="AR614" s="226"/>
      <c r="AS614" s="226"/>
      <c r="AT614" s="226"/>
      <c r="AU614" s="1363" t="str">
        <f t="shared" si="212"/>
        <v>-</v>
      </c>
    </row>
    <row r="615" spans="1:47" s="170" customFormat="1" x14ac:dyDescent="0.2">
      <c r="A615" s="86" t="s">
        <v>58</v>
      </c>
      <c r="B615" s="279" t="s">
        <v>527</v>
      </c>
      <c r="C615" s="77" t="s">
        <v>1655</v>
      </c>
      <c r="D615" s="94" t="s">
        <v>1656</v>
      </c>
      <c r="E615" s="85" t="s">
        <v>1657</v>
      </c>
      <c r="F615" s="85" t="s">
        <v>531</v>
      </c>
      <c r="G615" s="86" t="s">
        <v>1647</v>
      </c>
      <c r="H615" s="86" t="s">
        <v>1647</v>
      </c>
      <c r="I615" s="86" t="s">
        <v>52</v>
      </c>
      <c r="J615" s="86" t="s">
        <v>53</v>
      </c>
      <c r="K615" s="86" t="s">
        <v>54</v>
      </c>
      <c r="L615" s="86" t="s">
        <v>55</v>
      </c>
      <c r="M615" s="87">
        <v>750</v>
      </c>
      <c r="N615" s="639">
        <v>760</v>
      </c>
      <c r="O615" s="551" t="s">
        <v>56</v>
      </c>
      <c r="P615" s="101">
        <v>48</v>
      </c>
      <c r="Q615" s="101">
        <v>38</v>
      </c>
      <c r="R615" s="101">
        <v>38</v>
      </c>
      <c r="S615" s="101">
        <v>48</v>
      </c>
      <c r="T615" s="273">
        <f>Table1[[#This Row],[VO Wdth]]</f>
        <v>48</v>
      </c>
      <c r="U615" s="273">
        <f>Table1[[#This Row],[VO Hgt]]</f>
        <v>38</v>
      </c>
      <c r="V615" s="608">
        <f t="shared" si="213"/>
        <v>56</v>
      </c>
      <c r="W615" s="608">
        <f t="shared" si="214"/>
        <v>46</v>
      </c>
      <c r="X615" s="137">
        <v>59</v>
      </c>
      <c r="Y615" s="101"/>
      <c r="Z615" s="101"/>
      <c r="AA615" s="649">
        <f t="shared" si="206"/>
        <v>17.888888888888889</v>
      </c>
      <c r="AB615" s="184">
        <f>AA615*IncaG</f>
        <v>376.3822222222222</v>
      </c>
      <c r="AC615" s="104">
        <f t="shared" si="207"/>
        <v>11.806666666666667</v>
      </c>
      <c r="AD615" s="104">
        <f>Table1[[#This Row],[Substrate SF]]*IncaC</f>
        <v>30.110577777777777</v>
      </c>
      <c r="AE615" s="104">
        <f>IF(Table1[[#This Row],[Work Center]]="SwissQ",Materials!G$37,IF(Table1[[#This Row],[Work Center]]="Inca",Materials!G$29,IF(Table1[[#This Row],[Work Center]]="Canon",Materials!G$49,Materials!G$45)))</f>
        <v>8</v>
      </c>
      <c r="AF615" s="74">
        <f>'Cali FPS'!C78</f>
        <v>114.31</v>
      </c>
      <c r="AG615" s="115"/>
      <c r="AH615" s="112">
        <f t="shared" si="208"/>
        <v>37.5</v>
      </c>
      <c r="AI615" s="498"/>
      <c r="AJ615" s="104">
        <f t="shared" si="211"/>
        <v>201.72724444444444</v>
      </c>
      <c r="AK615" s="62">
        <f t="shared" si="210"/>
        <v>0.7310303407407408</v>
      </c>
      <c r="AL615" s="225">
        <f>Table1[[#This Row],[WSP/Dealer]]/Table1[[#This Row],[OD Sq Inch]]</f>
        <v>0.41118421052631576</v>
      </c>
      <c r="AM615" s="216">
        <f>Table1[[#This Row],[OD Wdth]]*Table1[[#This Row],[OD Hgt]]</f>
        <v>1824</v>
      </c>
      <c r="AN615" s="216">
        <f>Table1[[#This Row],[Min VO]]+Table1[[#This Row],[Max VO]]</f>
        <v>86</v>
      </c>
      <c r="AO615" s="101"/>
      <c r="AP615" s="101"/>
      <c r="AQ615" s="104"/>
      <c r="AR615" s="104"/>
      <c r="AS615" s="104"/>
      <c r="AT615" s="104"/>
      <c r="AU615" s="830" t="str">
        <f t="shared" si="212"/>
        <v>-</v>
      </c>
    </row>
    <row r="616" spans="1:47" s="170" customFormat="1" hidden="1" x14ac:dyDescent="0.2">
      <c r="A616" s="216" t="s">
        <v>272</v>
      </c>
      <c r="B616" s="1061" t="s">
        <v>273</v>
      </c>
      <c r="C616" s="234" t="s">
        <v>1658</v>
      </c>
      <c r="D616" s="94"/>
      <c r="E616" s="217" t="s">
        <v>1657</v>
      </c>
      <c r="F616" s="217" t="s">
        <v>531</v>
      </c>
      <c r="G616" s="216" t="s">
        <v>1647</v>
      </c>
      <c r="H616" s="216" t="s">
        <v>1647</v>
      </c>
      <c r="I616" s="216" t="s">
        <v>52</v>
      </c>
      <c r="J616" s="216" t="s">
        <v>53</v>
      </c>
      <c r="K616" s="216" t="s">
        <v>54</v>
      </c>
      <c r="L616" s="216" t="s">
        <v>55</v>
      </c>
      <c r="M616" s="219">
        <v>400</v>
      </c>
      <c r="N616" s="219"/>
      <c r="O616" s="216" t="s">
        <v>56</v>
      </c>
      <c r="P616" s="216">
        <v>48</v>
      </c>
      <c r="Q616" s="216">
        <v>38</v>
      </c>
      <c r="R616" s="216">
        <v>38</v>
      </c>
      <c r="S616" s="216">
        <v>48</v>
      </c>
      <c r="T616" s="216">
        <v>48</v>
      </c>
      <c r="U616" s="216">
        <v>38</v>
      </c>
      <c r="V616" s="907">
        <f t="shared" si="213"/>
        <v>56</v>
      </c>
      <c r="W616" s="907">
        <f t="shared" si="214"/>
        <v>46</v>
      </c>
      <c r="X616" s="223">
        <v>59</v>
      </c>
      <c r="Y616" s="216"/>
      <c r="Z616" s="216"/>
      <c r="AA616" s="718">
        <f t="shared" si="206"/>
        <v>17.888888888888889</v>
      </c>
      <c r="AB616" s="233">
        <f>AA616*IncaG</f>
        <v>376.3822222222222</v>
      </c>
      <c r="AC616" s="225">
        <f t="shared" si="207"/>
        <v>11.806666666666667</v>
      </c>
      <c r="AD616" s="986">
        <f>Table1[[#This Row],[Ink g/mL]]*Materials!$C$29</f>
        <v>30.110577777777777</v>
      </c>
      <c r="AE616" s="104">
        <f>IF(Table1[[#This Row],[Work Center]]="SwissQ",Materials!G$37,IF(Table1[[#This Row],[Work Center]]="Inca",Materials!G$29,IF(Table1[[#This Row],[Work Center]]="Canon",Materials!G$49,Materials!G$45)))</f>
        <v>8</v>
      </c>
      <c r="AF616" s="225"/>
      <c r="AG616" s="115"/>
      <c r="AH616" s="112">
        <f t="shared" si="208"/>
        <v>20</v>
      </c>
      <c r="AI616" s="112"/>
      <c r="AJ616" s="225">
        <f t="shared" si="211"/>
        <v>69.917244444444435</v>
      </c>
      <c r="AK616" s="62">
        <f t="shared" si="210"/>
        <v>0.82520688888888882</v>
      </c>
      <c r="AL616" s="225">
        <f>Table1[[#This Row],[WSP/Dealer]]/Table1[[#This Row],[OD Sq Inch]]</f>
        <v>0.21929824561403508</v>
      </c>
      <c r="AM616" s="216">
        <f>Table1[[#This Row],[OD Wdth]]*Table1[[#This Row],[OD Hgt]]</f>
        <v>1824</v>
      </c>
      <c r="AN616" s="216">
        <f>Table1[[#This Row],[Min VO]]+Table1[[#This Row],[Max VO]]</f>
        <v>86</v>
      </c>
      <c r="AO616" s="216" t="s">
        <v>467</v>
      </c>
      <c r="AP616" s="226"/>
      <c r="AQ616" s="226"/>
      <c r="AR616" s="226"/>
      <c r="AS616" s="226"/>
      <c r="AT616" s="226"/>
      <c r="AU616" s="1365" t="str">
        <f t="shared" si="212"/>
        <v>-</v>
      </c>
    </row>
    <row r="617" spans="1:47" s="170" customFormat="1" hidden="1" x14ac:dyDescent="0.2">
      <c r="A617" s="216" t="s">
        <v>272</v>
      </c>
      <c r="B617" s="1061" t="s">
        <v>273</v>
      </c>
      <c r="C617" s="342" t="s">
        <v>1659</v>
      </c>
      <c r="D617" s="94"/>
      <c r="E617" s="217" t="s">
        <v>1660</v>
      </c>
      <c r="F617" s="217" t="s">
        <v>531</v>
      </c>
      <c r="G617" s="216" t="s">
        <v>1647</v>
      </c>
      <c r="H617" s="216" t="s">
        <v>1647</v>
      </c>
      <c r="I617" s="216" t="s">
        <v>108</v>
      </c>
      <c r="J617" s="216" t="s">
        <v>53</v>
      </c>
      <c r="K617" s="216" t="s">
        <v>54</v>
      </c>
      <c r="L617" s="216" t="s">
        <v>55</v>
      </c>
      <c r="M617" s="219">
        <v>350</v>
      </c>
      <c r="N617" s="219"/>
      <c r="O617" s="216" t="s">
        <v>109</v>
      </c>
      <c r="P617" s="216">
        <v>48</v>
      </c>
      <c r="Q617" s="216">
        <v>38</v>
      </c>
      <c r="R617" s="216">
        <v>38</v>
      </c>
      <c r="S617" s="216">
        <v>48</v>
      </c>
      <c r="T617" s="216">
        <v>48</v>
      </c>
      <c r="U617" s="216">
        <v>38</v>
      </c>
      <c r="V617" s="907">
        <f t="shared" si="213"/>
        <v>56</v>
      </c>
      <c r="W617" s="907">
        <f t="shared" si="214"/>
        <v>46</v>
      </c>
      <c r="X617" s="223">
        <v>59</v>
      </c>
      <c r="Y617" s="216"/>
      <c r="Z617" s="216"/>
      <c r="AA617" s="718">
        <f t="shared" si="206"/>
        <v>17.888888888888889</v>
      </c>
      <c r="AB617" s="233">
        <f>AA617*EPSONM</f>
        <v>80.5</v>
      </c>
      <c r="AC617" s="225">
        <f t="shared" si="207"/>
        <v>11.806666666666667</v>
      </c>
      <c r="AD617" s="225">
        <f>Table1[[#This Row],[Ink g/mL]]*EPSONC</f>
        <v>17.71</v>
      </c>
      <c r="AE617" s="104">
        <f>IF(Table1[[#This Row],[Work Center]]="SwissQ",Materials!G$37,IF(Table1[[#This Row],[Work Center]]="Inca",Materials!G$29,IF(Table1[[#This Row],[Work Center]]="Canon",Materials!G$49,Materials!G$45)))</f>
        <v>5</v>
      </c>
      <c r="AF617" s="225">
        <f>'Cali FPS'!C78</f>
        <v>114.31</v>
      </c>
      <c r="AG617" s="115"/>
      <c r="AH617" s="498">
        <f t="shared" si="208"/>
        <v>17.5</v>
      </c>
      <c r="AI617" s="498"/>
      <c r="AJ617" s="225">
        <f t="shared" si="211"/>
        <v>166.32666666666665</v>
      </c>
      <c r="AK617" s="650">
        <f t="shared" si="210"/>
        <v>0.52478095238095246</v>
      </c>
      <c r="AL617" s="225">
        <f>Table1[[#This Row],[WSP/Dealer]]/Table1[[#This Row],[OD Sq Inch]]</f>
        <v>0.19188596491228072</v>
      </c>
      <c r="AM617" s="216">
        <f>Table1[[#This Row],[OD Wdth]]*Table1[[#This Row],[OD Hgt]]</f>
        <v>1824</v>
      </c>
      <c r="AN617" s="216">
        <f>Table1[[#This Row],[Min VO]]+Table1[[#This Row],[Max VO]]</f>
        <v>86</v>
      </c>
      <c r="AO617" s="216" t="s">
        <v>467</v>
      </c>
      <c r="AP617" s="226"/>
      <c r="AQ617" s="226"/>
      <c r="AR617" s="226"/>
      <c r="AS617" s="226"/>
      <c r="AT617" s="226"/>
      <c r="AU617" s="1363" t="str">
        <f t="shared" si="212"/>
        <v>-</v>
      </c>
    </row>
    <row r="618" spans="1:47" s="173" customFormat="1" x14ac:dyDescent="0.2">
      <c r="A618" s="86" t="s">
        <v>58</v>
      </c>
      <c r="B618" s="1061" t="s">
        <v>527</v>
      </c>
      <c r="C618" s="77" t="s">
        <v>1661</v>
      </c>
      <c r="D618" s="94" t="s">
        <v>1662</v>
      </c>
      <c r="E618" s="85" t="s">
        <v>1663</v>
      </c>
      <c r="F618" s="85" t="s">
        <v>531</v>
      </c>
      <c r="G618" s="86" t="s">
        <v>1651</v>
      </c>
      <c r="H618" s="86" t="s">
        <v>1651</v>
      </c>
      <c r="I618" s="86" t="s">
        <v>52</v>
      </c>
      <c r="J618" s="86" t="s">
        <v>53</v>
      </c>
      <c r="K618" s="86" t="s">
        <v>54</v>
      </c>
      <c r="L618" s="86" t="s">
        <v>55</v>
      </c>
      <c r="M618" s="87">
        <v>950</v>
      </c>
      <c r="N618" s="639">
        <v>950</v>
      </c>
      <c r="O618" s="551" t="s">
        <v>56</v>
      </c>
      <c r="P618" s="101">
        <v>60</v>
      </c>
      <c r="Q618" s="101">
        <v>48</v>
      </c>
      <c r="R618" s="101">
        <v>48</v>
      </c>
      <c r="S618" s="101">
        <v>60</v>
      </c>
      <c r="T618" s="273">
        <f>Table1[[#This Row],[VO Wdth]]</f>
        <v>60</v>
      </c>
      <c r="U618" s="273">
        <f>Table1[[#This Row],[VO Hgt]]</f>
        <v>48</v>
      </c>
      <c r="V618" s="106">
        <f t="shared" si="213"/>
        <v>68</v>
      </c>
      <c r="W618" s="106">
        <f t="shared" si="214"/>
        <v>56</v>
      </c>
      <c r="X618" s="137">
        <v>69</v>
      </c>
      <c r="Y618" s="101"/>
      <c r="Z618" s="101"/>
      <c r="AA618" s="649">
        <f t="shared" ref="AA618:AA637" si="215">V618*W618/144</f>
        <v>26.444444444444443</v>
      </c>
      <c r="AB618" s="184">
        <f>AA618*IncaG</f>
        <v>556.39111111111106</v>
      </c>
      <c r="AC618" s="104">
        <f t="shared" ref="AC618:AC637" si="216">AA618*Canvas</f>
        <v>17.453333333333333</v>
      </c>
      <c r="AD618" s="107">
        <f>Table1[[#This Row],[Substrate SF]]*IncaC</f>
        <v>44.511288888888885</v>
      </c>
      <c r="AE618" s="104">
        <f>IF(Table1[[#This Row],[Work Center]]="SwissQ",Materials!G$37,IF(Table1[[#This Row],[Work Center]]="Inca",Materials!G$29,IF(Table1[[#This Row],[Work Center]]="Canon",Materials!G$49,Materials!G$45)))</f>
        <v>8</v>
      </c>
      <c r="AF618" s="104">
        <f>'Cali FPS'!C121</f>
        <v>188.18</v>
      </c>
      <c r="AG618" s="115"/>
      <c r="AH618" s="498">
        <f t="shared" ref="AH618:AH646" si="217">(M618*0.05)</f>
        <v>47.5</v>
      </c>
      <c r="AI618" s="498"/>
      <c r="AJ618" s="104">
        <f t="shared" si="211"/>
        <v>305.64462222222221</v>
      </c>
      <c r="AK618" s="650">
        <f t="shared" si="210"/>
        <v>0.67826881871345035</v>
      </c>
      <c r="AL618" s="225">
        <f>Table1[[#This Row],[WSP/Dealer]]/Table1[[#This Row],[OD Sq Inch]]</f>
        <v>0.3298611111111111</v>
      </c>
      <c r="AM618" s="103">
        <f>Table1[[#This Row],[OD Wdth]]*Table1[[#This Row],[OD Hgt]]</f>
        <v>2880</v>
      </c>
      <c r="AN618" s="216">
        <f>Table1[[#This Row],[Min VO]]+Table1[[#This Row],[Max VO]]</f>
        <v>108</v>
      </c>
      <c r="AO618" s="101"/>
      <c r="AP618" s="101"/>
      <c r="AQ618" s="104"/>
      <c r="AR618" s="104"/>
      <c r="AS618" s="104"/>
      <c r="AT618" s="104"/>
      <c r="AU618" s="830" t="str">
        <f t="shared" si="212"/>
        <v>-</v>
      </c>
    </row>
    <row r="619" spans="1:47" s="170" customFormat="1" hidden="1" x14ac:dyDescent="0.2">
      <c r="A619" s="216" t="s">
        <v>272</v>
      </c>
      <c r="B619" s="1061" t="s">
        <v>273</v>
      </c>
      <c r="C619" s="342" t="s">
        <v>1664</v>
      </c>
      <c r="D619" s="94" t="s">
        <v>1665</v>
      </c>
      <c r="E619" s="217" t="s">
        <v>1663</v>
      </c>
      <c r="F619" s="217" t="s">
        <v>531</v>
      </c>
      <c r="G619" s="216" t="s">
        <v>1651</v>
      </c>
      <c r="H619" s="216" t="s">
        <v>1651</v>
      </c>
      <c r="I619" s="216" t="s">
        <v>52</v>
      </c>
      <c r="J619" s="216" t="s">
        <v>53</v>
      </c>
      <c r="K619" s="216" t="s">
        <v>54</v>
      </c>
      <c r="L619" s="216" t="s">
        <v>55</v>
      </c>
      <c r="M619" s="219">
        <v>400</v>
      </c>
      <c r="N619" s="219"/>
      <c r="O619" s="216" t="s">
        <v>56</v>
      </c>
      <c r="P619" s="216">
        <v>60</v>
      </c>
      <c r="Q619" s="216">
        <v>48</v>
      </c>
      <c r="R619" s="216">
        <v>48</v>
      </c>
      <c r="S619" s="216">
        <v>60</v>
      </c>
      <c r="T619" s="216">
        <v>60</v>
      </c>
      <c r="U619" s="216">
        <v>48</v>
      </c>
      <c r="V619" s="907">
        <f t="shared" si="213"/>
        <v>68</v>
      </c>
      <c r="W619" s="907">
        <f t="shared" si="214"/>
        <v>56</v>
      </c>
      <c r="X619" s="223">
        <v>69</v>
      </c>
      <c r="Y619" s="216"/>
      <c r="Z619" s="216"/>
      <c r="AA619" s="718">
        <f t="shared" si="215"/>
        <v>26.444444444444443</v>
      </c>
      <c r="AB619" s="233">
        <f>AA619*IncaG</f>
        <v>556.39111111111106</v>
      </c>
      <c r="AC619" s="225">
        <f t="shared" si="216"/>
        <v>17.453333333333333</v>
      </c>
      <c r="AD619" s="986">
        <f>Table1[[#This Row],[Ink g/mL]]*Materials!$C$29</f>
        <v>44.511288888888885</v>
      </c>
      <c r="AE619" s="104">
        <f>IF(Table1[[#This Row],[Work Center]]="SwissQ",Materials!G$37,IF(Table1[[#This Row],[Work Center]]="Inca",Materials!G$29,IF(Table1[[#This Row],[Work Center]]="Canon",Materials!G$49,Materials!G$45)))</f>
        <v>8</v>
      </c>
      <c r="AF619" s="226">
        <f>'CALI_SONDER '!H$31</f>
        <v>143.43</v>
      </c>
      <c r="AG619" s="225"/>
      <c r="AH619" s="498">
        <f t="shared" si="217"/>
        <v>20</v>
      </c>
      <c r="AI619" s="498"/>
      <c r="AJ619" s="225">
        <f t="shared" si="211"/>
        <v>233.39462222222221</v>
      </c>
      <c r="AK619" s="650">
        <f t="shared" si="210"/>
        <v>0.41651344444444449</v>
      </c>
      <c r="AL619" s="225">
        <f>Table1[[#This Row],[WSP/Dealer]]/Table1[[#This Row],[OD Sq Inch]]</f>
        <v>0.1388888888888889</v>
      </c>
      <c r="AM619" s="216">
        <f>Table1[[#This Row],[OD Wdth]]*Table1[[#This Row],[OD Hgt]]</f>
        <v>2880</v>
      </c>
      <c r="AN619" s="216">
        <f>Table1[[#This Row],[Min VO]]+Table1[[#This Row],[Max VO]]</f>
        <v>108</v>
      </c>
      <c r="AO619" s="216" t="s">
        <v>683</v>
      </c>
      <c r="AP619" s="226"/>
      <c r="AQ619" s="226"/>
      <c r="AR619" s="226"/>
      <c r="AS619" s="226"/>
      <c r="AT619" s="226"/>
      <c r="AU619" s="1365" t="str">
        <f t="shared" si="212"/>
        <v>-</v>
      </c>
    </row>
    <row r="620" spans="1:47" s="170" customFormat="1" hidden="1" x14ac:dyDescent="0.2">
      <c r="A620" s="216" t="s">
        <v>272</v>
      </c>
      <c r="B620" s="279" t="s">
        <v>273</v>
      </c>
      <c r="C620" s="342" t="s">
        <v>1666</v>
      </c>
      <c r="D620" s="94"/>
      <c r="E620" s="217" t="s">
        <v>1667</v>
      </c>
      <c r="F620" s="217" t="s">
        <v>531</v>
      </c>
      <c r="G620" s="216" t="s">
        <v>1651</v>
      </c>
      <c r="H620" s="216" t="s">
        <v>1651</v>
      </c>
      <c r="I620" s="216" t="s">
        <v>108</v>
      </c>
      <c r="J620" s="216" t="s">
        <v>53</v>
      </c>
      <c r="K620" s="216" t="s">
        <v>54</v>
      </c>
      <c r="L620" s="216" t="s">
        <v>55</v>
      </c>
      <c r="M620" s="219">
        <v>350</v>
      </c>
      <c r="N620" s="219"/>
      <c r="O620" s="216" t="s">
        <v>109</v>
      </c>
      <c r="P620" s="216">
        <v>60</v>
      </c>
      <c r="Q620" s="216">
        <v>48</v>
      </c>
      <c r="R620" s="216">
        <v>48</v>
      </c>
      <c r="S620" s="216">
        <v>60</v>
      </c>
      <c r="T620" s="216">
        <v>60</v>
      </c>
      <c r="U620" s="216">
        <v>48</v>
      </c>
      <c r="V620" s="222">
        <f t="shared" si="213"/>
        <v>68</v>
      </c>
      <c r="W620" s="222">
        <f t="shared" si="214"/>
        <v>56</v>
      </c>
      <c r="X620" s="223">
        <v>69</v>
      </c>
      <c r="Y620" s="216"/>
      <c r="Z620" s="216"/>
      <c r="AA620" s="718">
        <f t="shared" si="215"/>
        <v>26.444444444444443</v>
      </c>
      <c r="AB620" s="233">
        <f>AA620*EPSONM</f>
        <v>119</v>
      </c>
      <c r="AC620" s="225">
        <f t="shared" si="216"/>
        <v>17.453333333333333</v>
      </c>
      <c r="AD620" s="207">
        <f>Table1[[#This Row],[Ink g/mL]]*EPSONC</f>
        <v>26.18</v>
      </c>
      <c r="AE620" s="104">
        <f>IF(Table1[[#This Row],[Work Center]]="SwissQ",Materials!G$37,IF(Table1[[#This Row],[Work Center]]="Inca",Materials!G$29,IF(Table1[[#This Row],[Work Center]]="Canon",Materials!G$49,Materials!G$45)))</f>
        <v>5</v>
      </c>
      <c r="AF620" s="226">
        <f>'CALI_SONDER '!H$31</f>
        <v>143.43</v>
      </c>
      <c r="AG620" s="225"/>
      <c r="AH620" s="498">
        <f t="shared" si="217"/>
        <v>17.5</v>
      </c>
      <c r="AI620" s="498"/>
      <c r="AJ620" s="225">
        <f t="shared" si="211"/>
        <v>209.56333333333333</v>
      </c>
      <c r="AK620" s="650">
        <f t="shared" si="210"/>
        <v>0.40124761904761908</v>
      </c>
      <c r="AL620" s="225">
        <f>Table1[[#This Row],[WSP/Dealer]]/Table1[[#This Row],[OD Sq Inch]]</f>
        <v>0.12152777777777778</v>
      </c>
      <c r="AM620" s="218">
        <f>Table1[[#This Row],[OD Wdth]]*Table1[[#This Row],[OD Hgt]]</f>
        <v>2880</v>
      </c>
      <c r="AN620" s="216">
        <f>Table1[[#This Row],[Min VO]]+Table1[[#This Row],[Max VO]]</f>
        <v>108</v>
      </c>
      <c r="AO620" s="216" t="s">
        <v>683</v>
      </c>
      <c r="AP620" s="226"/>
      <c r="AQ620" s="226"/>
      <c r="AR620" s="226"/>
      <c r="AS620" s="226"/>
      <c r="AT620" s="226"/>
      <c r="AU620" s="1363" t="str">
        <f t="shared" si="212"/>
        <v>-</v>
      </c>
    </row>
    <row r="621" spans="1:47" s="170" customFormat="1" x14ac:dyDescent="0.2">
      <c r="A621" s="86" t="s">
        <v>58</v>
      </c>
      <c r="B621" s="1061" t="s">
        <v>527</v>
      </c>
      <c r="C621" s="77" t="s">
        <v>1668</v>
      </c>
      <c r="D621" s="94" t="s">
        <v>1669</v>
      </c>
      <c r="E621" s="85" t="s">
        <v>1670</v>
      </c>
      <c r="F621" s="85" t="s">
        <v>531</v>
      </c>
      <c r="G621" s="86" t="s">
        <v>925</v>
      </c>
      <c r="H621" s="86" t="s">
        <v>925</v>
      </c>
      <c r="I621" s="86" t="s">
        <v>52</v>
      </c>
      <c r="J621" s="86" t="s">
        <v>53</v>
      </c>
      <c r="K621" s="86" t="s">
        <v>54</v>
      </c>
      <c r="L621" s="86" t="s">
        <v>55</v>
      </c>
      <c r="M621" s="87">
        <v>580</v>
      </c>
      <c r="N621" s="639">
        <v>580</v>
      </c>
      <c r="O621" s="551" t="s">
        <v>56</v>
      </c>
      <c r="P621" s="101">
        <v>36</v>
      </c>
      <c r="Q621" s="101">
        <v>36</v>
      </c>
      <c r="R621" s="101">
        <v>36</v>
      </c>
      <c r="S621" s="101">
        <v>36</v>
      </c>
      <c r="T621" s="273">
        <f>Table1[[#This Row],[VO Wdth]]</f>
        <v>36</v>
      </c>
      <c r="U621" s="273">
        <f>Table1[[#This Row],[VO Hgt]]</f>
        <v>36</v>
      </c>
      <c r="V621" s="106">
        <f t="shared" si="213"/>
        <v>44</v>
      </c>
      <c r="W621" s="106">
        <f t="shared" si="214"/>
        <v>44</v>
      </c>
      <c r="X621" s="137">
        <v>53</v>
      </c>
      <c r="Y621" s="101"/>
      <c r="Z621" s="101"/>
      <c r="AA621" s="649">
        <f t="shared" si="215"/>
        <v>13.444444444444445</v>
      </c>
      <c r="AB621" s="184">
        <f t="shared" ref="AB621:AB636" si="218">AA621*IncaG</f>
        <v>282.87111111111108</v>
      </c>
      <c r="AC621" s="104">
        <f t="shared" si="216"/>
        <v>8.8733333333333331</v>
      </c>
      <c r="AD621" s="107">
        <f>Table1[[#This Row],[Substrate SF]]*IncaC</f>
        <v>22.629688888888889</v>
      </c>
      <c r="AE621" s="104">
        <f>IF(Table1[[#This Row],[Work Center]]="SwissQ",Materials!G$37,IF(Table1[[#This Row],[Work Center]]="Inca",Materials!G$29,IF(Table1[[#This Row],[Work Center]]="Canon",Materials!G$49,Materials!G$45)))</f>
        <v>8</v>
      </c>
      <c r="AF621" s="104">
        <f>'Cali FPS'!C67</f>
        <v>83.46</v>
      </c>
      <c r="AG621" s="115"/>
      <c r="AH621" s="498">
        <f t="shared" si="217"/>
        <v>29</v>
      </c>
      <c r="AI621" s="498"/>
      <c r="AJ621" s="104">
        <f t="shared" si="211"/>
        <v>151.96302222222221</v>
      </c>
      <c r="AK621" s="650">
        <f t="shared" si="210"/>
        <v>0.73799478927203066</v>
      </c>
      <c r="AL621" s="225">
        <f>Table1[[#This Row],[WSP/Dealer]]/Table1[[#This Row],[OD Sq Inch]]</f>
        <v>0.44753086419753085</v>
      </c>
      <c r="AM621" s="103">
        <f>Table1[[#This Row],[OD Wdth]]*Table1[[#This Row],[OD Hgt]]</f>
        <v>1296</v>
      </c>
      <c r="AN621" s="216">
        <f>Table1[[#This Row],[Min VO]]+Table1[[#This Row],[Max VO]]</f>
        <v>72</v>
      </c>
      <c r="AO621" s="101"/>
      <c r="AP621" s="101"/>
      <c r="AQ621" s="104"/>
      <c r="AR621" s="104"/>
      <c r="AS621" s="104"/>
      <c r="AT621" s="104"/>
      <c r="AU621" s="830" t="str">
        <f t="shared" si="212"/>
        <v>-</v>
      </c>
    </row>
    <row r="622" spans="1:47" s="63" customFormat="1" hidden="1" x14ac:dyDescent="0.2">
      <c r="A622" s="216" t="s">
        <v>272</v>
      </c>
      <c r="B622" s="1061" t="s">
        <v>533</v>
      </c>
      <c r="C622" s="234" t="s">
        <v>1671</v>
      </c>
      <c r="D622" s="94" t="s">
        <v>1672</v>
      </c>
      <c r="E622" s="217" t="s">
        <v>1670</v>
      </c>
      <c r="F622" s="217" t="s">
        <v>531</v>
      </c>
      <c r="G622" s="216" t="s">
        <v>925</v>
      </c>
      <c r="H622" s="216" t="s">
        <v>925</v>
      </c>
      <c r="I622" s="216" t="s">
        <v>52</v>
      </c>
      <c r="J622" s="216" t="s">
        <v>53</v>
      </c>
      <c r="K622" s="216" t="s">
        <v>54</v>
      </c>
      <c r="L622" s="216" t="s">
        <v>55</v>
      </c>
      <c r="M622" s="219">
        <v>290</v>
      </c>
      <c r="N622" s="219"/>
      <c r="O622" s="216" t="s">
        <v>56</v>
      </c>
      <c r="P622" s="216">
        <v>36</v>
      </c>
      <c r="Q622" s="216">
        <v>36</v>
      </c>
      <c r="R622" s="216">
        <v>36</v>
      </c>
      <c r="S622" s="216">
        <v>36</v>
      </c>
      <c r="T622" s="626">
        <f>Table1[[#This Row],[VO Wdth]]</f>
        <v>36</v>
      </c>
      <c r="U622" s="626">
        <f>Table1[[#This Row],[VO Hgt]]</f>
        <v>36</v>
      </c>
      <c r="V622" s="222">
        <f t="shared" si="213"/>
        <v>44</v>
      </c>
      <c r="W622" s="222">
        <f t="shared" si="214"/>
        <v>44</v>
      </c>
      <c r="X622" s="223">
        <v>53</v>
      </c>
      <c r="Y622" s="216"/>
      <c r="Z622" s="216"/>
      <c r="AA622" s="718">
        <f t="shared" si="215"/>
        <v>13.444444444444445</v>
      </c>
      <c r="AB622" s="233">
        <f t="shared" si="218"/>
        <v>282.87111111111108</v>
      </c>
      <c r="AC622" s="225">
        <f t="shared" si="216"/>
        <v>8.8733333333333331</v>
      </c>
      <c r="AD622" s="207">
        <f>Table1[[#This Row],[Substrate SF]]*IncaC</f>
        <v>22.629688888888889</v>
      </c>
      <c r="AE622" s="104">
        <f>IF(Table1[[#This Row],[Work Center]]="SwissQ",Materials!G$37,IF(Table1[[#This Row],[Work Center]]="Inca",Materials!G$29,IF(Table1[[#This Row],[Work Center]]="Canon",Materials!G$49,Materials!G$45)))</f>
        <v>8</v>
      </c>
      <c r="AF622" s="225"/>
      <c r="AG622" s="115"/>
      <c r="AH622" s="498">
        <f t="shared" si="217"/>
        <v>14.5</v>
      </c>
      <c r="AI622" s="498"/>
      <c r="AJ622" s="225">
        <f t="shared" si="211"/>
        <v>54.003022222222221</v>
      </c>
      <c r="AK622" s="650">
        <f t="shared" si="210"/>
        <v>0.81378268199233716</v>
      </c>
      <c r="AL622" s="225">
        <f>Table1[[#This Row],[WSP/Dealer]]/Table1[[#This Row],[OD Sq Inch]]</f>
        <v>0.22376543209876543</v>
      </c>
      <c r="AM622" s="103">
        <f>Table1[[#This Row],[OD Wdth]]*Table1[[#This Row],[OD Hgt]]</f>
        <v>1296</v>
      </c>
      <c r="AN622" s="216">
        <f>Table1[[#This Row],[Min VO]]+Table1[[#This Row],[Max VO]]</f>
        <v>72</v>
      </c>
      <c r="AO622" s="216"/>
      <c r="AP622" s="216"/>
      <c r="AQ622" s="225"/>
      <c r="AR622" s="225"/>
      <c r="AS622" s="225"/>
      <c r="AT622" s="225"/>
      <c r="AU622" s="1363" t="str">
        <f t="shared" si="212"/>
        <v>-</v>
      </c>
    </row>
    <row r="623" spans="1:47" s="68" customFormat="1" x14ac:dyDescent="0.2">
      <c r="A623" s="86" t="s">
        <v>58</v>
      </c>
      <c r="B623" s="1061" t="s">
        <v>527</v>
      </c>
      <c r="C623" s="77" t="s">
        <v>1673</v>
      </c>
      <c r="D623" s="94" t="s">
        <v>1674</v>
      </c>
      <c r="E623" s="85" t="s">
        <v>1675</v>
      </c>
      <c r="F623" s="85" t="s">
        <v>531</v>
      </c>
      <c r="G623" s="86" t="s">
        <v>405</v>
      </c>
      <c r="H623" s="86" t="s">
        <v>405</v>
      </c>
      <c r="I623" s="86" t="s">
        <v>52</v>
      </c>
      <c r="J623" s="86" t="s">
        <v>53</v>
      </c>
      <c r="K623" s="86" t="s">
        <v>54</v>
      </c>
      <c r="L623" s="86" t="s">
        <v>55</v>
      </c>
      <c r="M623" s="87">
        <v>750</v>
      </c>
      <c r="N623" s="639">
        <v>830</v>
      </c>
      <c r="O623" s="551" t="s">
        <v>56</v>
      </c>
      <c r="P623" s="101">
        <v>48</v>
      </c>
      <c r="Q623" s="101">
        <v>48</v>
      </c>
      <c r="R623" s="101">
        <v>48</v>
      </c>
      <c r="S623" s="101">
        <v>48</v>
      </c>
      <c r="T623" s="273">
        <f>Table1[[#This Row],[VO Wdth]]</f>
        <v>48</v>
      </c>
      <c r="U623" s="273">
        <f>Table1[[#This Row],[VO Hgt]]</f>
        <v>48</v>
      </c>
      <c r="V623" s="608">
        <f t="shared" si="213"/>
        <v>56</v>
      </c>
      <c r="W623" s="608">
        <f t="shared" si="214"/>
        <v>56</v>
      </c>
      <c r="X623" s="137">
        <v>59</v>
      </c>
      <c r="Y623" s="101"/>
      <c r="Z623" s="101"/>
      <c r="AA623" s="649">
        <f t="shared" si="215"/>
        <v>21.777777777777779</v>
      </c>
      <c r="AB623" s="184">
        <f t="shared" si="218"/>
        <v>458.20444444444445</v>
      </c>
      <c r="AC623" s="104">
        <f t="shared" si="216"/>
        <v>14.373333333333335</v>
      </c>
      <c r="AD623" s="104">
        <f>Table1[[#This Row],[Substrate SF]]*IncaC</f>
        <v>36.656355555555557</v>
      </c>
      <c r="AE623" s="104">
        <f>IF(Table1[[#This Row],[Work Center]]="SwissQ",Materials!G$37,IF(Table1[[#This Row],[Work Center]]="Inca",Materials!G$29,IF(Table1[[#This Row],[Work Center]]="Canon",Materials!G$49,Materials!G$45)))</f>
        <v>8</v>
      </c>
      <c r="AF623" s="104">
        <f>'Cali FPS'!C117</f>
        <v>119.7</v>
      </c>
      <c r="AG623" s="115"/>
      <c r="AH623" s="498">
        <f t="shared" si="217"/>
        <v>37.5</v>
      </c>
      <c r="AI623" s="498"/>
      <c r="AJ623" s="104">
        <f t="shared" si="211"/>
        <v>216.22968888888889</v>
      </c>
      <c r="AK623" s="650">
        <f t="shared" si="210"/>
        <v>0.71169374814814823</v>
      </c>
      <c r="AL623" s="225">
        <f>Table1[[#This Row],[WSP/Dealer]]/Table1[[#This Row],[OD Sq Inch]]</f>
        <v>0.32552083333333331</v>
      </c>
      <c r="AM623" s="216">
        <f>Table1[[#This Row],[OD Wdth]]*Table1[[#This Row],[OD Hgt]]</f>
        <v>2304</v>
      </c>
      <c r="AN623" s="216">
        <f>Table1[[#This Row],[Min VO]]+Table1[[#This Row],[Max VO]]</f>
        <v>96</v>
      </c>
      <c r="AO623" s="101"/>
      <c r="AP623" s="101"/>
      <c r="AQ623" s="104"/>
      <c r="AR623" s="104"/>
      <c r="AS623" s="104"/>
      <c r="AT623" s="104"/>
      <c r="AU623" s="830" t="str">
        <f t="shared" si="212"/>
        <v>-</v>
      </c>
    </row>
    <row r="624" spans="1:47" s="68" customFormat="1" x14ac:dyDescent="0.2">
      <c r="A624" s="86" t="s">
        <v>58</v>
      </c>
      <c r="B624" s="1061" t="s">
        <v>527</v>
      </c>
      <c r="C624" s="77" t="s">
        <v>1676</v>
      </c>
      <c r="D624" s="94" t="s">
        <v>1677</v>
      </c>
      <c r="E624" s="85" t="s">
        <v>1678</v>
      </c>
      <c r="F624" s="85" t="s">
        <v>531</v>
      </c>
      <c r="G624" s="86" t="s">
        <v>1324</v>
      </c>
      <c r="H624" s="86" t="s">
        <v>1324</v>
      </c>
      <c r="I624" s="86" t="s">
        <v>52</v>
      </c>
      <c r="J624" s="86" t="s">
        <v>53</v>
      </c>
      <c r="K624" s="86" t="s">
        <v>54</v>
      </c>
      <c r="L624" s="86" t="s">
        <v>55</v>
      </c>
      <c r="M624" s="87">
        <v>650</v>
      </c>
      <c r="N624" s="639">
        <v>715.00000000000011</v>
      </c>
      <c r="O624" s="551" t="s">
        <v>56</v>
      </c>
      <c r="P624" s="101">
        <v>36</v>
      </c>
      <c r="Q624" s="101">
        <v>45</v>
      </c>
      <c r="R624" s="101">
        <v>36</v>
      </c>
      <c r="S624" s="101">
        <v>45</v>
      </c>
      <c r="T624" s="273">
        <f>Table1[[#This Row],[VO Wdth]]</f>
        <v>36</v>
      </c>
      <c r="U624" s="273">
        <f>Table1[[#This Row],[VO Hgt]]</f>
        <v>45</v>
      </c>
      <c r="V624" s="608">
        <f t="shared" si="213"/>
        <v>44</v>
      </c>
      <c r="W624" s="608">
        <f t="shared" si="214"/>
        <v>53</v>
      </c>
      <c r="X624" s="137">
        <v>53</v>
      </c>
      <c r="Y624" s="101"/>
      <c r="Z624" s="101"/>
      <c r="AA624" s="649">
        <f t="shared" si="215"/>
        <v>16.194444444444443</v>
      </c>
      <c r="AB624" s="184">
        <f t="shared" si="218"/>
        <v>340.73111111111109</v>
      </c>
      <c r="AC624" s="104">
        <f t="shared" si="216"/>
        <v>10.688333333333333</v>
      </c>
      <c r="AD624" s="104">
        <f>Table1[[#This Row],[Substrate SF]]*IncaC</f>
        <v>27.258488888888888</v>
      </c>
      <c r="AE624" s="104">
        <f>IF(Table1[[#This Row],[Work Center]]="SwissQ",Materials!G$37,IF(Table1[[#This Row],[Work Center]]="Inca",Materials!G$29,IF(Table1[[#This Row],[Work Center]]="Canon",Materials!G$49,Materials!G$45)))</f>
        <v>8</v>
      </c>
      <c r="AF624" s="74">
        <f>'Cali FPS'!C69</f>
        <v>106.575</v>
      </c>
      <c r="AG624" s="115"/>
      <c r="AH624" s="112">
        <f t="shared" si="217"/>
        <v>32.5</v>
      </c>
      <c r="AI624" s="112"/>
      <c r="AJ624" s="104">
        <f t="shared" si="211"/>
        <v>185.02182222222223</v>
      </c>
      <c r="AK624" s="62">
        <f t="shared" si="210"/>
        <v>0.71535104273504269</v>
      </c>
      <c r="AL624" s="225">
        <f>Table1[[#This Row],[WSP/Dealer]]/Table1[[#This Row],[OD Sq Inch]]</f>
        <v>0.40123456790123457</v>
      </c>
      <c r="AM624" s="216">
        <f>Table1[[#This Row],[OD Wdth]]*Table1[[#This Row],[OD Hgt]]</f>
        <v>1620</v>
      </c>
      <c r="AN624" s="216">
        <f>Table1[[#This Row],[Min VO]]+Table1[[#This Row],[Max VO]]</f>
        <v>81</v>
      </c>
      <c r="AO624" s="101"/>
      <c r="AP624" s="101"/>
      <c r="AQ624" s="104"/>
      <c r="AR624" s="104"/>
      <c r="AS624" s="104"/>
      <c r="AT624" s="104"/>
      <c r="AU624" s="830" t="str">
        <f t="shared" si="212"/>
        <v>-</v>
      </c>
    </row>
    <row r="625" spans="1:47" s="68" customFormat="1" x14ac:dyDescent="0.2">
      <c r="A625" s="86" t="s">
        <v>58</v>
      </c>
      <c r="B625" s="279" t="s">
        <v>527</v>
      </c>
      <c r="C625" s="77" t="s">
        <v>1679</v>
      </c>
      <c r="D625" s="94" t="s">
        <v>1680</v>
      </c>
      <c r="E625" s="85" t="s">
        <v>1681</v>
      </c>
      <c r="F625" s="85" t="s">
        <v>531</v>
      </c>
      <c r="G625" s="86" t="s">
        <v>1048</v>
      </c>
      <c r="H625" s="86" t="s">
        <v>1048</v>
      </c>
      <c r="I625" s="86" t="s">
        <v>52</v>
      </c>
      <c r="J625" s="86" t="s">
        <v>53</v>
      </c>
      <c r="K625" s="86" t="s">
        <v>54</v>
      </c>
      <c r="L625" s="86" t="s">
        <v>55</v>
      </c>
      <c r="M625" s="87">
        <v>950</v>
      </c>
      <c r="N625" s="639">
        <v>950</v>
      </c>
      <c r="O625" s="551" t="s">
        <v>56</v>
      </c>
      <c r="P625" s="101">
        <v>48</v>
      </c>
      <c r="Q625" s="101">
        <v>60</v>
      </c>
      <c r="R625" s="101">
        <v>48</v>
      </c>
      <c r="S625" s="103">
        <v>60</v>
      </c>
      <c r="T625" s="61">
        <f>Table1[[#This Row],[VO Wdth]]</f>
        <v>48</v>
      </c>
      <c r="U625" s="61">
        <f>Table1[[#This Row],[VO Hgt]]</f>
        <v>60</v>
      </c>
      <c r="V625" s="608">
        <f t="shared" si="213"/>
        <v>56</v>
      </c>
      <c r="W625" s="608">
        <f t="shared" si="214"/>
        <v>68</v>
      </c>
      <c r="X625" s="137">
        <v>69</v>
      </c>
      <c r="Y625" s="101"/>
      <c r="Z625" s="101"/>
      <c r="AA625" s="649">
        <f t="shared" si="215"/>
        <v>26.444444444444443</v>
      </c>
      <c r="AB625" s="184">
        <f t="shared" si="218"/>
        <v>556.39111111111106</v>
      </c>
      <c r="AC625" s="104">
        <f t="shared" si="216"/>
        <v>17.453333333333333</v>
      </c>
      <c r="AD625" s="107">
        <f>Table1[[#This Row],[Substrate SF]]*IncaC</f>
        <v>44.511288888888885</v>
      </c>
      <c r="AE625" s="104">
        <f>IF(Table1[[#This Row],[Work Center]]="SwissQ",Materials!G$37,IF(Table1[[#This Row],[Work Center]]="Inca",Materials!G$29,IF(Table1[[#This Row],[Work Center]]="Canon",Materials!G$49,Materials!G$45)))</f>
        <v>8</v>
      </c>
      <c r="AF625" s="104">
        <f>'Cali FPS'!C121</f>
        <v>188.18</v>
      </c>
      <c r="AG625" s="115"/>
      <c r="AH625" s="498">
        <f t="shared" si="217"/>
        <v>47.5</v>
      </c>
      <c r="AI625" s="498"/>
      <c r="AJ625" s="104">
        <f t="shared" si="211"/>
        <v>305.64462222222221</v>
      </c>
      <c r="AK625" s="650">
        <f t="shared" si="210"/>
        <v>0.67826881871345035</v>
      </c>
      <c r="AL625" s="225">
        <f>Table1[[#This Row],[WSP/Dealer]]/Table1[[#This Row],[OD Sq Inch]]</f>
        <v>0.3298611111111111</v>
      </c>
      <c r="AM625" s="97">
        <f>Table1[[#This Row],[OD Wdth]]*Table1[[#This Row],[OD Hgt]]</f>
        <v>2880</v>
      </c>
      <c r="AN625" s="216">
        <f>Table1[[#This Row],[Min VO]]+Table1[[#This Row],[Max VO]]</f>
        <v>108</v>
      </c>
      <c r="AO625" s="103"/>
      <c r="AP625" s="101"/>
      <c r="AQ625" s="104"/>
      <c r="AR625" s="104"/>
      <c r="AS625" s="104"/>
      <c r="AT625" s="104"/>
      <c r="AU625" s="108" t="str">
        <f t="shared" si="212"/>
        <v>-</v>
      </c>
    </row>
    <row r="626" spans="1:47" s="68" customFormat="1" x14ac:dyDescent="0.2">
      <c r="A626" s="86" t="s">
        <v>58</v>
      </c>
      <c r="B626" s="1061" t="s">
        <v>527</v>
      </c>
      <c r="C626" s="77" t="s">
        <v>1682</v>
      </c>
      <c r="D626" s="94" t="s">
        <v>1683</v>
      </c>
      <c r="E626" s="85" t="s">
        <v>1684</v>
      </c>
      <c r="F626" s="85" t="s">
        <v>531</v>
      </c>
      <c r="G626" s="86" t="s">
        <v>925</v>
      </c>
      <c r="H626" s="86" t="s">
        <v>925</v>
      </c>
      <c r="I626" s="86" t="s">
        <v>52</v>
      </c>
      <c r="J626" s="86" t="s">
        <v>53</v>
      </c>
      <c r="K626" s="86" t="s">
        <v>54</v>
      </c>
      <c r="L626" s="86" t="s">
        <v>55</v>
      </c>
      <c r="M626" s="87">
        <v>580</v>
      </c>
      <c r="N626" s="639">
        <v>580</v>
      </c>
      <c r="O626" s="551" t="s">
        <v>56</v>
      </c>
      <c r="P626" s="101">
        <v>36</v>
      </c>
      <c r="Q626" s="101">
        <v>36</v>
      </c>
      <c r="R626" s="101">
        <v>36</v>
      </c>
      <c r="S626" s="101">
        <v>36</v>
      </c>
      <c r="T626" s="273">
        <f>Table1[[#This Row],[VO Wdth]]</f>
        <v>36</v>
      </c>
      <c r="U626" s="273">
        <f>Table1[[#This Row],[VO Hgt]]</f>
        <v>36</v>
      </c>
      <c r="V626" s="106">
        <f t="shared" si="213"/>
        <v>44</v>
      </c>
      <c r="W626" s="106">
        <f t="shared" si="214"/>
        <v>44</v>
      </c>
      <c r="X626" s="137">
        <v>53</v>
      </c>
      <c r="Y626" s="101"/>
      <c r="Z626" s="101"/>
      <c r="AA626" s="649">
        <f t="shared" si="215"/>
        <v>13.444444444444445</v>
      </c>
      <c r="AB626" s="184">
        <f t="shared" si="218"/>
        <v>282.87111111111108</v>
      </c>
      <c r="AC626" s="104">
        <f t="shared" si="216"/>
        <v>8.8733333333333331</v>
      </c>
      <c r="AD626" s="107">
        <f>Table1[[#This Row],[Substrate SF]]*IncaC</f>
        <v>22.629688888888889</v>
      </c>
      <c r="AE626" s="104">
        <f>IF(Table1[[#This Row],[Work Center]]="SwissQ",Materials!G$37,IF(Table1[[#This Row],[Work Center]]="Inca",Materials!G$29,IF(Table1[[#This Row],[Work Center]]="Canon",Materials!G$49,Materials!G$45)))</f>
        <v>8</v>
      </c>
      <c r="AF626" s="104">
        <f>'Cali FPS'!C67</f>
        <v>83.46</v>
      </c>
      <c r="AG626" s="115"/>
      <c r="AH626" s="112">
        <f t="shared" si="217"/>
        <v>29</v>
      </c>
      <c r="AI626" s="112"/>
      <c r="AJ626" s="104">
        <f t="shared" si="211"/>
        <v>151.96302222222221</v>
      </c>
      <c r="AK626" s="62">
        <f t="shared" si="210"/>
        <v>0.73799478927203066</v>
      </c>
      <c r="AL626" s="225">
        <f>Table1[[#This Row],[WSP/Dealer]]/Table1[[#This Row],[OD Sq Inch]]</f>
        <v>0.44753086419753085</v>
      </c>
      <c r="AM626" s="218">
        <f>Table1[[#This Row],[OD Wdth]]*Table1[[#This Row],[OD Hgt]]</f>
        <v>1296</v>
      </c>
      <c r="AN626" s="216">
        <f>Table1[[#This Row],[Min VO]]+Table1[[#This Row],[Max VO]]</f>
        <v>72</v>
      </c>
      <c r="AO626" s="101"/>
      <c r="AP626" s="101"/>
      <c r="AQ626" s="104"/>
      <c r="AR626" s="104"/>
      <c r="AS626" s="104"/>
      <c r="AT626" s="104"/>
      <c r="AU626" s="830" t="str">
        <f t="shared" si="212"/>
        <v>-</v>
      </c>
    </row>
    <row r="627" spans="1:47" s="159" customFormat="1" x14ac:dyDescent="0.2">
      <c r="A627" s="101" t="s">
        <v>58</v>
      </c>
      <c r="B627" s="1061" t="s">
        <v>527</v>
      </c>
      <c r="C627" s="77" t="s">
        <v>1685</v>
      </c>
      <c r="D627" s="94" t="s">
        <v>1686</v>
      </c>
      <c r="E627" s="85" t="s">
        <v>1687</v>
      </c>
      <c r="F627" s="85" t="s">
        <v>531</v>
      </c>
      <c r="G627" s="86" t="s">
        <v>925</v>
      </c>
      <c r="H627" s="86" t="s">
        <v>925</v>
      </c>
      <c r="I627" s="86" t="s">
        <v>52</v>
      </c>
      <c r="J627" s="86" t="s">
        <v>53</v>
      </c>
      <c r="K627" s="86" t="s">
        <v>54</v>
      </c>
      <c r="L627" s="86" t="s">
        <v>55</v>
      </c>
      <c r="M627" s="87">
        <v>580</v>
      </c>
      <c r="N627" s="639">
        <v>580</v>
      </c>
      <c r="O627" s="551" t="s">
        <v>56</v>
      </c>
      <c r="P627" s="101">
        <v>36</v>
      </c>
      <c r="Q627" s="101">
        <v>36</v>
      </c>
      <c r="R627" s="101">
        <v>36</v>
      </c>
      <c r="S627" s="101">
        <v>36</v>
      </c>
      <c r="T627" s="101">
        <v>36</v>
      </c>
      <c r="U627" s="101">
        <v>36</v>
      </c>
      <c r="V627" s="608">
        <f t="shared" si="213"/>
        <v>44</v>
      </c>
      <c r="W627" s="608">
        <f t="shared" si="214"/>
        <v>44</v>
      </c>
      <c r="X627" s="137">
        <v>53</v>
      </c>
      <c r="Y627" s="101"/>
      <c r="Z627" s="101"/>
      <c r="AA627" s="649">
        <f t="shared" si="215"/>
        <v>13.444444444444445</v>
      </c>
      <c r="AB627" s="184">
        <f t="shared" si="218"/>
        <v>282.87111111111108</v>
      </c>
      <c r="AC627" s="104">
        <f t="shared" si="216"/>
        <v>8.8733333333333331</v>
      </c>
      <c r="AD627" s="107">
        <f>Table1[[#This Row],[Substrate SF]]*IncaC</f>
        <v>22.629688888888889</v>
      </c>
      <c r="AE627" s="104">
        <f>IF(Table1[[#This Row],[Work Center]]="SwissQ",Materials!G$37,IF(Table1[[#This Row],[Work Center]]="Inca",Materials!G$29,IF(Table1[[#This Row],[Work Center]]="Canon",Materials!G$49,Materials!G$45)))</f>
        <v>8</v>
      </c>
      <c r="AF627" s="104">
        <f>'Cali FPS'!C67</f>
        <v>83.46</v>
      </c>
      <c r="AG627" s="115"/>
      <c r="AH627" s="112">
        <f t="shared" si="217"/>
        <v>29</v>
      </c>
      <c r="AI627" s="112"/>
      <c r="AJ627" s="107">
        <f t="shared" si="211"/>
        <v>151.96302222222221</v>
      </c>
      <c r="AK627" s="62">
        <f t="shared" si="210"/>
        <v>0.73799478927203066</v>
      </c>
      <c r="AL627" s="225">
        <f>Table1[[#This Row],[WSP/Dealer]]/Table1[[#This Row],[OD Sq Inch]]</f>
        <v>0.44753086419753085</v>
      </c>
      <c r="AM627" s="97">
        <f>Table1[[#This Row],[OD Wdth]]*Table1[[#This Row],[OD Hgt]]</f>
        <v>1296</v>
      </c>
      <c r="AN627" s="216">
        <f>Table1[[#This Row],[Min VO]]+Table1[[#This Row],[Max VO]]</f>
        <v>72</v>
      </c>
      <c r="AO627" s="101"/>
      <c r="AP627" s="101"/>
      <c r="AQ627" s="104"/>
      <c r="AR627" s="104"/>
      <c r="AS627" s="104"/>
      <c r="AT627" s="104"/>
      <c r="AU627" s="830" t="str">
        <f t="shared" si="212"/>
        <v>-</v>
      </c>
    </row>
    <row r="628" spans="1:47" s="159" customFormat="1" x14ac:dyDescent="0.2">
      <c r="A628" s="86" t="s">
        <v>58</v>
      </c>
      <c r="B628" s="279" t="s">
        <v>527</v>
      </c>
      <c r="C628" s="77" t="s">
        <v>1688</v>
      </c>
      <c r="D628" s="94" t="s">
        <v>1689</v>
      </c>
      <c r="E628" s="85" t="s">
        <v>1690</v>
      </c>
      <c r="F628" s="85" t="s">
        <v>531</v>
      </c>
      <c r="G628" s="86" t="s">
        <v>405</v>
      </c>
      <c r="H628" s="86" t="s">
        <v>405</v>
      </c>
      <c r="I628" s="86" t="s">
        <v>52</v>
      </c>
      <c r="J628" s="86" t="s">
        <v>53</v>
      </c>
      <c r="K628" s="86" t="s">
        <v>54</v>
      </c>
      <c r="L628" s="86" t="s">
        <v>55</v>
      </c>
      <c r="M628" s="87">
        <v>750</v>
      </c>
      <c r="N628" s="639">
        <v>830</v>
      </c>
      <c r="O628" s="551" t="s">
        <v>56</v>
      </c>
      <c r="P628" s="101">
        <v>48</v>
      </c>
      <c r="Q628" s="101">
        <v>48</v>
      </c>
      <c r="R628" s="101">
        <v>48</v>
      </c>
      <c r="S628" s="101">
        <v>48</v>
      </c>
      <c r="T628" s="273">
        <f>Table1[[#This Row],[VO Wdth]]</f>
        <v>48</v>
      </c>
      <c r="U628" s="273">
        <f>Table1[[#This Row],[VO Hgt]]</f>
        <v>48</v>
      </c>
      <c r="V628" s="106">
        <f t="shared" si="213"/>
        <v>56</v>
      </c>
      <c r="W628" s="106">
        <f t="shared" si="214"/>
        <v>56</v>
      </c>
      <c r="X628" s="137">
        <v>59</v>
      </c>
      <c r="Y628" s="101"/>
      <c r="Z628" s="101"/>
      <c r="AA628" s="649">
        <f t="shared" si="215"/>
        <v>21.777777777777779</v>
      </c>
      <c r="AB628" s="184">
        <f t="shared" si="218"/>
        <v>458.20444444444445</v>
      </c>
      <c r="AC628" s="104">
        <f t="shared" si="216"/>
        <v>14.373333333333335</v>
      </c>
      <c r="AD628" s="107">
        <f>Table1[[#This Row],[Substrate SF]]*IncaC</f>
        <v>36.656355555555557</v>
      </c>
      <c r="AE628" s="104">
        <f>IF(Table1[[#This Row],[Work Center]]="SwissQ",Materials!G$37,IF(Table1[[#This Row],[Work Center]]="Inca",Materials!G$29,IF(Table1[[#This Row],[Work Center]]="Canon",Materials!G$49,Materials!G$45)))</f>
        <v>8</v>
      </c>
      <c r="AF628" s="104">
        <f>'Cali FPS'!C117</f>
        <v>119.7</v>
      </c>
      <c r="AG628" s="837"/>
      <c r="AH628" s="498">
        <f t="shared" si="217"/>
        <v>37.5</v>
      </c>
      <c r="AI628" s="498"/>
      <c r="AJ628" s="104">
        <f t="shared" si="211"/>
        <v>216.22968888888889</v>
      </c>
      <c r="AK628" s="650">
        <f t="shared" si="210"/>
        <v>0.71169374814814823</v>
      </c>
      <c r="AL628" s="225">
        <f>Table1[[#This Row],[WSP/Dealer]]/Table1[[#This Row],[OD Sq Inch]]</f>
        <v>0.32552083333333331</v>
      </c>
      <c r="AM628" s="97">
        <f>Table1[[#This Row],[OD Wdth]]*Table1[[#This Row],[OD Hgt]]</f>
        <v>2304</v>
      </c>
      <c r="AN628" s="216">
        <f>Table1[[#This Row],[Min VO]]+Table1[[#This Row],[Max VO]]</f>
        <v>96</v>
      </c>
      <c r="AO628" s="988"/>
      <c r="AP628" s="988"/>
      <c r="AQ628" s="1141"/>
      <c r="AR628" s="1141"/>
      <c r="AS628" s="1141"/>
      <c r="AT628" s="1141"/>
      <c r="AU628" s="1470" t="str">
        <f t="shared" si="212"/>
        <v>-</v>
      </c>
    </row>
    <row r="629" spans="1:47" s="103" customFormat="1" x14ac:dyDescent="0.2">
      <c r="A629" s="86" t="s">
        <v>58</v>
      </c>
      <c r="B629" s="279" t="s">
        <v>527</v>
      </c>
      <c r="C629" s="77" t="s">
        <v>1691</v>
      </c>
      <c r="D629" s="94" t="s">
        <v>1692</v>
      </c>
      <c r="E629" s="85" t="s">
        <v>1693</v>
      </c>
      <c r="F629" s="85" t="s">
        <v>531</v>
      </c>
      <c r="G629" s="86" t="s">
        <v>449</v>
      </c>
      <c r="H629" s="86" t="s">
        <v>449</v>
      </c>
      <c r="I629" s="86" t="s">
        <v>52</v>
      </c>
      <c r="J629" s="86" t="s">
        <v>53</v>
      </c>
      <c r="K629" s="86" t="s">
        <v>54</v>
      </c>
      <c r="L629" s="86" t="s">
        <v>55</v>
      </c>
      <c r="M629" s="87">
        <v>580</v>
      </c>
      <c r="N629" s="639">
        <v>580</v>
      </c>
      <c r="O629" s="551" t="s">
        <v>56</v>
      </c>
      <c r="P629" s="101">
        <v>36</v>
      </c>
      <c r="Q629" s="101">
        <v>36</v>
      </c>
      <c r="R629" s="101">
        <v>36</v>
      </c>
      <c r="S629" s="101">
        <v>36</v>
      </c>
      <c r="T629" s="273">
        <f>Table1[[#This Row],[VO Wdth]]</f>
        <v>36</v>
      </c>
      <c r="U629" s="273">
        <f>Table1[[#This Row],[VO Hgt]]</f>
        <v>36</v>
      </c>
      <c r="V629" s="608">
        <f t="shared" si="213"/>
        <v>44</v>
      </c>
      <c r="W629" s="608">
        <f t="shared" si="214"/>
        <v>44</v>
      </c>
      <c r="X629" s="137">
        <v>53</v>
      </c>
      <c r="Y629" s="101"/>
      <c r="Z629" s="101"/>
      <c r="AA629" s="649">
        <f t="shared" si="215"/>
        <v>13.444444444444445</v>
      </c>
      <c r="AB629" s="184">
        <f t="shared" si="218"/>
        <v>282.87111111111108</v>
      </c>
      <c r="AC629" s="104">
        <f t="shared" si="216"/>
        <v>8.8733333333333331</v>
      </c>
      <c r="AD629" s="107">
        <f>Table1[[#This Row],[Substrate SF]]*IncaC</f>
        <v>22.629688888888889</v>
      </c>
      <c r="AE629" s="104">
        <f>IF(Table1[[#This Row],[Work Center]]="SwissQ",Materials!G$37,IF(Table1[[#This Row],[Work Center]]="Inca",Materials!G$29,IF(Table1[[#This Row],[Work Center]]="Canon",Materials!G$49,Materials!G$45)))</f>
        <v>8</v>
      </c>
      <c r="AF629" s="104">
        <f>'Cali FPS'!C67</f>
        <v>83.46</v>
      </c>
      <c r="AG629" s="115"/>
      <c r="AH629" s="498">
        <f t="shared" si="217"/>
        <v>29</v>
      </c>
      <c r="AI629" s="498"/>
      <c r="AJ629" s="104">
        <f t="shared" si="211"/>
        <v>151.96302222222221</v>
      </c>
      <c r="AK629" s="650">
        <f t="shared" si="210"/>
        <v>0.73799478927203066</v>
      </c>
      <c r="AL629" s="225">
        <f>Table1[[#This Row],[WSP/Dealer]]/Table1[[#This Row],[OD Sq Inch]]</f>
        <v>0.44753086419753085</v>
      </c>
      <c r="AM629" s="216">
        <f>Table1[[#This Row],[OD Wdth]]*Table1[[#This Row],[OD Hgt]]</f>
        <v>1296</v>
      </c>
      <c r="AN629" s="216">
        <f>Table1[[#This Row],[Min VO]]+Table1[[#This Row],[Max VO]]</f>
        <v>72</v>
      </c>
      <c r="AO629" s="101"/>
      <c r="AP629" s="101"/>
      <c r="AQ629" s="104"/>
      <c r="AR629" s="104"/>
      <c r="AS629" s="104"/>
      <c r="AT629" s="104"/>
      <c r="AU629" s="830" t="str">
        <f t="shared" si="212"/>
        <v>-</v>
      </c>
    </row>
    <row r="630" spans="1:47" s="103" customFormat="1" x14ac:dyDescent="0.2">
      <c r="A630" s="86" t="s">
        <v>58</v>
      </c>
      <c r="B630" s="1061" t="s">
        <v>527</v>
      </c>
      <c r="C630" s="77" t="s">
        <v>1694</v>
      </c>
      <c r="D630" s="94" t="s">
        <v>1695</v>
      </c>
      <c r="E630" s="85" t="s">
        <v>1696</v>
      </c>
      <c r="F630" s="85" t="s">
        <v>531</v>
      </c>
      <c r="G630" s="86" t="s">
        <v>115</v>
      </c>
      <c r="H630" s="86" t="s">
        <v>115</v>
      </c>
      <c r="I630" s="86" t="s">
        <v>52</v>
      </c>
      <c r="J630" s="86" t="s">
        <v>53</v>
      </c>
      <c r="K630" s="86" t="s">
        <v>54</v>
      </c>
      <c r="L630" s="86" t="s">
        <v>55</v>
      </c>
      <c r="M630" s="87">
        <v>750</v>
      </c>
      <c r="N630" s="639">
        <v>830</v>
      </c>
      <c r="O630" s="551" t="s">
        <v>56</v>
      </c>
      <c r="P630" s="101">
        <v>48</v>
      </c>
      <c r="Q630" s="101">
        <v>48</v>
      </c>
      <c r="R630" s="101">
        <v>48</v>
      </c>
      <c r="S630" s="101">
        <v>48</v>
      </c>
      <c r="T630" s="273">
        <f>Table1[[#This Row],[VO Wdth]]</f>
        <v>48</v>
      </c>
      <c r="U630" s="273">
        <f>Table1[[#This Row],[VO Hgt]]</f>
        <v>48</v>
      </c>
      <c r="V630" s="608">
        <f t="shared" si="213"/>
        <v>56</v>
      </c>
      <c r="W630" s="608">
        <f t="shared" si="214"/>
        <v>56</v>
      </c>
      <c r="X630" s="137">
        <v>59</v>
      </c>
      <c r="Y630" s="101"/>
      <c r="Z630" s="101"/>
      <c r="AA630" s="649">
        <f t="shared" si="215"/>
        <v>21.777777777777779</v>
      </c>
      <c r="AB630" s="184">
        <f t="shared" si="218"/>
        <v>458.20444444444445</v>
      </c>
      <c r="AC630" s="104">
        <f t="shared" si="216"/>
        <v>14.373333333333335</v>
      </c>
      <c r="AD630" s="107">
        <f>Table1[[#This Row],[Substrate SF]]*IncaC</f>
        <v>36.656355555555557</v>
      </c>
      <c r="AE630" s="104">
        <f>IF(Table1[[#This Row],[Work Center]]="SwissQ",Materials!G$37,IF(Table1[[#This Row],[Work Center]]="Inca",Materials!G$29,IF(Table1[[#This Row],[Work Center]]="Canon",Materials!G$49,Materials!G$45)))</f>
        <v>8</v>
      </c>
      <c r="AF630" s="104">
        <f>'Cali FPS'!C117</f>
        <v>119.7</v>
      </c>
      <c r="AG630" s="115"/>
      <c r="AH630" s="498">
        <f t="shared" si="217"/>
        <v>37.5</v>
      </c>
      <c r="AI630" s="498"/>
      <c r="AJ630" s="104">
        <f t="shared" si="211"/>
        <v>216.22968888888889</v>
      </c>
      <c r="AK630" s="650">
        <f t="shared" si="210"/>
        <v>0.71169374814814823</v>
      </c>
      <c r="AL630" s="225">
        <f>Table1[[#This Row],[WSP/Dealer]]/Table1[[#This Row],[OD Sq Inch]]</f>
        <v>0.32552083333333331</v>
      </c>
      <c r="AM630" s="218">
        <f>Table1[[#This Row],[OD Wdth]]*Table1[[#This Row],[OD Hgt]]</f>
        <v>2304</v>
      </c>
      <c r="AN630" s="216">
        <f>Table1[[#This Row],[Min VO]]+Table1[[#This Row],[Max VO]]</f>
        <v>96</v>
      </c>
      <c r="AO630" s="101"/>
      <c r="AP630" s="101"/>
      <c r="AQ630" s="104"/>
      <c r="AR630" s="104"/>
      <c r="AS630" s="104"/>
      <c r="AT630" s="104"/>
      <c r="AU630" s="830" t="str">
        <f t="shared" si="212"/>
        <v>-</v>
      </c>
    </row>
    <row r="631" spans="1:47" s="228" customFormat="1" x14ac:dyDescent="0.2">
      <c r="A631" s="86" t="s">
        <v>58</v>
      </c>
      <c r="B631" s="1061" t="s">
        <v>527</v>
      </c>
      <c r="C631" s="77" t="s">
        <v>1697</v>
      </c>
      <c r="D631" s="94" t="s">
        <v>1698</v>
      </c>
      <c r="E631" s="85" t="s">
        <v>1699</v>
      </c>
      <c r="F631" s="85" t="s">
        <v>531</v>
      </c>
      <c r="G631" s="86" t="s">
        <v>1700</v>
      </c>
      <c r="H631" s="86" t="s">
        <v>1700</v>
      </c>
      <c r="I631" s="86" t="s">
        <v>52</v>
      </c>
      <c r="J631" s="86" t="s">
        <v>53</v>
      </c>
      <c r="K631" s="86" t="s">
        <v>54</v>
      </c>
      <c r="L631" s="86" t="s">
        <v>55</v>
      </c>
      <c r="M631" s="87">
        <v>950</v>
      </c>
      <c r="N631" s="639">
        <v>815</v>
      </c>
      <c r="O631" s="551" t="s">
        <v>56</v>
      </c>
      <c r="P631" s="101">
        <v>48</v>
      </c>
      <c r="Q631" s="101">
        <v>40</v>
      </c>
      <c r="R631" s="101">
        <v>40</v>
      </c>
      <c r="S631" s="101">
        <v>48</v>
      </c>
      <c r="T631" s="273">
        <f>Table1[[#This Row],[VO Wdth]]</f>
        <v>48</v>
      </c>
      <c r="U631" s="273">
        <f>Table1[[#This Row],[VO Hgt]]</f>
        <v>40</v>
      </c>
      <c r="V631" s="608">
        <f t="shared" si="213"/>
        <v>56</v>
      </c>
      <c r="W631" s="608">
        <f t="shared" si="214"/>
        <v>48</v>
      </c>
      <c r="X631" s="137">
        <v>59</v>
      </c>
      <c r="Y631" s="101"/>
      <c r="Z631" s="101"/>
      <c r="AA631" s="649">
        <f t="shared" si="215"/>
        <v>18.666666666666668</v>
      </c>
      <c r="AB631" s="184">
        <f t="shared" si="218"/>
        <v>392.74666666666667</v>
      </c>
      <c r="AC631" s="104">
        <f t="shared" si="216"/>
        <v>12.320000000000002</v>
      </c>
      <c r="AD631" s="107">
        <f>Table1[[#This Row],[Substrate SF]]*IncaC</f>
        <v>31.419733333333337</v>
      </c>
      <c r="AE631" s="104">
        <f>IF(Table1[[#This Row],[Work Center]]="SwissQ",Materials!G$37,IF(Table1[[#This Row],[Work Center]]="Inca",Materials!G$29,IF(Table1[[#This Row],[Work Center]]="Canon",Materials!G$49,Materials!G$45)))</f>
        <v>8</v>
      </c>
      <c r="AF631" s="74">
        <f>'Cali FPS'!C84</f>
        <v>107.45</v>
      </c>
      <c r="AG631" s="837"/>
      <c r="AH631" s="498">
        <f t="shared" si="217"/>
        <v>47.5</v>
      </c>
      <c r="AI631" s="498"/>
      <c r="AJ631" s="104">
        <f t="shared" si="211"/>
        <v>206.68973333333335</v>
      </c>
      <c r="AK631" s="650">
        <f t="shared" si="210"/>
        <v>0.78243185964912276</v>
      </c>
      <c r="AL631" s="225">
        <f>Table1[[#This Row],[WSP/Dealer]]/Table1[[#This Row],[OD Sq Inch]]</f>
        <v>0.49479166666666669</v>
      </c>
      <c r="AM631" s="97">
        <f>Table1[[#This Row],[OD Wdth]]*Table1[[#This Row],[OD Hgt]]</f>
        <v>1920</v>
      </c>
      <c r="AN631" s="216">
        <f>Table1[[#This Row],[Min VO]]+Table1[[#This Row],[Max VO]]</f>
        <v>88</v>
      </c>
      <c r="AO631" s="988"/>
      <c r="AP631" s="988"/>
      <c r="AQ631" s="1141"/>
      <c r="AR631" s="1141"/>
      <c r="AS631" s="1141"/>
      <c r="AT631" s="1141"/>
      <c r="AU631" s="1470" t="str">
        <f t="shared" si="212"/>
        <v>-</v>
      </c>
    </row>
    <row r="632" spans="1:47" s="25" customFormat="1" x14ac:dyDescent="0.2">
      <c r="A632" s="86" t="s">
        <v>58</v>
      </c>
      <c r="B632" s="1061" t="s">
        <v>527</v>
      </c>
      <c r="C632" s="77" t="s">
        <v>1701</v>
      </c>
      <c r="D632" s="94" t="s">
        <v>1702</v>
      </c>
      <c r="E632" s="85" t="s">
        <v>1703</v>
      </c>
      <c r="F632" s="85" t="s">
        <v>531</v>
      </c>
      <c r="G632" s="86" t="s">
        <v>1704</v>
      </c>
      <c r="H632" s="86" t="s">
        <v>1704</v>
      </c>
      <c r="I632" s="86" t="s">
        <v>52</v>
      </c>
      <c r="J632" s="86" t="s">
        <v>53</v>
      </c>
      <c r="K632" s="86" t="s">
        <v>54</v>
      </c>
      <c r="L632" s="86" t="s">
        <v>55</v>
      </c>
      <c r="M632" s="87">
        <v>1250</v>
      </c>
      <c r="N632" s="639">
        <v>1250</v>
      </c>
      <c r="O632" s="551" t="s">
        <v>56</v>
      </c>
      <c r="P632" s="101">
        <v>68</v>
      </c>
      <c r="Q632" s="101">
        <v>56</v>
      </c>
      <c r="R632" s="101">
        <v>56</v>
      </c>
      <c r="S632" s="101">
        <v>68</v>
      </c>
      <c r="T632" s="61">
        <f>Table1[[#This Row],[VO Wdth]]</f>
        <v>68</v>
      </c>
      <c r="U632" s="61">
        <f>Table1[[#This Row],[VO Hgt]]</f>
        <v>56</v>
      </c>
      <c r="V632" s="608">
        <f t="shared" si="213"/>
        <v>76</v>
      </c>
      <c r="W632" s="608">
        <f t="shared" si="214"/>
        <v>64</v>
      </c>
      <c r="X632" s="137">
        <v>69</v>
      </c>
      <c r="Y632" s="101"/>
      <c r="Z632" s="101"/>
      <c r="AA632" s="649">
        <f t="shared" si="215"/>
        <v>33.777777777777779</v>
      </c>
      <c r="AB632" s="184">
        <f t="shared" si="218"/>
        <v>710.68444444444447</v>
      </c>
      <c r="AC632" s="104">
        <f t="shared" si="216"/>
        <v>22.293333333333337</v>
      </c>
      <c r="AD632" s="107">
        <f>Table1[[#This Row],[Substrate SF]]*IncaC</f>
        <v>56.854755555555556</v>
      </c>
      <c r="AE632" s="104">
        <f>IF(Table1[[#This Row],[Work Center]]="SwissQ",Materials!G$37,IF(Table1[[#This Row],[Work Center]]="Inca",Materials!G$29,IF(Table1[[#This Row],[Work Center]]="Canon",Materials!G$49,Materials!G$45)))</f>
        <v>8</v>
      </c>
      <c r="AF632" s="74">
        <f>'Cali FPS'!C148</f>
        <v>230.42249999999999</v>
      </c>
      <c r="AG632" s="115"/>
      <c r="AH632" s="498">
        <f t="shared" si="217"/>
        <v>62.5</v>
      </c>
      <c r="AI632" s="498"/>
      <c r="AJ632" s="104">
        <f t="shared" si="211"/>
        <v>380.07058888888889</v>
      </c>
      <c r="AK632" s="650">
        <f t="shared" si="210"/>
        <v>0.69594352888888888</v>
      </c>
      <c r="AL632" s="225">
        <f>Table1[[#This Row],[WSP/Dealer]]/Table1[[#This Row],[OD Sq Inch]]</f>
        <v>0.3282563025210084</v>
      </c>
      <c r="AM632" s="218">
        <f>Table1[[#This Row],[OD Wdth]]*Table1[[#This Row],[OD Hgt]]</f>
        <v>3808</v>
      </c>
      <c r="AN632" s="216">
        <f>Table1[[#This Row],[Min VO]]+Table1[[#This Row],[Max VO]]</f>
        <v>124</v>
      </c>
      <c r="AO632" s="101"/>
      <c r="AP632" s="101"/>
      <c r="AQ632" s="104"/>
      <c r="AR632" s="104"/>
      <c r="AS632" s="104"/>
      <c r="AT632" s="104"/>
      <c r="AU632" s="830" t="str">
        <f t="shared" si="212"/>
        <v>-</v>
      </c>
    </row>
    <row r="633" spans="1:47" s="171" customFormat="1" x14ac:dyDescent="0.2">
      <c r="A633" s="86" t="s">
        <v>58</v>
      </c>
      <c r="B633" s="1061" t="s">
        <v>527</v>
      </c>
      <c r="C633" s="77" t="s">
        <v>1705</v>
      </c>
      <c r="D633" s="94" t="s">
        <v>1706</v>
      </c>
      <c r="E633" s="85" t="s">
        <v>1707</v>
      </c>
      <c r="F633" s="85" t="s">
        <v>531</v>
      </c>
      <c r="G633" s="86" t="s">
        <v>925</v>
      </c>
      <c r="H633" s="86" t="s">
        <v>925</v>
      </c>
      <c r="I633" s="86" t="s">
        <v>52</v>
      </c>
      <c r="J633" s="86" t="s">
        <v>53</v>
      </c>
      <c r="K633" s="86" t="s">
        <v>54</v>
      </c>
      <c r="L633" s="86" t="s">
        <v>55</v>
      </c>
      <c r="M633" s="87">
        <v>580</v>
      </c>
      <c r="N633" s="639">
        <v>580</v>
      </c>
      <c r="O633" s="551" t="s">
        <v>56</v>
      </c>
      <c r="P633" s="101">
        <v>36</v>
      </c>
      <c r="Q633" s="101">
        <v>36</v>
      </c>
      <c r="R633" s="101">
        <v>36</v>
      </c>
      <c r="S633" s="101">
        <v>36</v>
      </c>
      <c r="T633" s="273">
        <f>Table1[[#This Row],[VO Wdth]]</f>
        <v>36</v>
      </c>
      <c r="U633" s="273">
        <f>Table1[[#This Row],[VO Hgt]]</f>
        <v>36</v>
      </c>
      <c r="V633" s="608">
        <f t="shared" si="213"/>
        <v>44</v>
      </c>
      <c r="W633" s="608">
        <f t="shared" si="214"/>
        <v>44</v>
      </c>
      <c r="X633" s="137">
        <v>53</v>
      </c>
      <c r="Y633" s="101"/>
      <c r="Z633" s="101"/>
      <c r="AA633" s="649">
        <f t="shared" si="215"/>
        <v>13.444444444444445</v>
      </c>
      <c r="AB633" s="184">
        <f t="shared" si="218"/>
        <v>282.87111111111108</v>
      </c>
      <c r="AC633" s="104">
        <f t="shared" si="216"/>
        <v>8.8733333333333331</v>
      </c>
      <c r="AD633" s="107">
        <f>Table1[[#This Row],[Substrate SF]]*IncaC</f>
        <v>22.629688888888889</v>
      </c>
      <c r="AE633" s="104">
        <f>IF(Table1[[#This Row],[Work Center]]="SwissQ",Materials!G$37,IF(Table1[[#This Row],[Work Center]]="Inca",Materials!G$29,IF(Table1[[#This Row],[Work Center]]="Canon",Materials!G$49,Materials!G$45)))</f>
        <v>8</v>
      </c>
      <c r="AF633" s="104">
        <f>'Cali FPS'!C67</f>
        <v>83.46</v>
      </c>
      <c r="AG633" s="115"/>
      <c r="AH633" s="498">
        <f t="shared" si="217"/>
        <v>29</v>
      </c>
      <c r="AI633" s="498"/>
      <c r="AJ633" s="104">
        <f t="shared" si="211"/>
        <v>151.96302222222221</v>
      </c>
      <c r="AK633" s="650">
        <f t="shared" si="210"/>
        <v>0.73799478927203066</v>
      </c>
      <c r="AL633" s="225">
        <f>Table1[[#This Row],[WSP/Dealer]]/Table1[[#This Row],[OD Sq Inch]]</f>
        <v>0.44753086419753085</v>
      </c>
      <c r="AM633" s="218">
        <f>Table1[[#This Row],[OD Wdth]]*Table1[[#This Row],[OD Hgt]]</f>
        <v>1296</v>
      </c>
      <c r="AN633" s="216">
        <f>Table1[[#This Row],[Min VO]]+Table1[[#This Row],[Max VO]]</f>
        <v>72</v>
      </c>
      <c r="AO633" s="101"/>
      <c r="AP633" s="101"/>
      <c r="AQ633" s="104"/>
      <c r="AR633" s="104"/>
      <c r="AS633" s="104"/>
      <c r="AT633" s="104"/>
      <c r="AU633" s="830" t="str">
        <f t="shared" si="212"/>
        <v>-</v>
      </c>
    </row>
    <row r="634" spans="1:47" s="170" customFormat="1" x14ac:dyDescent="0.2">
      <c r="A634" s="86" t="s">
        <v>58</v>
      </c>
      <c r="B634" s="1061" t="s">
        <v>527</v>
      </c>
      <c r="C634" s="77" t="s">
        <v>1708</v>
      </c>
      <c r="D634" s="94" t="s">
        <v>1709</v>
      </c>
      <c r="E634" s="85" t="s">
        <v>1710</v>
      </c>
      <c r="F634" s="85" t="s">
        <v>531</v>
      </c>
      <c r="G634" s="86" t="s">
        <v>405</v>
      </c>
      <c r="H634" s="86" t="s">
        <v>405</v>
      </c>
      <c r="I634" s="86" t="s">
        <v>52</v>
      </c>
      <c r="J634" s="86" t="s">
        <v>53</v>
      </c>
      <c r="K634" s="86" t="s">
        <v>54</v>
      </c>
      <c r="L634" s="86" t="s">
        <v>55</v>
      </c>
      <c r="M634" s="87">
        <v>750</v>
      </c>
      <c r="N634" s="639">
        <v>830</v>
      </c>
      <c r="O634" s="551" t="s">
        <v>56</v>
      </c>
      <c r="P634" s="101">
        <v>48</v>
      </c>
      <c r="Q634" s="101">
        <v>48</v>
      </c>
      <c r="R634" s="101">
        <v>48</v>
      </c>
      <c r="S634" s="101">
        <v>48</v>
      </c>
      <c r="T634" s="273">
        <f>Table1[[#This Row],[VO Wdth]]</f>
        <v>48</v>
      </c>
      <c r="U634" s="273">
        <f>Table1[[#This Row],[VO Hgt]]</f>
        <v>48</v>
      </c>
      <c r="V634" s="608">
        <f t="shared" si="213"/>
        <v>56</v>
      </c>
      <c r="W634" s="608">
        <f t="shared" si="214"/>
        <v>56</v>
      </c>
      <c r="X634" s="137">
        <v>59</v>
      </c>
      <c r="Y634" s="101"/>
      <c r="Z634" s="101"/>
      <c r="AA634" s="649">
        <f t="shared" si="215"/>
        <v>21.777777777777779</v>
      </c>
      <c r="AB634" s="184">
        <f t="shared" si="218"/>
        <v>458.20444444444445</v>
      </c>
      <c r="AC634" s="104">
        <f t="shared" si="216"/>
        <v>14.373333333333335</v>
      </c>
      <c r="AD634" s="107">
        <f>Table1[[#This Row],[Substrate SF]]*IncaC</f>
        <v>36.656355555555557</v>
      </c>
      <c r="AE634" s="104">
        <f>IF(Table1[[#This Row],[Work Center]]="SwissQ",Materials!G$37,IF(Table1[[#This Row],[Work Center]]="Inca",Materials!G$29,IF(Table1[[#This Row],[Work Center]]="Canon",Materials!G$49,Materials!G$45)))</f>
        <v>8</v>
      </c>
      <c r="AF634" s="104">
        <f>'Cali FPS'!C117</f>
        <v>119.7</v>
      </c>
      <c r="AG634" s="115"/>
      <c r="AH634" s="498">
        <f t="shared" si="217"/>
        <v>37.5</v>
      </c>
      <c r="AI634" s="498"/>
      <c r="AJ634" s="104">
        <f t="shared" si="211"/>
        <v>216.22968888888889</v>
      </c>
      <c r="AK634" s="650">
        <f t="shared" si="210"/>
        <v>0.71169374814814823</v>
      </c>
      <c r="AL634" s="225">
        <f>Table1[[#This Row],[WSP/Dealer]]/Table1[[#This Row],[OD Sq Inch]]</f>
        <v>0.32552083333333331</v>
      </c>
      <c r="AM634" s="103">
        <f>Table1[[#This Row],[OD Wdth]]*Table1[[#This Row],[OD Hgt]]</f>
        <v>2304</v>
      </c>
      <c r="AN634" s="216">
        <f>Table1[[#This Row],[Min VO]]+Table1[[#This Row],[Max VO]]</f>
        <v>96</v>
      </c>
      <c r="AO634" s="101"/>
      <c r="AP634" s="101"/>
      <c r="AQ634" s="104"/>
      <c r="AR634" s="104"/>
      <c r="AS634" s="104"/>
      <c r="AT634" s="104"/>
      <c r="AU634" s="830" t="str">
        <f t="shared" si="212"/>
        <v>-</v>
      </c>
    </row>
    <row r="635" spans="1:47" s="103" customFormat="1" x14ac:dyDescent="0.2">
      <c r="A635" s="86" t="s">
        <v>58</v>
      </c>
      <c r="B635" s="1061" t="s">
        <v>527</v>
      </c>
      <c r="C635" s="77" t="s">
        <v>1711</v>
      </c>
      <c r="D635" s="94" t="s">
        <v>1712</v>
      </c>
      <c r="E635" s="85" t="s">
        <v>1713</v>
      </c>
      <c r="F635" s="85" t="s">
        <v>531</v>
      </c>
      <c r="G635" s="86" t="s">
        <v>925</v>
      </c>
      <c r="H635" s="86" t="s">
        <v>925</v>
      </c>
      <c r="I635" s="86" t="s">
        <v>52</v>
      </c>
      <c r="J635" s="86" t="s">
        <v>53</v>
      </c>
      <c r="K635" s="86" t="s">
        <v>54</v>
      </c>
      <c r="L635" s="86" t="s">
        <v>55</v>
      </c>
      <c r="M635" s="87">
        <v>580</v>
      </c>
      <c r="N635" s="639">
        <v>580</v>
      </c>
      <c r="O635" s="551" t="s">
        <v>56</v>
      </c>
      <c r="P635" s="101">
        <v>36</v>
      </c>
      <c r="Q635" s="101">
        <v>36</v>
      </c>
      <c r="R635" s="101">
        <v>36</v>
      </c>
      <c r="S635" s="101">
        <v>36</v>
      </c>
      <c r="T635" s="273">
        <f>Table1[[#This Row],[VO Wdth]]</f>
        <v>36</v>
      </c>
      <c r="U635" s="273">
        <f>Table1[[#This Row],[VO Hgt]]</f>
        <v>36</v>
      </c>
      <c r="V635" s="608">
        <f t="shared" si="213"/>
        <v>44</v>
      </c>
      <c r="W635" s="608">
        <f t="shared" si="214"/>
        <v>44</v>
      </c>
      <c r="X635" s="137">
        <v>53</v>
      </c>
      <c r="Y635" s="101"/>
      <c r="Z635" s="101"/>
      <c r="AA635" s="649">
        <f t="shared" si="215"/>
        <v>13.444444444444445</v>
      </c>
      <c r="AB635" s="184">
        <f t="shared" si="218"/>
        <v>282.87111111111108</v>
      </c>
      <c r="AC635" s="104">
        <f t="shared" si="216"/>
        <v>8.8733333333333331</v>
      </c>
      <c r="AD635" s="104">
        <f>Table1[[#This Row],[Substrate SF]]*IncaC</f>
        <v>22.629688888888889</v>
      </c>
      <c r="AE635" s="104">
        <f>IF(Table1[[#This Row],[Work Center]]="SwissQ",Materials!G$37,IF(Table1[[#This Row],[Work Center]]="Inca",Materials!G$29,IF(Table1[[#This Row],[Work Center]]="Canon",Materials!G$49,Materials!G$45)))</f>
        <v>8</v>
      </c>
      <c r="AF635" s="104">
        <f>'Cali FPS'!C67</f>
        <v>83.46</v>
      </c>
      <c r="AG635" s="837"/>
      <c r="AH635" s="498">
        <f t="shared" si="217"/>
        <v>29</v>
      </c>
      <c r="AI635" s="498"/>
      <c r="AJ635" s="104">
        <f t="shared" si="211"/>
        <v>151.96302222222221</v>
      </c>
      <c r="AK635" s="650">
        <f t="shared" si="210"/>
        <v>0.73799478927203066</v>
      </c>
      <c r="AL635" s="225">
        <f>Table1[[#This Row],[WSP/Dealer]]/Table1[[#This Row],[OD Sq Inch]]</f>
        <v>0.44753086419753085</v>
      </c>
      <c r="AM635" s="101">
        <f>Table1[[#This Row],[OD Wdth]]*Table1[[#This Row],[OD Hgt]]</f>
        <v>1296</v>
      </c>
      <c r="AN635" s="216">
        <f>Table1[[#This Row],[Min VO]]+Table1[[#This Row],[Max VO]]</f>
        <v>72</v>
      </c>
      <c r="AO635" s="988"/>
      <c r="AP635" s="988"/>
      <c r="AQ635" s="1141"/>
      <c r="AR635" s="1141"/>
      <c r="AS635" s="1141"/>
      <c r="AT635" s="1141"/>
      <c r="AU635" s="1470" t="str">
        <f t="shared" si="212"/>
        <v>-</v>
      </c>
    </row>
    <row r="636" spans="1:47" s="45" customFormat="1" hidden="1" x14ac:dyDescent="0.2">
      <c r="A636" s="216" t="s">
        <v>272</v>
      </c>
      <c r="B636" s="279" t="s">
        <v>273</v>
      </c>
      <c r="C636" s="342" t="s">
        <v>1714</v>
      </c>
      <c r="D636" s="94" t="s">
        <v>1715</v>
      </c>
      <c r="E636" s="217" t="s">
        <v>1713</v>
      </c>
      <c r="F636" s="217" t="s">
        <v>531</v>
      </c>
      <c r="G636" s="216" t="s">
        <v>925</v>
      </c>
      <c r="H636" s="216" t="s">
        <v>925</v>
      </c>
      <c r="I636" s="216" t="s">
        <v>52</v>
      </c>
      <c r="J636" s="216" t="s">
        <v>53</v>
      </c>
      <c r="K636" s="216" t="s">
        <v>54</v>
      </c>
      <c r="L636" s="216" t="s">
        <v>55</v>
      </c>
      <c r="M636" s="219">
        <v>300</v>
      </c>
      <c r="N636" s="219"/>
      <c r="O636" s="216" t="s">
        <v>56</v>
      </c>
      <c r="P636" s="216">
        <v>36</v>
      </c>
      <c r="Q636" s="216">
        <v>36</v>
      </c>
      <c r="R636" s="216">
        <v>36</v>
      </c>
      <c r="S636" s="216">
        <v>36</v>
      </c>
      <c r="T636" s="216">
        <v>36</v>
      </c>
      <c r="U636" s="216">
        <v>36</v>
      </c>
      <c r="V636" s="907">
        <f t="shared" si="213"/>
        <v>44</v>
      </c>
      <c r="W636" s="907">
        <f t="shared" si="214"/>
        <v>44</v>
      </c>
      <c r="X636" s="223">
        <v>53</v>
      </c>
      <c r="Y636" s="216"/>
      <c r="Z636" s="216"/>
      <c r="AA636" s="718">
        <f t="shared" si="215"/>
        <v>13.444444444444445</v>
      </c>
      <c r="AB636" s="233">
        <f t="shared" si="218"/>
        <v>282.87111111111108</v>
      </c>
      <c r="AC636" s="225">
        <f t="shared" si="216"/>
        <v>8.8733333333333331</v>
      </c>
      <c r="AD636" s="986">
        <f>Table1[[#This Row],[Ink g/mL]]*Materials!$C$29</f>
        <v>22.629688888888886</v>
      </c>
      <c r="AE636" s="104">
        <f>IF(Table1[[#This Row],[Work Center]]="SwissQ",Materials!G$37,IF(Table1[[#This Row],[Work Center]]="Inca",Materials!G$29,IF(Table1[[#This Row],[Work Center]]="Canon",Materials!G$49,Materials!G$45)))</f>
        <v>8</v>
      </c>
      <c r="AF636" s="225"/>
      <c r="AG636" s="837"/>
      <c r="AH636" s="112">
        <f t="shared" si="217"/>
        <v>15</v>
      </c>
      <c r="AI636" s="112"/>
      <c r="AJ636" s="225">
        <f t="shared" si="211"/>
        <v>54.503022222222221</v>
      </c>
      <c r="AK636" s="62">
        <f t="shared" si="210"/>
        <v>0.81832325925925919</v>
      </c>
      <c r="AL636" s="225">
        <f>Table1[[#This Row],[WSP/Dealer]]/Table1[[#This Row],[OD Sq Inch]]</f>
        <v>0.23148148148148148</v>
      </c>
      <c r="AM636" s="101">
        <f>Table1[[#This Row],[OD Wdth]]*Table1[[#This Row],[OD Hgt]]</f>
        <v>1296</v>
      </c>
      <c r="AN636" s="216">
        <f>Table1[[#This Row],[Min VO]]+Table1[[#This Row],[Max VO]]</f>
        <v>72</v>
      </c>
      <c r="AO636" s="216" t="s">
        <v>1716</v>
      </c>
      <c r="AP636" s="226"/>
      <c r="AQ636" s="226"/>
      <c r="AR636" s="226"/>
      <c r="AS636" s="226"/>
      <c r="AT636" s="226"/>
      <c r="AU636" s="1469" t="str">
        <f t="shared" si="212"/>
        <v>-</v>
      </c>
    </row>
    <row r="637" spans="1:47" s="103" customFormat="1" hidden="1" x14ac:dyDescent="0.2">
      <c r="A637" s="216" t="s">
        <v>272</v>
      </c>
      <c r="B637" s="1061" t="s">
        <v>273</v>
      </c>
      <c r="C637" s="342" t="s">
        <v>1717</v>
      </c>
      <c r="D637" s="94"/>
      <c r="E637" s="217" t="s">
        <v>1718</v>
      </c>
      <c r="F637" s="1228" t="s">
        <v>531</v>
      </c>
      <c r="G637" s="216" t="s">
        <v>925</v>
      </c>
      <c r="H637" s="216" t="s">
        <v>925</v>
      </c>
      <c r="I637" s="1242" t="s">
        <v>108</v>
      </c>
      <c r="J637" s="216" t="s">
        <v>53</v>
      </c>
      <c r="K637" s="216" t="s">
        <v>54</v>
      </c>
      <c r="L637" s="216" t="s">
        <v>55</v>
      </c>
      <c r="M637" s="226">
        <v>250</v>
      </c>
      <c r="N637" s="226"/>
      <c r="O637" s="216" t="s">
        <v>109</v>
      </c>
      <c r="P637" s="216">
        <v>36</v>
      </c>
      <c r="Q637" s="216">
        <v>36</v>
      </c>
      <c r="R637" s="216">
        <v>36</v>
      </c>
      <c r="S637" s="216">
        <v>36</v>
      </c>
      <c r="T637" s="216">
        <v>36</v>
      </c>
      <c r="U637" s="216">
        <v>36</v>
      </c>
      <c r="V637" s="907">
        <f t="shared" si="213"/>
        <v>44</v>
      </c>
      <c r="W637" s="907">
        <f t="shared" si="214"/>
        <v>44</v>
      </c>
      <c r="X637" s="223">
        <v>53</v>
      </c>
      <c r="Y637" s="216"/>
      <c r="Z637" s="216"/>
      <c r="AA637" s="718">
        <f t="shared" si="215"/>
        <v>13.444444444444445</v>
      </c>
      <c r="AB637" s="233">
        <f>AA637*EPSONM</f>
        <v>60.5</v>
      </c>
      <c r="AC637" s="225">
        <f t="shared" si="216"/>
        <v>8.8733333333333331</v>
      </c>
      <c r="AD637" s="225">
        <f>Table1[[#This Row],[Ink g/mL]]*EPSONC</f>
        <v>13.31</v>
      </c>
      <c r="AE637" s="104">
        <f>IF(Table1[[#This Row],[Work Center]]="SwissQ",Materials!G$37,IF(Table1[[#This Row],[Work Center]]="Inca",Materials!G$29,IF(Table1[[#This Row],[Work Center]]="Canon",Materials!G$49,Materials!G$45)))</f>
        <v>5</v>
      </c>
      <c r="AF637" s="225">
        <f>'Cali FPS'!C67</f>
        <v>83.46</v>
      </c>
      <c r="AG637" s="837"/>
      <c r="AH637" s="498">
        <f t="shared" si="217"/>
        <v>12.5</v>
      </c>
      <c r="AI637" s="498"/>
      <c r="AJ637" s="225">
        <f t="shared" si="211"/>
        <v>123.14333333333333</v>
      </c>
      <c r="AK637" s="650">
        <f t="shared" si="210"/>
        <v>0.50742666666666669</v>
      </c>
      <c r="AL637" s="225">
        <f>Table1[[#This Row],[WSP/Dealer]]/Table1[[#This Row],[OD Sq Inch]]</f>
        <v>0.19290123456790123</v>
      </c>
      <c r="AM637" s="216">
        <f>Table1[[#This Row],[OD Wdth]]*Table1[[#This Row],[OD Hgt]]</f>
        <v>1296</v>
      </c>
      <c r="AN637" s="216">
        <f>Table1[[#This Row],[Min VO]]+Table1[[#This Row],[Max VO]]</f>
        <v>72</v>
      </c>
      <c r="AO637" s="216" t="s">
        <v>1716</v>
      </c>
      <c r="AP637" s="226"/>
      <c r="AQ637" s="226"/>
      <c r="AR637" s="226"/>
      <c r="AS637" s="226"/>
      <c r="AT637" s="226"/>
      <c r="AU637" s="1471" t="str">
        <f t="shared" si="212"/>
        <v>-</v>
      </c>
    </row>
    <row r="638" spans="1:47" s="103" customFormat="1" hidden="1" x14ac:dyDescent="0.2">
      <c r="A638" s="374" t="s">
        <v>187</v>
      </c>
      <c r="B638" s="1061" t="s">
        <v>188</v>
      </c>
      <c r="C638" s="94" t="s">
        <v>1719</v>
      </c>
      <c r="D638" s="94"/>
      <c r="E638" s="84" t="s">
        <v>1720</v>
      </c>
      <c r="F638" s="84" t="s">
        <v>531</v>
      </c>
      <c r="G638" s="68" t="s">
        <v>115</v>
      </c>
      <c r="H638" s="68" t="s">
        <v>145</v>
      </c>
      <c r="I638" s="68" t="s">
        <v>52</v>
      </c>
      <c r="J638" s="68" t="s">
        <v>53</v>
      </c>
      <c r="K638" s="68" t="s">
        <v>69</v>
      </c>
      <c r="L638" s="68" t="s">
        <v>70</v>
      </c>
      <c r="M638" s="93">
        <v>2750</v>
      </c>
      <c r="N638" s="71"/>
      <c r="O638" s="68"/>
      <c r="P638" s="68"/>
      <c r="Q638" s="68"/>
      <c r="R638" s="68"/>
      <c r="S638" s="68"/>
      <c r="T638" s="623"/>
      <c r="U638" s="623"/>
      <c r="V638" s="917"/>
      <c r="W638" s="917"/>
      <c r="X638" s="189"/>
      <c r="Y638" s="68"/>
      <c r="Z638" s="68"/>
      <c r="AA638" s="699"/>
      <c r="AB638" s="297"/>
      <c r="AC638" s="74"/>
      <c r="AD638" s="126"/>
      <c r="AE638" s="126"/>
      <c r="AF638" s="73"/>
      <c r="AG638" s="838"/>
      <c r="AH638" s="498">
        <f t="shared" si="217"/>
        <v>137.5</v>
      </c>
      <c r="AI638" s="498"/>
      <c r="AJ638" s="126"/>
      <c r="AK638" s="650">
        <f t="shared" si="210"/>
        <v>1</v>
      </c>
      <c r="AL638" s="225" t="e">
        <f>Table1[[#This Row],[WSP/Dealer]]/Table1[[#This Row],[OD Sq Inch]]</f>
        <v>#DIV/0!</v>
      </c>
      <c r="AM638" s="84"/>
      <c r="AN638" s="84"/>
      <c r="AO638" s="838"/>
      <c r="AP638" s="838"/>
      <c r="AQ638" s="1123"/>
      <c r="AR638" s="1123"/>
      <c r="AS638" s="1123"/>
      <c r="AT638" s="1122"/>
      <c r="AU638" s="1375" t="str">
        <f t="shared" si="212"/>
        <v>-</v>
      </c>
    </row>
    <row r="639" spans="1:47" s="103" customFormat="1" hidden="1" x14ac:dyDescent="0.2">
      <c r="A639" s="374" t="s">
        <v>187</v>
      </c>
      <c r="B639" s="1061" t="s">
        <v>188</v>
      </c>
      <c r="C639" s="94" t="s">
        <v>1721</v>
      </c>
      <c r="D639" s="94"/>
      <c r="E639" s="84" t="s">
        <v>1720</v>
      </c>
      <c r="F639" s="84" t="s">
        <v>531</v>
      </c>
      <c r="G639" s="68" t="s">
        <v>115</v>
      </c>
      <c r="H639" s="68" t="s">
        <v>115</v>
      </c>
      <c r="I639" s="68" t="s">
        <v>52</v>
      </c>
      <c r="J639" s="68" t="s">
        <v>53</v>
      </c>
      <c r="K639" s="68" t="s">
        <v>54</v>
      </c>
      <c r="L639" s="68" t="s">
        <v>55</v>
      </c>
      <c r="M639" s="93">
        <v>2250</v>
      </c>
      <c r="N639" s="71"/>
      <c r="O639" s="68"/>
      <c r="P639" s="68"/>
      <c r="Q639" s="68"/>
      <c r="R639" s="68"/>
      <c r="S639" s="68"/>
      <c r="T639" s="623"/>
      <c r="U639" s="623"/>
      <c r="V639" s="917"/>
      <c r="W639" s="917"/>
      <c r="X639" s="189"/>
      <c r="Y639" s="68"/>
      <c r="Z639" s="68"/>
      <c r="AA639" s="699"/>
      <c r="AB639" s="297"/>
      <c r="AC639" s="74"/>
      <c r="AD639" s="126"/>
      <c r="AE639" s="126"/>
      <c r="AF639" s="73"/>
      <c r="AG639" s="838"/>
      <c r="AH639" s="498">
        <f t="shared" si="217"/>
        <v>112.5</v>
      </c>
      <c r="AI639" s="498"/>
      <c r="AJ639" s="126"/>
      <c r="AK639" s="650">
        <f t="shared" si="210"/>
        <v>1</v>
      </c>
      <c r="AL639" s="225" t="e">
        <f>Table1[[#This Row],[WSP/Dealer]]/Table1[[#This Row],[OD Sq Inch]]</f>
        <v>#DIV/0!</v>
      </c>
      <c r="AM639" s="84"/>
      <c r="AN639" s="84"/>
      <c r="AO639" s="838"/>
      <c r="AP639" s="838"/>
      <c r="AQ639" s="1123"/>
      <c r="AR639" s="1123"/>
      <c r="AS639" s="1123"/>
      <c r="AT639" s="1122"/>
      <c r="AU639" s="1375" t="str">
        <f t="shared" si="212"/>
        <v>-</v>
      </c>
    </row>
    <row r="640" spans="1:47" s="103" customFormat="1" hidden="1" x14ac:dyDescent="0.2">
      <c r="A640" s="374" t="s">
        <v>187</v>
      </c>
      <c r="B640" s="1061" t="s">
        <v>188</v>
      </c>
      <c r="C640" s="94" t="s">
        <v>1722</v>
      </c>
      <c r="D640" s="94"/>
      <c r="E640" s="84" t="s">
        <v>1720</v>
      </c>
      <c r="F640" s="84" t="s">
        <v>531</v>
      </c>
      <c r="G640" s="68" t="s">
        <v>115</v>
      </c>
      <c r="H640" s="68" t="s">
        <v>145</v>
      </c>
      <c r="I640" s="68" t="s">
        <v>52</v>
      </c>
      <c r="J640" s="68" t="s">
        <v>53</v>
      </c>
      <c r="K640" s="68" t="s">
        <v>69</v>
      </c>
      <c r="L640" s="68" t="s">
        <v>73</v>
      </c>
      <c r="M640" s="93">
        <v>2750</v>
      </c>
      <c r="N640" s="71"/>
      <c r="O640" s="68"/>
      <c r="P640" s="68"/>
      <c r="Q640" s="68"/>
      <c r="R640" s="68"/>
      <c r="S640" s="68"/>
      <c r="T640" s="623"/>
      <c r="U640" s="623"/>
      <c r="V640" s="66"/>
      <c r="W640" s="66"/>
      <c r="X640" s="189"/>
      <c r="Y640" s="68"/>
      <c r="Z640" s="68"/>
      <c r="AA640" s="699"/>
      <c r="AB640" s="297"/>
      <c r="AC640" s="74"/>
      <c r="AD640" s="118"/>
      <c r="AE640" s="126"/>
      <c r="AF640" s="73"/>
      <c r="AG640" s="838"/>
      <c r="AH640" s="498">
        <f t="shared" si="217"/>
        <v>137.5</v>
      </c>
      <c r="AI640" s="498"/>
      <c r="AJ640" s="126"/>
      <c r="AK640" s="650">
        <f t="shared" si="210"/>
        <v>1</v>
      </c>
      <c r="AL640" s="225" t="e">
        <f>Table1[[#This Row],[WSP/Dealer]]/Table1[[#This Row],[OD Sq Inch]]</f>
        <v>#DIV/0!</v>
      </c>
      <c r="AM640" s="119"/>
      <c r="AN640" s="84"/>
      <c r="AO640" s="838"/>
      <c r="AP640" s="838"/>
      <c r="AQ640" s="1123"/>
      <c r="AR640" s="1123"/>
      <c r="AS640" s="1123"/>
      <c r="AT640" s="1122"/>
      <c r="AU640" s="1375" t="str">
        <f t="shared" si="212"/>
        <v>-</v>
      </c>
    </row>
    <row r="641" spans="1:47" s="103" customFormat="1" hidden="1" x14ac:dyDescent="0.2">
      <c r="A641" s="373" t="s">
        <v>187</v>
      </c>
      <c r="B641" s="1061" t="s">
        <v>188</v>
      </c>
      <c r="C641" s="94" t="s">
        <v>1723</v>
      </c>
      <c r="D641" s="94"/>
      <c r="E641" s="84" t="s">
        <v>1724</v>
      </c>
      <c r="F641" s="84" t="s">
        <v>531</v>
      </c>
      <c r="G641" s="68" t="s">
        <v>115</v>
      </c>
      <c r="H641" s="68" t="s">
        <v>115</v>
      </c>
      <c r="I641" s="68" t="s">
        <v>108</v>
      </c>
      <c r="J641" s="140" t="s">
        <v>197</v>
      </c>
      <c r="K641" s="68" t="s">
        <v>198</v>
      </c>
      <c r="L641" s="68" t="s">
        <v>199</v>
      </c>
      <c r="M641" s="93">
        <v>90</v>
      </c>
      <c r="N641" s="71"/>
      <c r="O641" s="274" t="s">
        <v>64</v>
      </c>
      <c r="P641" s="68">
        <v>48</v>
      </c>
      <c r="Q641" s="68">
        <v>48</v>
      </c>
      <c r="R641" s="68">
        <v>48</v>
      </c>
      <c r="S641" s="68">
        <v>48</v>
      </c>
      <c r="T641" s="68">
        <v>48</v>
      </c>
      <c r="U641" s="68">
        <v>48</v>
      </c>
      <c r="V641" s="277">
        <f>Table1[[#This Row],[VO Wdth]]+Materials!$C$7</f>
        <v>50</v>
      </c>
      <c r="W641" s="277">
        <f>Table1[[#This Row],[VO Hgt]]+Materials!$C$7</f>
        <v>50</v>
      </c>
      <c r="X641" s="343" t="s">
        <v>197</v>
      </c>
      <c r="Y641" s="68"/>
      <c r="Z641" s="68"/>
      <c r="AA641" s="699">
        <f t="shared" ref="AA641:AA646" si="219">V641*W641/144</f>
        <v>17.361111111111111</v>
      </c>
      <c r="AB641" s="341">
        <f>AA641*SWISSRML</f>
        <v>34.722222222222221</v>
      </c>
      <c r="AC641" s="74">
        <f>Table1[[#This Row],[Substrate SF]]*POster</f>
        <v>12.916666666666666</v>
      </c>
      <c r="AD641" s="263">
        <f>Table1[[#This Row],[Substrate SF]]*SWISSRC</f>
        <v>3.8194444444444442</v>
      </c>
      <c r="AE64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641" s="73">
        <v>0</v>
      </c>
      <c r="AG641" s="126">
        <f>Materials!D$76</f>
        <v>10.82</v>
      </c>
      <c r="AH641" s="498">
        <f t="shared" si="217"/>
        <v>4.5</v>
      </c>
      <c r="AI641" s="498"/>
      <c r="AJ641" s="278">
        <f t="shared" ref="AJ641:AJ646" si="220">SUM(AC641:AH641)</f>
        <v>42.056111111111107</v>
      </c>
      <c r="AK641" s="650">
        <f t="shared" si="210"/>
        <v>0.53270987654320989</v>
      </c>
      <c r="AL641" s="225">
        <f>Table1[[#This Row],[WSP/Dealer]]/Table1[[#This Row],[OD Sq Inch]]</f>
        <v>3.90625E-2</v>
      </c>
      <c r="AM641" s="170">
        <f>Table1[[#This Row],[OD Wdth]]*Table1[[#This Row],[OD Hgt]]</f>
        <v>2304</v>
      </c>
      <c r="AN641" s="84"/>
      <c r="AO641" s="84"/>
      <c r="AP641" s="84"/>
      <c r="AQ641" s="126"/>
      <c r="AR641" s="126"/>
      <c r="AS641" s="126"/>
      <c r="AT641" s="74"/>
      <c r="AU641" s="1357" t="str">
        <f t="shared" si="212"/>
        <v>-</v>
      </c>
    </row>
    <row r="642" spans="1:47" s="63" customFormat="1" x14ac:dyDescent="0.2">
      <c r="A642" s="86" t="s">
        <v>58</v>
      </c>
      <c r="B642" s="1061" t="s">
        <v>527</v>
      </c>
      <c r="C642" s="77" t="s">
        <v>1725</v>
      </c>
      <c r="D642" s="94" t="s">
        <v>1726</v>
      </c>
      <c r="E642" s="85" t="s">
        <v>1727</v>
      </c>
      <c r="F642" s="85" t="s">
        <v>531</v>
      </c>
      <c r="G642" s="86" t="s">
        <v>1728</v>
      </c>
      <c r="H642" s="86" t="s">
        <v>1728</v>
      </c>
      <c r="I642" s="86" t="s">
        <v>52</v>
      </c>
      <c r="J642" s="86" t="s">
        <v>53</v>
      </c>
      <c r="K642" s="86" t="s">
        <v>54</v>
      </c>
      <c r="L642" s="86" t="s">
        <v>55</v>
      </c>
      <c r="M642" s="87">
        <v>1100</v>
      </c>
      <c r="N642" s="639">
        <v>1000</v>
      </c>
      <c r="O642" s="551" t="s">
        <v>56</v>
      </c>
      <c r="P642" s="101">
        <v>54</v>
      </c>
      <c r="Q642" s="101">
        <v>54</v>
      </c>
      <c r="R642" s="101">
        <v>54</v>
      </c>
      <c r="S642" s="101">
        <v>54</v>
      </c>
      <c r="T642" s="273">
        <f>Table1[[#This Row],[VO Wdth]]</f>
        <v>54</v>
      </c>
      <c r="U642" s="273">
        <f>Table1[[#This Row],[VO Hgt]]</f>
        <v>54</v>
      </c>
      <c r="V642" s="608">
        <f>IF(J642="Canvas",P642+Border,P642)</f>
        <v>62</v>
      </c>
      <c r="W642" s="608">
        <f>IF(J642="Canvas",Q642+Border,Q642)</f>
        <v>62</v>
      </c>
      <c r="X642" s="137">
        <v>62</v>
      </c>
      <c r="Y642" s="101"/>
      <c r="Z642" s="101"/>
      <c r="AA642" s="649">
        <f t="shared" si="219"/>
        <v>26.694444444444443</v>
      </c>
      <c r="AB642" s="184">
        <f>AA642*IncaG</f>
        <v>561.65111111111105</v>
      </c>
      <c r="AC642" s="104">
        <f>AA642*Canvas</f>
        <v>17.618333333333332</v>
      </c>
      <c r="AD642" s="104">
        <f>Table1[[#This Row],[Substrate SF]]*IncaC</f>
        <v>44.932088888888885</v>
      </c>
      <c r="AE642" s="104">
        <f>IF(Table1[[#This Row],[Work Center]]="SwissQ",Materials!G$37,IF(Table1[[#This Row],[Work Center]]="Inca",Materials!G$29,IF(Table1[[#This Row],[Work Center]]="Canon",Materials!G$49,Materials!G$45)))</f>
        <v>8</v>
      </c>
      <c r="AF642" s="104">
        <f>'Cali FPS'!C142</f>
        <v>178.465</v>
      </c>
      <c r="AG642" s="837"/>
      <c r="AH642" s="498">
        <f t="shared" si="217"/>
        <v>55</v>
      </c>
      <c r="AI642" s="498"/>
      <c r="AJ642" s="104">
        <f t="shared" si="220"/>
        <v>304.01542222222224</v>
      </c>
      <c r="AK642" s="650">
        <f t="shared" si="210"/>
        <v>0.7236223434343434</v>
      </c>
      <c r="AL642" s="225">
        <f>Table1[[#This Row],[WSP/Dealer]]/Table1[[#This Row],[OD Sq Inch]]</f>
        <v>0.37722908093278462</v>
      </c>
      <c r="AM642" s="110">
        <f>Table1[[#This Row],[OD Wdth]]*Table1[[#This Row],[OD Hgt]]</f>
        <v>2916</v>
      </c>
      <c r="AN642" s="216">
        <f>Table1[[#This Row],[Min VO]]+Table1[[#This Row],[Max VO]]</f>
        <v>108</v>
      </c>
      <c r="AO642" s="988"/>
      <c r="AP642" s="988"/>
      <c r="AQ642" s="1141"/>
      <c r="AR642" s="1141"/>
      <c r="AS642" s="1141"/>
      <c r="AT642" s="1141"/>
      <c r="AU642" s="1470" t="str">
        <f t="shared" si="212"/>
        <v>-</v>
      </c>
    </row>
    <row r="643" spans="1:47" s="170" customFormat="1" hidden="1" x14ac:dyDescent="0.2">
      <c r="A643" s="552"/>
      <c r="B643" s="1061"/>
      <c r="C643" s="168" t="s">
        <v>1729</v>
      </c>
      <c r="D643" s="94"/>
      <c r="E643" s="115" t="s">
        <v>1730</v>
      </c>
      <c r="F643" s="115" t="s">
        <v>571</v>
      </c>
      <c r="G643" s="101" t="s">
        <v>323</v>
      </c>
      <c r="H643" s="101" t="s">
        <v>325</v>
      </c>
      <c r="I643" s="101" t="s">
        <v>52</v>
      </c>
      <c r="J643" s="101" t="s">
        <v>53</v>
      </c>
      <c r="K643" s="101" t="s">
        <v>69</v>
      </c>
      <c r="L643" s="101" t="s">
        <v>70</v>
      </c>
      <c r="M643" s="299">
        <v>400</v>
      </c>
      <c r="N643" s="71"/>
      <c r="O643" s="101" t="s">
        <v>64</v>
      </c>
      <c r="P643" s="101">
        <v>36</v>
      </c>
      <c r="Q643" s="101">
        <v>24</v>
      </c>
      <c r="R643" s="101">
        <v>24</v>
      </c>
      <c r="S643" s="101">
        <v>36</v>
      </c>
      <c r="T643" s="101">
        <v>37</v>
      </c>
      <c r="U643" s="101">
        <v>25</v>
      </c>
      <c r="V643" s="608">
        <f>IF(J643="Canvas",P643+Border,P643)</f>
        <v>44</v>
      </c>
      <c r="W643" s="608">
        <f>IF(J643="Canvas",Q643+Border,Q643)</f>
        <v>32</v>
      </c>
      <c r="X643" s="137">
        <v>53</v>
      </c>
      <c r="Y643" s="101">
        <v>44</v>
      </c>
      <c r="Z643" s="101">
        <v>32</v>
      </c>
      <c r="AA643" s="724">
        <f t="shared" si="219"/>
        <v>9.7777777777777786</v>
      </c>
      <c r="AB643" s="633">
        <f>Table1[[#This Row],[Substrate SF]]*Swiss1</f>
        <v>276.71111111111117</v>
      </c>
      <c r="AC643" s="406">
        <f>AA643*Canvas</f>
        <v>6.453333333333334</v>
      </c>
      <c r="AD643" s="405">
        <f>Table1[[#This Row],[Substrate SF]]*SWISSC1</f>
        <v>27.37777777777778</v>
      </c>
      <c r="AE643" s="104">
        <f>IF(Table1[[#This Row],[Work Center]]="SwissQ",Materials!G$37,IF(Table1[[#This Row],[Work Center]]="Inca",Materials!G$29,IF(Table1[[#This Row],[Work Center]]="Canon",Materials!G$49,Materials!G$45)))</f>
        <v>20</v>
      </c>
      <c r="AF643" s="102">
        <f>'Cali Frames'!D282</f>
        <v>112.66500000000001</v>
      </c>
      <c r="AG643" s="121"/>
      <c r="AH643" s="112">
        <f t="shared" si="217"/>
        <v>20</v>
      </c>
      <c r="AI643" s="112"/>
      <c r="AJ643" s="405">
        <f t="shared" si="220"/>
        <v>186.49611111111113</v>
      </c>
      <c r="AK643" s="62">
        <f t="shared" si="210"/>
        <v>0.53375972222222212</v>
      </c>
      <c r="AL643" s="225">
        <f>Table1[[#This Row],[WSP/Dealer]]/Table1[[#This Row],[OD Sq Inch]]</f>
        <v>0.43243243243243246</v>
      </c>
      <c r="AM643" s="399">
        <f>Table1[[#This Row],[OD Wdth]]*Table1[[#This Row],[OD Hgt]]</f>
        <v>925</v>
      </c>
      <c r="AN643" s="400" t="str">
        <f>Table1[[#This Row],[Color]]</f>
        <v>BF</v>
      </c>
      <c r="AO643" s="115" t="str">
        <f>Table1[[#This Row],[Print Type]]</f>
        <v>Synograph</v>
      </c>
      <c r="AP643" s="115"/>
      <c r="AQ643" s="121"/>
      <c r="AR643" s="121"/>
      <c r="AS643" s="121"/>
      <c r="AT643" s="104"/>
      <c r="AU643" s="1359" t="str">
        <f t="shared" si="212"/>
        <v>-</v>
      </c>
    </row>
    <row r="644" spans="1:47" s="170" customFormat="1" hidden="1" x14ac:dyDescent="0.2">
      <c r="A644" s="180" t="s">
        <v>95</v>
      </c>
      <c r="B644" s="1061" t="s">
        <v>96</v>
      </c>
      <c r="C644" s="79" t="s">
        <v>1731</v>
      </c>
      <c r="D644" s="94"/>
      <c r="E644" s="83" t="s">
        <v>1732</v>
      </c>
      <c r="F644" s="83" t="s">
        <v>448</v>
      </c>
      <c r="G644" s="60" t="s">
        <v>51</v>
      </c>
      <c r="H644" s="60" t="s">
        <v>364</v>
      </c>
      <c r="I644" s="60" t="s">
        <v>52</v>
      </c>
      <c r="J644" s="59" t="s">
        <v>53</v>
      </c>
      <c r="K644" s="60" t="s">
        <v>69</v>
      </c>
      <c r="L644" s="60" t="s">
        <v>73</v>
      </c>
      <c r="M644" s="179">
        <v>650</v>
      </c>
      <c r="N644" s="72"/>
      <c r="O644" s="60" t="s">
        <v>64</v>
      </c>
      <c r="P644" s="60">
        <v>30</v>
      </c>
      <c r="Q644" s="60">
        <v>40</v>
      </c>
      <c r="R644" s="60">
        <v>30</v>
      </c>
      <c r="S644" s="60">
        <v>40</v>
      </c>
      <c r="T644" s="60">
        <v>31</v>
      </c>
      <c r="U644" s="60">
        <v>41</v>
      </c>
      <c r="V644" s="47">
        <f>IF(J644="Canvas",P644+Border,P644)</f>
        <v>38</v>
      </c>
      <c r="W644" s="47">
        <f>IF(J644="Canvas",Q644+Border,Q644)</f>
        <v>48</v>
      </c>
      <c r="X644" s="138">
        <v>40</v>
      </c>
      <c r="Y644" s="60">
        <v>38</v>
      </c>
      <c r="Z644" s="60">
        <v>48</v>
      </c>
      <c r="AA644" s="717">
        <f t="shared" si="219"/>
        <v>12.666666666666666</v>
      </c>
      <c r="AB644" s="125">
        <f>AA644*Swiss1</f>
        <v>358.46666666666664</v>
      </c>
      <c r="AC644" s="69">
        <f>AA644*Canvas</f>
        <v>8.36</v>
      </c>
      <c r="AD644" s="48">
        <f>Table1[[#This Row],[Substrate SF]]*Materials!C$37</f>
        <v>35.466666666666661</v>
      </c>
      <c r="AE644" s="69">
        <f>IF(Table1[[#This Row],[Work Center]]="SwissQ",Materials!G$37,IF(Table1[[#This Row],[Work Center]]="Inca",Materials!G$29,IF(Table1[[#This Row],[Work Center]]="Canon",Materials!G$49,Materials!G$45)))</f>
        <v>20</v>
      </c>
      <c r="AF644" s="72">
        <f>'Cali Frames'!D430</f>
        <v>108.955</v>
      </c>
      <c r="AG644" s="540"/>
      <c r="AH644" s="69">
        <f t="shared" si="217"/>
        <v>32.5</v>
      </c>
      <c r="AI644" s="69"/>
      <c r="AJ644" s="69">
        <f t="shared" si="220"/>
        <v>205.28166666666667</v>
      </c>
      <c r="AK644" s="650">
        <f t="shared" si="210"/>
        <v>0.68418205128205134</v>
      </c>
      <c r="AL644" s="225">
        <f>Table1[[#This Row],[WSP/Dealer]]/Table1[[#This Row],[OD Sq Inch]]</f>
        <v>0.51140833988985046</v>
      </c>
      <c r="AM644" s="218">
        <f>Table1[[#This Row],[OD Wdth]]*Table1[[#This Row],[OD Hgt]]</f>
        <v>1271</v>
      </c>
      <c r="AN644" s="216">
        <f>Table1[[#This Row],[Min VO]]+Table1[[#This Row],[Max VO]]</f>
        <v>70</v>
      </c>
      <c r="AO644" s="83"/>
      <c r="AP644" s="83"/>
      <c r="AQ644" s="540"/>
      <c r="AR644" s="540"/>
      <c r="AS644" s="540"/>
      <c r="AT644" s="69"/>
      <c r="AU644" s="1361" t="str">
        <f t="shared" si="212"/>
        <v>-</v>
      </c>
    </row>
    <row r="645" spans="1:47" s="173" customFormat="1" hidden="1" x14ac:dyDescent="0.2">
      <c r="A645" s="485" t="s">
        <v>318</v>
      </c>
      <c r="B645" s="1061" t="s">
        <v>96</v>
      </c>
      <c r="C645" s="168" t="s">
        <v>1733</v>
      </c>
      <c r="D645" s="94">
        <v>176182</v>
      </c>
      <c r="E645" s="115" t="s">
        <v>1734</v>
      </c>
      <c r="F645" s="115" t="s">
        <v>131</v>
      </c>
      <c r="G645" s="101" t="s">
        <v>519</v>
      </c>
      <c r="H645" s="101" t="s">
        <v>688</v>
      </c>
      <c r="I645" s="645" t="s">
        <v>52</v>
      </c>
      <c r="J645" s="487" t="s">
        <v>53</v>
      </c>
      <c r="K645" s="101" t="s">
        <v>69</v>
      </c>
      <c r="L645" s="101" t="s">
        <v>70</v>
      </c>
      <c r="M645" s="544">
        <v>260</v>
      </c>
      <c r="N645" s="786">
        <v>650</v>
      </c>
      <c r="O645" s="645" t="s">
        <v>56</v>
      </c>
      <c r="P645" s="101">
        <v>16</v>
      </c>
      <c r="Q645" s="101">
        <v>20</v>
      </c>
      <c r="R645" s="101">
        <v>16</v>
      </c>
      <c r="S645" s="101">
        <v>20</v>
      </c>
      <c r="T645" s="101">
        <v>17</v>
      </c>
      <c r="U645" s="101">
        <v>21</v>
      </c>
      <c r="V645" s="608">
        <f>IF(J645="Canvas",P645+Border,P645)</f>
        <v>24</v>
      </c>
      <c r="W645" s="608">
        <f>IF(J645="Canvas",Q645+Border,Q645)</f>
        <v>28</v>
      </c>
      <c r="X645" s="137" t="s">
        <v>1158</v>
      </c>
      <c r="Y645" s="101">
        <v>24</v>
      </c>
      <c r="Z645" s="101">
        <v>28</v>
      </c>
      <c r="AA645" s="724">
        <f t="shared" si="219"/>
        <v>4.666666666666667</v>
      </c>
      <c r="AB645" s="184">
        <f>AA645*IncaC</f>
        <v>7.8549333333333342</v>
      </c>
      <c r="AC645" s="104">
        <f>AA645*Canvas</f>
        <v>3.0800000000000005</v>
      </c>
      <c r="AD645" s="406">
        <f>Table1[[#This Row],[Substrate SF]]*IncaC</f>
        <v>7.8549333333333342</v>
      </c>
      <c r="AE645" s="104">
        <f>IF(Table1[[#This Row],[Work Center]]="SwissQ",Materials!G$37,IF(Table1[[#This Row],[Work Center]]="Inca",Materials!G$29,IF(Table1[[#This Row],[Work Center]]="Canon",Materials!G$49,Materials!G$45)))</f>
        <v>8</v>
      </c>
      <c r="AF645" s="406">
        <f>'Cali Frames'!D267</f>
        <v>82.757499999999993</v>
      </c>
      <c r="AG645" s="121"/>
      <c r="AH645" s="112">
        <f t="shared" si="217"/>
        <v>13</v>
      </c>
      <c r="AI645" s="112"/>
      <c r="AJ645" s="406">
        <f t="shared" si="220"/>
        <v>114.69243333333333</v>
      </c>
      <c r="AK645" s="62">
        <f t="shared" si="210"/>
        <v>0.55887525641025648</v>
      </c>
      <c r="AL645" s="225">
        <f>Table1[[#This Row],[WSP/Dealer]]/Table1[[#This Row],[OD Sq Inch]]</f>
        <v>0.72829131652661061</v>
      </c>
      <c r="AM645" s="400">
        <f>Table1[[#This Row],[OD Wdth]]*Table1[[#This Row],[OD Hgt]]</f>
        <v>357</v>
      </c>
      <c r="AN645" s="400" t="str">
        <f>Table1[[#This Row],[Color]]</f>
        <v>BF</v>
      </c>
      <c r="AO645" s="115" t="str">
        <f>Table1[[#This Row],[Print Type]]</f>
        <v>Synograph</v>
      </c>
      <c r="AP645" s="121"/>
      <c r="AQ645" s="121"/>
      <c r="AR645" s="121"/>
      <c r="AS645" s="121"/>
      <c r="AT645" s="104"/>
      <c r="AU645" s="1359" t="str">
        <f t="shared" si="212"/>
        <v>-</v>
      </c>
    </row>
    <row r="646" spans="1:47" s="868" customFormat="1" x14ac:dyDescent="0.2">
      <c r="A646" s="145" t="s">
        <v>58</v>
      </c>
      <c r="B646" s="1061" t="s">
        <v>533</v>
      </c>
      <c r="C646" s="146" t="s">
        <v>1735</v>
      </c>
      <c r="D646" s="94" t="s">
        <v>1736</v>
      </c>
      <c r="E646" s="146" t="s">
        <v>1737</v>
      </c>
      <c r="F646" s="154" t="s">
        <v>1738</v>
      </c>
      <c r="G646" s="145" t="s">
        <v>1739</v>
      </c>
      <c r="H646" s="145" t="s">
        <v>1740</v>
      </c>
      <c r="I646" s="145" t="s">
        <v>52</v>
      </c>
      <c r="J646" s="145" t="s">
        <v>53</v>
      </c>
      <c r="K646" s="145" t="s">
        <v>54</v>
      </c>
      <c r="L646" s="145" t="s">
        <v>55</v>
      </c>
      <c r="M646" s="151">
        <v>900</v>
      </c>
      <c r="N646" s="639">
        <v>900</v>
      </c>
      <c r="O646" s="145" t="s">
        <v>56</v>
      </c>
      <c r="P646" s="145">
        <v>63</v>
      </c>
      <c r="Q646" s="145">
        <v>42</v>
      </c>
      <c r="R646" s="145">
        <v>42</v>
      </c>
      <c r="S646" s="145">
        <v>63</v>
      </c>
      <c r="T646" s="1777">
        <f>Table1[[#This Row],[VO Wdth]]</f>
        <v>63</v>
      </c>
      <c r="U646" s="1777">
        <f>Table1[[#This Row],[VO Hgt]]</f>
        <v>42</v>
      </c>
      <c r="V646" s="149">
        <f>IF(J646="Canvas",P646+Border,P646)</f>
        <v>71</v>
      </c>
      <c r="W646" s="149">
        <f>IF(J646="Canvas",Q646+Border,Q646)</f>
        <v>50</v>
      </c>
      <c r="X646" s="157">
        <v>53</v>
      </c>
      <c r="Y646" s="145"/>
      <c r="Z646" s="145"/>
      <c r="AA646" s="722">
        <f t="shared" si="219"/>
        <v>24.652777777777779</v>
      </c>
      <c r="AB646" s="389">
        <f>AA646*IncaG</f>
        <v>518.69444444444446</v>
      </c>
      <c r="AC646" s="104">
        <f>AA646*Canvas</f>
        <v>16.270833333333336</v>
      </c>
      <c r="AD646" s="150">
        <f>AA646*IncaC</f>
        <v>41.495555555555555</v>
      </c>
      <c r="AE646" s="104">
        <f>IF(Table1[[#This Row],[Work Center]]="SwissQ",Materials!G$37,IF(Table1[[#This Row],[Work Center]]="Inca",Materials!G$29,IF(Table1[[#This Row],[Work Center]]="Canon",Materials!G$49,Materials!G$45)))</f>
        <v>8</v>
      </c>
      <c r="AF646" s="143">
        <f>'Cali FPS'!C$106</f>
        <v>175</v>
      </c>
      <c r="AG646" s="115"/>
      <c r="AH646" s="112">
        <f t="shared" si="217"/>
        <v>45</v>
      </c>
      <c r="AI646" s="112"/>
      <c r="AJ646" s="143">
        <f t="shared" si="220"/>
        <v>285.76638888888886</v>
      </c>
      <c r="AK646" s="62">
        <f t="shared" si="210"/>
        <v>0.68248179012345678</v>
      </c>
      <c r="AL646" s="225">
        <f>Table1[[#This Row],[WSP/Dealer]]/Table1[[#This Row],[OD Sq Inch]]</f>
        <v>0.3401360544217687</v>
      </c>
      <c r="AM646" s="218">
        <f>Table1[[#This Row],[OD Wdth]]*Table1[[#This Row],[OD Hgt]]</f>
        <v>2646</v>
      </c>
      <c r="AN646" s="216">
        <f>Table1[[#This Row],[Min VO]]+Table1[[#This Row],[Max VO]]</f>
        <v>105</v>
      </c>
      <c r="AO646" s="144"/>
      <c r="AP646" s="145"/>
      <c r="AQ646" s="143"/>
      <c r="AR646" s="143"/>
      <c r="AS646" s="143"/>
      <c r="AT646" s="143"/>
      <c r="AU646" s="1371" t="str">
        <f t="shared" si="212"/>
        <v>-</v>
      </c>
    </row>
    <row r="647" spans="1:47" s="159" customFormat="1" hidden="1" x14ac:dyDescent="0.2">
      <c r="A647" s="68"/>
      <c r="B647" s="1072"/>
      <c r="C647" s="94" t="s">
        <v>1741</v>
      </c>
      <c r="D647" s="94"/>
      <c r="E647" s="172" t="s">
        <v>1742</v>
      </c>
      <c r="F647" s="172" t="s">
        <v>920</v>
      </c>
      <c r="G647" s="68" t="s">
        <v>1743</v>
      </c>
      <c r="H647" s="68" t="s">
        <v>1743</v>
      </c>
      <c r="I647" s="68" t="s">
        <v>52</v>
      </c>
      <c r="J647" s="140" t="s">
        <v>53</v>
      </c>
      <c r="K647" s="68" t="s">
        <v>54</v>
      </c>
      <c r="L647" s="68" t="s">
        <v>55</v>
      </c>
      <c r="M647" s="93"/>
      <c r="N647" s="93"/>
      <c r="O647" s="68"/>
      <c r="P647" s="68"/>
      <c r="Q647" s="68"/>
      <c r="R647" s="68"/>
      <c r="S647" s="68"/>
      <c r="T647" s="623"/>
      <c r="U647" s="623"/>
      <c r="V647" s="917"/>
      <c r="W647" s="917"/>
      <c r="X647" s="68"/>
      <c r="Y647" s="68"/>
      <c r="Z647" s="68"/>
      <c r="AA647" s="699"/>
      <c r="AB647" s="297"/>
      <c r="AC647" s="74"/>
      <c r="AD647" s="126"/>
      <c r="AE647" s="126"/>
      <c r="AF647" s="73"/>
      <c r="AG647" s="84"/>
      <c r="AH647" s="126"/>
      <c r="AI647" s="126"/>
      <c r="AJ647" s="126"/>
      <c r="AK647" s="1001"/>
      <c r="AL647" s="126"/>
      <c r="AM647" s="84"/>
      <c r="AN647" s="84"/>
      <c r="AO647" s="84"/>
      <c r="AP647" s="84"/>
      <c r="AQ647" s="74"/>
      <c r="AR647" s="74"/>
      <c r="AS647" s="74"/>
      <c r="AT647" s="74"/>
      <c r="AU647" s="1357" t="str">
        <f t="shared" si="212"/>
        <v>-</v>
      </c>
    </row>
    <row r="648" spans="1:47" s="170" customFormat="1" x14ac:dyDescent="0.2">
      <c r="A648" s="86" t="s">
        <v>58</v>
      </c>
      <c r="B648" s="1061" t="s">
        <v>450</v>
      </c>
      <c r="C648" s="75" t="s">
        <v>1744</v>
      </c>
      <c r="D648" s="94" t="s">
        <v>1745</v>
      </c>
      <c r="E648" s="85" t="s">
        <v>1746</v>
      </c>
      <c r="F648" s="85" t="s">
        <v>454</v>
      </c>
      <c r="G648" s="86" t="s">
        <v>637</v>
      </c>
      <c r="H648" s="86" t="s">
        <v>637</v>
      </c>
      <c r="I648" s="86" t="s">
        <v>52</v>
      </c>
      <c r="J648" s="86" t="s">
        <v>53</v>
      </c>
      <c r="K648" s="86" t="s">
        <v>54</v>
      </c>
      <c r="L648" s="86" t="s">
        <v>55</v>
      </c>
      <c r="M648" s="87">
        <v>900</v>
      </c>
      <c r="N648" s="639">
        <v>950</v>
      </c>
      <c r="O648" s="101" t="s">
        <v>56</v>
      </c>
      <c r="P648" s="273">
        <v>60</v>
      </c>
      <c r="Q648" s="273">
        <v>48</v>
      </c>
      <c r="R648" s="60">
        <v>48</v>
      </c>
      <c r="S648" s="273">
        <v>60</v>
      </c>
      <c r="T648" s="273">
        <f>Table1[[#This Row],[VO Wdth]]</f>
        <v>60</v>
      </c>
      <c r="U648" s="273">
        <f>Table1[[#This Row],[VO Hgt]]</f>
        <v>48</v>
      </c>
      <c r="V648" s="608">
        <f>IF(J648="Canvas",P648+BorderGW,P648)</f>
        <v>68</v>
      </c>
      <c r="W648" s="608">
        <f>IF(J648="Canvas",Q648+BorderGW,Q648)</f>
        <v>56</v>
      </c>
      <c r="X648" s="137">
        <v>122</v>
      </c>
      <c r="Y648" s="101"/>
      <c r="Z648" s="101"/>
      <c r="AA648" s="649">
        <f t="shared" ref="AA648:AA684" si="221">V648*W648/144</f>
        <v>26.444444444444443</v>
      </c>
      <c r="AB648" s="184">
        <f t="shared" ref="AB648:AB653" si="222">AA648*IncaG</f>
        <v>556.39111111111106</v>
      </c>
      <c r="AC648" s="104">
        <f t="shared" ref="AC648:AC653" si="223">AA648*Canvas</f>
        <v>17.453333333333333</v>
      </c>
      <c r="AD648" s="104">
        <f>AA648*IncaC</f>
        <v>44.511288888888885</v>
      </c>
      <c r="AE648" s="104">
        <f>IF(Table1[[#This Row],[Work Center]]="SwissQ",Materials!G$37,IF(Table1[[#This Row],[Work Center]]="Inca",Materials!G$29,IF(Table1[[#This Row],[Work Center]]="Canon",Materials!G$49,Materials!G$45)))</f>
        <v>8</v>
      </c>
      <c r="AF648" s="69">
        <f>'Cali FPS'!C$121</f>
        <v>188.18</v>
      </c>
      <c r="AG648" s="837"/>
      <c r="AH648" s="112">
        <f t="shared" ref="AH648:AH679" si="224">(M648*0.05)</f>
        <v>45</v>
      </c>
      <c r="AI648" s="112"/>
      <c r="AJ648" s="104">
        <f t="shared" ref="AJ648:AJ660" si="225">SUM(AC648:AH648)</f>
        <v>303.14462222222221</v>
      </c>
      <c r="AK648" s="62">
        <f t="shared" ref="AK648:AK679" si="226">(M648-AJ648)/M648</f>
        <v>0.66317264197530867</v>
      </c>
      <c r="AL648" s="225">
        <f>Table1[[#This Row],[WSP/Dealer]]/Table1[[#This Row],[OD Sq Inch]]</f>
        <v>0.3125</v>
      </c>
      <c r="AM648" s="216">
        <f>Table1[[#This Row],[OD Wdth]]*Table1[[#This Row],[OD Hgt]]</f>
        <v>2880</v>
      </c>
      <c r="AN648" s="216">
        <f>Table1[[#This Row],[Min VO]]+Table1[[#This Row],[Max VO]]</f>
        <v>108</v>
      </c>
      <c r="AO648" s="988"/>
      <c r="AP648" s="988"/>
      <c r="AQ648" s="1141"/>
      <c r="AR648" s="1141"/>
      <c r="AS648" s="1141"/>
      <c r="AT648" s="1141"/>
      <c r="AU648" s="1470" t="str">
        <f t="shared" si="212"/>
        <v>-</v>
      </c>
    </row>
    <row r="649" spans="1:47" s="170" customFormat="1" ht="16" x14ac:dyDescent="0.2">
      <c r="A649" s="60" t="s">
        <v>58</v>
      </c>
      <c r="B649" s="279" t="s">
        <v>587</v>
      </c>
      <c r="C649" s="293" t="s">
        <v>1747</v>
      </c>
      <c r="D649" s="94"/>
      <c r="E649" s="294" t="s">
        <v>1748</v>
      </c>
      <c r="F649" s="294" t="s">
        <v>124</v>
      </c>
      <c r="G649" s="295" t="s">
        <v>505</v>
      </c>
      <c r="H649" s="295" t="s">
        <v>505</v>
      </c>
      <c r="I649" s="181" t="s">
        <v>52</v>
      </c>
      <c r="J649" s="181" t="s">
        <v>53</v>
      </c>
      <c r="K649" s="295" t="s">
        <v>54</v>
      </c>
      <c r="L649" s="181" t="s">
        <v>55</v>
      </c>
      <c r="M649" s="292">
        <v>210</v>
      </c>
      <c r="N649" s="639">
        <v>210</v>
      </c>
      <c r="O649" s="180" t="s">
        <v>56</v>
      </c>
      <c r="P649" s="180">
        <v>12</v>
      </c>
      <c r="Q649" s="180">
        <v>14</v>
      </c>
      <c r="R649" s="60">
        <v>12</v>
      </c>
      <c r="S649" s="60">
        <v>14</v>
      </c>
      <c r="T649" s="698">
        <f>Table1[[#This Row],[VO Wdth]]</f>
        <v>12</v>
      </c>
      <c r="U649" s="698">
        <f>Table1[[#This Row],[VO Hgt]]</f>
        <v>14</v>
      </c>
      <c r="V649" s="149">
        <f>IF(J649="Canvas",P649+Border,P649)</f>
        <v>20</v>
      </c>
      <c r="W649" s="149">
        <f>IF(J649="Canvas",Q649+Border,Q649)</f>
        <v>22</v>
      </c>
      <c r="X649" s="289" t="s">
        <v>1184</v>
      </c>
      <c r="Y649" s="180"/>
      <c r="Z649" s="180"/>
      <c r="AA649" s="722">
        <f t="shared" si="221"/>
        <v>3.0555555555555554</v>
      </c>
      <c r="AB649" s="125">
        <f t="shared" si="222"/>
        <v>64.288888888888877</v>
      </c>
      <c r="AC649" s="69">
        <f t="shared" si="223"/>
        <v>2.0166666666666666</v>
      </c>
      <c r="AD649" s="48">
        <f>AA649*IncaC</f>
        <v>5.1431111111111107</v>
      </c>
      <c r="AE649" s="104">
        <f>IF(Table1[[#This Row],[Work Center]]="SwissQ",Materials!G$37,IF(Table1[[#This Row],[Work Center]]="Inca",Materials!G$29,IF(Table1[[#This Row],[Work Center]]="Canon",Materials!G$49,Materials!G$45)))</f>
        <v>8</v>
      </c>
      <c r="AF649" s="296">
        <f>'Cali FPS'!C11</f>
        <v>55.475000000000001</v>
      </c>
      <c r="AG649" s="83"/>
      <c r="AH649" s="498">
        <f t="shared" si="224"/>
        <v>10.5</v>
      </c>
      <c r="AI649" s="498"/>
      <c r="AJ649" s="69">
        <f t="shared" si="225"/>
        <v>81.134777777777771</v>
      </c>
      <c r="AK649" s="650">
        <f t="shared" si="226"/>
        <v>0.61364391534391538</v>
      </c>
      <c r="AL649" s="225">
        <f>Table1[[#This Row],[WSP/Dealer]]/Table1[[#This Row],[OD Sq Inch]]</f>
        <v>1.25</v>
      </c>
      <c r="AM649" s="218">
        <f>Table1[[#This Row],[OD Wdth]]*Table1[[#This Row],[OD Hgt]]</f>
        <v>168</v>
      </c>
      <c r="AN649" s="216">
        <f>Table1[[#This Row],[Min VO]]+Table1[[#This Row],[Max VO]]</f>
        <v>26</v>
      </c>
      <c r="AO649" s="284"/>
      <c r="AP649" s="284"/>
      <c r="AQ649" s="296"/>
      <c r="AR649" s="296"/>
      <c r="AS649" s="296"/>
      <c r="AT649" s="176"/>
      <c r="AU649" s="1358" t="str">
        <f t="shared" si="212"/>
        <v>-</v>
      </c>
    </row>
    <row r="650" spans="1:47" s="170" customFormat="1" ht="16" x14ac:dyDescent="0.2">
      <c r="A650" s="60" t="s">
        <v>58</v>
      </c>
      <c r="B650" s="1061" t="s">
        <v>587</v>
      </c>
      <c r="C650" s="293" t="s">
        <v>1749</v>
      </c>
      <c r="D650" s="94"/>
      <c r="E650" s="294" t="s">
        <v>1750</v>
      </c>
      <c r="F650" s="294" t="s">
        <v>124</v>
      </c>
      <c r="G650" s="295" t="s">
        <v>1187</v>
      </c>
      <c r="H650" s="295" t="s">
        <v>1187</v>
      </c>
      <c r="I650" s="181" t="s">
        <v>52</v>
      </c>
      <c r="J650" s="181" t="s">
        <v>53</v>
      </c>
      <c r="K650" s="295" t="s">
        <v>54</v>
      </c>
      <c r="L650" s="181" t="s">
        <v>55</v>
      </c>
      <c r="M650" s="292">
        <v>350</v>
      </c>
      <c r="N650" s="639">
        <v>360</v>
      </c>
      <c r="O650" s="180" t="s">
        <v>56</v>
      </c>
      <c r="P650" s="180">
        <v>24</v>
      </c>
      <c r="Q650" s="180">
        <v>28</v>
      </c>
      <c r="R650" s="60">
        <v>24</v>
      </c>
      <c r="S650" s="60">
        <v>28</v>
      </c>
      <c r="T650" s="698">
        <f>Table1[[#This Row],[VO Wdth]]</f>
        <v>24</v>
      </c>
      <c r="U650" s="698">
        <f>Table1[[#This Row],[VO Hgt]]</f>
        <v>28</v>
      </c>
      <c r="V650" s="149">
        <f>IF(J650="Canvas",P650+Border,P650)</f>
        <v>32</v>
      </c>
      <c r="W650" s="149">
        <f>IF(J650="Canvas",Q650+Border,Q650)</f>
        <v>36</v>
      </c>
      <c r="X650" s="289">
        <v>40</v>
      </c>
      <c r="Y650" s="180"/>
      <c r="Z650" s="180"/>
      <c r="AA650" s="722">
        <f t="shared" si="221"/>
        <v>8</v>
      </c>
      <c r="AB650" s="125">
        <f t="shared" si="222"/>
        <v>168.32</v>
      </c>
      <c r="AC650" s="69">
        <f t="shared" si="223"/>
        <v>5.28</v>
      </c>
      <c r="AD650" s="48">
        <f>AA650*IncaC</f>
        <v>13.4656</v>
      </c>
      <c r="AE650" s="104">
        <f>IF(Table1[[#This Row],[Work Center]]="SwissQ",Materials!G$37,IF(Table1[[#This Row],[Work Center]]="Inca",Materials!G$29,IF(Table1[[#This Row],[Work Center]]="Canon",Materials!G$49,Materials!G$45)))</f>
        <v>8</v>
      </c>
      <c r="AF650" s="296">
        <f>'Cali FPS'!C$33</f>
        <v>73.5</v>
      </c>
      <c r="AG650" s="83"/>
      <c r="AH650" s="498">
        <f t="shared" si="224"/>
        <v>17.5</v>
      </c>
      <c r="AI650" s="498"/>
      <c r="AJ650" s="69">
        <f t="shared" si="225"/>
        <v>117.7456</v>
      </c>
      <c r="AK650" s="650">
        <f t="shared" si="226"/>
        <v>0.66358400000000006</v>
      </c>
      <c r="AL650" s="225">
        <f>Table1[[#This Row],[WSP/Dealer]]/Table1[[#This Row],[OD Sq Inch]]</f>
        <v>0.52083333333333337</v>
      </c>
      <c r="AM650" s="218">
        <f>Table1[[#This Row],[OD Wdth]]*Table1[[#This Row],[OD Hgt]]</f>
        <v>672</v>
      </c>
      <c r="AN650" s="216">
        <f>Table1[[#This Row],[Min VO]]+Table1[[#This Row],[Max VO]]</f>
        <v>52</v>
      </c>
      <c r="AO650" s="284"/>
      <c r="AP650" s="284"/>
      <c r="AQ650" s="296"/>
      <c r="AR650" s="296"/>
      <c r="AS650" s="296"/>
      <c r="AT650" s="176"/>
      <c r="AU650" s="1358" t="str">
        <f t="shared" si="212"/>
        <v>-</v>
      </c>
    </row>
    <row r="651" spans="1:47" s="25" customFormat="1" x14ac:dyDescent="0.2">
      <c r="A651" s="101" t="s">
        <v>58</v>
      </c>
      <c r="B651" s="1061" t="s">
        <v>445</v>
      </c>
      <c r="C651" s="625" t="s">
        <v>1751</v>
      </c>
      <c r="D651" s="94"/>
      <c r="E651" s="115" t="s">
        <v>1752</v>
      </c>
      <c r="F651" s="115" t="s">
        <v>92</v>
      </c>
      <c r="G651" s="400" t="s">
        <v>413</v>
      </c>
      <c r="H651" s="400" t="s">
        <v>413</v>
      </c>
      <c r="I651" s="400" t="s">
        <v>52</v>
      </c>
      <c r="J651" s="400" t="s">
        <v>53</v>
      </c>
      <c r="K651" s="400" t="s">
        <v>54</v>
      </c>
      <c r="L651" s="400" t="s">
        <v>55</v>
      </c>
      <c r="M651" s="488">
        <v>1300</v>
      </c>
      <c r="N651" s="639">
        <v>1300</v>
      </c>
      <c r="O651" s="812" t="s">
        <v>56</v>
      </c>
      <c r="P651" s="812">
        <v>56</v>
      </c>
      <c r="Q651" s="812">
        <v>74</v>
      </c>
      <c r="R651" s="812">
        <v>56</v>
      </c>
      <c r="S651" s="812">
        <v>74</v>
      </c>
      <c r="T651" s="101">
        <v>56</v>
      </c>
      <c r="U651" s="101">
        <v>74</v>
      </c>
      <c r="V651" s="608">
        <f>IF(J651="Canvas",P651+BorderGW,P651)</f>
        <v>64</v>
      </c>
      <c r="W651" s="608">
        <f>IF(J651="Canvas",Q651+BorderGW,Q651)</f>
        <v>82</v>
      </c>
      <c r="X651" s="137">
        <v>69</v>
      </c>
      <c r="Y651" s="101">
        <v>64</v>
      </c>
      <c r="Z651" s="101">
        <v>82</v>
      </c>
      <c r="AA651" s="649">
        <f t="shared" si="221"/>
        <v>36.444444444444443</v>
      </c>
      <c r="AB651" s="184">
        <f t="shared" si="222"/>
        <v>766.79111111111104</v>
      </c>
      <c r="AC651" s="104">
        <f t="shared" si="223"/>
        <v>24.053333333333335</v>
      </c>
      <c r="AD651" s="107">
        <f>AA651*IncaC</f>
        <v>61.343288888888885</v>
      </c>
      <c r="AE651" s="104">
        <f>IF(Table1[[#This Row],[Work Center]]="SwissQ",Materials!G$37,IF(Table1[[#This Row],[Work Center]]="Inca",Materials!G$29,IF(Table1[[#This Row],[Work Center]]="Canon",Materials!G$49,Materials!G$45)))</f>
        <v>8</v>
      </c>
      <c r="AF651" s="408">
        <f>'Cali FPS'!C151</f>
        <v>231.26250000000002</v>
      </c>
      <c r="AG651" s="115"/>
      <c r="AH651" s="498">
        <f t="shared" si="224"/>
        <v>65</v>
      </c>
      <c r="AI651" s="112"/>
      <c r="AJ651" s="104">
        <f t="shared" si="225"/>
        <v>389.65912222222221</v>
      </c>
      <c r="AK651" s="650">
        <f t="shared" si="226"/>
        <v>0.70026221367521368</v>
      </c>
      <c r="AL651" s="225">
        <f>Table1[[#This Row],[WSP/Dealer]]/Table1[[#This Row],[OD Sq Inch]]</f>
        <v>0.31370656370656369</v>
      </c>
      <c r="AM651" s="229">
        <f>Table1[[#This Row],[OD Wdth]]*Table1[[#This Row],[OD Hgt]]</f>
        <v>4144</v>
      </c>
      <c r="AN651" s="266">
        <f>Table1[[#This Row],[Min VO]]+Table1[[#This Row],[Max VO]]</f>
        <v>130</v>
      </c>
      <c r="AO651" s="115"/>
      <c r="AP651" s="115"/>
      <c r="AQ651" s="121"/>
      <c r="AR651" s="121"/>
      <c r="AS651" s="121"/>
      <c r="AT651" s="104"/>
      <c r="AU651" s="1359" t="str">
        <f t="shared" si="212"/>
        <v>-</v>
      </c>
    </row>
    <row r="652" spans="1:47" s="103" customFormat="1" x14ac:dyDescent="0.2">
      <c r="A652" s="551" t="s">
        <v>58</v>
      </c>
      <c r="B652" s="1061" t="s">
        <v>445</v>
      </c>
      <c r="C652" s="878" t="s">
        <v>1753</v>
      </c>
      <c r="D652" s="94"/>
      <c r="E652" s="653" t="s">
        <v>1752</v>
      </c>
      <c r="F652" s="653" t="s">
        <v>92</v>
      </c>
      <c r="G652" s="869" t="s">
        <v>413</v>
      </c>
      <c r="H652" s="869" t="s">
        <v>1754</v>
      </c>
      <c r="I652" s="869" t="s">
        <v>52</v>
      </c>
      <c r="J652" s="869" t="s">
        <v>53</v>
      </c>
      <c r="K652" s="869" t="s">
        <v>82</v>
      </c>
      <c r="L652" s="869" t="s">
        <v>83</v>
      </c>
      <c r="M652" s="874">
        <v>1450</v>
      </c>
      <c r="N652" s="639">
        <v>1450</v>
      </c>
      <c r="O652" s="904" t="s">
        <v>56</v>
      </c>
      <c r="P652" s="904">
        <v>56</v>
      </c>
      <c r="Q652" s="904">
        <v>74</v>
      </c>
      <c r="R652" s="904">
        <v>56</v>
      </c>
      <c r="S652" s="904">
        <v>74</v>
      </c>
      <c r="T652" s="551">
        <v>58</v>
      </c>
      <c r="U652" s="551">
        <v>76</v>
      </c>
      <c r="V652" s="881">
        <f>IF(J652="Canvas",P652+BorderGW,P652)</f>
        <v>64</v>
      </c>
      <c r="W652" s="881">
        <f>IF(J652="Canvas",Q652+BorderGW,Q652)</f>
        <v>82</v>
      </c>
      <c r="X652" s="311">
        <v>69</v>
      </c>
      <c r="Y652" s="551">
        <v>64</v>
      </c>
      <c r="Z652" s="551">
        <v>82</v>
      </c>
      <c r="AA652" s="860">
        <f t="shared" si="221"/>
        <v>36.444444444444443</v>
      </c>
      <c r="AB652" s="861">
        <f t="shared" si="222"/>
        <v>766.79111111111104</v>
      </c>
      <c r="AC652" s="863">
        <f t="shared" si="223"/>
        <v>24.053333333333335</v>
      </c>
      <c r="AD652" s="862">
        <f>AA652*IncaC</f>
        <v>61.343288888888885</v>
      </c>
      <c r="AE652" s="863">
        <f>IF(Table1[[#This Row],[Work Center]]="SwissQ",Materials!G$37,IF(Table1[[#This Row],[Work Center]]="Inca",Materials!G$29,IF(Table1[[#This Row],[Work Center]]="Canon",Materials!G$49,Materials!G$45)))</f>
        <v>8</v>
      </c>
      <c r="AF652" s="870">
        <f>'Cali Frames'!D166</f>
        <v>351.93</v>
      </c>
      <c r="AG652" s="653"/>
      <c r="AH652" s="862">
        <f t="shared" si="224"/>
        <v>72.5</v>
      </c>
      <c r="AI652" s="862"/>
      <c r="AJ652" s="862">
        <f t="shared" si="225"/>
        <v>517.82662222222223</v>
      </c>
      <c r="AK652" s="894">
        <f t="shared" si="226"/>
        <v>0.64287819157088122</v>
      </c>
      <c r="AL652" s="895">
        <f>Table1[[#This Row],[WSP/Dealer]]/Table1[[#This Row],[OD Sq Inch]]</f>
        <v>0.32894736842105265</v>
      </c>
      <c r="AM652" s="897">
        <f>Table1[[#This Row],[OD Wdth]]*Table1[[#This Row],[OD Hgt]]</f>
        <v>4408</v>
      </c>
      <c r="AN652" s="779">
        <f>Table1[[#This Row],[Min VO]]+Table1[[#This Row],[Max VO]]</f>
        <v>130</v>
      </c>
      <c r="AO652" s="653"/>
      <c r="AP652" s="653"/>
      <c r="AQ652" s="864"/>
      <c r="AR652" s="864"/>
      <c r="AS652" s="864"/>
      <c r="AT652" s="863"/>
      <c r="AU652" s="1364" t="str">
        <f t="shared" si="212"/>
        <v>-</v>
      </c>
    </row>
    <row r="653" spans="1:47" s="63" customFormat="1" hidden="1" x14ac:dyDescent="0.2">
      <c r="A653" s="552"/>
      <c r="B653" s="1061"/>
      <c r="C653" s="625" t="s">
        <v>1755</v>
      </c>
      <c r="D653" s="94"/>
      <c r="E653" s="115" t="s">
        <v>1756</v>
      </c>
      <c r="F653" s="115" t="s">
        <v>567</v>
      </c>
      <c r="G653" s="101" t="s">
        <v>139</v>
      </c>
      <c r="H653" s="101" t="s">
        <v>1067</v>
      </c>
      <c r="I653" s="407" t="s">
        <v>52</v>
      </c>
      <c r="J653" s="658" t="s">
        <v>53</v>
      </c>
      <c r="K653" s="101" t="s">
        <v>69</v>
      </c>
      <c r="L653" s="407" t="s">
        <v>70</v>
      </c>
      <c r="M653" s="299">
        <v>300</v>
      </c>
      <c r="N653" s="71"/>
      <c r="O653" s="101" t="s">
        <v>56</v>
      </c>
      <c r="P653" s="101">
        <v>24</v>
      </c>
      <c r="Q653" s="101">
        <v>24</v>
      </c>
      <c r="R653" s="101">
        <v>24</v>
      </c>
      <c r="S653" s="101">
        <v>24</v>
      </c>
      <c r="T653" s="1328">
        <v>25</v>
      </c>
      <c r="U653" s="1328">
        <v>25</v>
      </c>
      <c r="V653" s="1178">
        <f>IF(J653="Canvas",P653+Border,P653)</f>
        <v>32</v>
      </c>
      <c r="W653" s="1178">
        <f>IF(J653="Canvas",Q653+Border,Q653)</f>
        <v>32</v>
      </c>
      <c r="X653" s="137">
        <v>40</v>
      </c>
      <c r="Y653" s="101">
        <v>32</v>
      </c>
      <c r="Z653" s="101">
        <v>32</v>
      </c>
      <c r="AA653" s="815">
        <f t="shared" si="221"/>
        <v>7.1111111111111107</v>
      </c>
      <c r="AB653" s="184">
        <f t="shared" si="222"/>
        <v>149.61777777777777</v>
      </c>
      <c r="AC653" s="104">
        <f t="shared" si="223"/>
        <v>4.6933333333333334</v>
      </c>
      <c r="AD653" s="405">
        <f>Table1[[#This Row],[Substrate SF]]*IncaC</f>
        <v>11.969422222222223</v>
      </c>
      <c r="AE653" s="104">
        <f>IF(Table1[[#This Row],[Work Center]]="SwissQ",Materials!G$37,IF(Table1[[#This Row],[Work Center]]="Inca",Materials!G$29,IF(Table1[[#This Row],[Work Center]]="Canon",Materials!G$49,Materials!G$45)))</f>
        <v>8</v>
      </c>
      <c r="AF653" s="408">
        <f>'Cali Frames'!D278</f>
        <v>93.42</v>
      </c>
      <c r="AG653" s="121"/>
      <c r="AH653" s="498">
        <f t="shared" si="224"/>
        <v>15</v>
      </c>
      <c r="AI653" s="498"/>
      <c r="AJ653" s="406">
        <f t="shared" si="225"/>
        <v>133.08275555555556</v>
      </c>
      <c r="AK653" s="650">
        <f t="shared" si="226"/>
        <v>0.55639081481481478</v>
      </c>
      <c r="AL653" s="225">
        <f>Table1[[#This Row],[WSP/Dealer]]/Table1[[#This Row],[OD Sq Inch]]</f>
        <v>0.48</v>
      </c>
      <c r="AM653" s="400">
        <f>Table1[[#This Row],[OD Wdth]]*Table1[[#This Row],[OD Hgt]]</f>
        <v>625</v>
      </c>
      <c r="AN653" s="400" t="str">
        <f>Table1[[#This Row],[Color]]</f>
        <v>BF</v>
      </c>
      <c r="AO653" s="115" t="str">
        <f>Table1[[#This Row],[Print Type]]</f>
        <v>Synograph</v>
      </c>
      <c r="AP653" s="115"/>
      <c r="AQ653" s="121"/>
      <c r="AR653" s="121"/>
      <c r="AS653" s="121"/>
      <c r="AT653" s="104"/>
      <c r="AU653" s="1359" t="str">
        <f t="shared" si="212"/>
        <v>-</v>
      </c>
    </row>
    <row r="654" spans="1:47" s="63" customFormat="1" x14ac:dyDescent="0.2">
      <c r="A654" s="101" t="s">
        <v>58</v>
      </c>
      <c r="B654" s="1067" t="s">
        <v>59</v>
      </c>
      <c r="C654" s="625" t="s">
        <v>1757</v>
      </c>
      <c r="D654" s="168" t="s">
        <v>1758</v>
      </c>
      <c r="E654" s="115" t="s">
        <v>1759</v>
      </c>
      <c r="F654" s="115" t="s">
        <v>567</v>
      </c>
      <c r="G654" s="101" t="s">
        <v>115</v>
      </c>
      <c r="H654" s="101" t="s">
        <v>115</v>
      </c>
      <c r="I654" s="407" t="s">
        <v>52</v>
      </c>
      <c r="J654" s="658" t="s">
        <v>53</v>
      </c>
      <c r="K654" s="101" t="s">
        <v>54</v>
      </c>
      <c r="L654" s="407" t="s">
        <v>55</v>
      </c>
      <c r="M654" s="299">
        <v>750</v>
      </c>
      <c r="N654" s="114"/>
      <c r="O654" s="101" t="s">
        <v>64</v>
      </c>
      <c r="P654" s="101">
        <v>48</v>
      </c>
      <c r="Q654" s="101">
        <v>48</v>
      </c>
      <c r="R654" s="101">
        <v>48</v>
      </c>
      <c r="S654" s="101">
        <v>48</v>
      </c>
      <c r="T654" s="697">
        <v>48</v>
      </c>
      <c r="U654" s="697">
        <v>48</v>
      </c>
      <c r="V654" s="165">
        <f>IF(J654="Canvas",P654+Border,P654)</f>
        <v>56</v>
      </c>
      <c r="W654" s="165">
        <f>IF(J654="Canvas",Q654+Border,Q654)</f>
        <v>56</v>
      </c>
      <c r="X654" s="101">
        <v>59</v>
      </c>
      <c r="Y654" s="101">
        <v>56</v>
      </c>
      <c r="Z654" s="101">
        <v>56</v>
      </c>
      <c r="AA654" s="722">
        <f t="shared" si="221"/>
        <v>21.777777777777779</v>
      </c>
      <c r="AB654" s="125">
        <f t="shared" ref="AB654:AB659" si="227">AA654*Swiss1</f>
        <v>616.31111111111113</v>
      </c>
      <c r="AC654" s="143">
        <f>Table1[[#This Row],[Substrate SF]]*Paper</f>
        <v>29.465333333333334</v>
      </c>
      <c r="AD654" s="21">
        <f>AA654*Materials!C$37</f>
        <v>60.977777777777774</v>
      </c>
      <c r="AE654" s="104">
        <f>IF(Table1[[#This Row],[Work Center]]="SwissQ",Materials!G$37,IF(Table1[[#This Row],[Work Center]]="Inca",Materials!G$29,IF(Table1[[#This Row],[Work Center]]="Canon",Materials!G$49,Materials!G$45)))</f>
        <v>20</v>
      </c>
      <c r="AF654" s="408">
        <f>'Cali FPS'!C117</f>
        <v>119.7</v>
      </c>
      <c r="AG654" s="121"/>
      <c r="AH654" s="278">
        <f t="shared" si="224"/>
        <v>37.5</v>
      </c>
      <c r="AI654" s="278"/>
      <c r="AJ654" s="278">
        <f t="shared" si="225"/>
        <v>267.64311111111112</v>
      </c>
      <c r="AK654" s="1192">
        <f t="shared" si="226"/>
        <v>0.64314251851851845</v>
      </c>
      <c r="AL654" s="278">
        <f>Table1[[#This Row],[WSP/Dealer]]/Table1[[#This Row],[OD Sq Inch]]</f>
        <v>0.32552083333333331</v>
      </c>
      <c r="AM654" s="170">
        <f>Table1[[#This Row],[OD Wdth]]*Table1[[#This Row],[OD Hgt]]</f>
        <v>2304</v>
      </c>
      <c r="AN654" s="274">
        <f>Table1[[#This Row],[Min VO]]+Table1[[#This Row],[Max VO]]</f>
        <v>96</v>
      </c>
      <c r="AO654" s="115"/>
      <c r="AP654" s="115"/>
      <c r="AQ654" s="121"/>
      <c r="AR654" s="121"/>
      <c r="AS654" s="121"/>
      <c r="AT654" s="104"/>
      <c r="AU654" s="1359" t="str">
        <f t="shared" si="212"/>
        <v>-</v>
      </c>
    </row>
    <row r="655" spans="1:47" s="173" customFormat="1" x14ac:dyDescent="0.2">
      <c r="A655" s="68" t="s">
        <v>58</v>
      </c>
      <c r="B655" s="1072" t="s">
        <v>59</v>
      </c>
      <c r="C655" s="627" t="s">
        <v>1760</v>
      </c>
      <c r="D655" s="94" t="s">
        <v>1761</v>
      </c>
      <c r="E655" s="84" t="s">
        <v>1759</v>
      </c>
      <c r="F655" s="84" t="s">
        <v>567</v>
      </c>
      <c r="G655" s="68" t="s">
        <v>115</v>
      </c>
      <c r="H655" s="68" t="s">
        <v>387</v>
      </c>
      <c r="I655" s="363" t="s">
        <v>52</v>
      </c>
      <c r="J655" s="646" t="s">
        <v>53</v>
      </c>
      <c r="K655" s="68" t="s">
        <v>82</v>
      </c>
      <c r="L655" s="363" t="s">
        <v>83</v>
      </c>
      <c r="M655" s="93">
        <v>970</v>
      </c>
      <c r="N655" s="93"/>
      <c r="O655" s="68" t="s">
        <v>64</v>
      </c>
      <c r="P655" s="68">
        <v>48</v>
      </c>
      <c r="Q655" s="68">
        <v>48</v>
      </c>
      <c r="R655" s="68">
        <v>48</v>
      </c>
      <c r="S655" s="68">
        <v>48</v>
      </c>
      <c r="T655" s="623">
        <v>50</v>
      </c>
      <c r="U655" s="623">
        <v>50</v>
      </c>
      <c r="V655" s="917">
        <f>IF(J655="Canvas",P655+Border,P655)</f>
        <v>56</v>
      </c>
      <c r="W655" s="917">
        <f>IF(J655="Canvas",Q655+Border,Q655)</f>
        <v>56</v>
      </c>
      <c r="X655" s="68">
        <v>59</v>
      </c>
      <c r="Y655" s="68">
        <v>56</v>
      </c>
      <c r="Z655" s="68">
        <v>56</v>
      </c>
      <c r="AA655" s="727">
        <f t="shared" si="221"/>
        <v>21.777777777777779</v>
      </c>
      <c r="AB655" s="341">
        <f t="shared" si="227"/>
        <v>616.31111111111113</v>
      </c>
      <c r="AC655" s="278">
        <f>Table1[[#This Row],[Substrate SF]]*Paper</f>
        <v>29.465333333333334</v>
      </c>
      <c r="AD655" s="263">
        <f>AA655*Materials!C$37</f>
        <v>60.977777777777774</v>
      </c>
      <c r="AE655" s="278">
        <f>IF(Table1[[#This Row],[Work Center]]="SwissQ",Materials!G$37,IF(Table1[[#This Row],[Work Center]]="Inca",Materials!G$29,IF(Table1[[#This Row],[Work Center]]="Canon",Materials!G$49,Materials!G$45)))</f>
        <v>20</v>
      </c>
      <c r="AF655" s="1214">
        <f>'Cali Frames'!D152</f>
        <v>156.16999999999999</v>
      </c>
      <c r="AG655" s="126"/>
      <c r="AH655" s="278">
        <f t="shared" si="224"/>
        <v>48.5</v>
      </c>
      <c r="AI655" s="278"/>
      <c r="AJ655" s="278">
        <f t="shared" si="225"/>
        <v>315.1131111111111</v>
      </c>
      <c r="AK655" s="1192">
        <f t="shared" si="226"/>
        <v>0.67514112256586489</v>
      </c>
      <c r="AL655" s="278">
        <f>Table1[[#This Row],[WSP/Dealer]]/Table1[[#This Row],[OD Sq Inch]]</f>
        <v>0.38800000000000001</v>
      </c>
      <c r="AM655" s="274">
        <f>Table1[[#This Row],[OD Wdth]]*Table1[[#This Row],[OD Hgt]]</f>
        <v>2500</v>
      </c>
      <c r="AN655" s="274">
        <f>Table1[[#This Row],[Min VO]]+Table1[[#This Row],[Max VO]]</f>
        <v>96</v>
      </c>
      <c r="AO655" s="84"/>
      <c r="AP655" s="84"/>
      <c r="AQ655" s="126"/>
      <c r="AR655" s="126"/>
      <c r="AS655" s="126"/>
      <c r="AT655" s="74"/>
      <c r="AU655" s="1357" t="str">
        <f t="shared" si="212"/>
        <v>-</v>
      </c>
    </row>
    <row r="656" spans="1:47" s="63" customFormat="1" x14ac:dyDescent="0.2">
      <c r="A656" s="68" t="s">
        <v>58</v>
      </c>
      <c r="B656" s="1072" t="s">
        <v>59</v>
      </c>
      <c r="C656" s="627" t="s">
        <v>1762</v>
      </c>
      <c r="D656" s="94" t="s">
        <v>1763</v>
      </c>
      <c r="E656" s="84" t="s">
        <v>1759</v>
      </c>
      <c r="F656" s="84" t="s">
        <v>567</v>
      </c>
      <c r="G656" s="68" t="s">
        <v>115</v>
      </c>
      <c r="H656" s="68" t="s">
        <v>387</v>
      </c>
      <c r="I656" s="363" t="s">
        <v>52</v>
      </c>
      <c r="J656" s="646" t="s">
        <v>53</v>
      </c>
      <c r="K656" s="68" t="s">
        <v>82</v>
      </c>
      <c r="L656" s="363" t="s">
        <v>298</v>
      </c>
      <c r="M656" s="93">
        <v>970</v>
      </c>
      <c r="N656" s="93"/>
      <c r="O656" s="68" t="s">
        <v>64</v>
      </c>
      <c r="P656" s="68">
        <v>48</v>
      </c>
      <c r="Q656" s="68">
        <v>48</v>
      </c>
      <c r="R656" s="68">
        <v>48</v>
      </c>
      <c r="S656" s="68">
        <v>48</v>
      </c>
      <c r="T656" s="623">
        <v>50</v>
      </c>
      <c r="U656" s="623">
        <v>50</v>
      </c>
      <c r="V656" s="917">
        <f>IF(J656="Canvas",P656+Border,P656)</f>
        <v>56</v>
      </c>
      <c r="W656" s="917">
        <f>IF(J656="Canvas",Q656+Border,Q656)</f>
        <v>56</v>
      </c>
      <c r="X656" s="68">
        <v>59</v>
      </c>
      <c r="Y656" s="68">
        <v>56</v>
      </c>
      <c r="Z656" s="68">
        <v>56</v>
      </c>
      <c r="AA656" s="727">
        <f t="shared" si="221"/>
        <v>21.777777777777779</v>
      </c>
      <c r="AB656" s="341">
        <f t="shared" si="227"/>
        <v>616.31111111111113</v>
      </c>
      <c r="AC656" s="278">
        <f>Table1[[#This Row],[Substrate SF]]*Paper</f>
        <v>29.465333333333334</v>
      </c>
      <c r="AD656" s="263">
        <f>AA656*Materials!C$37</f>
        <v>60.977777777777774</v>
      </c>
      <c r="AE656" s="278">
        <f>IF(Table1[[#This Row],[Work Center]]="SwissQ",Materials!G$37,IF(Table1[[#This Row],[Work Center]]="Inca",Materials!G$29,IF(Table1[[#This Row],[Work Center]]="Canon",Materials!G$49,Materials!G$45)))</f>
        <v>20</v>
      </c>
      <c r="AF656" s="1214">
        <f>'Cali Frames'!D237</f>
        <v>165.06</v>
      </c>
      <c r="AG656" s="126"/>
      <c r="AH656" s="278">
        <f t="shared" si="224"/>
        <v>48.5</v>
      </c>
      <c r="AI656" s="278"/>
      <c r="AJ656" s="278">
        <f t="shared" si="225"/>
        <v>324.00311111111114</v>
      </c>
      <c r="AK656" s="1192">
        <f t="shared" si="226"/>
        <v>0.66597617411225651</v>
      </c>
      <c r="AL656" s="278">
        <f>Table1[[#This Row],[WSP/Dealer]]/Table1[[#This Row],[OD Sq Inch]]</f>
        <v>0.38800000000000001</v>
      </c>
      <c r="AM656" s="274">
        <f>Table1[[#This Row],[OD Wdth]]*Table1[[#This Row],[OD Hgt]]</f>
        <v>2500</v>
      </c>
      <c r="AN656" s="274">
        <f>Table1[[#This Row],[Min VO]]+Table1[[#This Row],[Max VO]]</f>
        <v>96</v>
      </c>
      <c r="AO656" s="84"/>
      <c r="AP656" s="84"/>
      <c r="AQ656" s="126"/>
      <c r="AR656" s="126"/>
      <c r="AS656" s="126"/>
      <c r="AT656" s="74"/>
      <c r="AU656" s="1357" t="str">
        <f t="shared" si="212"/>
        <v>-</v>
      </c>
    </row>
    <row r="657" spans="1:47" s="103" customFormat="1" x14ac:dyDescent="0.2">
      <c r="A657" s="68" t="s">
        <v>58</v>
      </c>
      <c r="B657" s="1072" t="s">
        <v>59</v>
      </c>
      <c r="C657" s="627" t="s">
        <v>1764</v>
      </c>
      <c r="D657" s="94" t="s">
        <v>1765</v>
      </c>
      <c r="E657" s="84" t="s">
        <v>1759</v>
      </c>
      <c r="F657" s="84" t="s">
        <v>567</v>
      </c>
      <c r="G657" s="68" t="s">
        <v>115</v>
      </c>
      <c r="H657" s="68" t="s">
        <v>387</v>
      </c>
      <c r="I657" s="363" t="s">
        <v>52</v>
      </c>
      <c r="J657" s="646" t="s">
        <v>53</v>
      </c>
      <c r="K657" s="68" t="s">
        <v>82</v>
      </c>
      <c r="L657" s="363" t="s">
        <v>334</v>
      </c>
      <c r="M657" s="93">
        <v>970</v>
      </c>
      <c r="N657" s="93"/>
      <c r="O657" s="68" t="s">
        <v>64</v>
      </c>
      <c r="P657" s="68">
        <v>48</v>
      </c>
      <c r="Q657" s="68">
        <v>48</v>
      </c>
      <c r="R657" s="68">
        <v>48</v>
      </c>
      <c r="S657" s="68">
        <v>48</v>
      </c>
      <c r="T657" s="623">
        <v>50</v>
      </c>
      <c r="U657" s="623">
        <v>50</v>
      </c>
      <c r="V657" s="917">
        <f>IF(J657="Canvas",P657+Border,P657)</f>
        <v>56</v>
      </c>
      <c r="W657" s="917">
        <f>IF(J657="Canvas",Q657+Border,Q657)</f>
        <v>56</v>
      </c>
      <c r="X657" s="68">
        <v>59</v>
      </c>
      <c r="Y657" s="68">
        <v>56</v>
      </c>
      <c r="Z657" s="68">
        <v>56</v>
      </c>
      <c r="AA657" s="727">
        <f t="shared" si="221"/>
        <v>21.777777777777779</v>
      </c>
      <c r="AB657" s="341">
        <f t="shared" si="227"/>
        <v>616.31111111111113</v>
      </c>
      <c r="AC657" s="278">
        <f>Table1[[#This Row],[Substrate SF]]*Paper</f>
        <v>29.465333333333334</v>
      </c>
      <c r="AD657" s="263">
        <f>AA657*Materials!C$37</f>
        <v>60.977777777777774</v>
      </c>
      <c r="AE657" s="278">
        <f>IF(Table1[[#This Row],[Work Center]]="SwissQ",Materials!G$37,IF(Table1[[#This Row],[Work Center]]="Inca",Materials!G$29,IF(Table1[[#This Row],[Work Center]]="Canon",Materials!G$49,Materials!G$45)))</f>
        <v>20</v>
      </c>
      <c r="AF657" s="1214">
        <f>'Cali Frames'!D215</f>
        <v>150.88499999999999</v>
      </c>
      <c r="AG657" s="126"/>
      <c r="AH657" s="278">
        <f t="shared" si="224"/>
        <v>48.5</v>
      </c>
      <c r="AI657" s="278"/>
      <c r="AJ657" s="278">
        <f t="shared" si="225"/>
        <v>309.82811111111107</v>
      </c>
      <c r="AK657" s="1192">
        <f t="shared" si="226"/>
        <v>0.68058957617411231</v>
      </c>
      <c r="AL657" s="278">
        <f>Table1[[#This Row],[WSP/Dealer]]/Table1[[#This Row],[OD Sq Inch]]</f>
        <v>0.38800000000000001</v>
      </c>
      <c r="AM657" s="274">
        <f>Table1[[#This Row],[OD Wdth]]*Table1[[#This Row],[OD Hgt]]</f>
        <v>2500</v>
      </c>
      <c r="AN657" s="274">
        <f>Table1[[#This Row],[Min VO]]+Table1[[#This Row],[Max VO]]</f>
        <v>96</v>
      </c>
      <c r="AO657" s="84"/>
      <c r="AP657" s="84"/>
      <c r="AQ657" s="126"/>
      <c r="AR657" s="126"/>
      <c r="AS657" s="126"/>
      <c r="AT657" s="74"/>
      <c r="AU657" s="1357" t="str">
        <f t="shared" si="212"/>
        <v>-</v>
      </c>
    </row>
    <row r="658" spans="1:47" s="103" customFormat="1" hidden="1" x14ac:dyDescent="0.2">
      <c r="A658" s="374" t="s">
        <v>187</v>
      </c>
      <c r="B658" s="1061" t="s">
        <v>261</v>
      </c>
      <c r="C658" s="317" t="s">
        <v>1766</v>
      </c>
      <c r="D658" s="94"/>
      <c r="E658" s="375" t="s">
        <v>1767</v>
      </c>
      <c r="F658" s="375" t="s">
        <v>585</v>
      </c>
      <c r="G658" s="274" t="s">
        <v>586</v>
      </c>
      <c r="H658" s="274" t="s">
        <v>586</v>
      </c>
      <c r="I658" s="274" t="s">
        <v>52</v>
      </c>
      <c r="J658" s="344" t="s">
        <v>280</v>
      </c>
      <c r="K658" s="274" t="s">
        <v>281</v>
      </c>
      <c r="L658" s="274" t="s">
        <v>282</v>
      </c>
      <c r="M658" s="318">
        <v>1530</v>
      </c>
      <c r="N658" s="71"/>
      <c r="O658" s="274" t="s">
        <v>64</v>
      </c>
      <c r="P658" s="274">
        <v>24</v>
      </c>
      <c r="Q658" s="274">
        <v>30</v>
      </c>
      <c r="R658" s="274">
        <v>24</v>
      </c>
      <c r="S658" s="274">
        <v>30</v>
      </c>
      <c r="T658" s="274">
        <v>24</v>
      </c>
      <c r="U658" s="274">
        <v>30</v>
      </c>
      <c r="V658" s="686">
        <v>24</v>
      </c>
      <c r="W658" s="686">
        <v>30</v>
      </c>
      <c r="X658" s="343" t="s">
        <v>283</v>
      </c>
      <c r="Y658" s="274"/>
      <c r="Z658" s="274"/>
      <c r="AA658" s="727">
        <f t="shared" si="221"/>
        <v>5</v>
      </c>
      <c r="AB658" s="341">
        <f t="shared" si="227"/>
        <v>141.5</v>
      </c>
      <c r="AC658" s="278">
        <f>MDFSHEET*0.25</f>
        <v>6.0875000000000004</v>
      </c>
      <c r="AD658" s="263">
        <f>Table1[[#This Row],[Substrate SF]]*Materials!C$37</f>
        <v>14</v>
      </c>
      <c r="AE658" s="104">
        <f>IF(Table1[[#This Row],[Work Center]]="SwissQ",Materials!G$37,IF(Table1[[#This Row],[Work Center]]="Inca",Materials!G$29,IF(Table1[[#This Row],[Work Center]]="Canon",Materials!G$49,Materials!G$45)))</f>
        <v>20</v>
      </c>
      <c r="AF658" s="321">
        <f>'Cali Frames'!D539</f>
        <v>101.955</v>
      </c>
      <c r="AG658" s="320"/>
      <c r="AH658" s="498">
        <f t="shared" si="224"/>
        <v>76.5</v>
      </c>
      <c r="AI658" s="498"/>
      <c r="AJ658" s="278">
        <f t="shared" si="225"/>
        <v>218.54249999999999</v>
      </c>
      <c r="AK658" s="650">
        <f t="shared" si="226"/>
        <v>0.85716176470588235</v>
      </c>
      <c r="AL658" s="225">
        <f>Table1[[#This Row],[WSP/Dealer]]/Table1[[#This Row],[OD Sq Inch]]</f>
        <v>2.125</v>
      </c>
      <c r="AM658" s="274">
        <f>Table1[[#This Row],[OD Wdth]]*Table1[[#This Row],[OD Hgt]]</f>
        <v>720</v>
      </c>
      <c r="AN658" s="238">
        <f>Table1[[#This Row],[Min VO]]+Table1[[#This Row],[Max VO]]</f>
        <v>54</v>
      </c>
      <c r="AO658" s="275"/>
      <c r="AP658" s="275"/>
      <c r="AQ658" s="320"/>
      <c r="AR658" s="320"/>
      <c r="AS658" s="320"/>
      <c r="AT658" s="278"/>
      <c r="AU658" s="1368" t="str">
        <f t="shared" si="212"/>
        <v>-</v>
      </c>
    </row>
    <row r="659" spans="1:47" s="63" customFormat="1" x14ac:dyDescent="0.2">
      <c r="A659" s="180" t="s">
        <v>58</v>
      </c>
      <c r="B659" s="1061" t="s">
        <v>587</v>
      </c>
      <c r="C659" s="281" t="s">
        <v>1768</v>
      </c>
      <c r="D659" s="94"/>
      <c r="E659" s="291" t="s">
        <v>1767</v>
      </c>
      <c r="F659" s="291" t="s">
        <v>585</v>
      </c>
      <c r="G659" s="180" t="s">
        <v>586</v>
      </c>
      <c r="H659" s="180" t="s">
        <v>586</v>
      </c>
      <c r="I659" s="180" t="s">
        <v>52</v>
      </c>
      <c r="J659" s="310" t="s">
        <v>280</v>
      </c>
      <c r="K659" s="180" t="s">
        <v>281</v>
      </c>
      <c r="L659" s="180" t="s">
        <v>282</v>
      </c>
      <c r="M659" s="292">
        <v>450</v>
      </c>
      <c r="N659" s="639">
        <v>450</v>
      </c>
      <c r="O659" s="180" t="s">
        <v>64</v>
      </c>
      <c r="P659" s="173">
        <v>24</v>
      </c>
      <c r="Q659" s="173">
        <v>30</v>
      </c>
      <c r="R659" s="180">
        <v>24</v>
      </c>
      <c r="S659" s="173">
        <v>30</v>
      </c>
      <c r="T659" s="180">
        <v>24</v>
      </c>
      <c r="U659" s="180">
        <v>30</v>
      </c>
      <c r="V659" s="174">
        <v>24</v>
      </c>
      <c r="W659" s="174">
        <v>30</v>
      </c>
      <c r="X659" s="289" t="s">
        <v>283</v>
      </c>
      <c r="Y659" s="173"/>
      <c r="Z659" s="173"/>
      <c r="AA659" s="678">
        <f t="shared" si="221"/>
        <v>5</v>
      </c>
      <c r="AB659" s="329">
        <f t="shared" si="227"/>
        <v>141.5</v>
      </c>
      <c r="AC659" s="175">
        <f>MDFSHEET*0.25</f>
        <v>6.0875000000000004</v>
      </c>
      <c r="AD659" s="175">
        <f>Table1[[#This Row],[Substrate SF]]*Materials!C$37</f>
        <v>14</v>
      </c>
      <c r="AE659" s="104">
        <f>IF(Table1[[#This Row],[Work Center]]="SwissQ",Materials!G$37,IF(Table1[[#This Row],[Work Center]]="Inca",Materials!G$29,IF(Table1[[#This Row],[Work Center]]="Canon",Materials!G$49,Materials!G$45)))</f>
        <v>20</v>
      </c>
      <c r="AF659" s="290">
        <f>'Cali Frames'!D539</f>
        <v>101.955</v>
      </c>
      <c r="AG659" s="296"/>
      <c r="AH659" s="112">
        <f t="shared" si="224"/>
        <v>22.5</v>
      </c>
      <c r="AI659" s="112"/>
      <c r="AJ659" s="175">
        <f t="shared" si="225"/>
        <v>164.54249999999999</v>
      </c>
      <c r="AK659" s="62">
        <f t="shared" si="226"/>
        <v>0.63434999999999997</v>
      </c>
      <c r="AL659" s="225">
        <f>Table1[[#This Row],[WSP/Dealer]]/Table1[[#This Row],[OD Sq Inch]]</f>
        <v>0.625</v>
      </c>
      <c r="AM659" s="173">
        <f>Table1[[#This Row],[OD Wdth]]*Table1[[#This Row],[OD Hgt]]</f>
        <v>720</v>
      </c>
      <c r="AN659" s="216">
        <f>Table1[[#This Row],[Min VO]]+Table1[[#This Row],[Max VO]]</f>
        <v>54</v>
      </c>
      <c r="AO659" s="284"/>
      <c r="AP659" s="284"/>
      <c r="AQ659" s="296"/>
      <c r="AR659" s="296"/>
      <c r="AS659" s="296"/>
      <c r="AT659" s="176"/>
      <c r="AU659" s="1358" t="str">
        <f t="shared" si="212"/>
        <v>-</v>
      </c>
    </row>
    <row r="660" spans="1:47" s="63" customFormat="1" hidden="1" x14ac:dyDescent="0.2">
      <c r="A660" s="437" t="s">
        <v>187</v>
      </c>
      <c r="B660" s="1061" t="s">
        <v>261</v>
      </c>
      <c r="C660" s="436" t="s">
        <v>1769</v>
      </c>
      <c r="D660" s="94"/>
      <c r="E660" s="436" t="s">
        <v>1770</v>
      </c>
      <c r="F660" s="375" t="s">
        <v>585</v>
      </c>
      <c r="G660" s="258" t="s">
        <v>354</v>
      </c>
      <c r="H660" s="274" t="s">
        <v>586</v>
      </c>
      <c r="I660" s="274" t="s">
        <v>108</v>
      </c>
      <c r="J660" s="68" t="s">
        <v>197</v>
      </c>
      <c r="K660" s="274" t="s">
        <v>198</v>
      </c>
      <c r="L660" s="274" t="s">
        <v>199</v>
      </c>
      <c r="M660" s="455">
        <v>60</v>
      </c>
      <c r="N660" s="71"/>
      <c r="O660" s="274" t="s">
        <v>64</v>
      </c>
      <c r="P660" s="274">
        <v>24</v>
      </c>
      <c r="Q660" s="274">
        <v>30</v>
      </c>
      <c r="R660" s="274">
        <v>24</v>
      </c>
      <c r="S660" s="274">
        <v>30</v>
      </c>
      <c r="T660" s="274">
        <v>24</v>
      </c>
      <c r="U660" s="274">
        <v>30</v>
      </c>
      <c r="V660" s="686">
        <f>Table1[[#This Row],[VO Wdth]]+Materials!$C$7</f>
        <v>26</v>
      </c>
      <c r="W660" s="686">
        <f>Table1[[#This Row],[VO Hgt]]+Materials!$C$7</f>
        <v>32</v>
      </c>
      <c r="X660" s="343" t="s">
        <v>197</v>
      </c>
      <c r="Y660" s="68"/>
      <c r="Z660" s="68"/>
      <c r="AA660" s="699">
        <f t="shared" si="221"/>
        <v>5.7777777777777777</v>
      </c>
      <c r="AB660" s="341">
        <f>AA660*SWISSRML</f>
        <v>11.555555555555555</v>
      </c>
      <c r="AC660" s="74">
        <f>Table1[[#This Row],[Substrate SF]]*POster</f>
        <v>4.2986666666666666</v>
      </c>
      <c r="AD660" s="263">
        <f>Table1[[#This Row],[Substrate SF]]*SWISSRC</f>
        <v>1.2711111111111111</v>
      </c>
      <c r="AE660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660" s="73">
        <v>0</v>
      </c>
      <c r="AG660" s="126">
        <f>Materials!D$76</f>
        <v>10.82</v>
      </c>
      <c r="AH660" s="498">
        <f t="shared" si="224"/>
        <v>3</v>
      </c>
      <c r="AI660" s="498"/>
      <c r="AJ660" s="263">
        <f t="shared" si="225"/>
        <v>29.389777777777777</v>
      </c>
      <c r="AK660" s="650">
        <f t="shared" si="226"/>
        <v>0.51017037037037039</v>
      </c>
      <c r="AL660" s="225">
        <f>Table1[[#This Row],[WSP/Dealer]]/Table1[[#This Row],[OD Sq Inch]]</f>
        <v>8.3333333333333329E-2</v>
      </c>
      <c r="AM660" s="170">
        <f>Table1[[#This Row],[OD Wdth]]*Table1[[#This Row],[OD Hgt]]</f>
        <v>720</v>
      </c>
      <c r="AN660" s="84"/>
      <c r="AO660" s="84"/>
      <c r="AP660" s="84"/>
      <c r="AQ660" s="126"/>
      <c r="AR660" s="126"/>
      <c r="AS660" s="126"/>
      <c r="AT660" s="74"/>
      <c r="AU660" s="1357" t="str">
        <f t="shared" si="212"/>
        <v>-</v>
      </c>
    </row>
    <row r="661" spans="1:47" s="103" customFormat="1" hidden="1" x14ac:dyDescent="0.2">
      <c r="A661" s="400" t="s">
        <v>110</v>
      </c>
      <c r="B661" s="1062" t="s">
        <v>134</v>
      </c>
      <c r="C661" s="1390" t="s">
        <v>1771</v>
      </c>
      <c r="D661" s="168"/>
      <c r="E661" s="536" t="s">
        <v>1772</v>
      </c>
      <c r="F661" s="536" t="s">
        <v>454</v>
      </c>
      <c r="G661" s="789" t="s">
        <v>1773</v>
      </c>
      <c r="H661" s="400" t="s">
        <v>1773</v>
      </c>
      <c r="I661" s="1302" t="s">
        <v>52</v>
      </c>
      <c r="J661" s="497" t="s">
        <v>53</v>
      </c>
      <c r="K661" s="101" t="s">
        <v>54</v>
      </c>
      <c r="L661" s="101" t="s">
        <v>55</v>
      </c>
      <c r="M661" s="832"/>
      <c r="N661" s="832"/>
      <c r="O661" s="1302" t="s">
        <v>56</v>
      </c>
      <c r="P661" s="400">
        <v>56</v>
      </c>
      <c r="Q661" s="400">
        <v>56</v>
      </c>
      <c r="R661" s="400">
        <v>56</v>
      </c>
      <c r="S661" s="400">
        <v>56</v>
      </c>
      <c r="T661" s="400">
        <v>56</v>
      </c>
      <c r="U661" s="400">
        <v>56</v>
      </c>
      <c r="V661" s="106">
        <f>IF(J661="Canvas",P661+Border,P661)</f>
        <v>64</v>
      </c>
      <c r="W661" s="106">
        <f>IF(J661="Canvas",Q661+Border,Q661)</f>
        <v>64</v>
      </c>
      <c r="X661" s="525">
        <v>69</v>
      </c>
      <c r="Y661" s="400">
        <v>67</v>
      </c>
      <c r="Z661" s="400">
        <v>67</v>
      </c>
      <c r="AA661" s="649">
        <f t="shared" si="221"/>
        <v>28.444444444444443</v>
      </c>
      <c r="AB661" s="184">
        <f>AA661*IncaG</f>
        <v>598.4711111111111</v>
      </c>
      <c r="AC661" s="104">
        <f>AA661*Canvas</f>
        <v>18.773333333333333</v>
      </c>
      <c r="AD661" s="1066">
        <f>Table1[[#This Row],[Substrate SF]]*IncaC</f>
        <v>47.877688888888891</v>
      </c>
      <c r="AE661" s="406">
        <f>IF(Table1[[#This Row],[Work Center]]="SwissQ",Materials!G$37,IF(Table1[[#This Row],[Work Center]]="Inca",Materials!G$29,IF(Table1[[#This Row],[Work Center]]="Canon",Materials!G$49,Materials!G$45)))</f>
        <v>8</v>
      </c>
      <c r="AF661" s="403">
        <f>'Cali FPS'!C147</f>
        <v>180</v>
      </c>
      <c r="AG661" s="1000"/>
      <c r="AH661" s="406">
        <f t="shared" si="224"/>
        <v>0</v>
      </c>
      <c r="AI661" s="406">
        <f>IF(A661="Codarus",(M661*0.13))</f>
        <v>0</v>
      </c>
      <c r="AJ661" s="104">
        <f>SUM(AC661:AI661)</f>
        <v>254.65102222222222</v>
      </c>
      <c r="AK661" s="830" t="e">
        <f t="shared" si="226"/>
        <v>#DIV/0!</v>
      </c>
      <c r="AL661" s="660">
        <f>Table1[[#This Row],[WSP/Dealer]]/Table1[[#This Row],[OD Sq Inch]]</f>
        <v>0</v>
      </c>
      <c r="AM661" s="399">
        <f>Table1[[#This Row],[OD Wdth]]*Table1[[#This Row],[OD Hgt]]</f>
        <v>3136</v>
      </c>
      <c r="AN661" s="400">
        <f>Table1[[#This Row],[Min VO]]+Table1[[#This Row],[Max VO]]</f>
        <v>112</v>
      </c>
      <c r="AO661" s="401"/>
      <c r="AP661" s="1000"/>
      <c r="AQ661" s="121">
        <f>(Table1[[#This Row],[Desgnr/Retail P]]*0.05)</f>
        <v>0</v>
      </c>
      <c r="AR661" s="121">
        <f>IF(A661="Codarus",(AP661*0.13))</f>
        <v>0</v>
      </c>
      <c r="AS661" s="121">
        <f>SUM(Table1[[#This Row],[Substrate $]:[GP FINISH]])+Table1[[#This Row],[Retail Royalty]]+Table1[[#This Row],[Retail$Comm]]</f>
        <v>254.65102222222222</v>
      </c>
      <c r="AT661" s="830" t="str">
        <f>IF(AP661=0,"-",(AP661-AS661)/AP661)</f>
        <v>-</v>
      </c>
      <c r="AU661" s="1366" t="str">
        <f t="shared" si="212"/>
        <v>-</v>
      </c>
    </row>
    <row r="662" spans="1:47" s="900" customFormat="1" x14ac:dyDescent="0.2">
      <c r="A662" s="180" t="s">
        <v>58</v>
      </c>
      <c r="B662" s="1061" t="s">
        <v>96</v>
      </c>
      <c r="C662" s="434" t="s">
        <v>1774</v>
      </c>
      <c r="D662" s="94"/>
      <c r="E662" s="99" t="s">
        <v>1775</v>
      </c>
      <c r="F662" s="99" t="s">
        <v>454</v>
      </c>
      <c r="G662" s="605" t="s">
        <v>395</v>
      </c>
      <c r="H662" s="60" t="s">
        <v>395</v>
      </c>
      <c r="I662" s="60" t="s">
        <v>52</v>
      </c>
      <c r="J662" s="59" t="s">
        <v>53</v>
      </c>
      <c r="K662" s="60" t="s">
        <v>54</v>
      </c>
      <c r="L662" s="60" t="s">
        <v>55</v>
      </c>
      <c r="M662" s="179">
        <v>1175</v>
      </c>
      <c r="N662" s="656">
        <v>1175</v>
      </c>
      <c r="O662" s="60" t="s">
        <v>64</v>
      </c>
      <c r="P662" s="60">
        <v>60</v>
      </c>
      <c r="Q662" s="60">
        <v>60</v>
      </c>
      <c r="R662" s="60">
        <v>60</v>
      </c>
      <c r="S662" s="60">
        <v>60</v>
      </c>
      <c r="T662" s="60">
        <v>60</v>
      </c>
      <c r="U662" s="60">
        <v>60</v>
      </c>
      <c r="V662" s="946">
        <f>IF(J662="Canvas",P662+Materials!C$5,P662)</f>
        <v>67</v>
      </c>
      <c r="W662" s="946">
        <f>IF(J662="Canvas",Q662+Materials!C$5,Q662)</f>
        <v>67</v>
      </c>
      <c r="X662" s="138"/>
      <c r="Y662" s="60">
        <v>67</v>
      </c>
      <c r="Z662" s="60">
        <v>67</v>
      </c>
      <c r="AA662" s="717">
        <f t="shared" si="221"/>
        <v>31.173611111111111</v>
      </c>
      <c r="AB662" s="125">
        <f>AA662*Swiss1</f>
        <v>882.21319444444441</v>
      </c>
      <c r="AC662" s="69">
        <f>AA662*Canvas</f>
        <v>20.574583333333333</v>
      </c>
      <c r="AD662" s="48">
        <f>Table1[[#This Row],[Substrate SF]]*Materials!C$37</f>
        <v>87.286111111111111</v>
      </c>
      <c r="AE662" s="69">
        <f>IF(Table1[[#This Row],[Work Center]]="SwissQ",Materials!G$37,IF(Table1[[#This Row],[Work Center]]="Inca",Materials!G$29,IF(Table1[[#This Row],[Work Center]]="Canon",Materials!G$49,Materials!G$45)))</f>
        <v>20</v>
      </c>
      <c r="AF662" s="72">
        <f>'Cali FPS'!C158</f>
        <v>196.875</v>
      </c>
      <c r="AG662" s="540"/>
      <c r="AH662" s="69">
        <f t="shared" si="224"/>
        <v>58.75</v>
      </c>
      <c r="AI662" s="69"/>
      <c r="AJ662" s="176">
        <f t="shared" ref="AJ662:AJ684" si="228">SUM(AC662:AH662)</f>
        <v>383.48569444444445</v>
      </c>
      <c r="AK662" s="650">
        <f t="shared" si="226"/>
        <v>0.67362919621749406</v>
      </c>
      <c r="AL662" s="225">
        <f>Table1[[#This Row],[WSP/Dealer]]/Table1[[#This Row],[OD Sq Inch]]</f>
        <v>0.3263888888888889</v>
      </c>
      <c r="AM662" s="180">
        <f>Table1[[#This Row],[OD Wdth]]*Table1[[#This Row],[OD Hgt]]</f>
        <v>3600</v>
      </c>
      <c r="AN662" s="180">
        <f>Table1[[#This Row],[Min VO]]+Table1[[#This Row],[Max VO]]</f>
        <v>120</v>
      </c>
      <c r="AO662" s="83"/>
      <c r="AP662" s="83"/>
      <c r="AQ662" s="540"/>
      <c r="AR662" s="540"/>
      <c r="AS662" s="540"/>
      <c r="AT662" s="69"/>
      <c r="AU662" s="1361" t="str">
        <f t="shared" si="212"/>
        <v>-</v>
      </c>
    </row>
    <row r="663" spans="1:47" s="228" customFormat="1" hidden="1" x14ac:dyDescent="0.2">
      <c r="A663" s="101"/>
      <c r="B663" s="1061"/>
      <c r="C663" s="77" t="s">
        <v>1776</v>
      </c>
      <c r="D663" s="94"/>
      <c r="E663" s="115" t="s">
        <v>1777</v>
      </c>
      <c r="F663" s="115" t="s">
        <v>1103</v>
      </c>
      <c r="G663" s="101" t="s">
        <v>1073</v>
      </c>
      <c r="H663" s="101"/>
      <c r="I663" s="60" t="s">
        <v>108</v>
      </c>
      <c r="J663" s="59" t="s">
        <v>257</v>
      </c>
      <c r="K663" s="101" t="s">
        <v>258</v>
      </c>
      <c r="L663" s="101" t="s">
        <v>259</v>
      </c>
      <c r="M663" s="299">
        <v>400</v>
      </c>
      <c r="N663" s="71"/>
      <c r="O663" s="101" t="s">
        <v>260</v>
      </c>
      <c r="P663" s="60">
        <v>24</v>
      </c>
      <c r="Q663" s="60">
        <v>36</v>
      </c>
      <c r="R663" s="60">
        <v>24</v>
      </c>
      <c r="S663" s="60">
        <v>36</v>
      </c>
      <c r="T663" s="101">
        <v>26</v>
      </c>
      <c r="U663" s="101">
        <v>38</v>
      </c>
      <c r="V663" s="47">
        <f>Table1[[#This Row],[VO Wdth]]+Materials!$C$50</f>
        <v>26</v>
      </c>
      <c r="W663" s="47">
        <f>Table1[[#This Row],[VO Hgt]]+Materials!$C$50</f>
        <v>38</v>
      </c>
      <c r="X663" s="137" t="s">
        <v>257</v>
      </c>
      <c r="Y663" s="101"/>
      <c r="Z663" s="101"/>
      <c r="AA663" s="717">
        <f t="shared" si="221"/>
        <v>6.8611111111111107</v>
      </c>
      <c r="AB663" s="125">
        <f>AA663*canonML</f>
        <v>32.93333333333333</v>
      </c>
      <c r="AC663" s="69">
        <f>Table1[[#This Row],[Print Wth]]*paper60</f>
        <v>8.84</v>
      </c>
      <c r="AD663" s="48">
        <f>Table1[[#This Row],[Ink g/mL]]*CanonC</f>
        <v>8.8919999999999995</v>
      </c>
      <c r="AE663" s="104">
        <f>IF(Table1[[#This Row],[Work Center]]="SwissQ",Materials!G$37,IF(Table1[[#This Row],[Work Center]]="Inca",Materials!G$29,IF(Table1[[#This Row],[Work Center]]="Canon",Materials!G$49,Materials!G$45)))</f>
        <v>7</v>
      </c>
      <c r="AF663" s="102">
        <f>'Cali Frames'!D39</f>
        <v>114.67750000000001</v>
      </c>
      <c r="AG663" s="121"/>
      <c r="AH663" s="112">
        <f t="shared" si="224"/>
        <v>20</v>
      </c>
      <c r="AI663" s="112"/>
      <c r="AJ663" s="107">
        <f t="shared" si="228"/>
        <v>159.40950000000001</v>
      </c>
      <c r="AK663" s="62">
        <f t="shared" si="226"/>
        <v>0.60147624999999993</v>
      </c>
      <c r="AL663" s="225" t="e">
        <f>Table1[[#This Row],[WSP/Dealer]]/Table1[[#This Row],[OD Sq Inch]]</f>
        <v>#DIV/0!</v>
      </c>
      <c r="AM663" s="113"/>
      <c r="AN663" s="216">
        <f>Table1[[#This Row],[Min VO]]+Table1[[#This Row],[Max VO]]</f>
        <v>60</v>
      </c>
      <c r="AO663" s="115"/>
      <c r="AP663" s="115"/>
      <c r="AQ663" s="121"/>
      <c r="AR663" s="121"/>
      <c r="AS663" s="121"/>
      <c r="AT663" s="104"/>
      <c r="AU663" s="1359" t="str">
        <f t="shared" si="212"/>
        <v>-</v>
      </c>
    </row>
    <row r="664" spans="1:47" s="103" customFormat="1" hidden="1" x14ac:dyDescent="0.2">
      <c r="A664" s="101"/>
      <c r="B664" s="1061"/>
      <c r="C664" s="77" t="s">
        <v>1778</v>
      </c>
      <c r="D664" s="94"/>
      <c r="E664" s="115" t="s">
        <v>1777</v>
      </c>
      <c r="F664" s="115" t="s">
        <v>1103</v>
      </c>
      <c r="G664" s="101" t="s">
        <v>1073</v>
      </c>
      <c r="H664" s="101"/>
      <c r="I664" s="60" t="s">
        <v>108</v>
      </c>
      <c r="J664" s="59" t="s">
        <v>257</v>
      </c>
      <c r="K664" s="101" t="s">
        <v>258</v>
      </c>
      <c r="L664" s="101" t="s">
        <v>269</v>
      </c>
      <c r="M664" s="299">
        <v>450</v>
      </c>
      <c r="N664" s="71"/>
      <c r="O664" s="101" t="s">
        <v>260</v>
      </c>
      <c r="P664" s="60">
        <v>24</v>
      </c>
      <c r="Q664" s="60">
        <v>36</v>
      </c>
      <c r="R664" s="60">
        <v>24</v>
      </c>
      <c r="S664" s="60">
        <v>36</v>
      </c>
      <c r="T664" s="101">
        <v>26</v>
      </c>
      <c r="U664" s="101">
        <v>38</v>
      </c>
      <c r="V664" s="946">
        <f>Table1[[#This Row],[VO Wdth]]+Materials!$C$50</f>
        <v>26</v>
      </c>
      <c r="W664" s="946">
        <f>Table1[[#This Row],[VO Hgt]]+Materials!$C$50</f>
        <v>38</v>
      </c>
      <c r="X664" s="137" t="s">
        <v>257</v>
      </c>
      <c r="Y664" s="101"/>
      <c r="Z664" s="101"/>
      <c r="AA664" s="717">
        <f t="shared" si="221"/>
        <v>6.8611111111111107</v>
      </c>
      <c r="AB664" s="125">
        <f>AA664*canonML</f>
        <v>32.93333333333333</v>
      </c>
      <c r="AC664" s="69">
        <f>Table1[[#This Row],[Print Wth]]*paper60</f>
        <v>8.84</v>
      </c>
      <c r="AD664" s="48">
        <f>Table1[[#This Row],[Ink g/mL]]*CanonC</f>
        <v>8.8919999999999995</v>
      </c>
      <c r="AE664" s="104">
        <f>IF(Table1[[#This Row],[Work Center]]="SwissQ",Materials!G$37,IF(Table1[[#This Row],[Work Center]]="Inca",Materials!G$29,IF(Table1[[#This Row],[Work Center]]="Canon",Materials!G$49,Materials!G$45)))</f>
        <v>7</v>
      </c>
      <c r="AF664" s="102">
        <f>'Cali Frames'!D63</f>
        <v>123.0425</v>
      </c>
      <c r="AG664" s="121"/>
      <c r="AH664" s="498">
        <f t="shared" si="224"/>
        <v>22.5</v>
      </c>
      <c r="AI664" s="498"/>
      <c r="AJ664" s="104">
        <f t="shared" si="228"/>
        <v>170.27449999999999</v>
      </c>
      <c r="AK664" s="650">
        <f t="shared" si="226"/>
        <v>0.62161222222222223</v>
      </c>
      <c r="AL664" s="225" t="e">
        <f>Table1[[#This Row],[WSP/Dealer]]/Table1[[#This Row],[OD Sq Inch]]</f>
        <v>#DIV/0!</v>
      </c>
      <c r="AM664" s="115"/>
      <c r="AN664" s="216">
        <f>Table1[[#This Row],[Min VO]]+Table1[[#This Row],[Max VO]]</f>
        <v>60</v>
      </c>
      <c r="AO664" s="115"/>
      <c r="AP664" s="115"/>
      <c r="AQ664" s="121"/>
      <c r="AR664" s="121"/>
      <c r="AS664" s="121"/>
      <c r="AT664" s="104"/>
      <c r="AU664" s="1359" t="str">
        <f t="shared" ref="AU664:AU727" si="229">IF(AQ664=0,"-",(AQ664-AT664)/AQ664)</f>
        <v>-</v>
      </c>
    </row>
    <row r="665" spans="1:47" s="63" customFormat="1" x14ac:dyDescent="0.2">
      <c r="A665" s="86" t="s">
        <v>58</v>
      </c>
      <c r="B665" s="1061" t="s">
        <v>406</v>
      </c>
      <c r="C665" s="654" t="s">
        <v>1779</v>
      </c>
      <c r="D665" s="94" t="s">
        <v>1780</v>
      </c>
      <c r="E665" s="85" t="s">
        <v>1781</v>
      </c>
      <c r="F665" s="85" t="s">
        <v>92</v>
      </c>
      <c r="G665" s="86" t="s">
        <v>410</v>
      </c>
      <c r="H665" s="86" t="s">
        <v>410</v>
      </c>
      <c r="I665" s="86" t="s">
        <v>52</v>
      </c>
      <c r="J665" s="86" t="s">
        <v>53</v>
      </c>
      <c r="K665" s="86" t="s">
        <v>54</v>
      </c>
      <c r="L665" s="86" t="s">
        <v>55</v>
      </c>
      <c r="M665" s="87">
        <v>1122</v>
      </c>
      <c r="N665" s="639">
        <v>1250</v>
      </c>
      <c r="O665" s="798" t="s">
        <v>56</v>
      </c>
      <c r="P665" s="655">
        <v>54</v>
      </c>
      <c r="Q665" s="655">
        <v>72</v>
      </c>
      <c r="R665" s="60">
        <v>54</v>
      </c>
      <c r="S665" s="273">
        <v>72</v>
      </c>
      <c r="T665" s="273">
        <f>Table1[[#This Row],[VO Wdth]]</f>
        <v>54</v>
      </c>
      <c r="U665" s="273">
        <f>Table1[[#This Row],[VO Hgt]]</f>
        <v>72</v>
      </c>
      <c r="V665" s="608">
        <f>IF(J665="Canvas",P665+BorderGW,P665)</f>
        <v>62</v>
      </c>
      <c r="W665" s="608">
        <f>IF(J665="Canvas",Q665+BorderGW,Q665)</f>
        <v>80</v>
      </c>
      <c r="X665" s="557">
        <v>63</v>
      </c>
      <c r="Y665" s="655"/>
      <c r="Z665" s="655"/>
      <c r="AA665" s="717">
        <f t="shared" si="221"/>
        <v>34.444444444444443</v>
      </c>
      <c r="AB665" s="184">
        <f>AA665*IncaG</f>
        <v>724.71111111111099</v>
      </c>
      <c r="AC665" s="818">
        <f>AA665*Canvas</f>
        <v>22.733333333333334</v>
      </c>
      <c r="AD665" s="107">
        <f t="shared" ref="AD665:AD673" si="230">AA665*IncaC</f>
        <v>57.976888888888887</v>
      </c>
      <c r="AE665" s="104">
        <f>IF(Table1[[#This Row],[Work Center]]="SwissQ",Materials!G$37,IF(Table1[[#This Row],[Work Center]]="Inca",Materials!G$29,IF(Table1[[#This Row],[Work Center]]="Canon",Materials!G$49,Materials!G$45)))</f>
        <v>8</v>
      </c>
      <c r="AF665" s="104">
        <f>'Cali FPS'!C$144</f>
        <v>177.92250000000001</v>
      </c>
      <c r="AG665" s="115"/>
      <c r="AH665" s="498">
        <f t="shared" si="224"/>
        <v>56.1</v>
      </c>
      <c r="AI665" s="498"/>
      <c r="AJ665" s="818">
        <f t="shared" si="228"/>
        <v>322.73272222222226</v>
      </c>
      <c r="AK665" s="650">
        <f t="shared" si="226"/>
        <v>0.71235942760942761</v>
      </c>
      <c r="AL665" s="225">
        <f>Table1[[#This Row],[WSP/Dealer]]/Table1[[#This Row],[OD Sq Inch]]</f>
        <v>0.28858024691358025</v>
      </c>
      <c r="AM665" s="180">
        <f>Table1[[#This Row],[OD Wdth]]*Table1[[#This Row],[OD Hgt]]</f>
        <v>3888</v>
      </c>
      <c r="AN665" s="216">
        <f>Table1[[#This Row],[Min VO]]+Table1[[#This Row],[Max VO]]</f>
        <v>126</v>
      </c>
      <c r="AO665" s="101"/>
      <c r="AP665" s="101"/>
      <c r="AQ665" s="104"/>
      <c r="AR665" s="104"/>
      <c r="AS665" s="104"/>
      <c r="AT665" s="104"/>
      <c r="AU665" s="830" t="str">
        <f t="shared" si="229"/>
        <v>-</v>
      </c>
    </row>
    <row r="666" spans="1:47" s="63" customFormat="1" x14ac:dyDescent="0.2">
      <c r="A666" s="86" t="s">
        <v>58</v>
      </c>
      <c r="B666" s="1061" t="s">
        <v>88</v>
      </c>
      <c r="C666" s="100" t="s">
        <v>1782</v>
      </c>
      <c r="D666" s="94" t="s">
        <v>1783</v>
      </c>
      <c r="E666" s="85" t="s">
        <v>1781</v>
      </c>
      <c r="F666" s="85" t="s">
        <v>92</v>
      </c>
      <c r="G666" s="86" t="s">
        <v>410</v>
      </c>
      <c r="H666" s="86" t="s">
        <v>413</v>
      </c>
      <c r="I666" s="86" t="s">
        <v>52</v>
      </c>
      <c r="J666" s="86" t="s">
        <v>53</v>
      </c>
      <c r="K666" s="86" t="s">
        <v>82</v>
      </c>
      <c r="L666" s="86" t="s">
        <v>83</v>
      </c>
      <c r="M666" s="87">
        <v>1177</v>
      </c>
      <c r="N666" s="639">
        <v>1400</v>
      </c>
      <c r="O666" s="551" t="s">
        <v>56</v>
      </c>
      <c r="P666" s="101">
        <v>54</v>
      </c>
      <c r="Q666" s="101">
        <v>72</v>
      </c>
      <c r="R666" s="60">
        <v>54</v>
      </c>
      <c r="S666" s="273">
        <v>72</v>
      </c>
      <c r="T666" s="101">
        <v>56</v>
      </c>
      <c r="U666" s="101" t="str">
        <f>RIGHT(H666,2)</f>
        <v>74</v>
      </c>
      <c r="V666" s="608">
        <f>IF(J666="Canvas",P666+Border,P666)</f>
        <v>62</v>
      </c>
      <c r="W666" s="608">
        <f>IF(J666="Canvas",Q666+Border,Q666)</f>
        <v>80</v>
      </c>
      <c r="X666" s="311">
        <v>63</v>
      </c>
      <c r="Y666" s="551"/>
      <c r="Z666" s="551"/>
      <c r="AA666" s="649">
        <f t="shared" si="221"/>
        <v>34.444444444444443</v>
      </c>
      <c r="AB666" s="184">
        <f>AA666*IncaG</f>
        <v>724.71111111111099</v>
      </c>
      <c r="AC666" s="104">
        <f>AA666*Canvas</f>
        <v>22.733333333333334</v>
      </c>
      <c r="AD666" s="107">
        <f t="shared" si="230"/>
        <v>57.976888888888887</v>
      </c>
      <c r="AE666" s="104">
        <f>IF(Table1[[#This Row],[Work Center]]="SwissQ",Materials!G$37,IF(Table1[[#This Row],[Work Center]]="Inca",Materials!G$29,IF(Table1[[#This Row],[Work Center]]="Canon",Materials!G$49,Materials!G$45)))</f>
        <v>8</v>
      </c>
      <c r="AF666" s="104">
        <f>'Cali Frames'!D$162</f>
        <v>313.91499999999996</v>
      </c>
      <c r="AG666" s="115"/>
      <c r="AH666" s="498">
        <f t="shared" si="224"/>
        <v>58.85</v>
      </c>
      <c r="AI666" s="498"/>
      <c r="AJ666" s="104">
        <f t="shared" si="228"/>
        <v>461.47522222222221</v>
      </c>
      <c r="AK666" s="650">
        <f t="shared" si="226"/>
        <v>0.60792249598791659</v>
      </c>
      <c r="AL666" s="225">
        <f>Table1[[#This Row],[WSP/Dealer]]/Table1[[#This Row],[OD Sq Inch]]</f>
        <v>0.2840250965250965</v>
      </c>
      <c r="AM666" s="180">
        <f>Table1[[#This Row],[OD Wdth]]*Table1[[#This Row],[OD Hgt]]</f>
        <v>4144</v>
      </c>
      <c r="AN666" s="216">
        <f>Table1[[#This Row],[Min VO]]+Table1[[#This Row],[Max VO]]</f>
        <v>126</v>
      </c>
      <c r="AO666" s="101"/>
      <c r="AP666" s="101"/>
      <c r="AQ666" s="104"/>
      <c r="AR666" s="104"/>
      <c r="AS666" s="104"/>
      <c r="AT666" s="104"/>
      <c r="AU666" s="830" t="str">
        <f t="shared" si="229"/>
        <v>-</v>
      </c>
    </row>
    <row r="667" spans="1:47" s="63" customFormat="1" x14ac:dyDescent="0.2">
      <c r="A667" s="400" t="s">
        <v>58</v>
      </c>
      <c r="B667" s="1061" t="s">
        <v>445</v>
      </c>
      <c r="C667" s="1033" t="s">
        <v>1784</v>
      </c>
      <c r="D667" s="94"/>
      <c r="E667" s="401" t="s">
        <v>1785</v>
      </c>
      <c r="F667" s="401" t="s">
        <v>92</v>
      </c>
      <c r="G667" s="400" t="s">
        <v>413</v>
      </c>
      <c r="H667" s="400" t="s">
        <v>413</v>
      </c>
      <c r="I667" s="400" t="s">
        <v>52</v>
      </c>
      <c r="J667" s="400" t="s">
        <v>53</v>
      </c>
      <c r="K667" s="400" t="s">
        <v>54</v>
      </c>
      <c r="L667" s="400" t="s">
        <v>55</v>
      </c>
      <c r="M667" s="488">
        <v>1300</v>
      </c>
      <c r="N667" s="639">
        <v>1300</v>
      </c>
      <c r="O667" s="812" t="s">
        <v>56</v>
      </c>
      <c r="P667" s="812">
        <v>56</v>
      </c>
      <c r="Q667" s="812">
        <v>74</v>
      </c>
      <c r="R667" s="812">
        <v>56</v>
      </c>
      <c r="S667" s="812">
        <v>74</v>
      </c>
      <c r="T667" s="101">
        <v>56</v>
      </c>
      <c r="U667" s="101">
        <v>74</v>
      </c>
      <c r="V667" s="608">
        <f>IF(J667="Canvas",P667+BorderGW,P667)</f>
        <v>64</v>
      </c>
      <c r="W667" s="608">
        <f>IF(J667="Canvas",Q667+BorderGW,Q667)</f>
        <v>82</v>
      </c>
      <c r="X667" s="908">
        <v>69</v>
      </c>
      <c r="Y667" s="812">
        <v>64</v>
      </c>
      <c r="Z667" s="812">
        <v>82</v>
      </c>
      <c r="AA667" s="649">
        <f t="shared" si="221"/>
        <v>36.444444444444443</v>
      </c>
      <c r="AB667" s="184">
        <f>AA667*IncaG</f>
        <v>766.79111111111104</v>
      </c>
      <c r="AC667" s="104">
        <f>AA667*Canvas</f>
        <v>24.053333333333335</v>
      </c>
      <c r="AD667" s="107">
        <f t="shared" si="230"/>
        <v>61.343288888888885</v>
      </c>
      <c r="AE667" s="104">
        <f>IF(Table1[[#This Row],[Work Center]]="SwissQ",Materials!G$37,IF(Table1[[#This Row],[Work Center]]="Inca",Materials!G$29,IF(Table1[[#This Row],[Work Center]]="Canon",Materials!G$49,Materials!G$45)))</f>
        <v>8</v>
      </c>
      <c r="AF667" s="403">
        <f>'Cali FPS'!C151</f>
        <v>231.26250000000002</v>
      </c>
      <c r="AG667" s="401"/>
      <c r="AH667" s="498">
        <f t="shared" si="224"/>
        <v>65</v>
      </c>
      <c r="AI667" s="498"/>
      <c r="AJ667" s="104">
        <f t="shared" si="228"/>
        <v>389.65912222222221</v>
      </c>
      <c r="AK667" s="650">
        <f t="shared" si="226"/>
        <v>0.70026221367521368</v>
      </c>
      <c r="AL667" s="225">
        <f>Table1[[#This Row],[WSP/Dealer]]/Table1[[#This Row],[OD Sq Inch]]</f>
        <v>0.31370656370656369</v>
      </c>
      <c r="AM667" s="266">
        <f>Table1[[#This Row],[OD Wdth]]*Table1[[#This Row],[OD Hgt]]</f>
        <v>4144</v>
      </c>
      <c r="AN667" s="266">
        <f>Table1[[#This Row],[Min VO]]+Table1[[#This Row],[Max VO]]</f>
        <v>130</v>
      </c>
      <c r="AO667" s="401"/>
      <c r="AP667" s="401"/>
      <c r="AQ667" s="1000"/>
      <c r="AR667" s="1000"/>
      <c r="AS667" s="1000"/>
      <c r="AT667" s="406"/>
      <c r="AU667" s="1366" t="str">
        <f t="shared" si="229"/>
        <v>-</v>
      </c>
    </row>
    <row r="668" spans="1:47" s="103" customFormat="1" x14ac:dyDescent="0.2">
      <c r="A668" s="869" t="s">
        <v>58</v>
      </c>
      <c r="B668" s="1061" t="s">
        <v>445</v>
      </c>
      <c r="C668" s="1031" t="s">
        <v>1786</v>
      </c>
      <c r="D668" s="94"/>
      <c r="E668" s="872" t="s">
        <v>1785</v>
      </c>
      <c r="F668" s="872" t="s">
        <v>92</v>
      </c>
      <c r="G668" s="869" t="s">
        <v>413</v>
      </c>
      <c r="H668" s="869" t="s">
        <v>1754</v>
      </c>
      <c r="I668" s="869" t="s">
        <v>52</v>
      </c>
      <c r="J668" s="869" t="s">
        <v>53</v>
      </c>
      <c r="K668" s="869" t="s">
        <v>82</v>
      </c>
      <c r="L668" s="869" t="s">
        <v>83</v>
      </c>
      <c r="M668" s="874">
        <v>1450</v>
      </c>
      <c r="N668" s="639">
        <v>1450</v>
      </c>
      <c r="O668" s="904" t="s">
        <v>56</v>
      </c>
      <c r="P668" s="904">
        <v>56</v>
      </c>
      <c r="Q668" s="904">
        <v>74</v>
      </c>
      <c r="R668" s="904">
        <v>56</v>
      </c>
      <c r="S668" s="904">
        <v>74</v>
      </c>
      <c r="T668" s="551">
        <v>58</v>
      </c>
      <c r="U668" s="551">
        <v>76</v>
      </c>
      <c r="V668" s="859">
        <f>IF(J668="Canvas",P668+BorderGW,P668)</f>
        <v>64</v>
      </c>
      <c r="W668" s="859">
        <f>IF(J668="Canvas",Q668+BorderGW,Q668)</f>
        <v>82</v>
      </c>
      <c r="X668" s="905">
        <v>69</v>
      </c>
      <c r="Y668" s="904">
        <v>64</v>
      </c>
      <c r="Z668" s="904">
        <v>82</v>
      </c>
      <c r="AA668" s="860">
        <f t="shared" si="221"/>
        <v>36.444444444444443</v>
      </c>
      <c r="AB668" s="861">
        <f>AA668*IncaG</f>
        <v>766.79111111111104</v>
      </c>
      <c r="AC668" s="863">
        <f>AA668*Canvas</f>
        <v>24.053333333333335</v>
      </c>
      <c r="AD668" s="862">
        <f t="shared" si="230"/>
        <v>61.343288888888885</v>
      </c>
      <c r="AE668" s="863">
        <f>IF(Table1[[#This Row],[Work Center]]="SwissQ",Materials!G$37,IF(Table1[[#This Row],[Work Center]]="Inca",Materials!G$29,IF(Table1[[#This Row],[Work Center]]="Canon",Materials!G$49,Materials!G$45)))</f>
        <v>8</v>
      </c>
      <c r="AF668" s="882">
        <f>'Cali Frames'!D166</f>
        <v>351.93</v>
      </c>
      <c r="AG668" s="872"/>
      <c r="AH668" s="862">
        <f t="shared" si="224"/>
        <v>72.5</v>
      </c>
      <c r="AI668" s="862"/>
      <c r="AJ668" s="863">
        <f t="shared" si="228"/>
        <v>517.82662222222223</v>
      </c>
      <c r="AK668" s="894">
        <f t="shared" si="226"/>
        <v>0.64287819157088122</v>
      </c>
      <c r="AL668" s="895">
        <f>Table1[[#This Row],[WSP/Dealer]]/Table1[[#This Row],[OD Sq Inch]]</f>
        <v>0.32894736842105265</v>
      </c>
      <c r="AM668" s="897">
        <f>Table1[[#This Row],[OD Wdth]]*Table1[[#This Row],[OD Hgt]]</f>
        <v>4408</v>
      </c>
      <c r="AN668" s="779">
        <f>Table1[[#This Row],[Min VO]]+Table1[[#This Row],[Max VO]]</f>
        <v>130</v>
      </c>
      <c r="AO668" s="877"/>
      <c r="AP668" s="872"/>
      <c r="AQ668" s="994"/>
      <c r="AR668" s="994"/>
      <c r="AS668" s="994"/>
      <c r="AT668" s="867"/>
      <c r="AU668" s="1816" t="str">
        <f t="shared" si="229"/>
        <v>-</v>
      </c>
    </row>
    <row r="669" spans="1:47" s="63" customFormat="1" hidden="1" x14ac:dyDescent="0.2">
      <c r="A669" s="68" t="s">
        <v>110</v>
      </c>
      <c r="B669" s="1152" t="s">
        <v>486</v>
      </c>
      <c r="C669" s="78" t="s">
        <v>1787</v>
      </c>
      <c r="D669" s="94"/>
      <c r="E669" s="84" t="s">
        <v>1788</v>
      </c>
      <c r="F669" s="84" t="s">
        <v>800</v>
      </c>
      <c r="G669" s="68" t="s">
        <v>1789</v>
      </c>
      <c r="H669" s="68" t="s">
        <v>1790</v>
      </c>
      <c r="I669" s="68" t="s">
        <v>52</v>
      </c>
      <c r="J669" s="140" t="s">
        <v>53</v>
      </c>
      <c r="K669" s="68" t="s">
        <v>69</v>
      </c>
      <c r="L669" s="68" t="s">
        <v>70</v>
      </c>
      <c r="M669" s="141">
        <v>575</v>
      </c>
      <c r="N669" s="93"/>
      <c r="O669" s="68" t="s">
        <v>56</v>
      </c>
      <c r="P669" s="68">
        <v>43</v>
      </c>
      <c r="Q669" s="68">
        <v>43</v>
      </c>
      <c r="R669" s="68">
        <v>43</v>
      </c>
      <c r="S669" s="68">
        <v>43</v>
      </c>
      <c r="T669" s="68">
        <v>44</v>
      </c>
      <c r="U669" s="68" t="str">
        <f>RIGHT(H669,2)</f>
        <v>44</v>
      </c>
      <c r="V669" s="66">
        <f>IF(J669="Canvas",P669+BorderGW,P669)</f>
        <v>51</v>
      </c>
      <c r="W669" s="66">
        <f>IF(J669="Canvas",Q669+BorderGW,Q669)</f>
        <v>51</v>
      </c>
      <c r="X669" s="68">
        <v>53</v>
      </c>
      <c r="Y669" s="68">
        <v>51</v>
      </c>
      <c r="Z669" s="68">
        <v>51</v>
      </c>
      <c r="AA669" s="699">
        <f t="shared" si="221"/>
        <v>18.0625</v>
      </c>
      <c r="AB669" s="297">
        <f>AA669*IncaG</f>
        <v>380.03499999999997</v>
      </c>
      <c r="AC669" s="74">
        <f>AA669*Canvas</f>
        <v>11.921250000000001</v>
      </c>
      <c r="AD669" s="67">
        <f t="shared" si="230"/>
        <v>30.402799999999999</v>
      </c>
      <c r="AE669" s="74">
        <f>IF(Table1[[#This Row],[Work Center]]="SwissQ",Materials!G$37,IF(Table1[[#This Row],[Work Center]]="Inca",Materials!G$29,IF(Table1[[#This Row],[Work Center]]="Canon",Materials!G$49,Materials!G$45)))</f>
        <v>8</v>
      </c>
      <c r="AF669" s="73">
        <f>'Cali Frames'!D322</f>
        <v>165.69</v>
      </c>
      <c r="AG669" s="84"/>
      <c r="AH669" s="278">
        <f t="shared" si="224"/>
        <v>28.75</v>
      </c>
      <c r="AI669" s="278"/>
      <c r="AJ669" s="278">
        <f t="shared" si="228"/>
        <v>244.76405</v>
      </c>
      <c r="AK669" s="1192">
        <f t="shared" si="226"/>
        <v>0.57432339130434784</v>
      </c>
      <c r="AL669" s="278">
        <f>Table1[[#This Row],[WSP/Dealer]]/Table1[[#This Row],[OD Sq Inch]]</f>
        <v>0.29700413223140498</v>
      </c>
      <c r="AM669" s="170">
        <f>Table1[[#This Row],[OD Wdth]]*Table1[[#This Row],[OD Hgt]]</f>
        <v>1936</v>
      </c>
      <c r="AN669" s="274">
        <f>Table1[[#This Row],[Min VO]]+Table1[[#This Row],[Max VO]]</f>
        <v>86</v>
      </c>
      <c r="AO669" s="119"/>
      <c r="AP669" s="84"/>
      <c r="AQ669" s="74">
        <f>(Table1[[#This Row],[Desgnr/Retail P]]*0.05)</f>
        <v>0</v>
      </c>
      <c r="AR669" s="74">
        <f>IF(A669="Codarus",(AP669*0.13))</f>
        <v>0</v>
      </c>
      <c r="AS669" s="74" t="e" cm="1">
        <f t="array" ref="AS669">SUM(AC669:AG669+AQ+AR)</f>
        <v>#NAME?</v>
      </c>
      <c r="AT669" s="74" t="e">
        <f>(AP669-AS669)/AP669</f>
        <v>#NAME?</v>
      </c>
      <c r="AU669" s="1356" t="str">
        <f t="shared" si="229"/>
        <v>-</v>
      </c>
    </row>
    <row r="670" spans="1:47" s="63" customFormat="1" hidden="1" x14ac:dyDescent="0.2">
      <c r="A670" s="86"/>
      <c r="B670" s="1061" t="s">
        <v>562</v>
      </c>
      <c r="C670" s="100" t="s">
        <v>1791</v>
      </c>
      <c r="D670" s="94" t="s">
        <v>1792</v>
      </c>
      <c r="E670" s="85" t="s">
        <v>1788</v>
      </c>
      <c r="F670" s="85" t="s">
        <v>800</v>
      </c>
      <c r="G670" s="86" t="s">
        <v>1789</v>
      </c>
      <c r="H670" s="86" t="s">
        <v>1790</v>
      </c>
      <c r="I670" s="86" t="s">
        <v>794</v>
      </c>
      <c r="J670" s="86" t="s">
        <v>53</v>
      </c>
      <c r="K670" s="86" t="s">
        <v>69</v>
      </c>
      <c r="L670" s="86" t="s">
        <v>70</v>
      </c>
      <c r="M670" s="87">
        <v>682</v>
      </c>
      <c r="N670" s="71"/>
      <c r="O670" s="551" t="s">
        <v>795</v>
      </c>
      <c r="P670" s="101">
        <v>43</v>
      </c>
      <c r="Q670" s="101">
        <v>43</v>
      </c>
      <c r="R670" s="101">
        <v>43</v>
      </c>
      <c r="S670" s="101">
        <v>43</v>
      </c>
      <c r="T670" s="101">
        <v>44</v>
      </c>
      <c r="U670" s="101" t="str">
        <f>RIGHT(H670,2)</f>
        <v>44</v>
      </c>
      <c r="V670" s="608">
        <f t="shared" ref="V670:V675" si="231">IF(J670="Canvas",P670+Border,P670)</f>
        <v>51</v>
      </c>
      <c r="W670" s="608">
        <f t="shared" ref="W670:W675" si="232">IF(J670="Canvas",Q670+Border,Q670)</f>
        <v>51</v>
      </c>
      <c r="X670" s="137" t="s">
        <v>796</v>
      </c>
      <c r="Y670" s="782"/>
      <c r="Z670" s="782"/>
      <c r="AA670" s="649">
        <f t="shared" si="221"/>
        <v>18.0625</v>
      </c>
      <c r="AB670" s="184">
        <v>0</v>
      </c>
      <c r="AC670" s="104">
        <f>TX!H12</f>
        <v>177.86</v>
      </c>
      <c r="AD670" s="107">
        <f t="shared" si="230"/>
        <v>30.402799999999999</v>
      </c>
      <c r="AE670" s="104">
        <v>0</v>
      </c>
      <c r="AF670" s="104">
        <f>'Cali Frames'!D322</f>
        <v>165.69</v>
      </c>
      <c r="AG670" s="115"/>
      <c r="AH670" s="112">
        <f t="shared" si="224"/>
        <v>34.1</v>
      </c>
      <c r="AI670" s="112"/>
      <c r="AJ670" s="104">
        <f t="shared" si="228"/>
        <v>408.05280000000005</v>
      </c>
      <c r="AK670" s="62">
        <f t="shared" si="226"/>
        <v>0.4016821114369501</v>
      </c>
      <c r="AL670" s="225">
        <f>Table1[[#This Row],[WSP/Dealer]]/Table1[[#This Row],[OD Sq Inch]]</f>
        <v>0.35227272727272729</v>
      </c>
      <c r="AM670" s="103">
        <f>Table1[[#This Row],[OD Wdth]]*Table1[[#This Row],[OD Hgt]]</f>
        <v>1936</v>
      </c>
      <c r="AN670" s="216">
        <f>Table1[[#This Row],[Min VO]]+Table1[[#This Row],[Max VO]]</f>
        <v>86</v>
      </c>
      <c r="AO670" s="101"/>
      <c r="AP670" s="101"/>
      <c r="AQ670" s="104"/>
      <c r="AR670" s="104"/>
      <c r="AS670" s="104"/>
      <c r="AT670" s="104"/>
      <c r="AU670" s="830" t="str">
        <f t="shared" si="229"/>
        <v>-</v>
      </c>
    </row>
    <row r="671" spans="1:47" s="63" customFormat="1" x14ac:dyDescent="0.2">
      <c r="A671" s="86" t="s">
        <v>58</v>
      </c>
      <c r="B671" s="1061" t="s">
        <v>88</v>
      </c>
      <c r="C671" s="100" t="s">
        <v>1793</v>
      </c>
      <c r="D671" s="94" t="s">
        <v>1794</v>
      </c>
      <c r="E671" s="85" t="s">
        <v>1795</v>
      </c>
      <c r="F671" s="85" t="s">
        <v>800</v>
      </c>
      <c r="G671" s="86" t="s">
        <v>1789</v>
      </c>
      <c r="H671" s="86" t="s">
        <v>1790</v>
      </c>
      <c r="I671" s="86" t="s">
        <v>794</v>
      </c>
      <c r="J671" s="86" t="s">
        <v>53</v>
      </c>
      <c r="K671" s="86" t="s">
        <v>69</v>
      </c>
      <c r="L671" s="86" t="s">
        <v>70</v>
      </c>
      <c r="M671" s="87">
        <v>682</v>
      </c>
      <c r="N671" s="639">
        <v>750.2</v>
      </c>
      <c r="O671" s="551" t="s">
        <v>795</v>
      </c>
      <c r="P671" s="101">
        <v>43</v>
      </c>
      <c r="Q671" s="101">
        <v>43</v>
      </c>
      <c r="R671" s="101">
        <v>43</v>
      </c>
      <c r="S671" s="101">
        <v>43</v>
      </c>
      <c r="T671" s="101">
        <v>44</v>
      </c>
      <c r="U671" s="101" t="str">
        <f>RIGHT(H671,2)</f>
        <v>44</v>
      </c>
      <c r="V671" s="608">
        <f t="shared" si="231"/>
        <v>51</v>
      </c>
      <c r="W671" s="608">
        <f t="shared" si="232"/>
        <v>51</v>
      </c>
      <c r="X671" s="137" t="s">
        <v>796</v>
      </c>
      <c r="Y671" s="782"/>
      <c r="Z671" s="782"/>
      <c r="AA671" s="649">
        <f t="shared" si="221"/>
        <v>18.0625</v>
      </c>
      <c r="AB671" s="184">
        <v>0</v>
      </c>
      <c r="AC671" s="104">
        <f>TX!H13</f>
        <v>177.86</v>
      </c>
      <c r="AD671" s="107">
        <f t="shared" si="230"/>
        <v>30.402799999999999</v>
      </c>
      <c r="AE671" s="104">
        <v>0</v>
      </c>
      <c r="AF671" s="104">
        <f>'Cali Frames'!D$322</f>
        <v>165.69</v>
      </c>
      <c r="AG671" s="115"/>
      <c r="AH671" s="498">
        <f t="shared" si="224"/>
        <v>34.1</v>
      </c>
      <c r="AI671" s="498"/>
      <c r="AJ671" s="104">
        <f t="shared" si="228"/>
        <v>408.05280000000005</v>
      </c>
      <c r="AK671" s="650">
        <f t="shared" si="226"/>
        <v>0.4016821114369501</v>
      </c>
      <c r="AL671" s="225">
        <f>Table1[[#This Row],[WSP/Dealer]]/Table1[[#This Row],[OD Sq Inch]]</f>
        <v>0.35227272727272729</v>
      </c>
      <c r="AM671" s="218">
        <f>Table1[[#This Row],[OD Wdth]]*Table1[[#This Row],[OD Hgt]]</f>
        <v>1936</v>
      </c>
      <c r="AN671" s="216">
        <f>Table1[[#This Row],[Min VO]]+Table1[[#This Row],[Max VO]]</f>
        <v>86</v>
      </c>
      <c r="AO671" s="101"/>
      <c r="AP671" s="101"/>
      <c r="AQ671" s="104"/>
      <c r="AR671" s="104"/>
      <c r="AS671" s="104"/>
      <c r="AT671" s="104"/>
      <c r="AU671" s="830" t="str">
        <f t="shared" si="229"/>
        <v>-</v>
      </c>
    </row>
    <row r="672" spans="1:47" s="103" customFormat="1" hidden="1" x14ac:dyDescent="0.2">
      <c r="A672" s="101"/>
      <c r="B672" s="1061"/>
      <c r="C672" s="77" t="s">
        <v>1796</v>
      </c>
      <c r="D672" s="94"/>
      <c r="E672" s="115" t="s">
        <v>1797</v>
      </c>
      <c r="F672" s="115" t="s">
        <v>448</v>
      </c>
      <c r="G672" s="101" t="s">
        <v>1798</v>
      </c>
      <c r="H672" s="101"/>
      <c r="I672" s="60" t="s">
        <v>52</v>
      </c>
      <c r="J672" s="59" t="s">
        <v>53</v>
      </c>
      <c r="K672" s="60" t="s">
        <v>82</v>
      </c>
      <c r="L672" s="101" t="s">
        <v>83</v>
      </c>
      <c r="M672" s="299">
        <v>250</v>
      </c>
      <c r="N672" s="71"/>
      <c r="O672" s="101" t="s">
        <v>56</v>
      </c>
      <c r="P672" s="60">
        <v>18</v>
      </c>
      <c r="Q672" s="60">
        <v>22.5</v>
      </c>
      <c r="R672" s="60">
        <v>18</v>
      </c>
      <c r="S672" s="60">
        <v>22.5</v>
      </c>
      <c r="T672" s="103">
        <v>20</v>
      </c>
      <c r="U672" s="103">
        <v>24.5</v>
      </c>
      <c r="V672" s="149">
        <f t="shared" si="231"/>
        <v>26</v>
      </c>
      <c r="W672" s="149">
        <f t="shared" si="232"/>
        <v>30.5</v>
      </c>
      <c r="X672" s="137" t="s">
        <v>1799</v>
      </c>
      <c r="Y672" s="101">
        <v>26</v>
      </c>
      <c r="Z672" s="101">
        <v>30.5</v>
      </c>
      <c r="AA672" s="649">
        <f t="shared" si="221"/>
        <v>5.5069444444444446</v>
      </c>
      <c r="AB672" s="125"/>
      <c r="AC672" s="104">
        <f t="shared" ref="AC672:AC683" si="233">AA672*Canvas</f>
        <v>3.6345833333333335</v>
      </c>
      <c r="AD672" s="107">
        <f t="shared" si="230"/>
        <v>9.2692888888888891</v>
      </c>
      <c r="AE672" s="104">
        <f>IF(Table1[[#This Row],[Work Center]]="SwissQ",Materials!G$37,IF(Table1[[#This Row],[Work Center]]="Inca",Materials!G$29,IF(Table1[[#This Row],[Work Center]]="Canon",Materials!G$49,Materials!G$45)))</f>
        <v>8</v>
      </c>
      <c r="AF672" s="102">
        <f>'Cali Frames'!D25</f>
        <v>84.7</v>
      </c>
      <c r="AG672" s="121"/>
      <c r="AH672" s="112">
        <f t="shared" si="224"/>
        <v>12.5</v>
      </c>
      <c r="AI672" s="112"/>
      <c r="AJ672" s="107">
        <f t="shared" si="228"/>
        <v>118.10387222222222</v>
      </c>
      <c r="AK672" s="62">
        <f t="shared" si="226"/>
        <v>0.52758451111111115</v>
      </c>
      <c r="AL672" s="225" t="e">
        <f>Table1[[#This Row],[WSP/Dealer]]/Table1[[#This Row],[OD Sq Inch]]</f>
        <v>#DIV/0!</v>
      </c>
      <c r="AM672" s="113"/>
      <c r="AN672" s="216">
        <f>Table1[[#This Row],[Min VO]]+Table1[[#This Row],[Max VO]]</f>
        <v>40.5</v>
      </c>
      <c r="AO672" s="115"/>
      <c r="AP672" s="115"/>
      <c r="AQ672" s="121"/>
      <c r="AR672" s="121"/>
      <c r="AS672" s="121"/>
      <c r="AT672" s="104"/>
      <c r="AU672" s="1359" t="str">
        <f t="shared" si="229"/>
        <v>-</v>
      </c>
    </row>
    <row r="673" spans="1:47" s="144" customFormat="1" hidden="1" x14ac:dyDescent="0.2">
      <c r="A673" s="101"/>
      <c r="B673" s="1061"/>
      <c r="C673" s="77" t="s">
        <v>1800</v>
      </c>
      <c r="D673" s="94"/>
      <c r="E673" s="115" t="s">
        <v>1797</v>
      </c>
      <c r="F673" s="115" t="s">
        <v>448</v>
      </c>
      <c r="G673" s="101" t="s">
        <v>1798</v>
      </c>
      <c r="H673" s="101"/>
      <c r="I673" s="60" t="s">
        <v>52</v>
      </c>
      <c r="J673" s="59" t="s">
        <v>53</v>
      </c>
      <c r="K673" s="60" t="s">
        <v>82</v>
      </c>
      <c r="L673" s="101" t="s">
        <v>334</v>
      </c>
      <c r="M673" s="299">
        <v>275</v>
      </c>
      <c r="N673" s="71"/>
      <c r="O673" s="101" t="s">
        <v>56</v>
      </c>
      <c r="P673" s="60">
        <v>18</v>
      </c>
      <c r="Q673" s="60">
        <v>22.5</v>
      </c>
      <c r="R673" s="60">
        <v>18</v>
      </c>
      <c r="S673" s="60">
        <v>22.5</v>
      </c>
      <c r="T673" s="101">
        <v>20</v>
      </c>
      <c r="U673" s="101">
        <v>24.5</v>
      </c>
      <c r="V673" s="149">
        <f t="shared" si="231"/>
        <v>26</v>
      </c>
      <c r="W673" s="149">
        <f t="shared" si="232"/>
        <v>30.5</v>
      </c>
      <c r="X673" s="137" t="s">
        <v>1799</v>
      </c>
      <c r="Y673" s="101">
        <v>26</v>
      </c>
      <c r="Z673" s="101">
        <v>30.5</v>
      </c>
      <c r="AA673" s="649">
        <f t="shared" si="221"/>
        <v>5.5069444444444446</v>
      </c>
      <c r="AB673" s="125"/>
      <c r="AC673" s="104">
        <f t="shared" si="233"/>
        <v>3.6345833333333335</v>
      </c>
      <c r="AD673" s="107">
        <f t="shared" si="230"/>
        <v>9.2692888888888891</v>
      </c>
      <c r="AE673" s="104">
        <f>IF(Table1[[#This Row],[Work Center]]="SwissQ",Materials!G$37,IF(Table1[[#This Row],[Work Center]]="Inca",Materials!G$29,IF(Table1[[#This Row],[Work Center]]="Canon",Materials!G$49,Materials!G$45)))</f>
        <v>8</v>
      </c>
      <c r="AF673" s="102">
        <v>80</v>
      </c>
      <c r="AG673" s="121"/>
      <c r="AH673" s="112">
        <f t="shared" si="224"/>
        <v>13.75</v>
      </c>
      <c r="AI673" s="112"/>
      <c r="AJ673" s="104">
        <f t="shared" si="228"/>
        <v>114.65387222222222</v>
      </c>
      <c r="AK673" s="62">
        <f t="shared" si="226"/>
        <v>0.58307682828282825</v>
      </c>
      <c r="AL673" s="225" t="e">
        <f>Table1[[#This Row],[WSP/Dealer]]/Table1[[#This Row],[OD Sq Inch]]</f>
        <v>#DIV/0!</v>
      </c>
      <c r="AM673" s="113"/>
      <c r="AN673" s="216">
        <f>Table1[[#This Row],[Min VO]]+Table1[[#This Row],[Max VO]]</f>
        <v>40.5</v>
      </c>
      <c r="AO673" s="115"/>
      <c r="AP673" s="115"/>
      <c r="AQ673" s="121"/>
      <c r="AR673" s="121"/>
      <c r="AS673" s="121"/>
      <c r="AT673" s="104"/>
      <c r="AU673" s="1359" t="str">
        <f t="shared" si="229"/>
        <v>-</v>
      </c>
    </row>
    <row r="674" spans="1:47" s="63" customFormat="1" hidden="1" x14ac:dyDescent="0.2">
      <c r="A674" s="400" t="s">
        <v>1801</v>
      </c>
      <c r="B674" s="279" t="s">
        <v>96</v>
      </c>
      <c r="C674" s="168" t="s">
        <v>1802</v>
      </c>
      <c r="D674" s="94"/>
      <c r="E674" s="115" t="s">
        <v>1803</v>
      </c>
      <c r="F674" s="115" t="s">
        <v>386</v>
      </c>
      <c r="G674" s="101" t="s">
        <v>572</v>
      </c>
      <c r="H674" s="101" t="s">
        <v>573</v>
      </c>
      <c r="I674" s="101" t="s">
        <v>52</v>
      </c>
      <c r="J674" s="487" t="s">
        <v>53</v>
      </c>
      <c r="K674" s="101" t="s">
        <v>69</v>
      </c>
      <c r="L674" s="101" t="s">
        <v>73</v>
      </c>
      <c r="M674" s="299">
        <v>1100</v>
      </c>
      <c r="N674" s="102"/>
      <c r="O674" s="101" t="s">
        <v>64</v>
      </c>
      <c r="P674" s="697">
        <v>60</v>
      </c>
      <c r="Q674" s="697">
        <v>40</v>
      </c>
      <c r="R674" s="101">
        <v>40</v>
      </c>
      <c r="S674" s="697">
        <v>60</v>
      </c>
      <c r="T674" s="697">
        <v>61</v>
      </c>
      <c r="U674" s="697">
        <v>41</v>
      </c>
      <c r="V674" s="608">
        <f t="shared" si="231"/>
        <v>68</v>
      </c>
      <c r="W674" s="608">
        <f t="shared" si="232"/>
        <v>48</v>
      </c>
      <c r="X674" s="137">
        <v>69</v>
      </c>
      <c r="Y674" s="101">
        <v>68</v>
      </c>
      <c r="Z674" s="101">
        <v>38</v>
      </c>
      <c r="AA674" s="649">
        <f t="shared" si="221"/>
        <v>22.666666666666668</v>
      </c>
      <c r="AB674" s="184">
        <f>AA674*Swiss1</f>
        <v>641.4666666666667</v>
      </c>
      <c r="AC674" s="104">
        <f t="shared" si="233"/>
        <v>14.96</v>
      </c>
      <c r="AD674" s="104">
        <f>Table1[[#This Row],[Substrate SF]]*Materials!C$37</f>
        <v>63.466666666666669</v>
      </c>
      <c r="AE674" s="104">
        <f>IF(Table1[[#This Row],[Work Center]]="SwissQ",Materials!G$37,IF(Table1[[#This Row],[Work Center]]="Inca",Materials!G$29,IF(Table1[[#This Row],[Work Center]]="Canon",Materials!G$49,Materials!G$45)))</f>
        <v>20</v>
      </c>
      <c r="AF674" s="102">
        <f>'Cali Frames'!D450</f>
        <v>224.10500000000002</v>
      </c>
      <c r="AG674" s="121"/>
      <c r="AH674" s="107">
        <f t="shared" si="224"/>
        <v>55</v>
      </c>
      <c r="AI674" s="107"/>
      <c r="AJ674" s="104">
        <f t="shared" si="228"/>
        <v>377.53166666666669</v>
      </c>
      <c r="AK674" s="108">
        <f t="shared" si="226"/>
        <v>0.65678939393939384</v>
      </c>
      <c r="AL674" s="660">
        <f>Table1[[#This Row],[WSP/Dealer]]/Table1[[#This Row],[OD Sq Inch]]</f>
        <v>0.43982407037185128</v>
      </c>
      <c r="AM674" s="266">
        <f>Table1[[#This Row],[OD Wdth]]*Table1[[#This Row],[OD Hgt]]</f>
        <v>2501</v>
      </c>
      <c r="AN674" s="266">
        <f>Table1[[#This Row],[Min VO]]+Table1[[#This Row],[Max VO]]</f>
        <v>100</v>
      </c>
      <c r="AO674" s="115"/>
      <c r="AP674" s="121"/>
      <c r="AQ674" s="126"/>
      <c r="AR674" s="278"/>
      <c r="AS674" s="1146"/>
      <c r="AT674" s="1147"/>
      <c r="AU674" s="1359" t="str">
        <f t="shared" si="229"/>
        <v>-</v>
      </c>
    </row>
    <row r="675" spans="1:47" s="20" customFormat="1" hidden="1" x14ac:dyDescent="0.2">
      <c r="A675" s="400" t="s">
        <v>110</v>
      </c>
      <c r="B675" s="1062" t="s">
        <v>111</v>
      </c>
      <c r="C675" s="168" t="s">
        <v>1804</v>
      </c>
      <c r="D675" s="168"/>
      <c r="E675" s="115" t="s">
        <v>1803</v>
      </c>
      <c r="F675" s="115" t="s">
        <v>386</v>
      </c>
      <c r="G675" s="101" t="s">
        <v>572</v>
      </c>
      <c r="H675" s="101" t="s">
        <v>572</v>
      </c>
      <c r="I675" s="101" t="s">
        <v>52</v>
      </c>
      <c r="J675" s="487" t="s">
        <v>53</v>
      </c>
      <c r="K675" s="101" t="s">
        <v>54</v>
      </c>
      <c r="L675" s="101" t="s">
        <v>55</v>
      </c>
      <c r="M675" s="299">
        <v>700</v>
      </c>
      <c r="N675" s="102"/>
      <c r="O675" s="101" t="s">
        <v>64</v>
      </c>
      <c r="P675" s="697">
        <v>60</v>
      </c>
      <c r="Q675" s="697">
        <v>40</v>
      </c>
      <c r="R675" s="101">
        <v>40</v>
      </c>
      <c r="S675" s="116">
        <v>60</v>
      </c>
      <c r="T675" s="697">
        <v>60</v>
      </c>
      <c r="U675" s="116">
        <v>40</v>
      </c>
      <c r="V675" s="608">
        <f t="shared" si="231"/>
        <v>68</v>
      </c>
      <c r="W675" s="608">
        <f t="shared" si="232"/>
        <v>48</v>
      </c>
      <c r="X675" s="137">
        <v>69</v>
      </c>
      <c r="Y675" s="101">
        <v>68</v>
      </c>
      <c r="Z675" s="101">
        <v>48</v>
      </c>
      <c r="AA675" s="649">
        <f t="shared" si="221"/>
        <v>22.666666666666668</v>
      </c>
      <c r="AB675" s="184">
        <f>AA675*Swiss1</f>
        <v>641.4666666666667</v>
      </c>
      <c r="AC675" s="104">
        <f t="shared" si="233"/>
        <v>14.96</v>
      </c>
      <c r="AD675" s="107">
        <f>Table1[[#This Row],[Substrate SF]]*Materials!C$37</f>
        <v>63.466666666666669</v>
      </c>
      <c r="AE675" s="104">
        <f>IF(Table1[[#This Row],[Work Center]]="SwissQ",Materials!G$37,IF(Table1[[#This Row],[Work Center]]="Inca",Materials!G$29,IF(Table1[[#This Row],[Work Center]]="Canon",Materials!G$49,Materials!G$45)))</f>
        <v>20</v>
      </c>
      <c r="AF675" s="102">
        <f>'Cali FPS'!C89</f>
        <v>112.01750000000001</v>
      </c>
      <c r="AG675" s="121"/>
      <c r="AH675" s="107">
        <f t="shared" si="224"/>
        <v>35</v>
      </c>
      <c r="AI675" s="107"/>
      <c r="AJ675" s="104">
        <f t="shared" si="228"/>
        <v>245.44416666666669</v>
      </c>
      <c r="AK675" s="108">
        <f t="shared" si="226"/>
        <v>0.64936547619047624</v>
      </c>
      <c r="AL675" s="660">
        <f>Table1[[#This Row],[WSP/Dealer]]/Table1[[#This Row],[OD Sq Inch]]</f>
        <v>0.29166666666666669</v>
      </c>
      <c r="AM675" s="229">
        <f>Table1[[#This Row],[OD Wdth]]*Table1[[#This Row],[OD Hgt]]</f>
        <v>2400</v>
      </c>
      <c r="AN675" s="266">
        <f>Table1[[#This Row],[Min VO]]+Table1[[#This Row],[Max VO]]</f>
        <v>100</v>
      </c>
      <c r="AO675" s="113"/>
      <c r="AP675" s="121">
        <v>1400</v>
      </c>
      <c r="AQ675" s="121">
        <f>(Table1[[#This Row],[Desgnr/Retail P]]*0.05)</f>
        <v>70</v>
      </c>
      <c r="AR675" s="121">
        <f>IF(A675="Codarus",(AP675*0.13))</f>
        <v>182</v>
      </c>
      <c r="AS675" s="121">
        <f>SUM(Table1[[#This Row],[Substrate $]:[GP FINISH]])+Table1[[#This Row],[Retail Royalty]]+Table1[[#This Row],[Retail$Comm]]</f>
        <v>462.44416666666666</v>
      </c>
      <c r="AT675" s="830">
        <f>IF(AP675=0,"-",(AP675-AS675)/AP675)</f>
        <v>0.66968273809523815</v>
      </c>
      <c r="AU675" s="1367">
        <f t="shared" si="229"/>
        <v>0.99043310374149662</v>
      </c>
    </row>
    <row r="676" spans="1:47" s="170" customFormat="1" x14ac:dyDescent="0.2">
      <c r="A676" s="86" t="s">
        <v>58</v>
      </c>
      <c r="B676" s="1061" t="s">
        <v>619</v>
      </c>
      <c r="C676" s="100" t="s">
        <v>1805</v>
      </c>
      <c r="D676" s="94" t="s">
        <v>1806</v>
      </c>
      <c r="E676" s="85" t="s">
        <v>1807</v>
      </c>
      <c r="F676" s="85" t="s">
        <v>1808</v>
      </c>
      <c r="G676" s="86" t="s">
        <v>850</v>
      </c>
      <c r="H676" s="86" t="s">
        <v>850</v>
      </c>
      <c r="I676" s="86" t="s">
        <v>52</v>
      </c>
      <c r="J676" s="86" t="s">
        <v>53</v>
      </c>
      <c r="K676" s="86" t="s">
        <v>54</v>
      </c>
      <c r="L676" s="86" t="s">
        <v>55</v>
      </c>
      <c r="M676" s="87">
        <v>750</v>
      </c>
      <c r="N676" s="639">
        <v>815</v>
      </c>
      <c r="O676" s="101" t="s">
        <v>64</v>
      </c>
      <c r="P676" s="273">
        <v>40</v>
      </c>
      <c r="Q676" s="273">
        <v>48</v>
      </c>
      <c r="R676" s="60">
        <v>40</v>
      </c>
      <c r="S676" s="273">
        <v>48</v>
      </c>
      <c r="T676" s="273">
        <f>Table1[[#This Row],[VO Wdth]]</f>
        <v>40</v>
      </c>
      <c r="U676" s="273">
        <f>Table1[[#This Row],[VO Hgt]]</f>
        <v>48</v>
      </c>
      <c r="V676" s="106">
        <f>IF(J676="Canvas",P676+BorderGW,P676)</f>
        <v>48</v>
      </c>
      <c r="W676" s="106">
        <f>IF(J676="Canvas",Q676+BorderGW,Q676)</f>
        <v>56</v>
      </c>
      <c r="X676" s="311" t="s">
        <v>165</v>
      </c>
      <c r="Y676" s="782"/>
      <c r="Z676" s="782"/>
      <c r="AA676" s="649">
        <f t="shared" si="221"/>
        <v>18.666666666666668</v>
      </c>
      <c r="AB676" s="125">
        <f>AA676*Swiss1</f>
        <v>528.26666666666677</v>
      </c>
      <c r="AC676" s="104">
        <f t="shared" si="233"/>
        <v>12.320000000000002</v>
      </c>
      <c r="AD676" s="107">
        <f>AA676*Materials!C$37</f>
        <v>52.266666666666666</v>
      </c>
      <c r="AE676" s="104">
        <f>IF(Table1[[#This Row],[Work Center]]="SwissQ",Materials!G$37,IF(Table1[[#This Row],[Work Center]]="Inca",Materials!G$29,IF(Table1[[#This Row],[Work Center]]="Canon",Materials!G$49,Materials!G$45)))</f>
        <v>20</v>
      </c>
      <c r="AF676" s="69">
        <f>'Cali FPS'!C$84</f>
        <v>107.45</v>
      </c>
      <c r="AG676" s="115"/>
      <c r="AH676" s="498">
        <f t="shared" si="224"/>
        <v>37.5</v>
      </c>
      <c r="AI676" s="498"/>
      <c r="AJ676" s="104">
        <f t="shared" si="228"/>
        <v>229.53666666666669</v>
      </c>
      <c r="AK676" s="650">
        <f t="shared" si="226"/>
        <v>0.69395111111111119</v>
      </c>
      <c r="AL676" s="225">
        <f>Table1[[#This Row],[WSP/Dealer]]/Table1[[#This Row],[OD Sq Inch]]</f>
        <v>0.390625</v>
      </c>
      <c r="AM676" s="103">
        <f>Table1[[#This Row],[OD Wdth]]*Table1[[#This Row],[OD Hgt]]</f>
        <v>1920</v>
      </c>
      <c r="AN676" s="216">
        <f>Table1[[#This Row],[Min VO]]+Table1[[#This Row],[Max VO]]</f>
        <v>88</v>
      </c>
      <c r="AO676" s="101"/>
      <c r="AP676" s="101"/>
      <c r="AQ676" s="104"/>
      <c r="AR676" s="104"/>
      <c r="AS676" s="104"/>
      <c r="AT676" s="104"/>
      <c r="AU676" s="830" t="str">
        <f t="shared" si="229"/>
        <v>-</v>
      </c>
    </row>
    <row r="677" spans="1:47" s="63" customFormat="1" x14ac:dyDescent="0.2">
      <c r="A677" s="551" t="s">
        <v>58</v>
      </c>
      <c r="B677" s="1150" t="s">
        <v>59</v>
      </c>
      <c r="C677" s="805" t="s">
        <v>1809</v>
      </c>
      <c r="D677" s="77"/>
      <c r="E677" s="653" t="s">
        <v>1810</v>
      </c>
      <c r="F677" s="653" t="s">
        <v>50</v>
      </c>
      <c r="G677" s="551" t="s">
        <v>51</v>
      </c>
      <c r="H677" s="551" t="s">
        <v>51</v>
      </c>
      <c r="I677" s="551" t="s">
        <v>52</v>
      </c>
      <c r="J677" s="856" t="s">
        <v>53</v>
      </c>
      <c r="K677" s="551" t="s">
        <v>54</v>
      </c>
      <c r="L677" s="551" t="s">
        <v>55</v>
      </c>
      <c r="M677" s="896">
        <v>475</v>
      </c>
      <c r="N677" s="896"/>
      <c r="O677" s="551" t="s">
        <v>56</v>
      </c>
      <c r="P677" s="68">
        <v>30</v>
      </c>
      <c r="Q677" s="68">
        <v>40</v>
      </c>
      <c r="R677" s="68">
        <v>30</v>
      </c>
      <c r="S677" s="68">
        <v>40</v>
      </c>
      <c r="T677" s="68">
        <v>32</v>
      </c>
      <c r="U677" s="68">
        <v>42</v>
      </c>
      <c r="V677" s="1198">
        <f t="shared" ref="V677:V684" si="234">IF(J677="Canvas",P677+Border,P677)</f>
        <v>38</v>
      </c>
      <c r="W677" s="1198">
        <f t="shared" ref="W677:W684" si="235">IF(J677="Canvas",Q677+Border,Q677)</f>
        <v>48</v>
      </c>
      <c r="X677" s="189">
        <v>53</v>
      </c>
      <c r="Y677" s="551">
        <v>38</v>
      </c>
      <c r="Z677" s="551">
        <v>48</v>
      </c>
      <c r="AA677" s="699">
        <f t="shared" si="221"/>
        <v>12.666666666666666</v>
      </c>
      <c r="AB677" s="297">
        <f t="shared" ref="AB677:AB683" si="236">AA677*IncaG</f>
        <v>266.50666666666666</v>
      </c>
      <c r="AC677" s="74">
        <f t="shared" si="233"/>
        <v>8.36</v>
      </c>
      <c r="AD677" s="74">
        <f t="shared" ref="AD677:AD684" si="237">AA677*IncaC</f>
        <v>21.320533333333334</v>
      </c>
      <c r="AE677" s="74">
        <f>IF(Table1[[#This Row],[Work Center]]="SwissQ",Materials!G$37,IF(Table1[[#This Row],[Work Center]]="Inca",Materials!G$29,IF(Table1[[#This Row],[Work Center]]="Canon",Materials!G$49,Materials!G$45)))</f>
        <v>8</v>
      </c>
      <c r="AF677" s="71">
        <f>'Cali FPS'!C48</f>
        <v>76.3</v>
      </c>
      <c r="AG677" s="653"/>
      <c r="AH677" s="112">
        <f t="shared" si="224"/>
        <v>23.75</v>
      </c>
      <c r="AI677" s="112"/>
      <c r="AJ677" s="104">
        <f t="shared" si="228"/>
        <v>137.73053333333331</v>
      </c>
      <c r="AK677" s="62">
        <f t="shared" si="226"/>
        <v>0.71004098245614045</v>
      </c>
      <c r="AL677" s="225">
        <f>Table1[[#This Row],[WSP/Dealer]]/Table1[[#This Row],[OD Sq Inch]]</f>
        <v>0.35342261904761907</v>
      </c>
      <c r="AM677" s="101">
        <f>Table1[[#This Row],[OD Wdth]]*Table1[[#This Row],[OD Hgt]]</f>
        <v>1344</v>
      </c>
      <c r="AN677" s="216">
        <f>Table1[[#This Row],[Min VO]]+Table1[[#This Row],[Max VO]]</f>
        <v>70</v>
      </c>
      <c r="AO677" s="653"/>
      <c r="AP677" s="653"/>
      <c r="AQ677" s="864"/>
      <c r="AR677" s="864"/>
      <c r="AS677" s="864"/>
      <c r="AT677" s="863"/>
      <c r="AU677" s="1364" t="str">
        <f t="shared" si="229"/>
        <v>-</v>
      </c>
    </row>
    <row r="678" spans="1:47" s="103" customFormat="1" x14ac:dyDescent="0.2">
      <c r="A678" s="68" t="s">
        <v>58</v>
      </c>
      <c r="B678" s="1072" t="s">
        <v>59</v>
      </c>
      <c r="C678" s="78" t="s">
        <v>1811</v>
      </c>
      <c r="D678" s="94" t="s">
        <v>1812</v>
      </c>
      <c r="E678" s="84" t="s">
        <v>1813</v>
      </c>
      <c r="F678" s="84" t="s">
        <v>50</v>
      </c>
      <c r="G678" s="68" t="s">
        <v>132</v>
      </c>
      <c r="H678" s="68" t="s">
        <v>132</v>
      </c>
      <c r="I678" s="68" t="s">
        <v>52</v>
      </c>
      <c r="J678" s="140" t="s">
        <v>53</v>
      </c>
      <c r="K678" s="68" t="s">
        <v>54</v>
      </c>
      <c r="L678" s="68" t="s">
        <v>55</v>
      </c>
      <c r="M678" s="141">
        <v>650</v>
      </c>
      <c r="N678" s="93"/>
      <c r="O678" s="68" t="s">
        <v>56</v>
      </c>
      <c r="P678" s="68">
        <v>36</v>
      </c>
      <c r="Q678" s="68">
        <v>48</v>
      </c>
      <c r="R678" s="68">
        <v>36</v>
      </c>
      <c r="S678" s="68">
        <v>48</v>
      </c>
      <c r="T678" s="68">
        <v>36</v>
      </c>
      <c r="U678" s="68">
        <v>48</v>
      </c>
      <c r="V678" s="1198">
        <f t="shared" si="234"/>
        <v>44</v>
      </c>
      <c r="W678" s="1198">
        <f t="shared" si="235"/>
        <v>56</v>
      </c>
      <c r="X678" s="68">
        <v>59</v>
      </c>
      <c r="Y678" s="68">
        <v>44</v>
      </c>
      <c r="Z678" s="68">
        <v>56</v>
      </c>
      <c r="AA678" s="699">
        <f t="shared" si="221"/>
        <v>17.111111111111111</v>
      </c>
      <c r="AB678" s="297">
        <f t="shared" si="236"/>
        <v>360.01777777777778</v>
      </c>
      <c r="AC678" s="74">
        <f t="shared" si="233"/>
        <v>11.293333333333333</v>
      </c>
      <c r="AD678" s="74">
        <f t="shared" si="237"/>
        <v>28.801422222222222</v>
      </c>
      <c r="AE678" s="74">
        <f>IF(Table1[[#This Row],[Work Center]]="SwissQ",Materials!G$37,IF(Table1[[#This Row],[Work Center]]="Inca",Materials!G$29,IF(Table1[[#This Row],[Work Center]]="Canon",Materials!G$49,Materials!G$45)))</f>
        <v>8</v>
      </c>
      <c r="AF678" s="73">
        <f>'Cali FPS'!C71</f>
        <v>114.31</v>
      </c>
      <c r="AG678" s="84"/>
      <c r="AH678" s="278">
        <f t="shared" si="224"/>
        <v>32.5</v>
      </c>
      <c r="AI678" s="278"/>
      <c r="AJ678" s="278">
        <f t="shared" si="228"/>
        <v>194.90475555555554</v>
      </c>
      <c r="AK678" s="1192">
        <f t="shared" si="226"/>
        <v>0.70014652991452997</v>
      </c>
      <c r="AL678" s="278">
        <f>Table1[[#This Row],[WSP/Dealer]]/Table1[[#This Row],[OD Sq Inch]]</f>
        <v>0.37615740740740738</v>
      </c>
      <c r="AM678" s="274">
        <f>Table1[[#This Row],[OD Wdth]]*Table1[[#This Row],[OD Hgt]]</f>
        <v>1728</v>
      </c>
      <c r="AN678" s="274">
        <f>Table1[[#This Row],[Min VO]]+Table1[[#This Row],[Max VO]]</f>
        <v>84</v>
      </c>
      <c r="AO678" s="84"/>
      <c r="AP678" s="84"/>
      <c r="AQ678" s="126"/>
      <c r="AR678" s="126"/>
      <c r="AS678" s="126"/>
      <c r="AT678" s="74"/>
      <c r="AU678" s="1357" t="str">
        <f t="shared" si="229"/>
        <v>-</v>
      </c>
    </row>
    <row r="679" spans="1:47" s="45" customFormat="1" x14ac:dyDescent="0.2">
      <c r="A679" s="68" t="s">
        <v>58</v>
      </c>
      <c r="B679" s="1072" t="s">
        <v>59</v>
      </c>
      <c r="C679" s="78" t="s">
        <v>1814</v>
      </c>
      <c r="D679" s="94" t="s">
        <v>1815</v>
      </c>
      <c r="E679" s="84" t="s">
        <v>1813</v>
      </c>
      <c r="F679" s="84" t="s">
        <v>50</v>
      </c>
      <c r="G679" s="68" t="s">
        <v>132</v>
      </c>
      <c r="H679" s="68" t="s">
        <v>133</v>
      </c>
      <c r="I679" s="68" t="s">
        <v>52</v>
      </c>
      <c r="J679" s="140" t="s">
        <v>53</v>
      </c>
      <c r="K679" s="68" t="s">
        <v>69</v>
      </c>
      <c r="L679" s="68" t="s">
        <v>76</v>
      </c>
      <c r="M679" s="141">
        <v>750</v>
      </c>
      <c r="N679" s="114"/>
      <c r="O679" s="68" t="s">
        <v>56</v>
      </c>
      <c r="P679" s="68">
        <v>36</v>
      </c>
      <c r="Q679" s="68">
        <v>48</v>
      </c>
      <c r="R679" s="68">
        <v>36</v>
      </c>
      <c r="S679" s="68">
        <v>48</v>
      </c>
      <c r="T679" s="63">
        <v>37</v>
      </c>
      <c r="U679" s="63">
        <v>49</v>
      </c>
      <c r="V679" s="1198">
        <f t="shared" si="234"/>
        <v>44</v>
      </c>
      <c r="W679" s="1198">
        <f t="shared" si="235"/>
        <v>56</v>
      </c>
      <c r="X679" s="68">
        <v>59</v>
      </c>
      <c r="Y679" s="68">
        <v>44</v>
      </c>
      <c r="Z679" s="68">
        <v>56</v>
      </c>
      <c r="AA679" s="699">
        <f t="shared" si="221"/>
        <v>17.111111111111111</v>
      </c>
      <c r="AB679" s="297">
        <f t="shared" si="236"/>
        <v>360.01777777777778</v>
      </c>
      <c r="AC679" s="74">
        <f t="shared" si="233"/>
        <v>11.293333333333333</v>
      </c>
      <c r="AD679" s="67">
        <f t="shared" si="237"/>
        <v>28.801422222222222</v>
      </c>
      <c r="AE679" s="74">
        <f>IF(Table1[[#This Row],[Work Center]]="SwissQ",Materials!G$37,IF(Table1[[#This Row],[Work Center]]="Inca",Materials!G$29,IF(Table1[[#This Row],[Work Center]]="Canon",Materials!G$49,Materials!G$45)))</f>
        <v>8</v>
      </c>
      <c r="AF679" s="102">
        <f>'Cali Frames'!D371</f>
        <v>160</v>
      </c>
      <c r="AG679" s="115"/>
      <c r="AH679" s="278">
        <f t="shared" si="224"/>
        <v>37.5</v>
      </c>
      <c r="AI679" s="278"/>
      <c r="AJ679" s="278">
        <f t="shared" si="228"/>
        <v>245.59475555555554</v>
      </c>
      <c r="AK679" s="1192">
        <f t="shared" si="226"/>
        <v>0.67254032592592594</v>
      </c>
      <c r="AL679" s="278">
        <f>Table1[[#This Row],[WSP/Dealer]]/Table1[[#This Row],[OD Sq Inch]]</f>
        <v>0.41367898510755652</v>
      </c>
      <c r="AM679" s="170">
        <f>Table1[[#This Row],[OD Wdth]]*Table1[[#This Row],[OD Hgt]]</f>
        <v>1813</v>
      </c>
      <c r="AN679" s="274">
        <f>Table1[[#This Row],[Min VO]]+Table1[[#This Row],[Max VO]]</f>
        <v>84</v>
      </c>
      <c r="AO679" s="113"/>
      <c r="AP679" s="115"/>
      <c r="AQ679" s="121"/>
      <c r="AR679" s="121"/>
      <c r="AS679" s="121"/>
      <c r="AT679" s="104"/>
      <c r="AU679" s="1367" t="str">
        <f t="shared" si="229"/>
        <v>-</v>
      </c>
    </row>
    <row r="680" spans="1:47" s="144" customFormat="1" x14ac:dyDescent="0.2">
      <c r="A680" s="68" t="s">
        <v>58</v>
      </c>
      <c r="B680" s="1072" t="s">
        <v>59</v>
      </c>
      <c r="C680" s="78" t="s">
        <v>1816</v>
      </c>
      <c r="D680" s="94" t="s">
        <v>1817</v>
      </c>
      <c r="E680" s="84" t="s">
        <v>1813</v>
      </c>
      <c r="F680" s="84" t="s">
        <v>50</v>
      </c>
      <c r="G680" s="68" t="s">
        <v>132</v>
      </c>
      <c r="H680" s="68" t="s">
        <v>133</v>
      </c>
      <c r="I680" s="68" t="s">
        <v>52</v>
      </c>
      <c r="J680" s="140" t="s">
        <v>53</v>
      </c>
      <c r="K680" s="68" t="s">
        <v>69</v>
      </c>
      <c r="L680" s="68" t="s">
        <v>73</v>
      </c>
      <c r="M680" s="141">
        <v>750</v>
      </c>
      <c r="N680" s="114"/>
      <c r="O680" s="68" t="s">
        <v>56</v>
      </c>
      <c r="P680" s="68">
        <v>36</v>
      </c>
      <c r="Q680" s="68">
        <v>48</v>
      </c>
      <c r="R680" s="68">
        <v>36</v>
      </c>
      <c r="S680" s="68">
        <v>48</v>
      </c>
      <c r="T680" s="68">
        <v>37</v>
      </c>
      <c r="U680" s="68">
        <v>49</v>
      </c>
      <c r="V680" s="1198">
        <f t="shared" si="234"/>
        <v>44</v>
      </c>
      <c r="W680" s="1198">
        <f t="shared" si="235"/>
        <v>56</v>
      </c>
      <c r="X680" s="68">
        <v>59</v>
      </c>
      <c r="Y680" s="68">
        <v>44</v>
      </c>
      <c r="Z680" s="68">
        <v>56</v>
      </c>
      <c r="AA680" s="699">
        <f t="shared" si="221"/>
        <v>17.111111111111111</v>
      </c>
      <c r="AB680" s="297">
        <f t="shared" si="236"/>
        <v>360.01777777777778</v>
      </c>
      <c r="AC680" s="74">
        <f t="shared" si="233"/>
        <v>11.293333333333333</v>
      </c>
      <c r="AD680" s="74">
        <f t="shared" si="237"/>
        <v>28.801422222222222</v>
      </c>
      <c r="AE680" s="74">
        <f>IF(Table1[[#This Row],[Work Center]]="SwissQ",Materials!G$37,IF(Table1[[#This Row],[Work Center]]="Inca",Materials!G$29,IF(Table1[[#This Row],[Work Center]]="Canon",Materials!G$49,Materials!G$45)))</f>
        <v>8</v>
      </c>
      <c r="AF680" s="102">
        <f>'Cali Frames'!D436</f>
        <v>145.70500000000001</v>
      </c>
      <c r="AG680" s="115"/>
      <c r="AH680" s="263">
        <f t="shared" ref="AH680:AH711" si="238">(M680*0.05)</f>
        <v>37.5</v>
      </c>
      <c r="AI680" s="263"/>
      <c r="AJ680" s="278">
        <f t="shared" si="228"/>
        <v>231.29975555555558</v>
      </c>
      <c r="AK680" s="688">
        <f t="shared" ref="AK680:AK711" si="239">(M680-AJ680)/M680</f>
        <v>0.69160032592592602</v>
      </c>
      <c r="AL680" s="278">
        <f>Table1[[#This Row],[WSP/Dealer]]/Table1[[#This Row],[OD Sq Inch]]</f>
        <v>0.41367898510755652</v>
      </c>
      <c r="AM680" s="274">
        <f>Table1[[#This Row],[OD Wdth]]*Table1[[#This Row],[OD Hgt]]</f>
        <v>1813</v>
      </c>
      <c r="AN680" s="274">
        <f>Table1[[#This Row],[Min VO]]+Table1[[#This Row],[Max VO]]</f>
        <v>84</v>
      </c>
      <c r="AO680" s="115"/>
      <c r="AP680" s="115"/>
      <c r="AQ680" s="121"/>
      <c r="AR680" s="121"/>
      <c r="AS680" s="121"/>
      <c r="AT680" s="104"/>
      <c r="AU680" s="1359" t="str">
        <f t="shared" si="229"/>
        <v>-</v>
      </c>
    </row>
    <row r="681" spans="1:47" s="11" customFormat="1" x14ac:dyDescent="0.2">
      <c r="A681" s="68" t="s">
        <v>58</v>
      </c>
      <c r="B681" s="1072" t="s">
        <v>59</v>
      </c>
      <c r="C681" s="78" t="s">
        <v>1818</v>
      </c>
      <c r="D681" s="94" t="s">
        <v>1819</v>
      </c>
      <c r="E681" s="84" t="s">
        <v>1813</v>
      </c>
      <c r="F681" s="84" t="s">
        <v>50</v>
      </c>
      <c r="G681" s="68" t="s">
        <v>132</v>
      </c>
      <c r="H681" s="68" t="s">
        <v>133</v>
      </c>
      <c r="I681" s="68" t="s">
        <v>52</v>
      </c>
      <c r="J681" s="140" t="s">
        <v>53</v>
      </c>
      <c r="K681" s="68" t="s">
        <v>69</v>
      </c>
      <c r="L681" s="68" t="s">
        <v>70</v>
      </c>
      <c r="M681" s="141">
        <v>750</v>
      </c>
      <c r="N681" s="114"/>
      <c r="O681" s="68" t="s">
        <v>56</v>
      </c>
      <c r="P681" s="68">
        <v>36</v>
      </c>
      <c r="Q681" s="68">
        <v>48</v>
      </c>
      <c r="R681" s="68">
        <v>36</v>
      </c>
      <c r="S681" s="68">
        <v>48</v>
      </c>
      <c r="T681" s="68">
        <v>37</v>
      </c>
      <c r="U681" s="68">
        <v>49</v>
      </c>
      <c r="V681" s="1198">
        <f t="shared" si="234"/>
        <v>44</v>
      </c>
      <c r="W681" s="1198">
        <f t="shared" si="235"/>
        <v>56</v>
      </c>
      <c r="X681" s="68">
        <v>59</v>
      </c>
      <c r="Y681" s="68">
        <v>44</v>
      </c>
      <c r="Z681" s="68">
        <v>56</v>
      </c>
      <c r="AA681" s="699">
        <f t="shared" si="221"/>
        <v>17.111111111111111</v>
      </c>
      <c r="AB681" s="297">
        <f t="shared" si="236"/>
        <v>360.01777777777778</v>
      </c>
      <c r="AC681" s="74">
        <f t="shared" si="233"/>
        <v>11.293333333333333</v>
      </c>
      <c r="AD681" s="74">
        <f t="shared" si="237"/>
        <v>28.801422222222222</v>
      </c>
      <c r="AE681" s="74">
        <f>IF(Table1[[#This Row],[Work Center]]="SwissQ",Materials!G$37,IF(Table1[[#This Row],[Work Center]]="Inca",Materials!G$29,IF(Table1[[#This Row],[Work Center]]="Canon",Materials!G$49,Materials!G$45)))</f>
        <v>8</v>
      </c>
      <c r="AF681" s="102">
        <f>'Cali Frames'!D300</f>
        <v>164.8</v>
      </c>
      <c r="AG681" s="115"/>
      <c r="AH681" s="263">
        <f t="shared" si="238"/>
        <v>37.5</v>
      </c>
      <c r="AI681" s="263"/>
      <c r="AJ681" s="278">
        <f t="shared" si="228"/>
        <v>250.39475555555555</v>
      </c>
      <c r="AK681" s="688">
        <f t="shared" si="239"/>
        <v>0.66614032592592598</v>
      </c>
      <c r="AL681" s="278">
        <f>Table1[[#This Row],[WSP/Dealer]]/Table1[[#This Row],[OD Sq Inch]]</f>
        <v>0.41367898510755652</v>
      </c>
      <c r="AM681" s="274">
        <f>Table1[[#This Row],[OD Wdth]]*Table1[[#This Row],[OD Hgt]]</f>
        <v>1813</v>
      </c>
      <c r="AN681" s="274">
        <f>Table1[[#This Row],[Min VO]]+Table1[[#This Row],[Max VO]]</f>
        <v>84</v>
      </c>
      <c r="AO681" s="115"/>
      <c r="AP681" s="115"/>
      <c r="AQ681" s="121"/>
      <c r="AR681" s="121"/>
      <c r="AS681" s="121"/>
      <c r="AT681" s="104"/>
      <c r="AU681" s="1359" t="str">
        <f t="shared" si="229"/>
        <v>-</v>
      </c>
    </row>
    <row r="682" spans="1:47" s="1581" customFormat="1" x14ac:dyDescent="0.2">
      <c r="A682" s="869" t="s">
        <v>58</v>
      </c>
      <c r="B682" s="1149" t="s">
        <v>310</v>
      </c>
      <c r="C682" s="805" t="s">
        <v>1820</v>
      </c>
      <c r="D682" s="77"/>
      <c r="E682" s="653" t="s">
        <v>1821</v>
      </c>
      <c r="F682" s="653" t="s">
        <v>308</v>
      </c>
      <c r="G682" s="551" t="s">
        <v>115</v>
      </c>
      <c r="H682" s="551" t="s">
        <v>115</v>
      </c>
      <c r="I682" s="551" t="s">
        <v>52</v>
      </c>
      <c r="J682" s="856" t="s">
        <v>53</v>
      </c>
      <c r="K682" s="551" t="s">
        <v>54</v>
      </c>
      <c r="L682" s="551" t="s">
        <v>55</v>
      </c>
      <c r="M682" s="896">
        <v>750</v>
      </c>
      <c r="N682" s="896"/>
      <c r="O682" s="551" t="s">
        <v>56</v>
      </c>
      <c r="P682" s="551">
        <v>48</v>
      </c>
      <c r="Q682" s="551">
        <v>48</v>
      </c>
      <c r="R682" s="551">
        <v>48</v>
      </c>
      <c r="S682" s="551">
        <v>48</v>
      </c>
      <c r="T682" s="551">
        <v>48</v>
      </c>
      <c r="U682" s="551">
        <v>48</v>
      </c>
      <c r="V682" s="1571">
        <f t="shared" si="234"/>
        <v>56</v>
      </c>
      <c r="W682" s="1571">
        <f t="shared" si="235"/>
        <v>56</v>
      </c>
      <c r="X682" s="551">
        <v>59</v>
      </c>
      <c r="Y682" s="551">
        <v>56</v>
      </c>
      <c r="Z682" s="551">
        <v>56</v>
      </c>
      <c r="AA682" s="860">
        <f t="shared" si="221"/>
        <v>21.777777777777779</v>
      </c>
      <c r="AB682" s="861">
        <f t="shared" si="236"/>
        <v>458.20444444444445</v>
      </c>
      <c r="AC682" s="863">
        <f t="shared" si="233"/>
        <v>14.373333333333335</v>
      </c>
      <c r="AD682" s="863">
        <f t="shared" si="237"/>
        <v>36.656355555555557</v>
      </c>
      <c r="AE682" s="863">
        <f>IF(Table1[[#This Row],[Work Center]]="SwissQ",Materials!G$37,IF(Table1[[#This Row],[Work Center]]="Inca",Materials!G$29,IF(Table1[[#This Row],[Work Center]]="Canon",Materials!G$49,Materials!G$45)))</f>
        <v>8</v>
      </c>
      <c r="AF682" s="71">
        <f>'Cali FPS'!C117</f>
        <v>119.7</v>
      </c>
      <c r="AG682" s="653"/>
      <c r="AH682" s="865">
        <f t="shared" si="238"/>
        <v>37.5</v>
      </c>
      <c r="AI682" s="865"/>
      <c r="AJ682" s="867">
        <f t="shared" si="228"/>
        <v>216.22968888888889</v>
      </c>
      <c r="AK682" s="866">
        <f t="shared" si="239"/>
        <v>0.71169374814814823</v>
      </c>
      <c r="AL682" s="867">
        <f>Table1[[#This Row],[WSP/Dealer]]/Table1[[#This Row],[OD Sq Inch]]</f>
        <v>0.32552083333333331</v>
      </c>
      <c r="AM682" s="869">
        <f>Table1[[#This Row],[OD Wdth]]*Table1[[#This Row],[OD Hgt]]</f>
        <v>2304</v>
      </c>
      <c r="AN682" s="869">
        <f>Table1[[#This Row],[Min VO]]+Table1[[#This Row],[Max VO]]</f>
        <v>96</v>
      </c>
      <c r="AO682" s="653"/>
      <c r="AP682" s="653"/>
      <c r="AQ682" s="864">
        <f>(Table1[[#This Row],[Desgnr/Retail P]]*0.05)</f>
        <v>0</v>
      </c>
      <c r="AR682" s="864" t="b">
        <f>IF(A682="Codarus",(AP682*0.13))</f>
        <v>0</v>
      </c>
      <c r="AS682" s="864" t="e" cm="1">
        <f t="array" ref="AS682">SUM(AC682:AG682+AQ+AR)</f>
        <v>#NAME?</v>
      </c>
      <c r="AT682" s="863" t="e">
        <f>(AP682-AS682)/AP682</f>
        <v>#NAME?</v>
      </c>
      <c r="AU682" s="1364" t="str">
        <f t="shared" si="229"/>
        <v>-</v>
      </c>
    </row>
    <row r="683" spans="1:47" s="171" customFormat="1" x14ac:dyDescent="0.2">
      <c r="A683" s="274" t="s">
        <v>58</v>
      </c>
      <c r="B683" s="279" t="s">
        <v>310</v>
      </c>
      <c r="C683" s="78" t="s">
        <v>1822</v>
      </c>
      <c r="D683" s="94"/>
      <c r="E683" s="84" t="s">
        <v>1821</v>
      </c>
      <c r="F683" s="84" t="s">
        <v>308</v>
      </c>
      <c r="G683" s="68" t="s">
        <v>115</v>
      </c>
      <c r="H683" s="274" t="s">
        <v>145</v>
      </c>
      <c r="I683" s="274" t="s">
        <v>52</v>
      </c>
      <c r="J683" s="344" t="s">
        <v>53</v>
      </c>
      <c r="K683" s="274" t="s">
        <v>69</v>
      </c>
      <c r="L683" s="274" t="s">
        <v>70</v>
      </c>
      <c r="M683" s="318">
        <v>970</v>
      </c>
      <c r="N683" s="318"/>
      <c r="O683" s="68" t="s">
        <v>56</v>
      </c>
      <c r="P683" s="68">
        <v>48</v>
      </c>
      <c r="Q683" s="68">
        <v>48</v>
      </c>
      <c r="R683" s="68">
        <v>48</v>
      </c>
      <c r="S683" s="68">
        <v>48</v>
      </c>
      <c r="T683" s="274">
        <v>49</v>
      </c>
      <c r="U683" s="274">
        <v>49</v>
      </c>
      <c r="V683" s="1198">
        <f t="shared" si="234"/>
        <v>56</v>
      </c>
      <c r="W683" s="1198">
        <f t="shared" si="235"/>
        <v>56</v>
      </c>
      <c r="X683" s="274">
        <v>59</v>
      </c>
      <c r="Y683" s="274">
        <v>56</v>
      </c>
      <c r="Z683" s="274">
        <v>56</v>
      </c>
      <c r="AA683" s="699">
        <f t="shared" si="221"/>
        <v>21.777777777777779</v>
      </c>
      <c r="AB683" s="297">
        <f t="shared" si="236"/>
        <v>458.20444444444445</v>
      </c>
      <c r="AC683" s="74">
        <f t="shared" si="233"/>
        <v>14.373333333333335</v>
      </c>
      <c r="AD683" s="74">
        <f t="shared" si="237"/>
        <v>36.656355555555557</v>
      </c>
      <c r="AE683" s="74">
        <f>IF(Table1[[#This Row],[Work Center]]="SwissQ",Materials!G$37,IF(Table1[[#This Row],[Work Center]]="Inca",Materials!G$29,IF(Table1[[#This Row],[Work Center]]="Canon",Materials!G$49,Materials!G$45)))</f>
        <v>8</v>
      </c>
      <c r="AF683" s="321">
        <f>'Cali Frames'!D331</f>
        <v>171.26</v>
      </c>
      <c r="AG683" s="275"/>
      <c r="AH683" s="263">
        <f t="shared" si="238"/>
        <v>48.5</v>
      </c>
      <c r="AI683" s="263"/>
      <c r="AJ683" s="278">
        <f t="shared" si="228"/>
        <v>278.78968888888892</v>
      </c>
      <c r="AK683" s="688">
        <f t="shared" si="239"/>
        <v>0.71258794959908356</v>
      </c>
      <c r="AL683" s="278">
        <f>Table1[[#This Row],[WSP/Dealer]]/Table1[[#This Row],[OD Sq Inch]]</f>
        <v>0.40399833402748853</v>
      </c>
      <c r="AM683" s="274">
        <f>Table1[[#This Row],[OD Wdth]]*Table1[[#This Row],[OD Hgt]]</f>
        <v>2401</v>
      </c>
      <c r="AN683" s="274">
        <f>Table1[[#This Row],[Min VO]]+Table1[[#This Row],[Max VO]]</f>
        <v>96</v>
      </c>
      <c r="AO683" s="275"/>
      <c r="AP683" s="275"/>
      <c r="AQ683" s="320">
        <f>(Table1[[#This Row],[Desgnr/Retail P]]*0.05)</f>
        <v>0</v>
      </c>
      <c r="AR683" s="320" t="b">
        <f>IF(A683="Codarus",(AP683*0.13))</f>
        <v>0</v>
      </c>
      <c r="AS683" s="320" t="e" cm="1">
        <f t="array" ref="AS683">SUM(AC683:AG683+AQ+AR)</f>
        <v>#NAME?</v>
      </c>
      <c r="AT683" s="278" t="e">
        <f>(AP683-AS683)/AP683</f>
        <v>#NAME?</v>
      </c>
      <c r="AU683" s="1368" t="str">
        <f t="shared" si="229"/>
        <v>-</v>
      </c>
    </row>
    <row r="684" spans="1:47" s="40" customFormat="1" x14ac:dyDescent="0.2">
      <c r="A684" s="86" t="s">
        <v>58</v>
      </c>
      <c r="B684" s="1061" t="s">
        <v>88</v>
      </c>
      <c r="C684" s="100" t="s">
        <v>1823</v>
      </c>
      <c r="D684" s="94" t="s">
        <v>1824</v>
      </c>
      <c r="E684" s="85" t="s">
        <v>1825</v>
      </c>
      <c r="F684" s="85" t="s">
        <v>800</v>
      </c>
      <c r="G684" s="86" t="s">
        <v>750</v>
      </c>
      <c r="H684" s="86" t="s">
        <v>751</v>
      </c>
      <c r="I684" s="86" t="s">
        <v>794</v>
      </c>
      <c r="J684" s="86" t="s">
        <v>53</v>
      </c>
      <c r="K684" s="86" t="s">
        <v>69</v>
      </c>
      <c r="L684" s="86" t="s">
        <v>70</v>
      </c>
      <c r="M684" s="87">
        <v>654.5</v>
      </c>
      <c r="N684" s="639">
        <v>719.95</v>
      </c>
      <c r="O684" s="551" t="s">
        <v>56</v>
      </c>
      <c r="P684" s="101">
        <v>39</v>
      </c>
      <c r="Q684" s="101">
        <v>39</v>
      </c>
      <c r="R684" s="101">
        <v>39</v>
      </c>
      <c r="S684" s="101">
        <v>39</v>
      </c>
      <c r="T684" s="101">
        <v>40</v>
      </c>
      <c r="U684" s="101" t="str">
        <f>RIGHT(H684,2)</f>
        <v>40</v>
      </c>
      <c r="V684" s="106">
        <f t="shared" si="234"/>
        <v>47</v>
      </c>
      <c r="W684" s="106">
        <f t="shared" si="235"/>
        <v>47</v>
      </c>
      <c r="X684" s="137" t="s">
        <v>796</v>
      </c>
      <c r="Y684" s="101"/>
      <c r="Z684" s="101"/>
      <c r="AA684" s="649">
        <f t="shared" si="221"/>
        <v>15.340277777777779</v>
      </c>
      <c r="AB684" s="184">
        <v>0</v>
      </c>
      <c r="AC684" s="104">
        <f>TX!H14</f>
        <v>140.41</v>
      </c>
      <c r="AD684" s="107">
        <f t="shared" si="237"/>
        <v>25.820755555555557</v>
      </c>
      <c r="AE684" s="104">
        <f>IF(Table1[[#This Row],[Work Center]]="SwissQ",Materials!G$37,IF(Table1[[#This Row],[Work Center]]="Inca",Materials!G$29,IF(Table1[[#This Row],[Work Center]]="Canon",Materials!G$49,Materials!G$45)))</f>
        <v>8</v>
      </c>
      <c r="AF684" s="104">
        <f>'Cali Frames'!D$307</f>
        <v>152.32</v>
      </c>
      <c r="AG684" s="115"/>
      <c r="AH684" s="112">
        <f t="shared" si="238"/>
        <v>32.725000000000001</v>
      </c>
      <c r="AI684" s="112"/>
      <c r="AJ684" s="104">
        <f t="shared" si="228"/>
        <v>359.27575555555558</v>
      </c>
      <c r="AK684" s="62">
        <f t="shared" si="239"/>
        <v>0.45106836431542313</v>
      </c>
      <c r="AL684" s="225">
        <f>Table1[[#This Row],[WSP/Dealer]]/Table1[[#This Row],[OD Sq Inch]]</f>
        <v>0.4090625</v>
      </c>
      <c r="AM684" s="218">
        <f>Table1[[#This Row],[OD Wdth]]*Table1[[#This Row],[OD Hgt]]</f>
        <v>1600</v>
      </c>
      <c r="AN684" s="216">
        <f>Table1[[#This Row],[Min VO]]+Table1[[#This Row],[Max VO]]</f>
        <v>78</v>
      </c>
      <c r="AO684" s="101"/>
      <c r="AP684" s="101"/>
      <c r="AQ684" s="104"/>
      <c r="AR684" s="104"/>
      <c r="AS684" s="104"/>
      <c r="AT684" s="104"/>
      <c r="AU684" s="830" t="str">
        <f t="shared" si="229"/>
        <v>-</v>
      </c>
    </row>
    <row r="685" spans="1:47" s="159" customFormat="1" hidden="1" x14ac:dyDescent="0.2">
      <c r="A685" s="68"/>
      <c r="B685" s="170"/>
      <c r="C685" s="78" t="s">
        <v>1823</v>
      </c>
      <c r="D685" s="94" t="s">
        <v>1824</v>
      </c>
      <c r="E685" s="84" t="s">
        <v>1825</v>
      </c>
      <c r="F685" s="84" t="s">
        <v>800</v>
      </c>
      <c r="G685" s="68" t="s">
        <v>750</v>
      </c>
      <c r="H685" s="68" t="s">
        <v>751</v>
      </c>
      <c r="I685" s="68" t="s">
        <v>52</v>
      </c>
      <c r="J685" s="68" t="s">
        <v>53</v>
      </c>
      <c r="K685" s="68" t="s">
        <v>69</v>
      </c>
      <c r="L685" s="68" t="s">
        <v>70</v>
      </c>
      <c r="M685" s="93">
        <v>654.5</v>
      </c>
      <c r="N685" s="71">
        <v>719.95</v>
      </c>
      <c r="O685" s="68"/>
      <c r="P685" s="68"/>
      <c r="Q685" s="68"/>
      <c r="R685" s="68"/>
      <c r="S685" s="68"/>
      <c r="T685" s="68"/>
      <c r="U685" s="68"/>
      <c r="V685" s="917"/>
      <c r="W685" s="917"/>
      <c r="X685" s="189"/>
      <c r="Y685" s="782"/>
      <c r="Z685" s="782"/>
      <c r="AA685" s="699"/>
      <c r="AB685" s="297"/>
      <c r="AC685" s="74"/>
      <c r="AD685" s="126"/>
      <c r="AE685" s="126"/>
      <c r="AF685" s="126"/>
      <c r="AG685" s="115"/>
      <c r="AH685" s="498">
        <f t="shared" si="238"/>
        <v>32.725000000000001</v>
      </c>
      <c r="AI685" s="498"/>
      <c r="AJ685" s="126"/>
      <c r="AK685" s="650">
        <f t="shared" si="239"/>
        <v>1</v>
      </c>
      <c r="AL685" s="225" t="e">
        <f>Table1[[#This Row],[WSP/Dealer]]/Table1[[#This Row],[OD Sq Inch]]</f>
        <v>#DIV/0!</v>
      </c>
      <c r="AM685" s="101">
        <f>Table1[[#This Row],[OD Wdth]]*Table1[[#This Row],[OD Hgt]]</f>
        <v>0</v>
      </c>
      <c r="AN685" s="216">
        <f>Table1[[#This Row],[Min VO]]+Table1[[#This Row],[Max VO]]</f>
        <v>0</v>
      </c>
      <c r="AO685" s="84"/>
      <c r="AP685" s="84"/>
      <c r="AQ685" s="126"/>
      <c r="AR685" s="126"/>
      <c r="AS685" s="126"/>
      <c r="AT685" s="74"/>
      <c r="AU685" s="1357" t="str">
        <f t="shared" si="229"/>
        <v>-</v>
      </c>
    </row>
    <row r="686" spans="1:47" s="25" customFormat="1" x14ac:dyDescent="0.2">
      <c r="A686" s="86" t="s">
        <v>58</v>
      </c>
      <c r="B686" s="1061" t="s">
        <v>88</v>
      </c>
      <c r="C686" s="100" t="s">
        <v>1826</v>
      </c>
      <c r="D686" s="94" t="s">
        <v>1827</v>
      </c>
      <c r="E686" s="85" t="s">
        <v>1828</v>
      </c>
      <c r="F686" s="85" t="s">
        <v>800</v>
      </c>
      <c r="G686" s="86" t="s">
        <v>750</v>
      </c>
      <c r="H686" s="86" t="s">
        <v>751</v>
      </c>
      <c r="I686" s="86" t="s">
        <v>794</v>
      </c>
      <c r="J686" s="86" t="s">
        <v>53</v>
      </c>
      <c r="K686" s="86" t="s">
        <v>69</v>
      </c>
      <c r="L686" s="86" t="s">
        <v>70</v>
      </c>
      <c r="M686" s="87">
        <v>654.5</v>
      </c>
      <c r="N686" s="639">
        <v>719.95</v>
      </c>
      <c r="O686" s="551" t="s">
        <v>56</v>
      </c>
      <c r="P686" s="101">
        <v>39</v>
      </c>
      <c r="Q686" s="101">
        <v>39</v>
      </c>
      <c r="R686" s="101">
        <v>39</v>
      </c>
      <c r="S686" s="101">
        <v>39</v>
      </c>
      <c r="T686" s="101">
        <v>40</v>
      </c>
      <c r="U686" s="101" t="str">
        <f>RIGHT(H686,2)</f>
        <v>40</v>
      </c>
      <c r="V686" s="608">
        <f>IF(J686="Canvas",P686+Border,P686)</f>
        <v>47</v>
      </c>
      <c r="W686" s="608">
        <f>IF(J686="Canvas",Q686+Border,Q686)</f>
        <v>47</v>
      </c>
      <c r="X686" s="137" t="s">
        <v>796</v>
      </c>
      <c r="Y686" s="101"/>
      <c r="Z686" s="101"/>
      <c r="AA686" s="649">
        <f>V686*W686/144</f>
        <v>15.340277777777779</v>
      </c>
      <c r="AB686" s="184">
        <v>0</v>
      </c>
      <c r="AC686" s="104">
        <f>TX!H15</f>
        <v>177.86</v>
      </c>
      <c r="AD686" s="107">
        <f>AA686*IncaC</f>
        <v>25.820755555555557</v>
      </c>
      <c r="AE686" s="104">
        <f>IF(Table1[[#This Row],[Work Center]]="SwissQ",Materials!G$37,IF(Table1[[#This Row],[Work Center]]="Inca",Materials!G$29,IF(Table1[[#This Row],[Work Center]]="Canon",Materials!G$49,Materials!G$45)))</f>
        <v>8</v>
      </c>
      <c r="AF686" s="104">
        <f>'Cali Frames'!D$307</f>
        <v>152.32</v>
      </c>
      <c r="AG686" s="115"/>
      <c r="AH686" s="112">
        <f t="shared" si="238"/>
        <v>32.725000000000001</v>
      </c>
      <c r="AI686" s="112"/>
      <c r="AJ686" s="104">
        <f>SUM(AC686:AH686)</f>
        <v>396.72575555555557</v>
      </c>
      <c r="AK686" s="62">
        <f t="shared" si="239"/>
        <v>0.39384911297852471</v>
      </c>
      <c r="AL686" s="225">
        <f>Table1[[#This Row],[WSP/Dealer]]/Table1[[#This Row],[OD Sq Inch]]</f>
        <v>0.4090625</v>
      </c>
      <c r="AM686" s="103">
        <f>Table1[[#This Row],[OD Wdth]]*Table1[[#This Row],[OD Hgt]]</f>
        <v>1600</v>
      </c>
      <c r="AN686" s="216">
        <f>Table1[[#This Row],[Min VO]]+Table1[[#This Row],[Max VO]]</f>
        <v>78</v>
      </c>
      <c r="AO686" s="101"/>
      <c r="AP686" s="101"/>
      <c r="AQ686" s="104"/>
      <c r="AR686" s="104"/>
      <c r="AS686" s="104"/>
      <c r="AT686" s="104"/>
      <c r="AU686" s="830" t="str">
        <f t="shared" si="229"/>
        <v>-</v>
      </c>
    </row>
    <row r="687" spans="1:47" s="144" customFormat="1" hidden="1" x14ac:dyDescent="0.2">
      <c r="A687" s="68"/>
      <c r="B687" s="170"/>
      <c r="C687" s="78" t="s">
        <v>1826</v>
      </c>
      <c r="D687" s="94" t="s">
        <v>1827</v>
      </c>
      <c r="E687" s="84" t="s">
        <v>1828</v>
      </c>
      <c r="F687" s="84" t="s">
        <v>800</v>
      </c>
      <c r="G687" s="68" t="s">
        <v>750</v>
      </c>
      <c r="H687" s="68" t="s">
        <v>751</v>
      </c>
      <c r="I687" s="68" t="s">
        <v>52</v>
      </c>
      <c r="J687" s="68" t="s">
        <v>53</v>
      </c>
      <c r="K687" s="68" t="s">
        <v>69</v>
      </c>
      <c r="L687" s="68" t="s">
        <v>70</v>
      </c>
      <c r="M687" s="93">
        <v>654.5</v>
      </c>
      <c r="N687" s="71">
        <v>719.95</v>
      </c>
      <c r="O687" s="68"/>
      <c r="P687" s="68"/>
      <c r="Q687" s="68"/>
      <c r="R687" s="68"/>
      <c r="S687" s="68"/>
      <c r="T687" s="68"/>
      <c r="U687" s="68"/>
      <c r="V687" s="66"/>
      <c r="W687" s="66"/>
      <c r="X687" s="189"/>
      <c r="Y687" s="782"/>
      <c r="Z687" s="782"/>
      <c r="AA687" s="699"/>
      <c r="AB687" s="297"/>
      <c r="AC687" s="74"/>
      <c r="AD687" s="118"/>
      <c r="AE687" s="126"/>
      <c r="AF687" s="126"/>
      <c r="AG687" s="115"/>
      <c r="AH687" s="112">
        <f t="shared" si="238"/>
        <v>32.725000000000001</v>
      </c>
      <c r="AI687" s="112"/>
      <c r="AJ687" s="118"/>
      <c r="AK687" s="62">
        <f t="shared" si="239"/>
        <v>1</v>
      </c>
      <c r="AL687" s="225" t="e">
        <f>Table1[[#This Row],[WSP/Dealer]]/Table1[[#This Row],[OD Sq Inch]]</f>
        <v>#DIV/0!</v>
      </c>
      <c r="AM687" s="103">
        <f>Table1[[#This Row],[OD Wdth]]*Table1[[#This Row],[OD Hgt]]</f>
        <v>0</v>
      </c>
      <c r="AN687" s="216">
        <f>Table1[[#This Row],[Min VO]]+Table1[[#This Row],[Max VO]]</f>
        <v>0</v>
      </c>
      <c r="AO687" s="84"/>
      <c r="AP687" s="84"/>
      <c r="AQ687" s="126"/>
      <c r="AR687" s="126"/>
      <c r="AS687" s="126"/>
      <c r="AT687" s="74"/>
      <c r="AU687" s="1357" t="str">
        <f t="shared" si="229"/>
        <v>-</v>
      </c>
    </row>
    <row r="688" spans="1:47" s="868" customFormat="1" x14ac:dyDescent="0.2">
      <c r="A688" s="869" t="s">
        <v>58</v>
      </c>
      <c r="B688" s="1552" t="s">
        <v>310</v>
      </c>
      <c r="C688" s="805" t="s">
        <v>1829</v>
      </c>
      <c r="D688" s="871"/>
      <c r="E688" s="872" t="s">
        <v>1830</v>
      </c>
      <c r="F688" s="872" t="s">
        <v>308</v>
      </c>
      <c r="G688" s="869" t="s">
        <v>379</v>
      </c>
      <c r="H688" s="869" t="s">
        <v>379</v>
      </c>
      <c r="I688" s="869" t="s">
        <v>52</v>
      </c>
      <c r="J688" s="873" t="s">
        <v>53</v>
      </c>
      <c r="K688" s="869" t="s">
        <v>54</v>
      </c>
      <c r="L688" s="869" t="s">
        <v>55</v>
      </c>
      <c r="M688" s="890">
        <v>1120</v>
      </c>
      <c r="N688" s="890"/>
      <c r="O688" s="869" t="s">
        <v>56</v>
      </c>
      <c r="P688" s="869">
        <v>48</v>
      </c>
      <c r="Q688" s="869">
        <v>72</v>
      </c>
      <c r="R688" s="869">
        <v>48</v>
      </c>
      <c r="S688" s="869">
        <v>72</v>
      </c>
      <c r="T688" s="869">
        <v>48</v>
      </c>
      <c r="U688" s="869">
        <v>72</v>
      </c>
      <c r="V688" s="1639">
        <f>IF(J688="Canvas",P688+Border,P688)</f>
        <v>56</v>
      </c>
      <c r="W688" s="1639">
        <f>IF(J688="Canvas",Q688+Border,Q688)</f>
        <v>80</v>
      </c>
      <c r="X688" s="869">
        <v>80</v>
      </c>
      <c r="Y688" s="869">
        <v>56</v>
      </c>
      <c r="Z688" s="869">
        <v>80</v>
      </c>
      <c r="AA688" s="860">
        <f t="shared" ref="AA688:AA697" si="240">V688*W688/144</f>
        <v>31.111111111111111</v>
      </c>
      <c r="AB688" s="893">
        <f>AA688*IncaG</f>
        <v>654.57777777777778</v>
      </c>
      <c r="AC688" s="863">
        <f>AA688*Canvas</f>
        <v>20.533333333333335</v>
      </c>
      <c r="AD688" s="865">
        <f>Table1[[#This Row],[Substrate SF]]*IncaC</f>
        <v>52.36622222222222</v>
      </c>
      <c r="AE688" s="863">
        <f>IF(Table1[[#This Row],[Work Center]]="SwissQ",Materials!G$37,IF(Table1[[#This Row],[Work Center]]="Inca",Materials!G$29,IF(Table1[[#This Row],[Work Center]]="Canon",Materials!G$49,Materials!G$45)))</f>
        <v>8</v>
      </c>
      <c r="AF688" s="882">
        <f>'Cali FPS'!C130</f>
        <v>178.92</v>
      </c>
      <c r="AG688" s="872"/>
      <c r="AH688" s="865">
        <f t="shared" si="238"/>
        <v>56</v>
      </c>
      <c r="AI688" s="865"/>
      <c r="AJ688" s="867">
        <f t="shared" ref="AJ688:AJ697" si="241">SUM(AC688:AH688)</f>
        <v>315.81955555555555</v>
      </c>
      <c r="AK688" s="866">
        <f t="shared" si="239"/>
        <v>0.71801825396825392</v>
      </c>
      <c r="AL688" s="867">
        <f>Table1[[#This Row],[WSP/Dealer]]/Table1[[#This Row],[OD Sq Inch]]</f>
        <v>0.32407407407407407</v>
      </c>
      <c r="AM688" s="868">
        <f>Table1[[#This Row],[OD Wdth]]*Table1[[#This Row],[OD Hgt]]</f>
        <v>3456</v>
      </c>
      <c r="AN688" s="869">
        <f>Table1[[#This Row],[Min VO]]+Table1[[#This Row],[Max VO]]</f>
        <v>120</v>
      </c>
      <c r="AO688" s="872"/>
      <c r="AP688" s="872"/>
      <c r="AQ688" s="867">
        <f>(Table1[[#This Row],[Desgnr/Retail P]]*0.05)</f>
        <v>0</v>
      </c>
      <c r="AR688" s="867" t="b">
        <f>IF(A688="Codarus",(AP688*0.13))</f>
        <v>0</v>
      </c>
      <c r="AS688" s="867" t="e" cm="1">
        <f t="array" ref="AS688">SUM(AC688:AG688+AQ+AR)</f>
        <v>#NAME?</v>
      </c>
      <c r="AT688" s="867" t="e">
        <f>(AP688-AS688)/AP688</f>
        <v>#NAME?</v>
      </c>
      <c r="AU688" s="1373" t="str">
        <f t="shared" si="229"/>
        <v>-</v>
      </c>
    </row>
    <row r="689" spans="1:47" s="170" customFormat="1" x14ac:dyDescent="0.2">
      <c r="A689" s="274" t="s">
        <v>58</v>
      </c>
      <c r="B689" s="1061" t="s">
        <v>310</v>
      </c>
      <c r="C689" s="323" t="s">
        <v>1831</v>
      </c>
      <c r="D689" s="317"/>
      <c r="E689" s="275" t="s">
        <v>1830</v>
      </c>
      <c r="F689" s="275" t="s">
        <v>308</v>
      </c>
      <c r="G689" s="274" t="s">
        <v>379</v>
      </c>
      <c r="H689" s="68" t="s">
        <v>381</v>
      </c>
      <c r="I689" s="68" t="s">
        <v>52</v>
      </c>
      <c r="J689" s="140" t="s">
        <v>53</v>
      </c>
      <c r="K689" s="68" t="s">
        <v>69</v>
      </c>
      <c r="L689" s="68" t="s">
        <v>70</v>
      </c>
      <c r="M689" s="93">
        <v>1300</v>
      </c>
      <c r="N689" s="93"/>
      <c r="O689" s="274" t="s">
        <v>56</v>
      </c>
      <c r="P689" s="274">
        <v>48</v>
      </c>
      <c r="Q689" s="274">
        <v>72</v>
      </c>
      <c r="R689" s="274">
        <v>48</v>
      </c>
      <c r="S689" s="274">
        <v>72</v>
      </c>
      <c r="T689" s="68">
        <v>49</v>
      </c>
      <c r="U689" s="68">
        <v>73</v>
      </c>
      <c r="V689" s="160">
        <f>IF(J689="Canvas",P689+Border,P689)</f>
        <v>56</v>
      </c>
      <c r="W689" s="160">
        <f>IF(J689="Canvas",Q689+Border,Q689)</f>
        <v>80</v>
      </c>
      <c r="X689" s="68">
        <v>80</v>
      </c>
      <c r="Y689" s="68">
        <v>56</v>
      </c>
      <c r="Z689" s="68">
        <v>80</v>
      </c>
      <c r="AA689" s="699">
        <f t="shared" si="240"/>
        <v>31.111111111111111</v>
      </c>
      <c r="AB689" s="341">
        <f>AA689*IncaG</f>
        <v>654.57777777777778</v>
      </c>
      <c r="AC689" s="74">
        <f>AA689*Canvas</f>
        <v>20.533333333333335</v>
      </c>
      <c r="AD689" s="263">
        <f>Table1[[#This Row],[Substrate SF]]*IncaC</f>
        <v>52.36622222222222</v>
      </c>
      <c r="AE689" s="74">
        <f>IF(Table1[[#This Row],[Work Center]]="SwissQ",Materials!G$37,IF(Table1[[#This Row],[Work Center]]="Inca",Materials!G$29,IF(Table1[[#This Row],[Work Center]]="Canon",Materials!G$49,Materials!G$45)))</f>
        <v>8</v>
      </c>
      <c r="AF689" s="73">
        <f>'Cali Frames'!D337</f>
        <v>263.8</v>
      </c>
      <c r="AG689" s="84"/>
      <c r="AH689" s="278">
        <f t="shared" si="238"/>
        <v>65</v>
      </c>
      <c r="AI689" s="278"/>
      <c r="AJ689" s="278">
        <f t="shared" si="241"/>
        <v>409.69955555555555</v>
      </c>
      <c r="AK689" s="1192">
        <f t="shared" si="239"/>
        <v>0.6848464957264957</v>
      </c>
      <c r="AL689" s="278">
        <f>Table1[[#This Row],[WSP/Dealer]]/Table1[[#This Row],[OD Sq Inch]]</f>
        <v>0.36343304445065699</v>
      </c>
      <c r="AM689" s="170">
        <f>Table1[[#This Row],[OD Wdth]]*Table1[[#This Row],[OD Hgt]]</f>
        <v>3577</v>
      </c>
      <c r="AN689" s="274">
        <f>Table1[[#This Row],[Min VO]]+Table1[[#This Row],[Max VO]]</f>
        <v>120</v>
      </c>
      <c r="AO689" s="84"/>
      <c r="AP689" s="84"/>
      <c r="AQ689" s="74">
        <f>(Table1[[#This Row],[Desgnr/Retail P]]*0.05)</f>
        <v>0</v>
      </c>
      <c r="AR689" s="74" t="b">
        <f>IF(A689="Codarus",(AP689*0.13))</f>
        <v>0</v>
      </c>
      <c r="AS689" s="74" t="e" cm="1">
        <f t="array" ref="AS689">SUM(AC689:AG689+AQ+AR)</f>
        <v>#NAME?</v>
      </c>
      <c r="AT689" s="74" t="e">
        <f>(AP689-AS689)/AP689</f>
        <v>#NAME?</v>
      </c>
      <c r="AU689" s="1357" t="str">
        <f t="shared" si="229"/>
        <v>-</v>
      </c>
    </row>
    <row r="690" spans="1:47" s="159" customFormat="1" hidden="1" x14ac:dyDescent="0.2">
      <c r="A690" s="437" t="s">
        <v>187</v>
      </c>
      <c r="B690" s="1061" t="s">
        <v>261</v>
      </c>
      <c r="C690" s="444" t="s">
        <v>1832</v>
      </c>
      <c r="D690" s="94"/>
      <c r="E690" s="444" t="s">
        <v>1833</v>
      </c>
      <c r="F690" s="142" t="s">
        <v>1834</v>
      </c>
      <c r="G690" s="439" t="s">
        <v>51</v>
      </c>
      <c r="H690" s="439" t="s">
        <v>51</v>
      </c>
      <c r="I690" s="439" t="s">
        <v>52</v>
      </c>
      <c r="J690" s="140" t="s">
        <v>53</v>
      </c>
      <c r="K690" s="439" t="s">
        <v>281</v>
      </c>
      <c r="L690" s="68" t="s">
        <v>55</v>
      </c>
      <c r="M690" s="445">
        <v>1830</v>
      </c>
      <c r="N690" s="71"/>
      <c r="O690" s="68" t="s">
        <v>56</v>
      </c>
      <c r="P690" s="68">
        <v>30</v>
      </c>
      <c r="Q690" s="68">
        <v>40</v>
      </c>
      <c r="R690" s="68">
        <v>30</v>
      </c>
      <c r="S690" s="68">
        <v>40</v>
      </c>
      <c r="T690" s="68">
        <v>30</v>
      </c>
      <c r="U690" s="68">
        <v>40</v>
      </c>
      <c r="V690" s="160">
        <f>IF(J690="Canvas",P690+Border,P690)</f>
        <v>38</v>
      </c>
      <c r="W690" s="160">
        <f>IF(J690="Canvas",Q690+Border,Q690)</f>
        <v>48</v>
      </c>
      <c r="X690" s="189">
        <v>53</v>
      </c>
      <c r="Y690" s="68"/>
      <c r="Z690" s="68"/>
      <c r="AA690" s="699">
        <f t="shared" si="240"/>
        <v>12.666666666666666</v>
      </c>
      <c r="AB690" s="341">
        <f>AA690*IncaG</f>
        <v>266.50666666666666</v>
      </c>
      <c r="AC690" s="74">
        <f>AA690*Canvas</f>
        <v>8.36</v>
      </c>
      <c r="AD690" s="263">
        <f>Table1[[#This Row],[Substrate SF]]*IncaC</f>
        <v>21.320533333333334</v>
      </c>
      <c r="AE690" s="74">
        <f>IF(Table1[[#This Row],[Work Center]]="SwissQ",Materials!G$37,IF(Table1[[#This Row],[Work Center]]="Inca",Materials!G$29,IF(Table1[[#This Row],[Work Center]]="Canon",Materials!G$49,Materials!G$45)))</f>
        <v>8</v>
      </c>
      <c r="AF690" s="73">
        <f>'Cali FPS'!C48</f>
        <v>76.3</v>
      </c>
      <c r="AG690" s="126"/>
      <c r="AH690" s="112">
        <f t="shared" si="238"/>
        <v>91.5</v>
      </c>
      <c r="AI690" s="112"/>
      <c r="AJ690" s="263">
        <f t="shared" si="241"/>
        <v>205.48053333333331</v>
      </c>
      <c r="AK690" s="62">
        <f t="shared" si="239"/>
        <v>0.88771555555555559</v>
      </c>
      <c r="AL690" s="225">
        <f>Table1[[#This Row],[WSP/Dealer]]/Table1[[#This Row],[OD Sq Inch]]</f>
        <v>1.5249999999999999</v>
      </c>
      <c r="AM690" s="170">
        <f>Table1[[#This Row],[OD Wdth]]*Table1[[#This Row],[OD Hgt]]</f>
        <v>1200</v>
      </c>
      <c r="AN690" s="84"/>
      <c r="AO690" s="84"/>
      <c r="AP690" s="84"/>
      <c r="AQ690" s="126"/>
      <c r="AR690" s="126"/>
      <c r="AS690" s="126"/>
      <c r="AT690" s="74"/>
      <c r="AU690" s="1357" t="str">
        <f t="shared" si="229"/>
        <v>-</v>
      </c>
    </row>
    <row r="691" spans="1:47" s="103" customFormat="1" hidden="1" x14ac:dyDescent="0.2">
      <c r="A691" s="68" t="s">
        <v>187</v>
      </c>
      <c r="B691" s="1061" t="s">
        <v>261</v>
      </c>
      <c r="C691" s="436" t="s">
        <v>1835</v>
      </c>
      <c r="D691" s="94"/>
      <c r="E691" s="436" t="s">
        <v>1833</v>
      </c>
      <c r="F691" s="142" t="s">
        <v>1834</v>
      </c>
      <c r="G691" s="258" t="s">
        <v>51</v>
      </c>
      <c r="H691" s="68" t="s">
        <v>1836</v>
      </c>
      <c r="I691" s="258" t="s">
        <v>52</v>
      </c>
      <c r="J691" s="140" t="s">
        <v>53</v>
      </c>
      <c r="K691" s="258" t="s">
        <v>1410</v>
      </c>
      <c r="L691" s="68" t="s">
        <v>70</v>
      </c>
      <c r="M691" s="420">
        <v>1930</v>
      </c>
      <c r="N691" s="71"/>
      <c r="O691" s="68" t="s">
        <v>56</v>
      </c>
      <c r="P691" s="68">
        <v>30</v>
      </c>
      <c r="Q691" s="68">
        <v>40</v>
      </c>
      <c r="R691" s="68">
        <v>30</v>
      </c>
      <c r="S691" s="68">
        <v>40</v>
      </c>
      <c r="T691" s="68">
        <v>32</v>
      </c>
      <c r="U691" s="68">
        <v>42</v>
      </c>
      <c r="V691" s="160">
        <f>IF(J691="Canvas",P691+Border,P691)</f>
        <v>38</v>
      </c>
      <c r="W691" s="160">
        <f>IF(J691="Canvas",Q691+Border,Q691)</f>
        <v>48</v>
      </c>
      <c r="X691" s="189">
        <v>53</v>
      </c>
      <c r="Y691" s="68"/>
      <c r="Z691" s="68"/>
      <c r="AA691" s="699">
        <f t="shared" si="240"/>
        <v>12.666666666666666</v>
      </c>
      <c r="AB691" s="341">
        <f>AA691*IncaG</f>
        <v>266.50666666666666</v>
      </c>
      <c r="AC691" s="74">
        <f>AA691*Canvas</f>
        <v>8.36</v>
      </c>
      <c r="AD691" s="263">
        <f>Table1[[#This Row],[Substrate SF]]*IncaC</f>
        <v>21.320533333333334</v>
      </c>
      <c r="AE691" s="74">
        <f>IF(Table1[[#This Row],[Work Center]]="SwissQ",Materials!G$37,IF(Table1[[#This Row],[Work Center]]="Inca",Materials!G$29,IF(Table1[[#This Row],[Work Center]]="Canon",Materials!G$49,Materials!G$45)))</f>
        <v>8</v>
      </c>
      <c r="AF691" s="73">
        <f>'Cali Frames'!D291</f>
        <v>117.0575</v>
      </c>
      <c r="AG691" s="126"/>
      <c r="AH691" s="498">
        <f t="shared" si="238"/>
        <v>96.5</v>
      </c>
      <c r="AI691" s="498"/>
      <c r="AJ691" s="278">
        <f t="shared" si="241"/>
        <v>251.23803333333333</v>
      </c>
      <c r="AK691" s="650">
        <f t="shared" si="239"/>
        <v>0.86982485319516412</v>
      </c>
      <c r="AL691" s="225">
        <f>Table1[[#This Row],[WSP/Dealer]]/Table1[[#This Row],[OD Sq Inch]]</f>
        <v>1.4360119047619047</v>
      </c>
      <c r="AM691" s="170">
        <f>Table1[[#This Row],[OD Wdth]]*Table1[[#This Row],[OD Hgt]]</f>
        <v>1344</v>
      </c>
      <c r="AN691" s="84"/>
      <c r="AO691" s="84"/>
      <c r="AP691" s="84"/>
      <c r="AQ691" s="126"/>
      <c r="AR691" s="126"/>
      <c r="AS691" s="126"/>
      <c r="AT691" s="74"/>
      <c r="AU691" s="1357" t="str">
        <f t="shared" si="229"/>
        <v>-</v>
      </c>
    </row>
    <row r="692" spans="1:47" s="103" customFormat="1" hidden="1" x14ac:dyDescent="0.2">
      <c r="A692" s="68" t="s">
        <v>187</v>
      </c>
      <c r="B692" s="1061" t="s">
        <v>261</v>
      </c>
      <c r="C692" s="436" t="s">
        <v>1837</v>
      </c>
      <c r="D692" s="94"/>
      <c r="E692" s="436" t="s">
        <v>1833</v>
      </c>
      <c r="F692" s="142" t="s">
        <v>1834</v>
      </c>
      <c r="G692" s="258" t="s">
        <v>51</v>
      </c>
      <c r="H692" s="68" t="s">
        <v>1836</v>
      </c>
      <c r="I692" s="258" t="s">
        <v>52</v>
      </c>
      <c r="J692" s="140" t="s">
        <v>53</v>
      </c>
      <c r="K692" s="258" t="s">
        <v>1412</v>
      </c>
      <c r="L692" s="68" t="s">
        <v>73</v>
      </c>
      <c r="M692" s="420">
        <v>1930</v>
      </c>
      <c r="N692" s="71"/>
      <c r="O692" s="68" t="s">
        <v>56</v>
      </c>
      <c r="P692" s="68">
        <v>30</v>
      </c>
      <c r="Q692" s="68">
        <v>40</v>
      </c>
      <c r="R692" s="68">
        <v>30</v>
      </c>
      <c r="S692" s="68">
        <v>40</v>
      </c>
      <c r="T692" s="68">
        <v>32</v>
      </c>
      <c r="U692" s="68">
        <v>42</v>
      </c>
      <c r="V692" s="1198">
        <f>IF(J692="Canvas",P692+Border,P692)</f>
        <v>38</v>
      </c>
      <c r="W692" s="1198">
        <f>IF(J692="Canvas",Q692+Border,Q692)</f>
        <v>48</v>
      </c>
      <c r="X692" s="68">
        <v>53</v>
      </c>
      <c r="Y692" s="68"/>
      <c r="Z692" s="68"/>
      <c r="AA692" s="699">
        <f t="shared" si="240"/>
        <v>12.666666666666666</v>
      </c>
      <c r="AB692" s="341">
        <f>AA692*IncaG</f>
        <v>266.50666666666666</v>
      </c>
      <c r="AC692" s="74">
        <f>AA692*Canvas</f>
        <v>8.36</v>
      </c>
      <c r="AD692" s="278">
        <f>Table1[[#This Row],[Substrate SF]]*IncaC</f>
        <v>21.320533333333334</v>
      </c>
      <c r="AE692" s="74">
        <f>IF(Table1[[#This Row],[Work Center]]="SwissQ",Materials!G$37,IF(Table1[[#This Row],[Work Center]]="Inca",Materials!G$29,IF(Table1[[#This Row],[Work Center]]="Canon",Materials!G$49,Materials!G$45)))</f>
        <v>8</v>
      </c>
      <c r="AF692" s="73">
        <f>'Cali Frames'!D430</f>
        <v>108.955</v>
      </c>
      <c r="AG692" s="126"/>
      <c r="AH692" s="112">
        <f t="shared" si="238"/>
        <v>96.5</v>
      </c>
      <c r="AI692" s="112"/>
      <c r="AJ692" s="278">
        <f t="shared" si="241"/>
        <v>243.13553333333334</v>
      </c>
      <c r="AK692" s="62">
        <f t="shared" si="239"/>
        <v>0.87402303972366147</v>
      </c>
      <c r="AL692" s="225">
        <f>Table1[[#This Row],[WSP/Dealer]]/Table1[[#This Row],[OD Sq Inch]]</f>
        <v>1.4360119047619047</v>
      </c>
      <c r="AM692" s="274">
        <f>Table1[[#This Row],[OD Wdth]]*Table1[[#This Row],[OD Hgt]]</f>
        <v>1344</v>
      </c>
      <c r="AN692" s="84"/>
      <c r="AO692" s="84"/>
      <c r="AP692" s="84"/>
      <c r="AQ692" s="126"/>
      <c r="AR692" s="126"/>
      <c r="AS692" s="126"/>
      <c r="AT692" s="74"/>
      <c r="AU692" s="1357" t="str">
        <f t="shared" si="229"/>
        <v>-</v>
      </c>
    </row>
    <row r="693" spans="1:47" s="63" customFormat="1" hidden="1" x14ac:dyDescent="0.2">
      <c r="A693" s="437" t="s">
        <v>187</v>
      </c>
      <c r="B693" s="279" t="s">
        <v>261</v>
      </c>
      <c r="C693" s="436" t="s">
        <v>1838</v>
      </c>
      <c r="D693" s="94"/>
      <c r="E693" s="436" t="s">
        <v>1839</v>
      </c>
      <c r="F693" s="142" t="s">
        <v>1834</v>
      </c>
      <c r="G693" s="258" t="s">
        <v>51</v>
      </c>
      <c r="H693" s="258" t="s">
        <v>51</v>
      </c>
      <c r="I693" s="274" t="s">
        <v>108</v>
      </c>
      <c r="J693" s="68" t="s">
        <v>197</v>
      </c>
      <c r="K693" s="274" t="s">
        <v>198</v>
      </c>
      <c r="L693" s="274" t="s">
        <v>199</v>
      </c>
      <c r="M693" s="696">
        <v>60</v>
      </c>
      <c r="N693" s="71"/>
      <c r="O693" s="68" t="s">
        <v>56</v>
      </c>
      <c r="P693" s="68">
        <v>30</v>
      </c>
      <c r="Q693" s="68">
        <v>40</v>
      </c>
      <c r="R693" s="68">
        <v>30</v>
      </c>
      <c r="S693" s="68">
        <v>40</v>
      </c>
      <c r="T693" s="68">
        <v>30</v>
      </c>
      <c r="U693" s="68">
        <v>40</v>
      </c>
      <c r="V693" s="686">
        <f>Table1[[#This Row],[VO Wdth]]+Materials!$C$7</f>
        <v>32</v>
      </c>
      <c r="W693" s="686">
        <f>Table1[[#This Row],[VO Hgt]]+Materials!$C$7</f>
        <v>42</v>
      </c>
      <c r="X693" s="343" t="s">
        <v>197</v>
      </c>
      <c r="Y693" s="68"/>
      <c r="Z693" s="68"/>
      <c r="AA693" s="699">
        <f t="shared" si="240"/>
        <v>9.3333333333333339</v>
      </c>
      <c r="AB693" s="297">
        <f>AA693*IncaGR</f>
        <v>9.5200000000000014</v>
      </c>
      <c r="AC693" s="74">
        <f>Table1[[#This Row],[Substrate SF]]*POster</f>
        <v>6.944</v>
      </c>
      <c r="AD693" s="240">
        <f>Table1[[#This Row],[Ink g/mL]]*IncaCR</f>
        <v>0.76160000000000017</v>
      </c>
      <c r="AE69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693" s="73">
        <v>0</v>
      </c>
      <c r="AG693" s="126">
        <f>Materials!D$76</f>
        <v>10.82</v>
      </c>
      <c r="AH693" s="498">
        <f t="shared" si="238"/>
        <v>3</v>
      </c>
      <c r="AI693" s="498"/>
      <c r="AJ693" s="278">
        <f t="shared" si="241"/>
        <v>31.525600000000001</v>
      </c>
      <c r="AK693" s="650">
        <f t="shared" si="239"/>
        <v>0.47457333333333335</v>
      </c>
      <c r="AL693" s="225">
        <f>Table1[[#This Row],[WSP/Dealer]]/Table1[[#This Row],[OD Sq Inch]]</f>
        <v>0.05</v>
      </c>
      <c r="AM693" s="274">
        <f>Table1[[#This Row],[OD Wdth]]*Table1[[#This Row],[OD Hgt]]</f>
        <v>1200</v>
      </c>
      <c r="AN693" s="84"/>
      <c r="AO693" s="84"/>
      <c r="AP693" s="84"/>
      <c r="AQ693" s="126"/>
      <c r="AR693" s="126"/>
      <c r="AS693" s="126"/>
      <c r="AT693" s="74"/>
      <c r="AU693" s="1357" t="str">
        <f t="shared" si="229"/>
        <v>-</v>
      </c>
    </row>
    <row r="694" spans="1:47" s="63" customFormat="1" x14ac:dyDescent="0.2">
      <c r="A694" s="145" t="s">
        <v>58</v>
      </c>
      <c r="B694" s="279" t="s">
        <v>533</v>
      </c>
      <c r="C694" s="146" t="s">
        <v>1840</v>
      </c>
      <c r="D694" s="94" t="s">
        <v>1841</v>
      </c>
      <c r="E694" s="147" t="s">
        <v>1842</v>
      </c>
      <c r="F694" s="147" t="s">
        <v>1834</v>
      </c>
      <c r="G694" s="145" t="s">
        <v>1843</v>
      </c>
      <c r="H694" s="145" t="s">
        <v>1843</v>
      </c>
      <c r="I694" s="145" t="s">
        <v>52</v>
      </c>
      <c r="J694" s="145" t="s">
        <v>53</v>
      </c>
      <c r="K694" s="145" t="s">
        <v>54</v>
      </c>
      <c r="L694" s="145" t="s">
        <v>55</v>
      </c>
      <c r="M694" s="148">
        <v>580</v>
      </c>
      <c r="N694" s="639">
        <v>550</v>
      </c>
      <c r="O694" s="145" t="s">
        <v>56</v>
      </c>
      <c r="P694" s="145">
        <v>30</v>
      </c>
      <c r="Q694" s="145">
        <v>42</v>
      </c>
      <c r="R694" s="145">
        <v>30</v>
      </c>
      <c r="S694" s="145">
        <v>42</v>
      </c>
      <c r="T694" s="698">
        <f>Table1[[#This Row],[VO Wdth]]</f>
        <v>30</v>
      </c>
      <c r="U694" s="698">
        <f>Table1[[#This Row],[VO Hgt]]</f>
        <v>42</v>
      </c>
      <c r="V694" s="913">
        <f>IF(J694="Canvas",P694+Border,P694)</f>
        <v>38</v>
      </c>
      <c r="W694" s="913">
        <f>IF(J694="Canvas",Q694+Border,Q694)</f>
        <v>50</v>
      </c>
      <c r="X694" s="157" t="s">
        <v>57</v>
      </c>
      <c r="Y694" s="145">
        <v>38</v>
      </c>
      <c r="Z694" s="145">
        <v>100</v>
      </c>
      <c r="AA694" s="722">
        <f t="shared" si="240"/>
        <v>13.194444444444445</v>
      </c>
      <c r="AB694" s="389">
        <f>AA694*IncaG</f>
        <v>277.61111111111109</v>
      </c>
      <c r="AC694" s="143">
        <f>Table1[[#This Row],[Substrate SF]]*Paper</f>
        <v>17.852083333333333</v>
      </c>
      <c r="AD694" s="150">
        <f>AA694*IncaC</f>
        <v>22.20888888888889</v>
      </c>
      <c r="AE694" s="104">
        <f>IF(Table1[[#This Row],[Work Center]]="SwissQ",Materials!G$37,IF(Table1[[#This Row],[Work Center]]="Inca",Materials!G$29,IF(Table1[[#This Row],[Work Center]]="Canon",Materials!G$49,Materials!G$45)))</f>
        <v>8</v>
      </c>
      <c r="AF694" s="143">
        <f>'Cali FPS'!C$49</f>
        <v>78.259999999999991</v>
      </c>
      <c r="AG694" s="115"/>
      <c r="AH694" s="498">
        <f t="shared" si="238"/>
        <v>29</v>
      </c>
      <c r="AI694" s="498"/>
      <c r="AJ694" s="143">
        <f t="shared" si="241"/>
        <v>155.32097222222222</v>
      </c>
      <c r="AK694" s="650">
        <f t="shared" si="239"/>
        <v>0.73220522030651336</v>
      </c>
      <c r="AL694" s="225">
        <f>Table1[[#This Row],[WSP/Dealer]]/Table1[[#This Row],[OD Sq Inch]]</f>
        <v>0.46031746031746029</v>
      </c>
      <c r="AM694" s="97">
        <f>Table1[[#This Row],[OD Wdth]]*Table1[[#This Row],[OD Hgt]]</f>
        <v>1260</v>
      </c>
      <c r="AN694" s="216">
        <f>Table1[[#This Row],[Min VO]]+Table1[[#This Row],[Max VO]]</f>
        <v>72</v>
      </c>
      <c r="AO694" s="145"/>
      <c r="AP694" s="145"/>
      <c r="AQ694" s="143"/>
      <c r="AR694" s="143"/>
      <c r="AS694" s="143"/>
      <c r="AT694" s="143"/>
      <c r="AU694" s="1371" t="str">
        <f t="shared" si="229"/>
        <v>-</v>
      </c>
    </row>
    <row r="695" spans="1:47" s="63" customFormat="1" hidden="1" x14ac:dyDescent="0.2">
      <c r="A695" s="869" t="s">
        <v>272</v>
      </c>
      <c r="B695" s="1061" t="s">
        <v>141</v>
      </c>
      <c r="C695" s="871" t="s">
        <v>1844</v>
      </c>
      <c r="D695" s="94"/>
      <c r="E695" s="872" t="s">
        <v>1845</v>
      </c>
      <c r="F695" s="872" t="s">
        <v>1129</v>
      </c>
      <c r="G695" s="869" t="s">
        <v>354</v>
      </c>
      <c r="H695" s="869" t="s">
        <v>354</v>
      </c>
      <c r="I695" s="869" t="s">
        <v>52</v>
      </c>
      <c r="J695" s="873" t="s">
        <v>53</v>
      </c>
      <c r="K695" s="869" t="s">
        <v>54</v>
      </c>
      <c r="L695" s="869" t="s">
        <v>55</v>
      </c>
      <c r="M695" s="890">
        <v>215</v>
      </c>
      <c r="N695" s="890"/>
      <c r="O695" s="869" t="s">
        <v>56</v>
      </c>
      <c r="P695" s="869">
        <v>24</v>
      </c>
      <c r="Q695" s="869">
        <v>30</v>
      </c>
      <c r="R695" s="869">
        <v>24</v>
      </c>
      <c r="S695" s="869">
        <v>30</v>
      </c>
      <c r="T695" s="1485">
        <v>24</v>
      </c>
      <c r="U695" s="1485">
        <v>30</v>
      </c>
      <c r="V695" s="891">
        <f>IF(J695="Canvas",P695+Border,P695)</f>
        <v>32</v>
      </c>
      <c r="W695" s="891">
        <f>IF(J695="Canvas",Q695+Border,Q695)</f>
        <v>38</v>
      </c>
      <c r="X695" s="869">
        <v>40</v>
      </c>
      <c r="Y695" s="869">
        <v>32</v>
      </c>
      <c r="Z695" s="869">
        <v>8</v>
      </c>
      <c r="AA695" s="991">
        <f t="shared" si="240"/>
        <v>8.4444444444444446</v>
      </c>
      <c r="AB695" s="893">
        <f>AA695*IncaG</f>
        <v>177.67111111111112</v>
      </c>
      <c r="AC695" s="867">
        <f>Table1[[#This Row],[Substrate SF]]*Paper</f>
        <v>11.425333333333333</v>
      </c>
      <c r="AD695" s="865">
        <f>AA695*IncaC</f>
        <v>14.213688888888889</v>
      </c>
      <c r="AE695" s="867">
        <f>IF(Table1[[#This Row],[Work Center]]="SwissQ",Materials!G$37,IF(Table1[[#This Row],[Work Center]]="Inca",Materials!G$29,IF(Table1[[#This Row],[Work Center]]="Canon",Materials!G$49,Materials!G$45)))</f>
        <v>8</v>
      </c>
      <c r="AF695" s="882">
        <f>'Cali FPS'!C35</f>
        <v>74.2</v>
      </c>
      <c r="AG695" s="994"/>
      <c r="AH695" s="865">
        <f t="shared" si="238"/>
        <v>10.75</v>
      </c>
      <c r="AI695" s="865"/>
      <c r="AJ695" s="865">
        <f t="shared" si="241"/>
        <v>118.58902222222223</v>
      </c>
      <c r="AK695" s="866">
        <f t="shared" si="239"/>
        <v>0.44842315245478032</v>
      </c>
      <c r="AL695" s="867">
        <f>Table1[[#This Row],[WSP/Dealer]]/Table1[[#This Row],[OD Sq Inch]]</f>
        <v>0.2986111111111111</v>
      </c>
      <c r="AM695" s="868">
        <f>Table1[[#This Row],[OD Wdth]]*Table1[[#This Row],[OD Hgt]]</f>
        <v>720</v>
      </c>
      <c r="AN695" s="872"/>
      <c r="AO695" s="872"/>
      <c r="AP695" s="872"/>
      <c r="AQ695" s="994"/>
      <c r="AR695" s="994"/>
      <c r="AS695" s="994"/>
      <c r="AT695" s="867"/>
      <c r="AU695" s="1373" t="str">
        <f t="shared" si="229"/>
        <v>-</v>
      </c>
    </row>
    <row r="696" spans="1:47" s="63" customFormat="1" x14ac:dyDescent="0.2">
      <c r="A696" s="101" t="s">
        <v>581</v>
      </c>
      <c r="B696" s="1061" t="s">
        <v>292</v>
      </c>
      <c r="C696" s="168" t="s">
        <v>1846</v>
      </c>
      <c r="D696" s="94" t="s">
        <v>1847</v>
      </c>
      <c r="E696" s="115" t="s">
        <v>1848</v>
      </c>
      <c r="F696" s="84" t="s">
        <v>1129</v>
      </c>
      <c r="G696" s="68" t="s">
        <v>191</v>
      </c>
      <c r="H696" s="68" t="s">
        <v>193</v>
      </c>
      <c r="I696" s="68" t="s">
        <v>52</v>
      </c>
      <c r="J696" s="140" t="s">
        <v>53</v>
      </c>
      <c r="K696" s="68" t="s">
        <v>69</v>
      </c>
      <c r="L696" s="68" t="s">
        <v>76</v>
      </c>
      <c r="M696" s="299">
        <v>1250</v>
      </c>
      <c r="N696" s="829">
        <v>1250</v>
      </c>
      <c r="O696" s="101" t="s">
        <v>56</v>
      </c>
      <c r="P696" s="101">
        <v>48</v>
      </c>
      <c r="Q696" s="101">
        <v>60</v>
      </c>
      <c r="R696" s="101">
        <v>48</v>
      </c>
      <c r="S696" s="101">
        <v>60</v>
      </c>
      <c r="T696" s="697">
        <v>49</v>
      </c>
      <c r="U696" s="697">
        <v>61</v>
      </c>
      <c r="V696" s="404">
        <f>IF(J696="Canvas",P696+BorderL,P696)</f>
        <v>59</v>
      </c>
      <c r="W696" s="404">
        <f>IF(J696="Canvas",Q696+BorderL,Q696)</f>
        <v>71</v>
      </c>
      <c r="X696" s="137">
        <v>59</v>
      </c>
      <c r="Y696" s="101">
        <v>59</v>
      </c>
      <c r="Z696" s="101">
        <v>71</v>
      </c>
      <c r="AA696" s="724">
        <f t="shared" si="240"/>
        <v>29.090277777777779</v>
      </c>
      <c r="AB696" s="633">
        <f>AA696*IncaG</f>
        <v>612.05944444444447</v>
      </c>
      <c r="AC696" s="406">
        <f>AA696*Canvas</f>
        <v>19.199583333333333</v>
      </c>
      <c r="AD696" s="405">
        <f>AA696*IncaC</f>
        <v>48.964755555555556</v>
      </c>
      <c r="AE696" s="406">
        <f>IF(Table1[[#This Row],[Work Center]]="SwissQ",Materials!G$37,IF(Table1[[#This Row],[Work Center]]="Inca",Materials!G$29,IF(Table1[[#This Row],[Work Center]]="Canon",Materials!G$49,Materials!G$45)))</f>
        <v>8</v>
      </c>
      <c r="AF696" s="102">
        <f>'Cali Frames'!D381</f>
        <v>272.89999999999998</v>
      </c>
      <c r="AG696" s="540"/>
      <c r="AH696" s="107">
        <f t="shared" si="238"/>
        <v>62.5</v>
      </c>
      <c r="AI696" s="107"/>
      <c r="AJ696" s="406">
        <f t="shared" si="241"/>
        <v>411.56433888888887</v>
      </c>
      <c r="AK696" s="108">
        <f t="shared" si="239"/>
        <v>0.67074852888888892</v>
      </c>
      <c r="AL696" s="660">
        <f>Table1[[#This Row],[WSP/Dealer]]/Table1[[#This Row],[OD Sq Inch]]</f>
        <v>0.41820006691201073</v>
      </c>
      <c r="AM696" s="399">
        <f>Table1[[#This Row],[OD Wdth]]*Table1[[#This Row],[OD Hgt]]</f>
        <v>2989</v>
      </c>
      <c r="AN696" s="400">
        <f>Table1[[#This Row],[Min VO]]+Table1[[#This Row],[Max VO]]</f>
        <v>108</v>
      </c>
      <c r="AO696" s="115"/>
      <c r="AP696" s="115"/>
      <c r="AQ696" s="121"/>
      <c r="AR696" s="121"/>
      <c r="AS696" s="121"/>
      <c r="AT696" s="104"/>
      <c r="AU696" s="1359" t="str">
        <f t="shared" si="229"/>
        <v>-</v>
      </c>
    </row>
    <row r="697" spans="1:47" s="103" customFormat="1" hidden="1" x14ac:dyDescent="0.2">
      <c r="A697" s="101" t="s">
        <v>996</v>
      </c>
      <c r="B697" s="1322" t="s">
        <v>484</v>
      </c>
      <c r="C697" s="168" t="s">
        <v>1849</v>
      </c>
      <c r="D697" s="168"/>
      <c r="E697" s="115" t="s">
        <v>1850</v>
      </c>
      <c r="F697" s="115" t="s">
        <v>1851</v>
      </c>
      <c r="G697" s="101" t="s">
        <v>519</v>
      </c>
      <c r="H697" s="101" t="s">
        <v>974</v>
      </c>
      <c r="I697" s="101" t="s">
        <v>256</v>
      </c>
      <c r="J697" s="487" t="s">
        <v>257</v>
      </c>
      <c r="K697" s="101" t="s">
        <v>258</v>
      </c>
      <c r="L697" s="101" t="s">
        <v>259</v>
      </c>
      <c r="M697" s="1009">
        <v>225</v>
      </c>
      <c r="N697" s="1009"/>
      <c r="O697" s="101" t="s">
        <v>260</v>
      </c>
      <c r="P697" s="101">
        <v>16</v>
      </c>
      <c r="Q697" s="101">
        <v>20</v>
      </c>
      <c r="R697" s="101">
        <v>16</v>
      </c>
      <c r="S697" s="101">
        <v>20</v>
      </c>
      <c r="T697" s="697">
        <v>18</v>
      </c>
      <c r="U697" s="697">
        <v>22</v>
      </c>
      <c r="V697" s="608">
        <v>16</v>
      </c>
      <c r="W697" s="608">
        <v>20</v>
      </c>
      <c r="X697" s="1010" t="s">
        <v>257</v>
      </c>
      <c r="Y697" s="101">
        <v>16</v>
      </c>
      <c r="Z697" s="101">
        <v>20</v>
      </c>
      <c r="AA697" s="1011">
        <f t="shared" si="240"/>
        <v>2.2222222222222223</v>
      </c>
      <c r="AB697" s="184">
        <f>AA697*canonML</f>
        <v>10.666666666666666</v>
      </c>
      <c r="AC697" s="104">
        <f>AA697*paper44</f>
        <v>0.60000000000000009</v>
      </c>
      <c r="AD697" s="107">
        <f>AA697*CanonC</f>
        <v>0.60000000000000009</v>
      </c>
      <c r="AE697" s="104">
        <f>IF(Table1[[#This Row],[Work Center]]="SwissQ",Materials!G$37,IF(Table1[[#This Row],[Work Center]]="Inca",Materials!G$29,IF(Table1[[#This Row],[Work Center]]="Canon",Materials!G$49,Materials!G$45)))</f>
        <v>7</v>
      </c>
      <c r="AF697" s="1012">
        <f>'Cali Frames'!D22</f>
        <v>82.44</v>
      </c>
      <c r="AG697" s="121"/>
      <c r="AH697" s="107">
        <f t="shared" si="238"/>
        <v>11.25</v>
      </c>
      <c r="AI697" s="107"/>
      <c r="AJ697" s="406">
        <f t="shared" si="241"/>
        <v>101.89</v>
      </c>
      <c r="AK697" s="108">
        <f t="shared" si="239"/>
        <v>0.54715555555555551</v>
      </c>
      <c r="AL697" s="660">
        <f>Table1[[#This Row],[WSP/Dealer]]/Table1[[#This Row],[OD Sq Inch]]</f>
        <v>0.56818181818181823</v>
      </c>
      <c r="AM697" s="399">
        <f>Table1[[#This Row],[OD Wdth]]*Table1[[#This Row],[OD Hgt]]</f>
        <v>396</v>
      </c>
      <c r="AN697" s="400">
        <f>Table1[[#This Row],[Min VO]]+Table1[[#This Row],[Max VO]]</f>
        <v>36</v>
      </c>
      <c r="AO697" s="115"/>
      <c r="AP697" s="115"/>
      <c r="AQ697" s="121"/>
      <c r="AR697" s="121"/>
      <c r="AS697" s="121"/>
      <c r="AT697" s="104"/>
      <c r="AU697" s="1359" t="str">
        <f t="shared" si="229"/>
        <v>-</v>
      </c>
    </row>
    <row r="698" spans="1:47" s="103" customFormat="1" hidden="1" x14ac:dyDescent="0.2">
      <c r="A698" s="101" t="s">
        <v>110</v>
      </c>
      <c r="B698" s="1067" t="s">
        <v>250</v>
      </c>
      <c r="C698" s="168" t="s">
        <v>1852</v>
      </c>
      <c r="D698" s="168"/>
      <c r="E698" s="115" t="s">
        <v>1853</v>
      </c>
      <c r="F698" s="115" t="s">
        <v>889</v>
      </c>
      <c r="G698" s="101" t="s">
        <v>519</v>
      </c>
      <c r="H698" s="101" t="s">
        <v>974</v>
      </c>
      <c r="I698" s="101" t="s">
        <v>256</v>
      </c>
      <c r="J698" s="487" t="s">
        <v>257</v>
      </c>
      <c r="K698" s="101" t="s">
        <v>258</v>
      </c>
      <c r="L698" s="101" t="s">
        <v>259</v>
      </c>
      <c r="M698" s="114">
        <v>225</v>
      </c>
      <c r="N698" s="114"/>
      <c r="O698" s="101" t="s">
        <v>260</v>
      </c>
      <c r="P698" s="101">
        <v>16</v>
      </c>
      <c r="Q698" s="101">
        <v>20</v>
      </c>
      <c r="R698" s="101">
        <v>16</v>
      </c>
      <c r="S698" s="101">
        <v>20</v>
      </c>
      <c r="T698" s="697">
        <v>18</v>
      </c>
      <c r="U698" s="697">
        <v>22</v>
      </c>
      <c r="V698" s="106">
        <v>16</v>
      </c>
      <c r="W698" s="106">
        <v>20</v>
      </c>
      <c r="X698" s="1010" t="s">
        <v>257</v>
      </c>
      <c r="Y698" s="1345">
        <f>Table1[[#This Row],[Print Wth]]+Materials!$C$7</f>
        <v>18</v>
      </c>
      <c r="Z698" s="1345">
        <f>Table1[[#This Row],[Print Ht]]+Materials!$C$7</f>
        <v>22</v>
      </c>
      <c r="AA698" s="1011">
        <f>(Table1[[#This Row],[Cut Width]]*Table1[[#This Row],[Cut Height]])/144</f>
        <v>2.75</v>
      </c>
      <c r="AB698" s="184">
        <f>(Table1[[#This Row],[Print Wth]]*Table1[[#This Row],[Print Ht]])/144*canonML</f>
        <v>10.666666666666666</v>
      </c>
      <c r="AC698" s="104">
        <f>Table1[[#This Row],[Substrate SF]]*Paper</f>
        <v>3.7207499999999998</v>
      </c>
      <c r="AD698" s="107">
        <f>(Table1[[#This Row],[Print Wth]]*Table1[[#This Row],[Print Ht]])/144*CanonC</f>
        <v>0.60000000000000009</v>
      </c>
      <c r="AE698" s="104">
        <f>IF(Table1[[#This Row],[Work Center]]="SwissQ",Materials!G$37,IF(Table1[[#This Row],[Work Center]]="Inca",Materials!G$29,IF(Table1[[#This Row],[Work Center]]="Canon",Materials!G$49,Materials!G$45)))</f>
        <v>7</v>
      </c>
      <c r="AF698" s="102">
        <f>'Cali Frames'!D22</f>
        <v>82.44</v>
      </c>
      <c r="AG698" s="121"/>
      <c r="AH698" s="121">
        <f t="shared" si="238"/>
        <v>11.25</v>
      </c>
      <c r="AI698" s="406">
        <f>IF(A698="Codarus",(M698*0.13))</f>
        <v>29.25</v>
      </c>
      <c r="AJ698" s="104">
        <f>SUM(AC698:AI698)</f>
        <v>134.26075</v>
      </c>
      <c r="AK698" s="830">
        <f t="shared" si="239"/>
        <v>0.40328555555555556</v>
      </c>
      <c r="AL698" s="121">
        <f>Table1[[#This Row],[WSP/Dealer]]/Table1[[#This Row],[OD Sq Inch]]</f>
        <v>0.56818181818181823</v>
      </c>
      <c r="AM698" s="103">
        <f>Table1[[#This Row],[OD Wdth]]*Table1[[#This Row],[OD Hgt]]</f>
        <v>396</v>
      </c>
      <c r="AN698" s="115">
        <f>Table1[[#This Row],[Min VO]]+Table1[[#This Row],[Max VO]]</f>
        <v>36</v>
      </c>
      <c r="AO698" s="113"/>
      <c r="AP698" s="1388">
        <v>450</v>
      </c>
      <c r="AQ698" s="121">
        <f>(Table1[[#This Row],[Desgnr/Retail P]]*0.05)</f>
        <v>22.5</v>
      </c>
      <c r="AR698" s="121">
        <f>IF(A698="Codarus",(AP698*0.13))</f>
        <v>58.5</v>
      </c>
      <c r="AS698" s="121">
        <f>SUM(Table1[[#This Row],[Substrate $]:[GP FINISH]])+Table1[[#This Row],[Retail Royalty]]+Table1[[#This Row],[Retail$Comm]]</f>
        <v>174.76075</v>
      </c>
      <c r="AT698" s="830">
        <f>IF(AP698=0,"-",(AP698-AS698)/AP698)</f>
        <v>0.61164277777777776</v>
      </c>
      <c r="AU698" s="1359">
        <f t="shared" si="229"/>
        <v>0.97281587654320989</v>
      </c>
    </row>
    <row r="699" spans="1:47" s="103" customFormat="1" hidden="1" x14ac:dyDescent="0.2">
      <c r="A699" s="101" t="s">
        <v>110</v>
      </c>
      <c r="B699" s="1064" t="s">
        <v>134</v>
      </c>
      <c r="C699" s="100" t="s">
        <v>1854</v>
      </c>
      <c r="D699" s="168"/>
      <c r="E699" s="115" t="s">
        <v>1855</v>
      </c>
      <c r="F699" s="115" t="s">
        <v>386</v>
      </c>
      <c r="G699" s="101" t="s">
        <v>637</v>
      </c>
      <c r="H699" s="101" t="s">
        <v>637</v>
      </c>
      <c r="I699" s="101" t="s">
        <v>52</v>
      </c>
      <c r="J699" s="487" t="s">
        <v>53</v>
      </c>
      <c r="K699" s="101" t="s">
        <v>54</v>
      </c>
      <c r="L699" s="101" t="s">
        <v>55</v>
      </c>
      <c r="M699" s="114">
        <v>950</v>
      </c>
      <c r="N699" s="114">
        <v>950</v>
      </c>
      <c r="O699" s="101" t="s">
        <v>56</v>
      </c>
      <c r="P699" s="101">
        <v>60</v>
      </c>
      <c r="Q699" s="101">
        <v>48</v>
      </c>
      <c r="R699" s="101">
        <v>48</v>
      </c>
      <c r="S699" s="697">
        <v>60</v>
      </c>
      <c r="T699" s="697">
        <f>Table1[[#This Row],[VO Wdth]]</f>
        <v>60</v>
      </c>
      <c r="U699" s="697">
        <f>Table1[[#This Row],[VO Hgt]]</f>
        <v>48</v>
      </c>
      <c r="V699" s="106">
        <f>IF(J699="Canvas",P699+Border,P699)</f>
        <v>68</v>
      </c>
      <c r="W699" s="106">
        <f>IF(J699="Canvas",Q699+Border,Q699)</f>
        <v>56</v>
      </c>
      <c r="X699" s="137">
        <v>69</v>
      </c>
      <c r="Y699" s="101">
        <v>68</v>
      </c>
      <c r="Z699" s="101">
        <v>56</v>
      </c>
      <c r="AA699" s="649">
        <f t="shared" ref="AA699:AA723" si="242">V699*W699/144</f>
        <v>26.444444444444443</v>
      </c>
      <c r="AB699" s="184">
        <f>AA699*IncaG</f>
        <v>556.39111111111106</v>
      </c>
      <c r="AC699" s="104">
        <f t="shared" ref="AC699:AC723" si="243">AA699*Canvas</f>
        <v>17.453333333333333</v>
      </c>
      <c r="AD699" s="120">
        <f>AA699*IncaC</f>
        <v>44.511288888888885</v>
      </c>
      <c r="AE699" s="121">
        <f>IF(Table1[[#This Row],[Work Center]]="SwissQ",Materials!G$37,IF(Table1[[#This Row],[Work Center]]="Inca",Materials!G$29,IF(Table1[[#This Row],[Work Center]]="Canon",Materials!G$49,Materials!G$45)))</f>
        <v>8</v>
      </c>
      <c r="AF699" s="102">
        <f>'Cali FPS'!C$121</f>
        <v>188.18</v>
      </c>
      <c r="AG699" s="115"/>
      <c r="AH699" s="121">
        <f t="shared" si="238"/>
        <v>47.5</v>
      </c>
      <c r="AI699" s="405">
        <f>IF(A699="Codarus",(M699*0.13))</f>
        <v>123.5</v>
      </c>
      <c r="AJ699" s="104">
        <f>SUM(AC699:AI699)</f>
        <v>429.14462222222221</v>
      </c>
      <c r="AK699" s="830">
        <f t="shared" si="239"/>
        <v>0.54826881871345035</v>
      </c>
      <c r="AL699" s="121">
        <f>Table1[[#This Row],[WSP/Dealer]]/Table1[[#This Row],[OD Sq Inch]]</f>
        <v>0.3298611111111111</v>
      </c>
      <c r="AM699" s="103">
        <f>Table1[[#This Row],[OD Wdth]]*Table1[[#This Row],[OD Hgt]]</f>
        <v>2880</v>
      </c>
      <c r="AN699" s="115">
        <f>Table1[[#This Row],[Min VO]]+Table1[[#This Row],[Max VO]]</f>
        <v>108</v>
      </c>
      <c r="AO699" s="115"/>
      <c r="AP699" s="1307">
        <f>(M699*2)</f>
        <v>1900</v>
      </c>
      <c r="AQ699" s="121">
        <f>(Table1[[#This Row],[Desgnr/Retail P]]*0.05)</f>
        <v>95</v>
      </c>
      <c r="AR699" s="121">
        <f>IF(A699="Codarus",(AP699*0.13))</f>
        <v>247</v>
      </c>
      <c r="AS699" s="121">
        <f>SUM(Table1[[#This Row],[Substrate $]:[GP FINISH]])+Table1[[#This Row],[Retail Royalty]]+Table1[[#This Row],[Retail$Comm]]</f>
        <v>600.14462222222221</v>
      </c>
      <c r="AT699" s="830">
        <f>IF(AP699=0,"-",(AP699-AS699)/AP699)</f>
        <v>0.6841344093567252</v>
      </c>
      <c r="AU699" s="1359">
        <f t="shared" si="229"/>
        <v>0.99279858516466601</v>
      </c>
    </row>
    <row r="700" spans="1:47" s="103" customFormat="1" hidden="1" x14ac:dyDescent="0.2">
      <c r="A700" s="101" t="s">
        <v>110</v>
      </c>
      <c r="B700" s="1067" t="s">
        <v>250</v>
      </c>
      <c r="C700" s="100" t="s">
        <v>1856</v>
      </c>
      <c r="D700" s="168"/>
      <c r="E700" s="115" t="s">
        <v>1855</v>
      </c>
      <c r="F700" s="115" t="s">
        <v>386</v>
      </c>
      <c r="G700" s="101" t="s">
        <v>637</v>
      </c>
      <c r="H700" s="101" t="s">
        <v>1119</v>
      </c>
      <c r="I700" s="101" t="s">
        <v>52</v>
      </c>
      <c r="J700" s="487" t="s">
        <v>53</v>
      </c>
      <c r="K700" s="101" t="s">
        <v>69</v>
      </c>
      <c r="L700" s="101" t="s">
        <v>70</v>
      </c>
      <c r="M700" s="114">
        <v>1250</v>
      </c>
      <c r="N700" s="114"/>
      <c r="O700" s="101" t="s">
        <v>64</v>
      </c>
      <c r="P700" s="101">
        <v>60</v>
      </c>
      <c r="Q700" s="101">
        <v>48</v>
      </c>
      <c r="R700" s="101">
        <v>48</v>
      </c>
      <c r="S700" s="697">
        <v>60</v>
      </c>
      <c r="T700" s="697">
        <v>61</v>
      </c>
      <c r="U700" s="697">
        <v>49</v>
      </c>
      <c r="V700" s="608">
        <f>IF(J700="Canvas",P700+Border,P700)</f>
        <v>68</v>
      </c>
      <c r="W700" s="608">
        <f>IF(J700="Canvas",Q700+Border,Q700)</f>
        <v>56</v>
      </c>
      <c r="X700" s="101">
        <v>69</v>
      </c>
      <c r="Y700" s="101">
        <v>68</v>
      </c>
      <c r="Z700" s="101">
        <v>56</v>
      </c>
      <c r="AA700" s="649">
        <f t="shared" si="242"/>
        <v>26.444444444444443</v>
      </c>
      <c r="AB700" s="184">
        <f>AA700*Swiss1</f>
        <v>748.37777777777774</v>
      </c>
      <c r="AC700" s="104">
        <f t="shared" si="243"/>
        <v>17.453333333333333</v>
      </c>
      <c r="AD700" s="104">
        <f>Table1[[#This Row],[Substrate SF]]*SWISSC1</f>
        <v>74.044444444444437</v>
      </c>
      <c r="AE700" s="104">
        <f>IF(Table1[[#This Row],[Work Center]]="SwissQ",Materials!G$37,IF(Table1[[#This Row],[Work Center]]="Inca",Materials!G$29,IF(Table1[[#This Row],[Work Center]]="Canon",Materials!G$49,Materials!G$45)))</f>
        <v>20</v>
      </c>
      <c r="AF700" s="102">
        <f>'Cali Frames'!D49</f>
        <v>287.40249999999997</v>
      </c>
      <c r="AG700" s="115"/>
      <c r="AH700" s="121">
        <f t="shared" si="238"/>
        <v>62.5</v>
      </c>
      <c r="AI700" s="405">
        <f>IF(A700="Codarus",(M700*0.13))</f>
        <v>162.5</v>
      </c>
      <c r="AJ700" s="104">
        <f>SUM(AC700:AI700)</f>
        <v>623.90027777777777</v>
      </c>
      <c r="AK700" s="830">
        <f t="shared" si="239"/>
        <v>0.50087977777777781</v>
      </c>
      <c r="AL700" s="121">
        <f>Table1[[#This Row],[WSP/Dealer]]/Table1[[#This Row],[OD Sq Inch]]</f>
        <v>0.41820006691201073</v>
      </c>
      <c r="AM700" s="101">
        <f>Table1[[#This Row],[OD Wdth]]*Table1[[#This Row],[OD Hgt]]</f>
        <v>2989</v>
      </c>
      <c r="AN700" s="115">
        <f>Table1[[#This Row],[Min VO]]+Table1[[#This Row],[Max VO]]</f>
        <v>108</v>
      </c>
      <c r="AO700" s="115"/>
      <c r="AP700" s="1307">
        <v>2500</v>
      </c>
      <c r="AQ700" s="121">
        <f>(Table1[[#This Row],[Desgnr/Retail P]]*0.05)</f>
        <v>125</v>
      </c>
      <c r="AR700" s="121">
        <f>IF(A700="Codarus",(AP700*0.13))</f>
        <v>325</v>
      </c>
      <c r="AS700" s="121">
        <f>SUM(Table1[[#This Row],[Substrate $]:[GP FINISH]])+Table1[[#This Row],[Retail Royalty]]+Table1[[#This Row],[Retail$Comm]]</f>
        <v>848.90027777777777</v>
      </c>
      <c r="AT700" s="830">
        <f>IF(AP700=0,"-",(AP700-AS700)/AP700)</f>
        <v>0.66043988888888894</v>
      </c>
      <c r="AU700" s="1359">
        <f t="shared" si="229"/>
        <v>0.99471648088888887</v>
      </c>
    </row>
    <row r="701" spans="1:47" s="63" customFormat="1" hidden="1" x14ac:dyDescent="0.2">
      <c r="A701" s="400" t="s">
        <v>95</v>
      </c>
      <c r="B701" s="1061" t="s">
        <v>96</v>
      </c>
      <c r="C701" s="100" t="s">
        <v>1857</v>
      </c>
      <c r="D701" s="94"/>
      <c r="E701" s="115" t="s">
        <v>1858</v>
      </c>
      <c r="F701" s="115" t="s">
        <v>386</v>
      </c>
      <c r="G701" s="101" t="s">
        <v>1342</v>
      </c>
      <c r="H701" s="101" t="s">
        <v>1342</v>
      </c>
      <c r="I701" s="101" t="s">
        <v>52</v>
      </c>
      <c r="J701" s="487" t="s">
        <v>53</v>
      </c>
      <c r="K701" s="101" t="s">
        <v>54</v>
      </c>
      <c r="L701" s="101" t="s">
        <v>55</v>
      </c>
      <c r="M701" s="299">
        <v>720</v>
      </c>
      <c r="N701" s="102"/>
      <c r="O701" s="101" t="s">
        <v>64</v>
      </c>
      <c r="P701" s="101">
        <v>48</v>
      </c>
      <c r="Q701" s="101">
        <v>36</v>
      </c>
      <c r="R701" s="101">
        <v>36</v>
      </c>
      <c r="S701" s="697">
        <v>48</v>
      </c>
      <c r="T701" s="697">
        <v>48</v>
      </c>
      <c r="U701" s="697">
        <v>36</v>
      </c>
      <c r="V701" s="608">
        <f>IF(J701="Canvas",P701+Border,P701)</f>
        <v>56</v>
      </c>
      <c r="W701" s="608">
        <f>IF(J701="Canvas",Q701+Border,Q701)</f>
        <v>44</v>
      </c>
      <c r="X701" s="137">
        <v>59</v>
      </c>
      <c r="Y701" s="101">
        <v>56</v>
      </c>
      <c r="Z701" s="101">
        <v>44</v>
      </c>
      <c r="AA701" s="649">
        <f t="shared" si="242"/>
        <v>17.111111111111111</v>
      </c>
      <c r="AB701" s="184">
        <f>AA701*Swiss1</f>
        <v>484.24444444444447</v>
      </c>
      <c r="AC701" s="104">
        <f t="shared" si="243"/>
        <v>11.293333333333333</v>
      </c>
      <c r="AD701" s="104">
        <f>Table1[[#This Row],[Substrate SF]]*SWISSC1</f>
        <v>47.911111111111104</v>
      </c>
      <c r="AE701" s="104">
        <f>IF(Table1[[#This Row],[Work Center]]="SwissQ",Materials!G$37,IF(Table1[[#This Row],[Work Center]]="Inca",Materials!G$29,IF(Table1[[#This Row],[Work Center]]="Canon",Materials!G$49,Materials!G$45)))</f>
        <v>20</v>
      </c>
      <c r="AF701" s="102">
        <f>'Cali FPS'!C71</f>
        <v>114.31</v>
      </c>
      <c r="AG701" s="115"/>
      <c r="AH701" s="104">
        <f t="shared" si="238"/>
        <v>36</v>
      </c>
      <c r="AI701" s="104"/>
      <c r="AJ701" s="104">
        <f>SUM(AC701:AH701)</f>
        <v>229.51444444444445</v>
      </c>
      <c r="AK701" s="830">
        <f t="shared" si="239"/>
        <v>0.68122993827160494</v>
      </c>
      <c r="AL701" s="660">
        <f>Table1[[#This Row],[WSP/Dealer]]/Table1[[#This Row],[OD Sq Inch]]</f>
        <v>0.41666666666666669</v>
      </c>
      <c r="AM701" s="266">
        <f>Table1[[#This Row],[OD Wdth]]*Table1[[#This Row],[OD Hgt]]</f>
        <v>1728</v>
      </c>
      <c r="AN701" s="266">
        <f>Table1[[#This Row],[Min VO]]+Table1[[#This Row],[Max VO]]</f>
        <v>84</v>
      </c>
      <c r="AO701" s="115"/>
      <c r="AP701" s="115"/>
      <c r="AQ701" s="121"/>
      <c r="AR701" s="121"/>
      <c r="AS701" s="121"/>
      <c r="AT701" s="104"/>
      <c r="AU701" s="1359" t="str">
        <f t="shared" si="229"/>
        <v>-</v>
      </c>
    </row>
    <row r="702" spans="1:47" s="103" customFormat="1" hidden="1" x14ac:dyDescent="0.2">
      <c r="A702" s="101" t="s">
        <v>110</v>
      </c>
      <c r="B702" s="1067" t="s">
        <v>134</v>
      </c>
      <c r="C702" s="100" t="s">
        <v>1859</v>
      </c>
      <c r="D702" s="168"/>
      <c r="E702" s="115" t="s">
        <v>1860</v>
      </c>
      <c r="F702" s="115" t="s">
        <v>361</v>
      </c>
      <c r="G702" s="101" t="s">
        <v>1861</v>
      </c>
      <c r="H702" s="101" t="s">
        <v>1861</v>
      </c>
      <c r="I702" s="101" t="s">
        <v>52</v>
      </c>
      <c r="J702" s="101" t="s">
        <v>53</v>
      </c>
      <c r="K702" s="101" t="s">
        <v>54</v>
      </c>
      <c r="L702" s="101" t="s">
        <v>55</v>
      </c>
      <c r="M702" s="299">
        <v>500</v>
      </c>
      <c r="N702" s="114"/>
      <c r="O702" s="101" t="s">
        <v>56</v>
      </c>
      <c r="P702" s="101">
        <v>60</v>
      </c>
      <c r="Q702" s="101">
        <v>36</v>
      </c>
      <c r="R702" s="101">
        <v>36</v>
      </c>
      <c r="S702" s="697">
        <v>60</v>
      </c>
      <c r="T702" s="101">
        <v>60</v>
      </c>
      <c r="U702" s="101">
        <v>36</v>
      </c>
      <c r="V702" s="608">
        <f>IF(J702="Canvas",P702+Border,P702)</f>
        <v>68</v>
      </c>
      <c r="W702" s="608">
        <f>IF(J702="Canvas",Q702+Border,Q702)</f>
        <v>44</v>
      </c>
      <c r="X702" s="137">
        <v>69</v>
      </c>
      <c r="Y702" s="101">
        <v>68</v>
      </c>
      <c r="Z702" s="101">
        <v>44</v>
      </c>
      <c r="AA702" s="649">
        <f t="shared" si="242"/>
        <v>20.777777777777779</v>
      </c>
      <c r="AB702" s="184">
        <f>AA702*IncaG</f>
        <v>437.16444444444443</v>
      </c>
      <c r="AC702" s="104">
        <f t="shared" si="243"/>
        <v>13.713333333333335</v>
      </c>
      <c r="AD702" s="107">
        <f>AA702*IncaC</f>
        <v>34.973155555555557</v>
      </c>
      <c r="AE702" s="104">
        <f>IF(Table1[[#This Row],[Work Center]]="SwissQ",Materials!G$37,IF(Table1[[#This Row],[Work Center]]="Inca",Materials!G$29,IF(Table1[[#This Row],[Work Center]]="Canon",Materials!G$49,Materials!G$45)))</f>
        <v>8</v>
      </c>
      <c r="AF702" s="102">
        <f>'Cali FPS'!C75</f>
        <v>116.11</v>
      </c>
      <c r="AG702" s="115"/>
      <c r="AH702" s="406">
        <f t="shared" si="238"/>
        <v>25</v>
      </c>
      <c r="AI702" s="406">
        <f>IF(A702="Codarus",(M702*0.13))</f>
        <v>65</v>
      </c>
      <c r="AJ702" s="104">
        <f>SUM(AC702:AI702)</f>
        <v>262.79648888888892</v>
      </c>
      <c r="AK702" s="1065">
        <f t="shared" si="239"/>
        <v>0.47440702222222214</v>
      </c>
      <c r="AL702" s="406">
        <f>Table1[[#This Row],[WSP/Dealer]]/Table1[[#This Row],[OD Sq Inch]]</f>
        <v>0.23148148148148148</v>
      </c>
      <c r="AM702" s="399">
        <f>Table1[[#This Row],[OD Wdth]]*Table1[[#This Row],[OD Hgt]]</f>
        <v>2160</v>
      </c>
      <c r="AN702" s="400">
        <f>Table1[[#This Row],[Min VO]]+Table1[[#This Row],[Max VO]]</f>
        <v>96</v>
      </c>
      <c r="AO702" s="115"/>
      <c r="AP702" s="1307">
        <f>(M702*2)</f>
        <v>1000</v>
      </c>
      <c r="AQ702" s="121">
        <f>(Table1[[#This Row],[Desgnr/Retail P]]*0.05)</f>
        <v>50</v>
      </c>
      <c r="AR702" s="121">
        <f>IF(A702="Codarus",(AP702*0.13))</f>
        <v>130</v>
      </c>
      <c r="AS702" s="121">
        <f>SUM(Table1[[#This Row],[Substrate $]:[GP FINISH]])+Table1[[#This Row],[Retail Royalty]]+Table1[[#This Row],[Retail$Comm]]</f>
        <v>352.79648888888892</v>
      </c>
      <c r="AT702" s="830">
        <f>IF(AP702=0,"-",(AP702-AS702)/AP702)</f>
        <v>0.64720351111111107</v>
      </c>
      <c r="AU702" s="1359">
        <f t="shared" si="229"/>
        <v>0.98705592977777779</v>
      </c>
    </row>
    <row r="703" spans="1:47" s="159" customFormat="1" hidden="1" x14ac:dyDescent="0.2">
      <c r="A703" s="86"/>
      <c r="B703" s="1061" t="s">
        <v>562</v>
      </c>
      <c r="C703" s="100" t="s">
        <v>1862</v>
      </c>
      <c r="D703" s="94" t="s">
        <v>1863</v>
      </c>
      <c r="E703" s="85" t="s">
        <v>1860</v>
      </c>
      <c r="F703" s="85" t="s">
        <v>361</v>
      </c>
      <c r="G703" s="86" t="s">
        <v>1861</v>
      </c>
      <c r="H703" s="86" t="s">
        <v>1230</v>
      </c>
      <c r="I703" s="86" t="s">
        <v>52</v>
      </c>
      <c r="J703" s="86" t="s">
        <v>53</v>
      </c>
      <c r="K703" s="86" t="s">
        <v>69</v>
      </c>
      <c r="L703" s="86" t="s">
        <v>73</v>
      </c>
      <c r="M703" s="87">
        <v>825</v>
      </c>
      <c r="N703" s="71"/>
      <c r="O703" s="551" t="s">
        <v>56</v>
      </c>
      <c r="P703" s="101">
        <v>60</v>
      </c>
      <c r="Q703" s="101">
        <v>36</v>
      </c>
      <c r="R703" s="60">
        <v>36</v>
      </c>
      <c r="S703" s="273">
        <v>60</v>
      </c>
      <c r="T703" s="101">
        <v>61</v>
      </c>
      <c r="U703" s="101" t="str">
        <f>RIGHT(H703,2)</f>
        <v>37</v>
      </c>
      <c r="V703" s="608">
        <f>IF(J703="Canvas",P703+Border,P703)</f>
        <v>68</v>
      </c>
      <c r="W703" s="608">
        <f>IF(J703="Canvas",Q703+Border,Q703)</f>
        <v>44</v>
      </c>
      <c r="X703" s="137">
        <v>80</v>
      </c>
      <c r="Y703" s="101"/>
      <c r="Z703" s="101"/>
      <c r="AA703" s="649">
        <f t="shared" si="242"/>
        <v>20.777777777777779</v>
      </c>
      <c r="AB703" s="184">
        <f>AA703*IncaG</f>
        <v>437.16444444444443</v>
      </c>
      <c r="AC703" s="104">
        <f t="shared" si="243"/>
        <v>13.713333333333335</v>
      </c>
      <c r="AD703" s="104">
        <f>AA703*IncaC</f>
        <v>34.973155555555557</v>
      </c>
      <c r="AE703" s="104">
        <f>IF(Table1[[#This Row],[Work Center]]="SwissQ",Materials!G$37,IF(Table1[[#This Row],[Work Center]]="Inca",Materials!G$29,IF(Table1[[#This Row],[Work Center]]="Canon",Materials!G$49,Materials!G$45)))</f>
        <v>8</v>
      </c>
      <c r="AF703" s="104">
        <f>'Cali Frames'!D439</f>
        <v>147.61249999999998</v>
      </c>
      <c r="AG703" s="115"/>
      <c r="AH703" s="498">
        <f t="shared" si="238"/>
        <v>41.25</v>
      </c>
      <c r="AI703" s="498"/>
      <c r="AJ703" s="104">
        <f>SUM(AC703:AH703)</f>
        <v>245.54898888888886</v>
      </c>
      <c r="AK703" s="650">
        <f t="shared" si="239"/>
        <v>0.70236486195286196</v>
      </c>
      <c r="AL703" s="225">
        <f>Table1[[#This Row],[WSP/Dealer]]/Table1[[#This Row],[OD Sq Inch]]</f>
        <v>0.36552946389011964</v>
      </c>
      <c r="AM703" s="110">
        <f>Table1[[#This Row],[OD Wdth]]*Table1[[#This Row],[OD Hgt]]</f>
        <v>2257</v>
      </c>
      <c r="AN703" s="216">
        <f>Table1[[#This Row],[Min VO]]+Table1[[#This Row],[Max VO]]</f>
        <v>96</v>
      </c>
      <c r="AO703" s="101"/>
      <c r="AP703" s="101"/>
      <c r="AQ703" s="104"/>
      <c r="AR703" s="104"/>
      <c r="AS703" s="104"/>
      <c r="AT703" s="104"/>
      <c r="AU703" s="830" t="str">
        <f t="shared" si="229"/>
        <v>-</v>
      </c>
    </row>
    <row r="704" spans="1:47" s="159" customFormat="1" x14ac:dyDescent="0.2">
      <c r="A704" s="86" t="s">
        <v>58</v>
      </c>
      <c r="B704" s="1061" t="s">
        <v>873</v>
      </c>
      <c r="C704" s="76" t="s">
        <v>1864</v>
      </c>
      <c r="D704" s="94" t="s">
        <v>1865</v>
      </c>
      <c r="E704" s="85" t="s">
        <v>1866</v>
      </c>
      <c r="F704" s="85" t="s">
        <v>99</v>
      </c>
      <c r="G704" s="86" t="s">
        <v>1867</v>
      </c>
      <c r="H704" s="86" t="s">
        <v>1867</v>
      </c>
      <c r="I704" s="86" t="s">
        <v>52</v>
      </c>
      <c r="J704" s="86" t="s">
        <v>53</v>
      </c>
      <c r="K704" s="86" t="s">
        <v>54</v>
      </c>
      <c r="L704" s="86" t="s">
        <v>55</v>
      </c>
      <c r="M704" s="87">
        <v>700</v>
      </c>
      <c r="N704" s="639">
        <v>815</v>
      </c>
      <c r="O704" s="60" t="s">
        <v>56</v>
      </c>
      <c r="P704" s="60">
        <v>40</v>
      </c>
      <c r="Q704" s="60">
        <v>50</v>
      </c>
      <c r="R704" s="60">
        <v>40</v>
      </c>
      <c r="S704" s="273">
        <v>50</v>
      </c>
      <c r="T704" s="273">
        <f>Table1[[#This Row],[VO Wdth]]</f>
        <v>40</v>
      </c>
      <c r="U704" s="273">
        <f>Table1[[#This Row],[VO Hgt]]</f>
        <v>50</v>
      </c>
      <c r="V704" s="946">
        <f>IF(J704="Canvas",P704+BorderGW,P704)</f>
        <v>48</v>
      </c>
      <c r="W704" s="946">
        <f>IF(J704="Canvas",Q704+BorderGW,Q704)</f>
        <v>58</v>
      </c>
      <c r="X704" s="138">
        <v>80</v>
      </c>
      <c r="Y704" s="60"/>
      <c r="Z704" s="60"/>
      <c r="AA704" s="717">
        <f t="shared" si="242"/>
        <v>19.333333333333332</v>
      </c>
      <c r="AB704" s="125">
        <f>AA704*IncaG</f>
        <v>406.77333333333331</v>
      </c>
      <c r="AC704" s="69">
        <f t="shared" si="243"/>
        <v>12.76</v>
      </c>
      <c r="AD704" s="69">
        <f>AA704*IncaC</f>
        <v>32.541866666666664</v>
      </c>
      <c r="AE704" s="104">
        <f>IF(Table1[[#This Row],[Work Center]]="SwissQ",Materials!G$37,IF(Table1[[#This Row],[Work Center]]="Inca",Materials!G$29,IF(Table1[[#This Row],[Work Center]]="Canon",Materials!G$49,Materials!G$45)))</f>
        <v>8</v>
      </c>
      <c r="AF704" s="69">
        <f>'Cali FPS'!C$48</f>
        <v>76.3</v>
      </c>
      <c r="AG704" s="115"/>
      <c r="AH704" s="498">
        <f t="shared" si="238"/>
        <v>35</v>
      </c>
      <c r="AI704" s="498"/>
      <c r="AJ704" s="69">
        <f>SUM(AC704:AH704)</f>
        <v>164.60186666666667</v>
      </c>
      <c r="AK704" s="650">
        <f t="shared" si="239"/>
        <v>0.7648544761904762</v>
      </c>
      <c r="AL704" s="225">
        <f>Table1[[#This Row],[WSP/Dealer]]/Table1[[#This Row],[OD Sq Inch]]</f>
        <v>0.35</v>
      </c>
      <c r="AM704" s="60">
        <f>Table1[[#This Row],[OD Wdth]]*Table1[[#This Row],[OD Hgt]]</f>
        <v>2000</v>
      </c>
      <c r="AN704" s="216">
        <f>Table1[[#This Row],[Min VO]]+Table1[[#This Row],[Max VO]]</f>
        <v>90</v>
      </c>
      <c r="AO704" s="101"/>
      <c r="AP704" s="101"/>
      <c r="AQ704" s="104"/>
      <c r="AR704" s="104"/>
      <c r="AS704" s="104"/>
      <c r="AT704" s="104"/>
      <c r="AU704" s="830" t="str">
        <f t="shared" si="229"/>
        <v>-</v>
      </c>
    </row>
    <row r="705" spans="1:47" s="446" customFormat="1" hidden="1" x14ac:dyDescent="0.2">
      <c r="A705" s="216" t="s">
        <v>272</v>
      </c>
      <c r="B705" s="1061" t="s">
        <v>595</v>
      </c>
      <c r="C705" s="232" t="s">
        <v>1868</v>
      </c>
      <c r="D705" s="94"/>
      <c r="E705" s="217" t="s">
        <v>1869</v>
      </c>
      <c r="F705" s="217" t="s">
        <v>99</v>
      </c>
      <c r="G705" s="216" t="s">
        <v>51</v>
      </c>
      <c r="H705" s="216" t="s">
        <v>51</v>
      </c>
      <c r="I705" s="216" t="s">
        <v>52</v>
      </c>
      <c r="J705" s="216" t="s">
        <v>53</v>
      </c>
      <c r="K705" s="216" t="s">
        <v>54</v>
      </c>
      <c r="L705" s="216" t="s">
        <v>55</v>
      </c>
      <c r="M705" s="219">
        <v>290</v>
      </c>
      <c r="N705" s="785">
        <f>Table1[[#This Row],[WSP/Dealer]]/0.35</f>
        <v>828.57142857142867</v>
      </c>
      <c r="O705" s="216" t="s">
        <v>56</v>
      </c>
      <c r="P705" s="216">
        <v>30</v>
      </c>
      <c r="Q705" s="216">
        <v>40</v>
      </c>
      <c r="R705" s="216">
        <v>30</v>
      </c>
      <c r="S705" s="216">
        <v>40</v>
      </c>
      <c r="T705" s="216">
        <v>30</v>
      </c>
      <c r="U705" s="216">
        <v>40</v>
      </c>
      <c r="V705" s="907">
        <f>IF(J705="Canvas",P705+Border,P705)</f>
        <v>38</v>
      </c>
      <c r="W705" s="907">
        <f>IF(J705="Canvas",Q705+Border,Q705)</f>
        <v>48</v>
      </c>
      <c r="X705" s="223" t="s">
        <v>57</v>
      </c>
      <c r="Y705" s="216">
        <v>38</v>
      </c>
      <c r="Z705" s="216">
        <v>96</v>
      </c>
      <c r="AA705" s="718">
        <f t="shared" si="242"/>
        <v>12.666666666666666</v>
      </c>
      <c r="AB705" s="233">
        <f>AA705*IncaG</f>
        <v>266.50666666666666</v>
      </c>
      <c r="AC705" s="225">
        <f t="shared" si="243"/>
        <v>8.36</v>
      </c>
      <c r="AD705" s="207">
        <f>AA705*IncaC</f>
        <v>21.320533333333334</v>
      </c>
      <c r="AE705" s="104">
        <f>IF(Table1[[#This Row],[Work Center]]="SwissQ",Materials!G$37,IF(Table1[[#This Row],[Work Center]]="Inca",Materials!G$29,IF(Table1[[#This Row],[Work Center]]="Canon",Materials!G$49,Materials!G$45)))</f>
        <v>8</v>
      </c>
      <c r="AF705" s="225"/>
      <c r="AG705" s="115"/>
      <c r="AH705" s="498">
        <f t="shared" si="238"/>
        <v>14.5</v>
      </c>
      <c r="AI705" s="498"/>
      <c r="AJ705" s="225">
        <f>SUM(AC705:AH705)</f>
        <v>52.180533333333329</v>
      </c>
      <c r="AK705" s="650">
        <f t="shared" si="239"/>
        <v>0.82006712643678159</v>
      </c>
      <c r="AL705" s="225">
        <f>Table1[[#This Row],[WSP/Dealer]]/Table1[[#This Row],[OD Sq Inch]]</f>
        <v>0.24166666666666667</v>
      </c>
      <c r="AM705" s="46">
        <f>Table1[[#This Row],[OD Wdth]]*Table1[[#This Row],[OD Hgt]]</f>
        <v>1200</v>
      </c>
      <c r="AN705" s="216">
        <f>Table1[[#This Row],[Min VO]]+Table1[[#This Row],[Max VO]]</f>
        <v>70</v>
      </c>
      <c r="AO705" s="216"/>
      <c r="AP705" s="216"/>
      <c r="AQ705" s="225"/>
      <c r="AR705" s="225"/>
      <c r="AS705" s="225"/>
      <c r="AT705" s="225"/>
      <c r="AU705" s="1363" t="str">
        <f t="shared" si="229"/>
        <v>-</v>
      </c>
    </row>
    <row r="706" spans="1:47" s="235" customFormat="1" hidden="1" x14ac:dyDescent="0.2">
      <c r="A706" s="216" t="s">
        <v>272</v>
      </c>
      <c r="B706" s="1061" t="s">
        <v>273</v>
      </c>
      <c r="C706" s="243" t="s">
        <v>1870</v>
      </c>
      <c r="D706" s="94"/>
      <c r="E706" s="217" t="s">
        <v>1871</v>
      </c>
      <c r="F706" s="217" t="s">
        <v>99</v>
      </c>
      <c r="G706" s="216" t="s">
        <v>79</v>
      </c>
      <c r="H706" s="216" t="s">
        <v>79</v>
      </c>
      <c r="I706" s="216" t="s">
        <v>52</v>
      </c>
      <c r="J706" s="216" t="s">
        <v>53</v>
      </c>
      <c r="K706" s="216" t="s">
        <v>54</v>
      </c>
      <c r="L706" s="216" t="s">
        <v>55</v>
      </c>
      <c r="M706" s="219">
        <v>650</v>
      </c>
      <c r="N706" s="785">
        <f>Table1[[#This Row],[WSP/Dealer]]/0.35</f>
        <v>1857.1428571428573</v>
      </c>
      <c r="O706" s="216" t="s">
        <v>64</v>
      </c>
      <c r="P706" s="216">
        <v>72</v>
      </c>
      <c r="Q706" s="216">
        <v>96</v>
      </c>
      <c r="R706" s="216">
        <v>72</v>
      </c>
      <c r="S706" s="216">
        <v>96</v>
      </c>
      <c r="T706" s="216">
        <v>72</v>
      </c>
      <c r="U706" s="216">
        <v>96</v>
      </c>
      <c r="V706" s="907">
        <f>IF(J706="Canvas",P706+BorderL,P706)</f>
        <v>83</v>
      </c>
      <c r="W706" s="907">
        <f>IF(J706="Canvas",Q706+BorderL,Q706)</f>
        <v>107</v>
      </c>
      <c r="X706" s="311" t="s">
        <v>1462</v>
      </c>
      <c r="Y706" s="551"/>
      <c r="Z706" s="551"/>
      <c r="AA706" s="718">
        <f t="shared" si="242"/>
        <v>61.673611111111114</v>
      </c>
      <c r="AB706" s="233">
        <f>AA706*Swiss1</f>
        <v>1745.3631944444446</v>
      </c>
      <c r="AC706" s="225">
        <f t="shared" si="243"/>
        <v>40.704583333333339</v>
      </c>
      <c r="AD706" s="986">
        <f>Table1[[#This Row],[Substrate SF]]*Materials!C37</f>
        <v>172.6861111111111</v>
      </c>
      <c r="AE706" s="104">
        <f>IF(Table1[[#This Row],[Work Center]]="SwissQ",Materials!G$37,IF(Table1[[#This Row],[Work Center]]="Inca",Materials!G$29,IF(Table1[[#This Row],[Work Center]]="Canon",Materials!G$49,Materials!G$45)))</f>
        <v>20</v>
      </c>
      <c r="AF706" s="226">
        <f>'CALI_SONDER '!H37</f>
        <v>257.86</v>
      </c>
      <c r="AG706" s="225"/>
      <c r="AH706" s="498">
        <f t="shared" si="238"/>
        <v>32.5</v>
      </c>
      <c r="AI706" s="498"/>
      <c r="AJ706" s="225">
        <f>SUM(AC706:AH706)</f>
        <v>523.75069444444443</v>
      </c>
      <c r="AK706" s="650">
        <f t="shared" si="239"/>
        <v>0.19422970085470087</v>
      </c>
      <c r="AL706" s="225">
        <f>Table1[[#This Row],[WSP/Dealer]]/Table1[[#This Row],[OD Sq Inch]]</f>
        <v>9.4039351851851846E-2</v>
      </c>
      <c r="AM706" s="216">
        <f>Table1[[#This Row],[OD Wdth]]*Table1[[#This Row],[OD Hgt]]</f>
        <v>6912</v>
      </c>
      <c r="AN706" s="216">
        <f>Table1[[#This Row],[Min VO]]+Table1[[#This Row],[Max VO]]</f>
        <v>168</v>
      </c>
      <c r="AO706" s="216" t="s">
        <v>1872</v>
      </c>
      <c r="AP706" s="226"/>
      <c r="AQ706" s="226"/>
      <c r="AR706" s="226"/>
      <c r="AS706" s="226"/>
      <c r="AT706" s="226"/>
      <c r="AU706" s="1365" t="str">
        <f t="shared" si="229"/>
        <v>-</v>
      </c>
    </row>
    <row r="707" spans="1:47" s="992" customFormat="1" hidden="1" x14ac:dyDescent="0.2">
      <c r="A707" s="216" t="s">
        <v>272</v>
      </c>
      <c r="B707" s="1061" t="s">
        <v>273</v>
      </c>
      <c r="C707" s="243" t="s">
        <v>1873</v>
      </c>
      <c r="D707" s="94"/>
      <c r="E707" s="217" t="s">
        <v>1874</v>
      </c>
      <c r="F707" s="217" t="s">
        <v>99</v>
      </c>
      <c r="G707" s="216" t="s">
        <v>79</v>
      </c>
      <c r="H707" s="216" t="s">
        <v>79</v>
      </c>
      <c r="I707" s="216" t="s">
        <v>108</v>
      </c>
      <c r="J707" s="216" t="s">
        <v>53</v>
      </c>
      <c r="K707" s="216" t="s">
        <v>54</v>
      </c>
      <c r="L707" s="216" t="s">
        <v>55</v>
      </c>
      <c r="M707" s="219">
        <v>600</v>
      </c>
      <c r="N707" s="785">
        <f>Table1[[#This Row],[WSP/Dealer]]/0.35</f>
        <v>1714.2857142857144</v>
      </c>
      <c r="O707" s="216" t="s">
        <v>56</v>
      </c>
      <c r="P707" s="216">
        <v>72</v>
      </c>
      <c r="Q707" s="216">
        <v>96</v>
      </c>
      <c r="R707" s="216">
        <v>72</v>
      </c>
      <c r="S707" s="216">
        <v>96</v>
      </c>
      <c r="T707" s="216">
        <v>72</v>
      </c>
      <c r="U707" s="216">
        <v>96</v>
      </c>
      <c r="V707" s="907">
        <f>IF(J707="Canvas",P707+BorderL,P707)</f>
        <v>83</v>
      </c>
      <c r="W707" s="907">
        <f>IF(J707="Canvas",Q707+BorderL,Q707)</f>
        <v>107</v>
      </c>
      <c r="X707" s="223" t="s">
        <v>1462</v>
      </c>
      <c r="Y707" s="216"/>
      <c r="Z707" s="216"/>
      <c r="AA707" s="718">
        <f t="shared" si="242"/>
        <v>61.673611111111114</v>
      </c>
      <c r="AB707" s="233">
        <f>AA707*SWISSMLR</f>
        <v>123.34722222222223</v>
      </c>
      <c r="AC707" s="225">
        <f t="shared" si="243"/>
        <v>40.704583333333339</v>
      </c>
      <c r="AD707" s="225">
        <f>AA707*SWISSRC</f>
        <v>13.568194444444446</v>
      </c>
      <c r="AE707" s="104">
        <f>IF(Table1[[#This Row],[Work Center]]="SwissQ",Materials!G$37,IF(Table1[[#This Row],[Work Center]]="Inca",Materials!G$29,IF(Table1[[#This Row],[Work Center]]="Canon",Materials!G$49,Materials!G$45)))</f>
        <v>8</v>
      </c>
      <c r="AF707" s="226">
        <f>'CALI_SONDER '!H37</f>
        <v>257.86</v>
      </c>
      <c r="AG707" s="225"/>
      <c r="AH707" s="498">
        <f t="shared" si="238"/>
        <v>30</v>
      </c>
      <c r="AI707" s="498"/>
      <c r="AJ707" s="225">
        <f>SUM(AC707:AH707)</f>
        <v>350.13277777777779</v>
      </c>
      <c r="AK707" s="650">
        <f t="shared" si="239"/>
        <v>0.41644537037037033</v>
      </c>
      <c r="AL707" s="225">
        <f>Table1[[#This Row],[WSP/Dealer]]/Table1[[#This Row],[OD Sq Inch]]</f>
        <v>8.6805555555555552E-2</v>
      </c>
      <c r="AM707" s="216">
        <f>Table1[[#This Row],[OD Wdth]]*Table1[[#This Row],[OD Hgt]]</f>
        <v>6912</v>
      </c>
      <c r="AN707" s="216">
        <f>Table1[[#This Row],[Min VO]]+Table1[[#This Row],[Max VO]]</f>
        <v>168</v>
      </c>
      <c r="AO707" s="216" t="s">
        <v>1872</v>
      </c>
      <c r="AP707" s="226"/>
      <c r="AQ707" s="226"/>
      <c r="AR707" s="226"/>
      <c r="AS707" s="226"/>
      <c r="AT707" s="226"/>
      <c r="AU707" s="1363" t="str">
        <f t="shared" si="229"/>
        <v>-</v>
      </c>
    </row>
    <row r="708" spans="1:47" s="486" customFormat="1" hidden="1" x14ac:dyDescent="0.2">
      <c r="A708" s="101" t="s">
        <v>110</v>
      </c>
      <c r="B708" s="1067" t="s">
        <v>250</v>
      </c>
      <c r="C708" s="100" t="s">
        <v>1875</v>
      </c>
      <c r="D708" s="168"/>
      <c r="E708" s="115" t="s">
        <v>1876</v>
      </c>
      <c r="F708" s="115" t="s">
        <v>561</v>
      </c>
      <c r="G708" s="101" t="s">
        <v>1877</v>
      </c>
      <c r="H708" s="101" t="s">
        <v>1878</v>
      </c>
      <c r="I708" s="101" t="s">
        <v>52</v>
      </c>
      <c r="J708" s="487" t="s">
        <v>53</v>
      </c>
      <c r="K708" s="101" t="s">
        <v>69</v>
      </c>
      <c r="L708" s="101" t="s">
        <v>73</v>
      </c>
      <c r="M708" s="114">
        <v>1200</v>
      </c>
      <c r="N708" s="114"/>
      <c r="O708" s="101" t="s">
        <v>56</v>
      </c>
      <c r="P708" s="101">
        <v>48</v>
      </c>
      <c r="Q708" s="101">
        <v>56</v>
      </c>
      <c r="R708" s="101">
        <v>48</v>
      </c>
      <c r="S708" s="101">
        <v>56</v>
      </c>
      <c r="T708" s="101">
        <v>49</v>
      </c>
      <c r="U708" s="101">
        <v>57</v>
      </c>
      <c r="V708" s="608">
        <f t="shared" ref="V708:V717" si="244">IF(J708="Canvas",P708+Border,P708)</f>
        <v>56</v>
      </c>
      <c r="W708" s="608">
        <f t="shared" ref="W708:W717" si="245">IF(J708="Canvas",Q708+Border,Q708)</f>
        <v>64</v>
      </c>
      <c r="X708" s="101">
        <v>59</v>
      </c>
      <c r="Y708" s="101">
        <v>56</v>
      </c>
      <c r="Z708" s="101">
        <v>64</v>
      </c>
      <c r="AA708" s="649">
        <f t="shared" si="242"/>
        <v>24.888888888888889</v>
      </c>
      <c r="AB708" s="184">
        <f>AA708*IncaG</f>
        <v>523.66222222222223</v>
      </c>
      <c r="AC708" s="104">
        <f t="shared" si="243"/>
        <v>16.426666666666669</v>
      </c>
      <c r="AD708" s="121">
        <f>AA708*IncaC</f>
        <v>41.89297777777778</v>
      </c>
      <c r="AE708" s="104">
        <f>IF(Table1[[#This Row],[Work Center]]="SwissQ",Materials!G$37,IF(Table1[[#This Row],[Work Center]]="Inca",Materials!G$29,IF(Table1[[#This Row],[Work Center]]="Canon",Materials!G$49,Materials!G$45)))</f>
        <v>8</v>
      </c>
      <c r="AF708" s="102">
        <f>'Cali Frames'!D469</f>
        <v>230</v>
      </c>
      <c r="AG708" s="121"/>
      <c r="AH708" s="405">
        <f t="shared" si="238"/>
        <v>60</v>
      </c>
      <c r="AI708" s="405">
        <f>IF(A708="Codarus",(M708*0.13))</f>
        <v>156</v>
      </c>
      <c r="AJ708" s="104">
        <f>SUM(AC708:AI708)</f>
        <v>512.31964444444452</v>
      </c>
      <c r="AK708" s="1068">
        <f t="shared" si="239"/>
        <v>0.57306696296296289</v>
      </c>
      <c r="AL708" s="406">
        <f>Table1[[#This Row],[WSP/Dealer]]/Table1[[#This Row],[OD Sq Inch]]</f>
        <v>0.42964554242749731</v>
      </c>
      <c r="AM708" s="400">
        <f>Table1[[#This Row],[OD Wdth]]*Table1[[#This Row],[OD Hgt]]</f>
        <v>2793</v>
      </c>
      <c r="AN708" s="400">
        <f>Table1[[#This Row],[Min VO]]+Table1[[#This Row],[Max VO]]</f>
        <v>104</v>
      </c>
      <c r="AO708" s="115"/>
      <c r="AP708" s="1307">
        <f>(M708*2)</f>
        <v>2400</v>
      </c>
      <c r="AQ708" s="121">
        <f>(Table1[[#This Row],[Desgnr/Retail P]]*0.05)</f>
        <v>120</v>
      </c>
      <c r="AR708" s="121">
        <f>IF(A708="Codarus",(AP708*0.13))</f>
        <v>312</v>
      </c>
      <c r="AS708" s="121">
        <f>SUM(Table1[[#This Row],[Substrate $]:[GP FINISH]])+Table1[[#This Row],[Retail Royalty]]+Table1[[#This Row],[Retail$Comm]]</f>
        <v>728.31964444444452</v>
      </c>
      <c r="AT708" s="830">
        <f>IF(AP708=0,"-",(AP708-AS708)/AP708)</f>
        <v>0.69653348148148142</v>
      </c>
      <c r="AU708" s="1359">
        <f t="shared" si="229"/>
        <v>0.99419555432098761</v>
      </c>
    </row>
    <row r="709" spans="1:47" s="423" customFormat="1" hidden="1" x14ac:dyDescent="0.2">
      <c r="A709" s="180" t="s">
        <v>95</v>
      </c>
      <c r="B709" s="1061" t="s">
        <v>96</v>
      </c>
      <c r="C709" s="76" t="s">
        <v>1879</v>
      </c>
      <c r="D709" s="94"/>
      <c r="E709" s="83" t="s">
        <v>1880</v>
      </c>
      <c r="F709" s="83" t="s">
        <v>448</v>
      </c>
      <c r="G709" s="60" t="s">
        <v>51</v>
      </c>
      <c r="H709" s="60" t="s">
        <v>1836</v>
      </c>
      <c r="I709" s="60" t="s">
        <v>52</v>
      </c>
      <c r="J709" s="59" t="s">
        <v>53</v>
      </c>
      <c r="K709" s="60" t="s">
        <v>69</v>
      </c>
      <c r="L709" s="60" t="s">
        <v>73</v>
      </c>
      <c r="M709" s="179">
        <v>625</v>
      </c>
      <c r="N709" s="72"/>
      <c r="O709" s="60" t="s">
        <v>64</v>
      </c>
      <c r="P709" s="60">
        <v>30</v>
      </c>
      <c r="Q709" s="60">
        <v>40</v>
      </c>
      <c r="R709" s="60">
        <v>30</v>
      </c>
      <c r="S709" s="46">
        <v>40</v>
      </c>
      <c r="T709" s="46">
        <v>30</v>
      </c>
      <c r="U709" s="46">
        <v>40</v>
      </c>
      <c r="V709" s="47">
        <f t="shared" si="244"/>
        <v>38</v>
      </c>
      <c r="W709" s="47">
        <f t="shared" si="245"/>
        <v>48</v>
      </c>
      <c r="X709" s="138">
        <v>53</v>
      </c>
      <c r="Y709" s="60">
        <v>38</v>
      </c>
      <c r="Z709" s="60">
        <v>48</v>
      </c>
      <c r="AA709" s="717">
        <f t="shared" si="242"/>
        <v>12.666666666666666</v>
      </c>
      <c r="AB709" s="125">
        <f t="shared" ref="AB709:AB717" si="246">AA709*Swiss1</f>
        <v>358.46666666666664</v>
      </c>
      <c r="AC709" s="69">
        <f t="shared" si="243"/>
        <v>8.36</v>
      </c>
      <c r="AD709" s="48">
        <f>Table1[[#This Row],[Substrate SF]]*Materials!C$37</f>
        <v>35.466666666666661</v>
      </c>
      <c r="AE709" s="69">
        <f>IF(Table1[[#This Row],[Work Center]]="SwissQ",Materials!G$37,IF(Table1[[#This Row],[Work Center]]="Inca",Materials!G$29,IF(Table1[[#This Row],[Work Center]]="Canon",Materials!G$49,Materials!G$45)))</f>
        <v>20</v>
      </c>
      <c r="AF709" s="72">
        <f>'Cali Frames'!D430</f>
        <v>108.955</v>
      </c>
      <c r="AG709" s="540"/>
      <c r="AH709" s="48">
        <f t="shared" si="238"/>
        <v>31.25</v>
      </c>
      <c r="AI709" s="48"/>
      <c r="AJ709" s="69">
        <f t="shared" ref="AJ709:AJ723" si="247">SUM(AC709:AH709)</f>
        <v>204.03166666666667</v>
      </c>
      <c r="AK709" s="62">
        <f t="shared" si="239"/>
        <v>0.67354933333333333</v>
      </c>
      <c r="AL709" s="225">
        <f>Table1[[#This Row],[WSP/Dealer]]/Table1[[#This Row],[OD Sq Inch]]</f>
        <v>0.52083333333333337</v>
      </c>
      <c r="AM709" s="218">
        <f>Table1[[#This Row],[OD Wdth]]*Table1[[#This Row],[OD Hgt]]</f>
        <v>1200</v>
      </c>
      <c r="AN709" s="216">
        <f>Table1[[#This Row],[Min VO]]+Table1[[#This Row],[Max VO]]</f>
        <v>70</v>
      </c>
      <c r="AO709" s="83"/>
      <c r="AP709" s="821"/>
      <c r="AQ709" s="821"/>
      <c r="AR709" s="821"/>
      <c r="AS709" s="821"/>
      <c r="AT709" s="72"/>
      <c r="AU709" s="1361" t="str">
        <f t="shared" si="229"/>
        <v>-</v>
      </c>
    </row>
    <row r="710" spans="1:47" s="677" customFormat="1" x14ac:dyDescent="0.2">
      <c r="A710" s="101" t="s">
        <v>58</v>
      </c>
      <c r="B710" s="1067" t="s">
        <v>121</v>
      </c>
      <c r="C710" s="168" t="s">
        <v>1881</v>
      </c>
      <c r="D710" s="94"/>
      <c r="E710" s="625" t="s">
        <v>1882</v>
      </c>
      <c r="F710" s="625" t="s">
        <v>448</v>
      </c>
      <c r="G710" s="101" t="s">
        <v>1200</v>
      </c>
      <c r="H710" s="101" t="s">
        <v>1200</v>
      </c>
      <c r="I710" s="101" t="s">
        <v>52</v>
      </c>
      <c r="J710" s="487" t="s">
        <v>53</v>
      </c>
      <c r="K710" s="101" t="s">
        <v>54</v>
      </c>
      <c r="L710" s="101" t="s">
        <v>55</v>
      </c>
      <c r="M710" s="299">
        <v>1450</v>
      </c>
      <c r="N710" s="114"/>
      <c r="O710" s="400" t="s">
        <v>64</v>
      </c>
      <c r="P710" s="400">
        <v>60</v>
      </c>
      <c r="Q710" s="400">
        <v>80</v>
      </c>
      <c r="R710" s="400">
        <v>60</v>
      </c>
      <c r="S710" s="400">
        <v>80</v>
      </c>
      <c r="T710" s="400">
        <v>60</v>
      </c>
      <c r="U710" s="400">
        <v>80</v>
      </c>
      <c r="V710" s="608">
        <f t="shared" si="244"/>
        <v>68</v>
      </c>
      <c r="W710" s="608">
        <f t="shared" si="245"/>
        <v>88</v>
      </c>
      <c r="X710" s="137">
        <v>69</v>
      </c>
      <c r="Y710" s="101">
        <v>68</v>
      </c>
      <c r="Z710" s="101">
        <v>88</v>
      </c>
      <c r="AA710" s="1069">
        <f t="shared" si="242"/>
        <v>41.555555555555557</v>
      </c>
      <c r="AB710" s="184">
        <f t="shared" si="246"/>
        <v>1176.0222222222224</v>
      </c>
      <c r="AC710" s="104">
        <f t="shared" si="243"/>
        <v>27.426666666666669</v>
      </c>
      <c r="AD710" s="107">
        <f>Table1[[#This Row],[Substrate SF]]*Materials!C$37</f>
        <v>116.35555555555555</v>
      </c>
      <c r="AE710" s="104">
        <f>IF(Table1[[#This Row],[Work Center]]="SwissQ",Materials!G$37,IF(Table1[[#This Row],[Work Center]]="Inca",Materials!G$29,IF(Table1[[#This Row],[Work Center]]="Canon",Materials!G$49,Materials!G$45)))</f>
        <v>20</v>
      </c>
      <c r="AF710" s="102">
        <f>'Cali FPS'!C164</f>
        <v>254.5025</v>
      </c>
      <c r="AG710" s="115"/>
      <c r="AH710" s="405">
        <f t="shared" si="238"/>
        <v>72.5</v>
      </c>
      <c r="AI710" s="405"/>
      <c r="AJ710" s="405">
        <f t="shared" si="247"/>
        <v>490.78472222222223</v>
      </c>
      <c r="AK710" s="1068">
        <f t="shared" si="239"/>
        <v>0.66152777777777783</v>
      </c>
      <c r="AL710" s="406">
        <f>Table1[[#This Row],[WSP/Dealer]]/Table1[[#This Row],[OD Sq Inch]]</f>
        <v>0.30208333333333331</v>
      </c>
      <c r="AM710" s="399">
        <f>Table1[[#This Row],[OD Wdth]]*Table1[[#This Row],[OD Hgt]]</f>
        <v>4800</v>
      </c>
      <c r="AN710" s="400">
        <f>Table1[[#This Row],[Min VO]]+Table1[[#This Row],[Max VO]]</f>
        <v>140</v>
      </c>
      <c r="AO710" s="113"/>
      <c r="AP710" s="115"/>
      <c r="AQ710" s="121"/>
      <c r="AR710" s="121"/>
      <c r="AS710" s="121"/>
      <c r="AT710" s="104"/>
      <c r="AU710" s="1367" t="str">
        <f t="shared" si="229"/>
        <v>-</v>
      </c>
    </row>
    <row r="711" spans="1:47" s="677" customFormat="1" x14ac:dyDescent="0.2">
      <c r="A711" s="101" t="s">
        <v>58</v>
      </c>
      <c r="B711" s="1067" t="s">
        <v>121</v>
      </c>
      <c r="C711" s="94" t="s">
        <v>1883</v>
      </c>
      <c r="D711" s="94"/>
      <c r="E711" s="627" t="s">
        <v>1882</v>
      </c>
      <c r="F711" s="627" t="s">
        <v>448</v>
      </c>
      <c r="G711" s="68" t="s">
        <v>1200</v>
      </c>
      <c r="H711" s="68" t="s">
        <v>1208</v>
      </c>
      <c r="I711" s="68" t="s">
        <v>52</v>
      </c>
      <c r="J711" s="140" t="s">
        <v>53</v>
      </c>
      <c r="K711" s="68" t="s">
        <v>82</v>
      </c>
      <c r="L711" s="68" t="s">
        <v>334</v>
      </c>
      <c r="M711" s="141">
        <v>1550</v>
      </c>
      <c r="N711" s="93"/>
      <c r="O711" s="274" t="s">
        <v>64</v>
      </c>
      <c r="P711" s="274">
        <v>60</v>
      </c>
      <c r="Q711" s="274">
        <v>80</v>
      </c>
      <c r="R711" s="274">
        <v>60</v>
      </c>
      <c r="S711" s="274">
        <v>80</v>
      </c>
      <c r="T711" s="274">
        <v>62</v>
      </c>
      <c r="U711" s="274">
        <v>82</v>
      </c>
      <c r="V711" s="917">
        <f t="shared" si="244"/>
        <v>68</v>
      </c>
      <c r="W711" s="917">
        <f t="shared" si="245"/>
        <v>88</v>
      </c>
      <c r="X711" s="189">
        <v>69</v>
      </c>
      <c r="Y711" s="68">
        <v>68</v>
      </c>
      <c r="Z711" s="68">
        <v>88</v>
      </c>
      <c r="AA711" s="952">
        <f t="shared" si="242"/>
        <v>41.555555555555557</v>
      </c>
      <c r="AB711" s="297">
        <f t="shared" si="246"/>
        <v>1176.0222222222224</v>
      </c>
      <c r="AC711" s="74">
        <f t="shared" si="243"/>
        <v>27.426666666666669</v>
      </c>
      <c r="AD711" s="67">
        <f>Table1[[#This Row],[Substrate SF]]*Materials!C$37</f>
        <v>116.35555555555555</v>
      </c>
      <c r="AE711" s="74">
        <f>IF(Table1[[#This Row],[Work Center]]="SwissQ",Materials!G$37,IF(Table1[[#This Row],[Work Center]]="Inca",Materials!G$29,IF(Table1[[#This Row],[Work Center]]="Canon",Materials!G$49,Materials!G$45)))</f>
        <v>20</v>
      </c>
      <c r="AF711" s="73">
        <f>'Cali Frames'!D220</f>
        <v>380</v>
      </c>
      <c r="AG711" s="84"/>
      <c r="AH711" s="278">
        <f t="shared" si="238"/>
        <v>77.5</v>
      </c>
      <c r="AI711" s="278"/>
      <c r="AJ711" s="278">
        <f t="shared" si="247"/>
        <v>621.28222222222223</v>
      </c>
      <c r="AK711" s="1192">
        <f t="shared" si="239"/>
        <v>0.59917275985663077</v>
      </c>
      <c r="AL711" s="278">
        <f>Table1[[#This Row],[WSP/Dealer]]/Table1[[#This Row],[OD Sq Inch]]</f>
        <v>0.3048780487804878</v>
      </c>
      <c r="AM711" s="170">
        <f>Table1[[#This Row],[OD Wdth]]*Table1[[#This Row],[OD Hgt]]</f>
        <v>5084</v>
      </c>
      <c r="AN711" s="274">
        <f>Table1[[#This Row],[Min VO]]+Table1[[#This Row],[Max VO]]</f>
        <v>140</v>
      </c>
      <c r="AO711" s="84"/>
      <c r="AP711" s="84"/>
      <c r="AQ711" s="126"/>
      <c r="AR711" s="126"/>
      <c r="AS711" s="126"/>
      <c r="AT711" s="74"/>
      <c r="AU711" s="1357" t="str">
        <f t="shared" si="229"/>
        <v>-</v>
      </c>
    </row>
    <row r="712" spans="1:47" s="677" customFormat="1" x14ac:dyDescent="0.2">
      <c r="A712" s="101" t="s">
        <v>58</v>
      </c>
      <c r="B712" s="1067" t="s">
        <v>121</v>
      </c>
      <c r="C712" s="94" t="s">
        <v>1884</v>
      </c>
      <c r="D712" s="94"/>
      <c r="E712" s="627" t="s">
        <v>1882</v>
      </c>
      <c r="F712" s="627" t="s">
        <v>448</v>
      </c>
      <c r="G712" s="68" t="s">
        <v>1200</v>
      </c>
      <c r="H712" s="68" t="s">
        <v>1208</v>
      </c>
      <c r="I712" s="68" t="s">
        <v>52</v>
      </c>
      <c r="J712" s="140" t="s">
        <v>53</v>
      </c>
      <c r="K712" s="68" t="s">
        <v>82</v>
      </c>
      <c r="L712" s="68" t="s">
        <v>83</v>
      </c>
      <c r="M712" s="141">
        <v>1550</v>
      </c>
      <c r="N712" s="93"/>
      <c r="O712" s="274" t="s">
        <v>64</v>
      </c>
      <c r="P712" s="274">
        <v>60</v>
      </c>
      <c r="Q712" s="274">
        <v>80</v>
      </c>
      <c r="R712" s="274">
        <v>60</v>
      </c>
      <c r="S712" s="274">
        <v>80</v>
      </c>
      <c r="T712" s="274">
        <v>62</v>
      </c>
      <c r="U712" s="274">
        <v>82</v>
      </c>
      <c r="V712" s="66">
        <f t="shared" si="244"/>
        <v>68</v>
      </c>
      <c r="W712" s="66">
        <f t="shared" si="245"/>
        <v>88</v>
      </c>
      <c r="X712" s="189">
        <v>69</v>
      </c>
      <c r="Y712" s="68">
        <v>68</v>
      </c>
      <c r="Z712" s="68">
        <v>88</v>
      </c>
      <c r="AA712" s="952">
        <f t="shared" si="242"/>
        <v>41.555555555555557</v>
      </c>
      <c r="AB712" s="297">
        <f t="shared" si="246"/>
        <v>1176.0222222222224</v>
      </c>
      <c r="AC712" s="67">
        <f t="shared" si="243"/>
        <v>27.426666666666669</v>
      </c>
      <c r="AD712" s="67">
        <f>Table1[[#This Row],[Substrate SF]]*Materials!C$37</f>
        <v>116.35555555555555</v>
      </c>
      <c r="AE712" s="74">
        <f>IF(Table1[[#This Row],[Work Center]]="SwissQ",Materials!G$37,IF(Table1[[#This Row],[Work Center]]="Inca",Materials!G$29,IF(Table1[[#This Row],[Work Center]]="Canon",Materials!G$49,Materials!G$45)))</f>
        <v>20</v>
      </c>
      <c r="AF712" s="73">
        <f>'Cali Frames'!D169</f>
        <v>320.19749999999999</v>
      </c>
      <c r="AG712" s="84"/>
      <c r="AH712" s="263">
        <f t="shared" ref="AH712:AH723" si="248">(M712*0.05)</f>
        <v>77.5</v>
      </c>
      <c r="AI712" s="263"/>
      <c r="AJ712" s="263">
        <f t="shared" si="247"/>
        <v>561.47972222222222</v>
      </c>
      <c r="AK712" s="688">
        <f t="shared" ref="AK712:AK743" si="249">(M712-AJ712)/M712</f>
        <v>0.63775501792114697</v>
      </c>
      <c r="AL712" s="278">
        <f>Table1[[#This Row],[WSP/Dealer]]/Table1[[#This Row],[OD Sq Inch]]</f>
        <v>0.3048780487804878</v>
      </c>
      <c r="AM712" s="170">
        <f>Table1[[#This Row],[OD Wdth]]*Table1[[#This Row],[OD Hgt]]</f>
        <v>5084</v>
      </c>
      <c r="AN712" s="274">
        <f>Table1[[#This Row],[Min VO]]+Table1[[#This Row],[Max VO]]</f>
        <v>140</v>
      </c>
      <c r="AO712" s="84"/>
      <c r="AP712" s="84"/>
      <c r="AQ712" s="126"/>
      <c r="AR712" s="126"/>
      <c r="AS712" s="126"/>
      <c r="AT712" s="74"/>
      <c r="AU712" s="1357" t="str">
        <f t="shared" si="229"/>
        <v>-</v>
      </c>
    </row>
    <row r="713" spans="1:47" s="423" customFormat="1" x14ac:dyDescent="0.2">
      <c r="A713" s="101" t="s">
        <v>58</v>
      </c>
      <c r="B713" s="1067" t="s">
        <v>121</v>
      </c>
      <c r="C713" s="94" t="s">
        <v>1885</v>
      </c>
      <c r="D713" s="94"/>
      <c r="E713" s="627" t="s">
        <v>1882</v>
      </c>
      <c r="F713" s="627" t="s">
        <v>448</v>
      </c>
      <c r="G713" s="68" t="s">
        <v>1200</v>
      </c>
      <c r="H713" s="68" t="s">
        <v>1208</v>
      </c>
      <c r="I713" s="68" t="s">
        <v>52</v>
      </c>
      <c r="J713" s="140" t="s">
        <v>53</v>
      </c>
      <c r="K713" s="68" t="s">
        <v>82</v>
      </c>
      <c r="L713" s="68" t="s">
        <v>298</v>
      </c>
      <c r="M713" s="141">
        <v>1675</v>
      </c>
      <c r="N713" s="93"/>
      <c r="O713" s="274" t="s">
        <v>64</v>
      </c>
      <c r="P713" s="274">
        <v>60</v>
      </c>
      <c r="Q713" s="274">
        <v>80</v>
      </c>
      <c r="R713" s="274">
        <v>60</v>
      </c>
      <c r="S713" s="274">
        <v>80</v>
      </c>
      <c r="T713" s="274">
        <v>62</v>
      </c>
      <c r="U713" s="274">
        <v>82</v>
      </c>
      <c r="V713" s="66">
        <f t="shared" si="244"/>
        <v>68</v>
      </c>
      <c r="W713" s="66">
        <f t="shared" si="245"/>
        <v>88</v>
      </c>
      <c r="X713" s="189">
        <v>69</v>
      </c>
      <c r="Y713" s="68">
        <v>68</v>
      </c>
      <c r="Z713" s="68">
        <v>88</v>
      </c>
      <c r="AA713" s="952">
        <f t="shared" si="242"/>
        <v>41.555555555555557</v>
      </c>
      <c r="AB713" s="297">
        <f t="shared" si="246"/>
        <v>1176.0222222222224</v>
      </c>
      <c r="AC713" s="74">
        <f t="shared" si="243"/>
        <v>27.426666666666669</v>
      </c>
      <c r="AD713" s="67">
        <f>Table1[[#This Row],[Substrate SF]]*Materials!C$37</f>
        <v>116.35555555555555</v>
      </c>
      <c r="AE713" s="74">
        <f>IF(Table1[[#This Row],[Work Center]]="SwissQ",Materials!G$37,IF(Table1[[#This Row],[Work Center]]="Inca",Materials!G$29,IF(Table1[[#This Row],[Work Center]]="Canon",Materials!G$49,Materials!G$45)))</f>
        <v>20</v>
      </c>
      <c r="AF713" s="73">
        <f>'Cali Frames'!D243</f>
        <v>360</v>
      </c>
      <c r="AG713" s="84"/>
      <c r="AH713" s="263">
        <f t="shared" si="248"/>
        <v>83.75</v>
      </c>
      <c r="AI713" s="263"/>
      <c r="AJ713" s="263">
        <f t="shared" si="247"/>
        <v>607.53222222222223</v>
      </c>
      <c r="AK713" s="688">
        <f t="shared" si="249"/>
        <v>0.63729419568822565</v>
      </c>
      <c r="AL713" s="278">
        <f>Table1[[#This Row],[WSP/Dealer]]/Table1[[#This Row],[OD Sq Inch]]</f>
        <v>0.32946498819826908</v>
      </c>
      <c r="AM713" s="170">
        <f>Table1[[#This Row],[OD Wdth]]*Table1[[#This Row],[OD Hgt]]</f>
        <v>5084</v>
      </c>
      <c r="AN713" s="274">
        <f>Table1[[#This Row],[Min VO]]+Table1[[#This Row],[Max VO]]</f>
        <v>140</v>
      </c>
      <c r="AO713" s="84"/>
      <c r="AP713" s="84"/>
      <c r="AQ713" s="126"/>
      <c r="AR713" s="126"/>
      <c r="AS713" s="126"/>
      <c r="AT713" s="74"/>
      <c r="AU713" s="1357" t="str">
        <f t="shared" si="229"/>
        <v>-</v>
      </c>
    </row>
    <row r="714" spans="1:47" s="170" customFormat="1" ht="16" x14ac:dyDescent="0.2">
      <c r="A714" s="60" t="s">
        <v>58</v>
      </c>
      <c r="B714" s="279" t="s">
        <v>587</v>
      </c>
      <c r="C714" s="293" t="s">
        <v>1886</v>
      </c>
      <c r="D714" s="94"/>
      <c r="E714" s="294" t="s">
        <v>1887</v>
      </c>
      <c r="F714" s="294" t="s">
        <v>1364</v>
      </c>
      <c r="G714" s="295" t="s">
        <v>362</v>
      </c>
      <c r="H714" s="295" t="s">
        <v>1888</v>
      </c>
      <c r="I714" s="181" t="s">
        <v>52</v>
      </c>
      <c r="J714" s="181" t="s">
        <v>53</v>
      </c>
      <c r="K714" s="295" t="s">
        <v>69</v>
      </c>
      <c r="L714" s="181" t="s">
        <v>73</v>
      </c>
      <c r="M714" s="292">
        <v>800</v>
      </c>
      <c r="N714" s="639">
        <v>750</v>
      </c>
      <c r="O714" s="180" t="s">
        <v>64</v>
      </c>
      <c r="P714" s="180">
        <v>32</v>
      </c>
      <c r="Q714" s="180">
        <v>42</v>
      </c>
      <c r="R714" s="60">
        <v>32</v>
      </c>
      <c r="S714" s="60">
        <v>42</v>
      </c>
      <c r="T714" s="698">
        <f>Table1[[#This Row],[VO Wdth]]+1</f>
        <v>33</v>
      </c>
      <c r="U714" s="698">
        <f>Table1[[#This Row],[VO Hgt]]+1</f>
        <v>43</v>
      </c>
      <c r="V714" s="913">
        <f t="shared" si="244"/>
        <v>40</v>
      </c>
      <c r="W714" s="913">
        <f t="shared" si="245"/>
        <v>50</v>
      </c>
      <c r="X714" s="289" t="s">
        <v>1889</v>
      </c>
      <c r="Y714" s="180"/>
      <c r="Z714" s="180"/>
      <c r="AA714" s="717">
        <f t="shared" si="242"/>
        <v>13.888888888888889</v>
      </c>
      <c r="AB714" s="125">
        <f t="shared" si="246"/>
        <v>393.0555555555556</v>
      </c>
      <c r="AC714" s="69">
        <f t="shared" si="243"/>
        <v>9.1666666666666679</v>
      </c>
      <c r="AD714" s="69">
        <f>Table1[[#This Row],[Substrate SF]]*Materials!C$37</f>
        <v>38.888888888888886</v>
      </c>
      <c r="AE714" s="104">
        <f>IF(Table1[[#This Row],[Work Center]]="SwissQ",Materials!G$37,IF(Table1[[#This Row],[Work Center]]="Inca",Materials!G$29,IF(Table1[[#This Row],[Work Center]]="Canon",Materials!G$49,Materials!G$45)))</f>
        <v>20</v>
      </c>
      <c r="AF714" s="69">
        <f>'Cali Frames'!D$431</f>
        <v>163.08000000000001</v>
      </c>
      <c r="AG714" s="83"/>
      <c r="AH714" s="498">
        <f t="shared" si="248"/>
        <v>40</v>
      </c>
      <c r="AI714" s="498"/>
      <c r="AJ714" s="69">
        <f t="shared" si="247"/>
        <v>271.13555555555558</v>
      </c>
      <c r="AK714" s="650">
        <f t="shared" si="249"/>
        <v>0.66108055555555556</v>
      </c>
      <c r="AL714" s="225">
        <f>Table1[[#This Row],[WSP/Dealer]]/Table1[[#This Row],[OD Sq Inch]]</f>
        <v>0.56377730796335446</v>
      </c>
      <c r="AM714" s="216">
        <f>Table1[[#This Row],[OD Wdth]]*Table1[[#This Row],[OD Hgt]]</f>
        <v>1419</v>
      </c>
      <c r="AN714" s="216">
        <f>Table1[[#This Row],[Min VO]]+Table1[[#This Row],[Max VO]]</f>
        <v>74</v>
      </c>
      <c r="AO714" s="284"/>
      <c r="AP714" s="284"/>
      <c r="AQ714" s="296"/>
      <c r="AR714" s="296"/>
      <c r="AS714" s="296"/>
      <c r="AT714" s="176"/>
      <c r="AU714" s="1358" t="str">
        <f t="shared" si="229"/>
        <v>-</v>
      </c>
    </row>
    <row r="715" spans="1:47" s="144" customFormat="1" ht="16" x14ac:dyDescent="0.2">
      <c r="A715" s="68" t="s">
        <v>58</v>
      </c>
      <c r="B715" s="279" t="s">
        <v>587</v>
      </c>
      <c r="C715" s="316" t="s">
        <v>1886</v>
      </c>
      <c r="D715" s="94"/>
      <c r="E715" s="313" t="s">
        <v>1890</v>
      </c>
      <c r="F715" s="313" t="s">
        <v>1364</v>
      </c>
      <c r="G715" s="314" t="s">
        <v>362</v>
      </c>
      <c r="H715" s="314" t="s">
        <v>1888</v>
      </c>
      <c r="I715" s="315" t="s">
        <v>52</v>
      </c>
      <c r="J715" s="315" t="s">
        <v>53</v>
      </c>
      <c r="K715" s="314" t="s">
        <v>69</v>
      </c>
      <c r="L715" s="315" t="s">
        <v>73</v>
      </c>
      <c r="M715" s="178">
        <v>900</v>
      </c>
      <c r="N715" s="639">
        <v>750</v>
      </c>
      <c r="O715" s="274" t="s">
        <v>64</v>
      </c>
      <c r="P715" s="274">
        <v>32</v>
      </c>
      <c r="Q715" s="274">
        <v>42</v>
      </c>
      <c r="R715" s="68">
        <v>32</v>
      </c>
      <c r="S715" s="68">
        <v>42</v>
      </c>
      <c r="T715" s="916">
        <f>Table1[[#This Row],[VO Wdth]]+1</f>
        <v>33</v>
      </c>
      <c r="U715" s="916">
        <f>Table1[[#This Row],[VO Hgt]]+1</f>
        <v>43</v>
      </c>
      <c r="V715" s="160">
        <f t="shared" si="244"/>
        <v>40</v>
      </c>
      <c r="W715" s="160">
        <f t="shared" si="245"/>
        <v>50</v>
      </c>
      <c r="X715" s="343" t="s">
        <v>1889</v>
      </c>
      <c r="Y715" s="274"/>
      <c r="Z715" s="274"/>
      <c r="AA715" s="699">
        <f t="shared" si="242"/>
        <v>13.888888888888889</v>
      </c>
      <c r="AB715" s="297">
        <f t="shared" si="246"/>
        <v>393.0555555555556</v>
      </c>
      <c r="AC715" s="74">
        <f t="shared" si="243"/>
        <v>9.1666666666666679</v>
      </c>
      <c r="AD715" s="67">
        <f>Table1[[#This Row],[Substrate SF]]*Materials!C$37</f>
        <v>38.888888888888886</v>
      </c>
      <c r="AE715" s="104">
        <f>IF(Table1[[#This Row],[Work Center]]="SwissQ",Materials!G$37,IF(Table1[[#This Row],[Work Center]]="Inca",Materials!G$29,IF(Table1[[#This Row],[Work Center]]="Canon",Materials!G$49,Materials!G$45)))</f>
        <v>20</v>
      </c>
      <c r="AF715" s="74">
        <f>'Cali Frames'!D564</f>
        <v>175.4375</v>
      </c>
      <c r="AG715" s="84"/>
      <c r="AH715" s="112">
        <f t="shared" si="248"/>
        <v>45</v>
      </c>
      <c r="AI715" s="112"/>
      <c r="AJ715" s="74">
        <f t="shared" si="247"/>
        <v>288.49305555555554</v>
      </c>
      <c r="AK715" s="62">
        <f t="shared" si="249"/>
        <v>0.67945216049382717</v>
      </c>
      <c r="AL715" s="225">
        <f>Table1[[#This Row],[WSP/Dealer]]/Table1[[#This Row],[OD Sq Inch]]</f>
        <v>0.63424947145877375</v>
      </c>
      <c r="AM715" s="235">
        <f>Table1[[#This Row],[OD Wdth]]*Table1[[#This Row],[OD Hgt]]</f>
        <v>1419</v>
      </c>
      <c r="AN715" s="238">
        <f>Table1[[#This Row],[Min VO]]+Table1[[#This Row],[Max VO]]</f>
        <v>74</v>
      </c>
      <c r="AO715" s="275"/>
      <c r="AP715" s="275"/>
      <c r="AQ715" s="320"/>
      <c r="AR715" s="320"/>
      <c r="AS715" s="320"/>
      <c r="AT715" s="278"/>
      <c r="AU715" s="1368" t="str">
        <f t="shared" si="229"/>
        <v>-</v>
      </c>
    </row>
    <row r="716" spans="1:47" s="103" customFormat="1" ht="16" x14ac:dyDescent="0.2">
      <c r="A716" s="60" t="s">
        <v>58</v>
      </c>
      <c r="B716" s="279" t="s">
        <v>587</v>
      </c>
      <c r="C716" s="293" t="s">
        <v>1891</v>
      </c>
      <c r="D716" s="94"/>
      <c r="E716" s="294" t="s">
        <v>1892</v>
      </c>
      <c r="F716" s="294" t="s">
        <v>1364</v>
      </c>
      <c r="G716" s="295" t="s">
        <v>362</v>
      </c>
      <c r="H716" s="295" t="s">
        <v>1888</v>
      </c>
      <c r="I716" s="181" t="s">
        <v>52</v>
      </c>
      <c r="J716" s="181" t="s">
        <v>53</v>
      </c>
      <c r="K716" s="295" t="s">
        <v>69</v>
      </c>
      <c r="L716" s="181" t="s">
        <v>73</v>
      </c>
      <c r="M716" s="292">
        <v>800</v>
      </c>
      <c r="N716" s="639">
        <v>750</v>
      </c>
      <c r="O716" s="180" t="s">
        <v>64</v>
      </c>
      <c r="P716" s="180">
        <v>32</v>
      </c>
      <c r="Q716" s="180">
        <v>42</v>
      </c>
      <c r="R716" s="60">
        <v>32</v>
      </c>
      <c r="S716" s="60">
        <v>42</v>
      </c>
      <c r="T716" s="698">
        <f>Table1[[#This Row],[VO Wdth]]+1</f>
        <v>33</v>
      </c>
      <c r="U716" s="698">
        <f>Table1[[#This Row],[VO Hgt]]+1</f>
        <v>43</v>
      </c>
      <c r="V716" s="913">
        <f t="shared" si="244"/>
        <v>40</v>
      </c>
      <c r="W716" s="913">
        <f t="shared" si="245"/>
        <v>50</v>
      </c>
      <c r="X716" s="289" t="s">
        <v>1889</v>
      </c>
      <c r="Y716" s="180"/>
      <c r="Z716" s="180"/>
      <c r="AA716" s="717">
        <f t="shared" si="242"/>
        <v>13.888888888888889</v>
      </c>
      <c r="AB716" s="125">
        <f t="shared" si="246"/>
        <v>393.0555555555556</v>
      </c>
      <c r="AC716" s="69">
        <f t="shared" si="243"/>
        <v>9.1666666666666679</v>
      </c>
      <c r="AD716" s="48">
        <f>Table1[[#This Row],[Substrate SF]]*Materials!C$37</f>
        <v>38.888888888888886</v>
      </c>
      <c r="AE716" s="104">
        <f>IF(Table1[[#This Row],[Work Center]]="SwissQ",Materials!G$37,IF(Table1[[#This Row],[Work Center]]="Inca",Materials!G$29,IF(Table1[[#This Row],[Work Center]]="Canon",Materials!G$49,Materials!G$45)))</f>
        <v>20</v>
      </c>
      <c r="AF716" s="69">
        <f>'Cali Frames'!D431</f>
        <v>163.08000000000001</v>
      </c>
      <c r="AG716" s="83"/>
      <c r="AH716" s="498">
        <f t="shared" si="248"/>
        <v>40</v>
      </c>
      <c r="AI716" s="498"/>
      <c r="AJ716" s="69">
        <f t="shared" si="247"/>
        <v>271.13555555555558</v>
      </c>
      <c r="AK716" s="650">
        <f t="shared" si="249"/>
        <v>0.66108055555555556</v>
      </c>
      <c r="AL716" s="225">
        <f>Table1[[#This Row],[WSP/Dealer]]/Table1[[#This Row],[OD Sq Inch]]</f>
        <v>0.56377730796335446</v>
      </c>
      <c r="AM716" s="46">
        <f>Table1[[#This Row],[OD Wdth]]*Table1[[#This Row],[OD Hgt]]</f>
        <v>1419</v>
      </c>
      <c r="AN716" s="216">
        <f>Table1[[#This Row],[Min VO]]+Table1[[#This Row],[Max VO]]</f>
        <v>74</v>
      </c>
      <c r="AO716" s="284"/>
      <c r="AP716" s="284"/>
      <c r="AQ716" s="296"/>
      <c r="AR716" s="296"/>
      <c r="AS716" s="296"/>
      <c r="AT716" s="176"/>
      <c r="AU716" s="1358" t="str">
        <f t="shared" si="229"/>
        <v>-</v>
      </c>
    </row>
    <row r="717" spans="1:47" s="103" customFormat="1" ht="16" x14ac:dyDescent="0.2">
      <c r="A717" s="68" t="s">
        <v>58</v>
      </c>
      <c r="B717" s="279" t="s">
        <v>587</v>
      </c>
      <c r="C717" s="316" t="s">
        <v>1891</v>
      </c>
      <c r="D717" s="94"/>
      <c r="E717" s="313" t="s">
        <v>1893</v>
      </c>
      <c r="F717" s="313" t="s">
        <v>1364</v>
      </c>
      <c r="G717" s="314" t="s">
        <v>362</v>
      </c>
      <c r="H717" s="314" t="s">
        <v>1888</v>
      </c>
      <c r="I717" s="315" t="s">
        <v>52</v>
      </c>
      <c r="J717" s="315" t="s">
        <v>53</v>
      </c>
      <c r="K717" s="314" t="s">
        <v>69</v>
      </c>
      <c r="L717" s="315" t="s">
        <v>73</v>
      </c>
      <c r="M717" s="178">
        <v>850</v>
      </c>
      <c r="N717" s="639">
        <v>750</v>
      </c>
      <c r="O717" s="274" t="s">
        <v>64</v>
      </c>
      <c r="P717" s="274">
        <v>32</v>
      </c>
      <c r="Q717" s="274">
        <v>42</v>
      </c>
      <c r="R717" s="68">
        <v>32</v>
      </c>
      <c r="S717" s="68">
        <v>42</v>
      </c>
      <c r="T717" s="916">
        <f>Table1[[#This Row],[VO Wdth]]+1</f>
        <v>33</v>
      </c>
      <c r="U717" s="916">
        <f>Table1[[#This Row],[VO Hgt]]+1</f>
        <v>43</v>
      </c>
      <c r="V717" s="1198">
        <f t="shared" si="244"/>
        <v>40</v>
      </c>
      <c r="W717" s="1198">
        <f t="shared" si="245"/>
        <v>50</v>
      </c>
      <c r="X717" s="343" t="s">
        <v>1889</v>
      </c>
      <c r="Y717" s="274"/>
      <c r="Z717" s="274"/>
      <c r="AA717" s="699">
        <f t="shared" si="242"/>
        <v>13.888888888888889</v>
      </c>
      <c r="AB717" s="297">
        <f t="shared" si="246"/>
        <v>393.0555555555556</v>
      </c>
      <c r="AC717" s="74">
        <f t="shared" si="243"/>
        <v>9.1666666666666679</v>
      </c>
      <c r="AD717" s="67">
        <f>Table1[[#This Row],[Substrate SF]]*Materials!C$37</f>
        <v>38.888888888888886</v>
      </c>
      <c r="AE717" s="104">
        <f>IF(Table1[[#This Row],[Work Center]]="SwissQ",Materials!G$37,IF(Table1[[#This Row],[Work Center]]="Inca",Materials!G$29,IF(Table1[[#This Row],[Work Center]]="Canon",Materials!G$49,Materials!G$45)))</f>
        <v>20</v>
      </c>
      <c r="AF717" s="74">
        <f>'Cali Frames'!D564</f>
        <v>175.4375</v>
      </c>
      <c r="AG717" s="84"/>
      <c r="AH717" s="112">
        <f t="shared" si="248"/>
        <v>42.5</v>
      </c>
      <c r="AI717" s="112"/>
      <c r="AJ717" s="67">
        <f t="shared" si="247"/>
        <v>285.99305555555554</v>
      </c>
      <c r="AK717" s="62">
        <f t="shared" si="249"/>
        <v>0.6635375816993464</v>
      </c>
      <c r="AL717" s="225">
        <f>Table1[[#This Row],[WSP/Dealer]]/Table1[[#This Row],[OD Sq Inch]]</f>
        <v>0.5990133897110641</v>
      </c>
      <c r="AM717" s="63">
        <f>Table1[[#This Row],[OD Wdth]]*Table1[[#This Row],[OD Hgt]]</f>
        <v>1419</v>
      </c>
      <c r="AN717" s="238">
        <f>Table1[[#This Row],[Min VO]]+Table1[[#This Row],[Max VO]]</f>
        <v>74</v>
      </c>
      <c r="AO717" s="275"/>
      <c r="AP717" s="275"/>
      <c r="AQ717" s="320"/>
      <c r="AR717" s="320"/>
      <c r="AS717" s="320"/>
      <c r="AT717" s="278"/>
      <c r="AU717" s="1368" t="str">
        <f t="shared" si="229"/>
        <v>-</v>
      </c>
    </row>
    <row r="718" spans="1:47" s="63" customFormat="1" x14ac:dyDescent="0.2">
      <c r="A718" s="101" t="s">
        <v>58</v>
      </c>
      <c r="B718" s="1061" t="s">
        <v>146</v>
      </c>
      <c r="C718" s="75" t="s">
        <v>1894</v>
      </c>
      <c r="D718" s="94" t="s">
        <v>1895</v>
      </c>
      <c r="E718" s="85" t="s">
        <v>1896</v>
      </c>
      <c r="F718" s="115" t="s">
        <v>1738</v>
      </c>
      <c r="G718" s="101" t="s">
        <v>1324</v>
      </c>
      <c r="H718" s="101" t="s">
        <v>1324</v>
      </c>
      <c r="I718" s="60" t="s">
        <v>52</v>
      </c>
      <c r="J718" s="59" t="s">
        <v>53</v>
      </c>
      <c r="K718" s="60" t="s">
        <v>54</v>
      </c>
      <c r="L718" s="101" t="s">
        <v>55</v>
      </c>
      <c r="M718" s="114">
        <v>700</v>
      </c>
      <c r="N718" s="639">
        <v>715</v>
      </c>
      <c r="O718" s="101" t="s">
        <v>56</v>
      </c>
      <c r="P718" s="273">
        <v>36</v>
      </c>
      <c r="Q718" s="273">
        <v>45</v>
      </c>
      <c r="R718" s="60">
        <v>36</v>
      </c>
      <c r="S718" s="273">
        <v>45</v>
      </c>
      <c r="T718" s="273">
        <f>Table1[[#This Row],[VO Wdth]]</f>
        <v>36</v>
      </c>
      <c r="U718" s="273">
        <f>Table1[[#This Row],[VO Hgt]]</f>
        <v>45</v>
      </c>
      <c r="V718" s="47">
        <f t="shared" ref="V718:V723" si="250">IF(J718="Canvas",P718+BorderGW,P718)</f>
        <v>44</v>
      </c>
      <c r="W718" s="106">
        <f t="shared" ref="W718:W723" si="251">IF(J718="Canvas",Q718+BorderGW,Q718)</f>
        <v>53</v>
      </c>
      <c r="X718" s="137">
        <v>53</v>
      </c>
      <c r="Y718" s="101"/>
      <c r="Z718" s="101"/>
      <c r="AA718" s="649">
        <f t="shared" si="242"/>
        <v>16.194444444444443</v>
      </c>
      <c r="AB718" s="184">
        <f t="shared" ref="AB718:AB723" si="252">AA718*IncaG</f>
        <v>340.73111111111109</v>
      </c>
      <c r="AC718" s="104">
        <f t="shared" si="243"/>
        <v>10.688333333333333</v>
      </c>
      <c r="AD718" s="120">
        <f t="shared" ref="AD718:AD723" si="253">AA718*IncaC</f>
        <v>27.258488888888888</v>
      </c>
      <c r="AE718" s="104">
        <f>IF(Table1[[#This Row],[Work Center]]="SwissQ",Materials!G$37,IF(Table1[[#This Row],[Work Center]]="Inca",Materials!G$29,IF(Table1[[#This Row],[Work Center]]="Canon",Materials!G$49,Materials!G$45)))</f>
        <v>8</v>
      </c>
      <c r="AF718" s="102">
        <f>'Cali FPS'!C69</f>
        <v>106.575</v>
      </c>
      <c r="AG718" s="115"/>
      <c r="AH718" s="112">
        <f t="shared" si="248"/>
        <v>35</v>
      </c>
      <c r="AI718" s="112"/>
      <c r="AJ718" s="121">
        <f t="shared" si="247"/>
        <v>187.52182222222223</v>
      </c>
      <c r="AK718" s="62">
        <f t="shared" si="249"/>
        <v>0.73211168253968251</v>
      </c>
      <c r="AL718" s="225">
        <f>Table1[[#This Row],[WSP/Dealer]]/Table1[[#This Row],[OD Sq Inch]]</f>
        <v>0.43209876543209874</v>
      </c>
      <c r="AM718" s="113">
        <f>Table1[[#This Row],[OD Wdth]]*Table1[[#This Row],[OD Hgt]]</f>
        <v>1620</v>
      </c>
      <c r="AN718" s="115">
        <f>Table1[[#This Row],[Min VO]]+Table1[[#This Row],[Max VO]]</f>
        <v>81</v>
      </c>
      <c r="AO718" s="115"/>
      <c r="AP718" s="115"/>
      <c r="AQ718" s="121"/>
      <c r="AR718" s="121"/>
      <c r="AS718" s="121"/>
      <c r="AT718" s="104"/>
      <c r="AU718" s="1359" t="str">
        <f t="shared" si="229"/>
        <v>-</v>
      </c>
    </row>
    <row r="719" spans="1:47" s="63" customFormat="1" x14ac:dyDescent="0.2">
      <c r="A719" s="86" t="s">
        <v>58</v>
      </c>
      <c r="B719" s="1061" t="s">
        <v>146</v>
      </c>
      <c r="C719" s="75" t="s">
        <v>1897</v>
      </c>
      <c r="D719" s="94" t="s">
        <v>1898</v>
      </c>
      <c r="E719" s="85" t="s">
        <v>1896</v>
      </c>
      <c r="F719" s="85" t="s">
        <v>1738</v>
      </c>
      <c r="G719" s="86" t="s">
        <v>1324</v>
      </c>
      <c r="H719" s="86" t="s">
        <v>1899</v>
      </c>
      <c r="I719" s="86" t="s">
        <v>52</v>
      </c>
      <c r="J719" s="86" t="s">
        <v>53</v>
      </c>
      <c r="K719" s="86" t="s">
        <v>69</v>
      </c>
      <c r="L719" s="86" t="s">
        <v>70</v>
      </c>
      <c r="M719" s="87">
        <v>780</v>
      </c>
      <c r="N719" s="639">
        <v>800</v>
      </c>
      <c r="O719" s="60" t="s">
        <v>56</v>
      </c>
      <c r="P719" s="273">
        <v>36</v>
      </c>
      <c r="Q719" s="273">
        <v>45</v>
      </c>
      <c r="R719" s="60">
        <v>36</v>
      </c>
      <c r="S719" s="273">
        <v>45</v>
      </c>
      <c r="T719" s="60">
        <v>37</v>
      </c>
      <c r="U719" s="273" t="str">
        <f>RIGHT(Table1[[#This Row],[OD]],2)</f>
        <v>46</v>
      </c>
      <c r="V719" s="47">
        <f t="shared" si="250"/>
        <v>44</v>
      </c>
      <c r="W719" s="47">
        <f t="shared" si="251"/>
        <v>53</v>
      </c>
      <c r="X719" s="138">
        <v>53</v>
      </c>
      <c r="Y719" s="60"/>
      <c r="Z719" s="60"/>
      <c r="AA719" s="717">
        <f t="shared" si="242"/>
        <v>16.194444444444443</v>
      </c>
      <c r="AB719" s="125">
        <f t="shared" si="252"/>
        <v>340.73111111111109</v>
      </c>
      <c r="AC719" s="69">
        <f t="shared" si="243"/>
        <v>10.688333333333333</v>
      </c>
      <c r="AD719" s="48">
        <f t="shared" si="253"/>
        <v>27.258488888888888</v>
      </c>
      <c r="AE719" s="104">
        <f>IF(Table1[[#This Row],[Work Center]]="SwissQ",Materials!G$37,IF(Table1[[#This Row],[Work Center]]="Inca",Materials!G$29,IF(Table1[[#This Row],[Work Center]]="Canon",Materials!G$49,Materials!G$45)))</f>
        <v>8</v>
      </c>
      <c r="AF719" s="69"/>
      <c r="AG719" s="115"/>
      <c r="AH719" s="498">
        <f t="shared" si="248"/>
        <v>39</v>
      </c>
      <c r="AI719" s="498"/>
      <c r="AJ719" s="69">
        <f t="shared" si="247"/>
        <v>84.946822222222224</v>
      </c>
      <c r="AK719" s="650">
        <f t="shared" si="249"/>
        <v>0.89109381766381768</v>
      </c>
      <c r="AL719" s="225">
        <f>Table1[[#This Row],[WSP/Dealer]]/Table1[[#This Row],[OD Sq Inch]]</f>
        <v>0.4582843713278496</v>
      </c>
      <c r="AM719" s="218">
        <f>Table1[[#This Row],[OD Wdth]]*Table1[[#This Row],[OD Hgt]]</f>
        <v>1702</v>
      </c>
      <c r="AN719" s="216">
        <f>Table1[[#This Row],[Min VO]]+Table1[[#This Row],[Max VO]]</f>
        <v>81</v>
      </c>
      <c r="AO719" s="101"/>
      <c r="AP719" s="101"/>
      <c r="AQ719" s="104"/>
      <c r="AR719" s="104"/>
      <c r="AS719" s="104"/>
      <c r="AT719" s="104"/>
      <c r="AU719" s="830" t="str">
        <f t="shared" si="229"/>
        <v>-</v>
      </c>
    </row>
    <row r="720" spans="1:47" s="218" customFormat="1" x14ac:dyDescent="0.2">
      <c r="A720" s="86" t="s">
        <v>58</v>
      </c>
      <c r="B720" s="1061" t="s">
        <v>146</v>
      </c>
      <c r="C720" s="75" t="s">
        <v>1900</v>
      </c>
      <c r="D720" s="94" t="s">
        <v>1901</v>
      </c>
      <c r="E720" s="85" t="s">
        <v>1896</v>
      </c>
      <c r="F720" s="85" t="s">
        <v>1738</v>
      </c>
      <c r="G720" s="86" t="s">
        <v>1324</v>
      </c>
      <c r="H720" s="86" t="s">
        <v>1899</v>
      </c>
      <c r="I720" s="86" t="s">
        <v>52</v>
      </c>
      <c r="J720" s="86" t="s">
        <v>53</v>
      </c>
      <c r="K720" s="86" t="s">
        <v>69</v>
      </c>
      <c r="L720" s="86" t="s">
        <v>73</v>
      </c>
      <c r="M720" s="87">
        <v>850</v>
      </c>
      <c r="N720" s="639">
        <v>850</v>
      </c>
      <c r="O720" s="60" t="s">
        <v>56</v>
      </c>
      <c r="P720" s="273">
        <v>36</v>
      </c>
      <c r="Q720" s="273">
        <v>45</v>
      </c>
      <c r="R720" s="60">
        <v>36</v>
      </c>
      <c r="S720" s="273">
        <v>45</v>
      </c>
      <c r="T720" s="60">
        <v>37</v>
      </c>
      <c r="U720" s="273" t="str">
        <f>RIGHT(Table1[[#This Row],[OD]],2)</f>
        <v>46</v>
      </c>
      <c r="V720" s="47">
        <f t="shared" si="250"/>
        <v>44</v>
      </c>
      <c r="W720" s="47">
        <f t="shared" si="251"/>
        <v>53</v>
      </c>
      <c r="X720" s="138">
        <v>53</v>
      </c>
      <c r="Y720" s="60"/>
      <c r="Z720" s="60"/>
      <c r="AA720" s="717">
        <f t="shared" si="242"/>
        <v>16.194444444444443</v>
      </c>
      <c r="AB720" s="125">
        <f t="shared" si="252"/>
        <v>340.73111111111109</v>
      </c>
      <c r="AC720" s="69">
        <f t="shared" si="243"/>
        <v>10.688333333333333</v>
      </c>
      <c r="AD720" s="48">
        <f t="shared" si="253"/>
        <v>27.258488888888888</v>
      </c>
      <c r="AE720" s="104">
        <f>IF(Table1[[#This Row],[Work Center]]="SwissQ",Materials!G$37,IF(Table1[[#This Row],[Work Center]]="Inca",Materials!G$29,IF(Table1[[#This Row],[Work Center]]="Canon",Materials!G$49,Materials!G$45)))</f>
        <v>8</v>
      </c>
      <c r="AF720" s="69"/>
      <c r="AG720" s="115"/>
      <c r="AH720" s="498">
        <f t="shared" si="248"/>
        <v>42.5</v>
      </c>
      <c r="AI720" s="498"/>
      <c r="AJ720" s="48">
        <f t="shared" si="247"/>
        <v>88.446822222222224</v>
      </c>
      <c r="AK720" s="650">
        <f t="shared" si="249"/>
        <v>0.89594491503267981</v>
      </c>
      <c r="AL720" s="225">
        <f>Table1[[#This Row],[WSP/Dealer]]/Table1[[#This Row],[OD Sq Inch]]</f>
        <v>0.49941245593419509</v>
      </c>
      <c r="AM720" s="46">
        <f>Table1[[#This Row],[OD Wdth]]*Table1[[#This Row],[OD Hgt]]</f>
        <v>1702</v>
      </c>
      <c r="AN720" s="216">
        <f>Table1[[#This Row],[Min VO]]+Table1[[#This Row],[Max VO]]</f>
        <v>81</v>
      </c>
      <c r="AO720" s="101"/>
      <c r="AP720" s="101"/>
      <c r="AQ720" s="104"/>
      <c r="AR720" s="104"/>
      <c r="AS720" s="104"/>
      <c r="AT720" s="104"/>
      <c r="AU720" s="830" t="str">
        <f t="shared" si="229"/>
        <v>-</v>
      </c>
    </row>
    <row r="721" spans="1:47" s="46" customFormat="1" x14ac:dyDescent="0.2">
      <c r="A721" s="86" t="s">
        <v>58</v>
      </c>
      <c r="B721" s="1061" t="s">
        <v>450</v>
      </c>
      <c r="C721" s="75" t="s">
        <v>1902</v>
      </c>
      <c r="D721" s="94" t="s">
        <v>1903</v>
      </c>
      <c r="E721" s="85" t="s">
        <v>1904</v>
      </c>
      <c r="F721" s="85" t="s">
        <v>1738</v>
      </c>
      <c r="G721" s="86" t="s">
        <v>191</v>
      </c>
      <c r="H721" s="86" t="s">
        <v>191</v>
      </c>
      <c r="I721" s="86" t="s">
        <v>52</v>
      </c>
      <c r="J721" s="86" t="s">
        <v>53</v>
      </c>
      <c r="K721" s="86" t="s">
        <v>54</v>
      </c>
      <c r="L721" s="86" t="s">
        <v>55</v>
      </c>
      <c r="M721" s="87">
        <v>900</v>
      </c>
      <c r="N721" s="639">
        <v>950</v>
      </c>
      <c r="O721" s="101" t="s">
        <v>56</v>
      </c>
      <c r="P721" s="273">
        <v>48</v>
      </c>
      <c r="Q721" s="273">
        <v>60</v>
      </c>
      <c r="R721" s="60">
        <v>48</v>
      </c>
      <c r="S721" s="273">
        <v>60</v>
      </c>
      <c r="T721" s="273">
        <f>Table1[[#This Row],[VO Wdth]]</f>
        <v>48</v>
      </c>
      <c r="U721" s="273">
        <f>Table1[[#This Row],[VO Hgt]]</f>
        <v>60</v>
      </c>
      <c r="V721" s="106">
        <f t="shared" si="250"/>
        <v>56</v>
      </c>
      <c r="W721" s="106">
        <f t="shared" si="251"/>
        <v>68</v>
      </c>
      <c r="X721" s="138" t="s">
        <v>1093</v>
      </c>
      <c r="Y721" s="101"/>
      <c r="Z721" s="101"/>
      <c r="AA721" s="649">
        <f t="shared" si="242"/>
        <v>26.444444444444443</v>
      </c>
      <c r="AB721" s="184">
        <f t="shared" si="252"/>
        <v>556.39111111111106</v>
      </c>
      <c r="AC721" s="104">
        <f t="shared" si="243"/>
        <v>17.453333333333333</v>
      </c>
      <c r="AD721" s="107">
        <f t="shared" si="253"/>
        <v>44.511288888888885</v>
      </c>
      <c r="AE721" s="104">
        <f>IF(Table1[[#This Row],[Work Center]]="SwissQ",Materials!G$37,IF(Table1[[#This Row],[Work Center]]="Inca",Materials!G$29,IF(Table1[[#This Row],[Work Center]]="Canon",Materials!G$49,Materials!G$45)))</f>
        <v>8</v>
      </c>
      <c r="AF721" s="104">
        <f>'Cali FPS'!C$121</f>
        <v>188.18</v>
      </c>
      <c r="AG721" s="115"/>
      <c r="AH721" s="112">
        <f t="shared" si="248"/>
        <v>45</v>
      </c>
      <c r="AI721" s="112"/>
      <c r="AJ721" s="104">
        <f t="shared" si="247"/>
        <v>303.14462222222221</v>
      </c>
      <c r="AK721" s="62">
        <f t="shared" si="249"/>
        <v>0.66317264197530867</v>
      </c>
      <c r="AL721" s="225">
        <f>Table1[[#This Row],[WSP/Dealer]]/Table1[[#This Row],[OD Sq Inch]]</f>
        <v>0.3125</v>
      </c>
      <c r="AM721" s="103">
        <f>Table1[[#This Row],[OD Wdth]]*Table1[[#This Row],[OD Hgt]]</f>
        <v>2880</v>
      </c>
      <c r="AN721" s="216">
        <f>Table1[[#This Row],[Min VO]]+Table1[[#This Row],[Max VO]]</f>
        <v>108</v>
      </c>
      <c r="AO721" s="101"/>
      <c r="AP721" s="101"/>
      <c r="AQ721" s="104"/>
      <c r="AR721" s="104"/>
      <c r="AS721" s="104"/>
      <c r="AT721" s="104"/>
      <c r="AU721" s="830" t="str">
        <f t="shared" si="229"/>
        <v>-</v>
      </c>
    </row>
    <row r="722" spans="1:47" s="46" customFormat="1" x14ac:dyDescent="0.2">
      <c r="A722" s="86" t="s">
        <v>58</v>
      </c>
      <c r="B722" s="1061" t="s">
        <v>159</v>
      </c>
      <c r="C722" s="75" t="s">
        <v>1905</v>
      </c>
      <c r="D722" s="94" t="s">
        <v>1906</v>
      </c>
      <c r="E722" s="85" t="s">
        <v>1904</v>
      </c>
      <c r="F722" s="85" t="s">
        <v>1738</v>
      </c>
      <c r="G722" s="86" t="s">
        <v>191</v>
      </c>
      <c r="H722" s="86" t="s">
        <v>1907</v>
      </c>
      <c r="I722" s="86" t="s">
        <v>52</v>
      </c>
      <c r="J722" s="86" t="s">
        <v>53</v>
      </c>
      <c r="K722" s="86" t="s">
        <v>69</v>
      </c>
      <c r="L722" s="86" t="s">
        <v>70</v>
      </c>
      <c r="M722" s="87">
        <v>1130</v>
      </c>
      <c r="N722" s="639">
        <v>1250</v>
      </c>
      <c r="O722" s="60" t="s">
        <v>56</v>
      </c>
      <c r="P722" s="273">
        <v>48</v>
      </c>
      <c r="Q722" s="273">
        <v>60</v>
      </c>
      <c r="R722" s="60">
        <v>48</v>
      </c>
      <c r="S722" s="273">
        <v>60</v>
      </c>
      <c r="T722" s="60">
        <v>49</v>
      </c>
      <c r="U722" s="273" t="str">
        <f>RIGHT(Table1[[#This Row],[OD]],2)</f>
        <v>61</v>
      </c>
      <c r="V722" s="946">
        <f t="shared" si="250"/>
        <v>56</v>
      </c>
      <c r="W722" s="946">
        <f t="shared" si="251"/>
        <v>68</v>
      </c>
      <c r="X722" s="138" t="s">
        <v>1093</v>
      </c>
      <c r="Y722" s="60"/>
      <c r="Z722" s="60"/>
      <c r="AA722" s="717">
        <f t="shared" si="242"/>
        <v>26.444444444444443</v>
      </c>
      <c r="AB722" s="125">
        <f t="shared" si="252"/>
        <v>556.39111111111106</v>
      </c>
      <c r="AC722" s="69">
        <f t="shared" si="243"/>
        <v>17.453333333333333</v>
      </c>
      <c r="AD722" s="48">
        <f t="shared" si="253"/>
        <v>44.511288888888885</v>
      </c>
      <c r="AE722" s="104">
        <f>IF(Table1[[#This Row],[Work Center]]="SwissQ",Materials!G$37,IF(Table1[[#This Row],[Work Center]]="Inca",Materials!G$29,IF(Table1[[#This Row],[Work Center]]="Canon",Materials!G$49,Materials!G$45)))</f>
        <v>8</v>
      </c>
      <c r="AF722" s="69"/>
      <c r="AG722" s="115"/>
      <c r="AH722" s="498">
        <f t="shared" si="248"/>
        <v>56.5</v>
      </c>
      <c r="AI722" s="498"/>
      <c r="AJ722" s="69">
        <f t="shared" si="247"/>
        <v>126.46462222222222</v>
      </c>
      <c r="AK722" s="650">
        <f t="shared" si="249"/>
        <v>0.88808440511307762</v>
      </c>
      <c r="AL722" s="225">
        <f>Table1[[#This Row],[WSP/Dealer]]/Table1[[#This Row],[OD Sq Inch]]</f>
        <v>0.37805286048845765</v>
      </c>
      <c r="AM722" s="218">
        <f>Table1[[#This Row],[OD Wdth]]*Table1[[#This Row],[OD Hgt]]</f>
        <v>2989</v>
      </c>
      <c r="AN722" s="216">
        <f>Table1[[#This Row],[Min VO]]+Table1[[#This Row],[Max VO]]</f>
        <v>108</v>
      </c>
      <c r="AO722" s="101"/>
      <c r="AP722" s="101"/>
      <c r="AQ722" s="104"/>
      <c r="AR722" s="104"/>
      <c r="AS722" s="104"/>
      <c r="AT722" s="104"/>
      <c r="AU722" s="830" t="str">
        <f t="shared" si="229"/>
        <v>-</v>
      </c>
    </row>
    <row r="723" spans="1:47" s="103" customFormat="1" x14ac:dyDescent="0.2">
      <c r="A723" s="86" t="s">
        <v>58</v>
      </c>
      <c r="B723" s="1061" t="s">
        <v>159</v>
      </c>
      <c r="C723" s="75" t="s">
        <v>1908</v>
      </c>
      <c r="D723" s="94" t="s">
        <v>1906</v>
      </c>
      <c r="E723" s="85" t="s">
        <v>1904</v>
      </c>
      <c r="F723" s="85" t="s">
        <v>1738</v>
      </c>
      <c r="G723" s="86" t="s">
        <v>191</v>
      </c>
      <c r="H723" s="86" t="s">
        <v>1907</v>
      </c>
      <c r="I723" s="86" t="s">
        <v>52</v>
      </c>
      <c r="J723" s="86" t="s">
        <v>53</v>
      </c>
      <c r="K723" s="86" t="s">
        <v>69</v>
      </c>
      <c r="L723" s="86" t="s">
        <v>73</v>
      </c>
      <c r="M723" s="87">
        <f>900+230</f>
        <v>1130</v>
      </c>
      <c r="N723" s="639">
        <v>1250</v>
      </c>
      <c r="O723" s="60" t="s">
        <v>56</v>
      </c>
      <c r="P723" s="273">
        <v>48</v>
      </c>
      <c r="Q723" s="273">
        <v>60</v>
      </c>
      <c r="R723" s="60">
        <v>48</v>
      </c>
      <c r="S723" s="273">
        <v>60</v>
      </c>
      <c r="T723" s="60">
        <v>49</v>
      </c>
      <c r="U723" s="273" t="str">
        <f>RIGHT(Table1[[#This Row],[OD]],2)</f>
        <v>61</v>
      </c>
      <c r="V723" s="47">
        <f t="shared" si="250"/>
        <v>56</v>
      </c>
      <c r="W723" s="47">
        <f t="shared" si="251"/>
        <v>68</v>
      </c>
      <c r="X723" s="138" t="s">
        <v>1093</v>
      </c>
      <c r="Y723" s="60"/>
      <c r="Z723" s="60"/>
      <c r="AA723" s="717">
        <f t="shared" si="242"/>
        <v>26.444444444444443</v>
      </c>
      <c r="AB723" s="125">
        <f t="shared" si="252"/>
        <v>556.39111111111106</v>
      </c>
      <c r="AC723" s="69">
        <f t="shared" si="243"/>
        <v>17.453333333333333</v>
      </c>
      <c r="AD723" s="48">
        <f t="shared" si="253"/>
        <v>44.511288888888885</v>
      </c>
      <c r="AE723" s="104">
        <f>IF(Table1[[#This Row],[Work Center]]="SwissQ",Materials!G$37,IF(Table1[[#This Row],[Work Center]]="Inca",Materials!G$29,IF(Table1[[#This Row],[Work Center]]="Canon",Materials!G$49,Materials!G$45)))</f>
        <v>8</v>
      </c>
      <c r="AF723" s="69"/>
      <c r="AG723" s="115"/>
      <c r="AH723" s="112">
        <f t="shared" si="248"/>
        <v>56.5</v>
      </c>
      <c r="AI723" s="112"/>
      <c r="AJ723" s="69">
        <f t="shared" si="247"/>
        <v>126.46462222222222</v>
      </c>
      <c r="AK723" s="62">
        <f t="shared" si="249"/>
        <v>0.88808440511307762</v>
      </c>
      <c r="AL723" s="225">
        <f>Table1[[#This Row],[WSP/Dealer]]/Table1[[#This Row],[OD Sq Inch]]</f>
        <v>0.37805286048845765</v>
      </c>
      <c r="AM723" s="103">
        <f>Table1[[#This Row],[OD Wdth]]*Table1[[#This Row],[OD Hgt]]</f>
        <v>2989</v>
      </c>
      <c r="AN723" s="216">
        <f>Table1[[#This Row],[Min VO]]+Table1[[#This Row],[Max VO]]</f>
        <v>108</v>
      </c>
      <c r="AO723" s="101"/>
      <c r="AP723" s="101"/>
      <c r="AQ723" s="104"/>
      <c r="AR723" s="104"/>
      <c r="AS723" s="104"/>
      <c r="AT723" s="104"/>
      <c r="AU723" s="830" t="str">
        <f t="shared" si="229"/>
        <v>-</v>
      </c>
    </row>
    <row r="724" spans="1:47" s="97" customFormat="1" x14ac:dyDescent="0.2">
      <c r="A724" s="1074" t="s">
        <v>58</v>
      </c>
      <c r="B724" s="1075" t="s">
        <v>1013</v>
      </c>
      <c r="C724" s="1734" t="s">
        <v>1909</v>
      </c>
      <c r="D724" s="94"/>
      <c r="E724" s="1076" t="s">
        <v>1910</v>
      </c>
      <c r="F724" s="1076" t="s">
        <v>124</v>
      </c>
      <c r="G724" s="1074" t="s">
        <v>1508</v>
      </c>
      <c r="H724" s="1074" t="s">
        <v>1508</v>
      </c>
      <c r="I724" s="1074" t="s">
        <v>52</v>
      </c>
      <c r="J724" s="1077" t="s">
        <v>53</v>
      </c>
      <c r="K724" s="1074" t="s">
        <v>54</v>
      </c>
      <c r="L724" s="1074" t="s">
        <v>55</v>
      </c>
      <c r="M724" s="1078"/>
      <c r="N724" s="1078"/>
      <c r="O724" s="1074"/>
      <c r="P724" s="1243"/>
      <c r="Q724" s="1243"/>
      <c r="R724" s="1074"/>
      <c r="S724" s="1775"/>
      <c r="T724" s="309"/>
      <c r="U724" s="1775"/>
      <c r="V724" s="1542"/>
      <c r="W724" s="1542"/>
      <c r="X724" s="1074"/>
      <c r="Y724" s="1074"/>
      <c r="Z724" s="1074"/>
      <c r="AA724" s="1079"/>
      <c r="AB724" s="1080"/>
      <c r="AC724" s="1248"/>
      <c r="AD724" s="1081"/>
      <c r="AE724" s="1082"/>
      <c r="AF724" s="1083"/>
      <c r="AG724" s="1076"/>
      <c r="AH724" s="1081"/>
      <c r="AI724" s="1081"/>
      <c r="AJ724" s="1081"/>
      <c r="AK724" s="1084"/>
      <c r="AL724" s="1082"/>
      <c r="AM724" s="308"/>
      <c r="AN724" s="1076"/>
      <c r="AO724" s="308"/>
      <c r="AP724" s="1076"/>
      <c r="AQ724" s="1082"/>
      <c r="AR724" s="1082"/>
      <c r="AS724" s="1082"/>
      <c r="AT724" s="1248"/>
      <c r="AU724" s="1826" t="str">
        <f t="shared" si="229"/>
        <v>-</v>
      </c>
    </row>
    <row r="725" spans="1:47" s="101" customFormat="1" x14ac:dyDescent="0.2">
      <c r="A725" s="1074" t="s">
        <v>58</v>
      </c>
      <c r="B725" s="1075" t="s">
        <v>1013</v>
      </c>
      <c r="C725" s="1734" t="s">
        <v>1911</v>
      </c>
      <c r="D725" s="94"/>
      <c r="E725" s="1076" t="s">
        <v>1912</v>
      </c>
      <c r="F725" s="1076" t="s">
        <v>124</v>
      </c>
      <c r="G725" s="1074" t="s">
        <v>1913</v>
      </c>
      <c r="H725" s="1074" t="s">
        <v>1913</v>
      </c>
      <c r="I725" s="1074" t="s">
        <v>52</v>
      </c>
      <c r="J725" s="1077" t="s">
        <v>53</v>
      </c>
      <c r="K725" s="1074" t="s">
        <v>54</v>
      </c>
      <c r="L725" s="1074" t="s">
        <v>55</v>
      </c>
      <c r="M725" s="1078"/>
      <c r="N725" s="1078"/>
      <c r="O725" s="1074"/>
      <c r="P725" s="1243"/>
      <c r="Q725" s="1243"/>
      <c r="R725" s="1074"/>
      <c r="S725" s="1243"/>
      <c r="T725" s="1074"/>
      <c r="U725" s="1243"/>
      <c r="V725" s="1459"/>
      <c r="W725" s="1459"/>
      <c r="X725" s="1074"/>
      <c r="Y725" s="1074"/>
      <c r="Z725" s="1074"/>
      <c r="AA725" s="1079"/>
      <c r="AB725" s="1080"/>
      <c r="AC725" s="1248"/>
      <c r="AD725" s="1081"/>
      <c r="AE725" s="1082"/>
      <c r="AF725" s="1083"/>
      <c r="AG725" s="1076"/>
      <c r="AH725" s="1082"/>
      <c r="AI725" s="1082"/>
      <c r="AJ725" s="1081"/>
      <c r="AK725" s="1805"/>
      <c r="AL725" s="1082"/>
      <c r="AM725" s="308"/>
      <c r="AN725" s="1076"/>
      <c r="AO725" s="1076"/>
      <c r="AP725" s="1076"/>
      <c r="AQ725" s="1082"/>
      <c r="AR725" s="1082"/>
      <c r="AS725" s="1082"/>
      <c r="AT725" s="1248"/>
      <c r="AU725" s="1376" t="str">
        <f t="shared" si="229"/>
        <v>-</v>
      </c>
    </row>
    <row r="726" spans="1:47" s="68" customFormat="1" hidden="1" x14ac:dyDescent="0.2">
      <c r="A726" s="552"/>
      <c r="B726" s="279"/>
      <c r="C726" s="100" t="s">
        <v>1914</v>
      </c>
      <c r="D726" s="94"/>
      <c r="E726" s="100" t="s">
        <v>1915</v>
      </c>
      <c r="F726" s="115" t="s">
        <v>150</v>
      </c>
      <c r="G726" s="101" t="s">
        <v>643</v>
      </c>
      <c r="H726" s="101" t="s">
        <v>810</v>
      </c>
      <c r="I726" s="101" t="s">
        <v>52</v>
      </c>
      <c r="J726" s="101" t="s">
        <v>257</v>
      </c>
      <c r="K726" s="180" t="s">
        <v>1444</v>
      </c>
      <c r="L726" s="101" t="s">
        <v>259</v>
      </c>
      <c r="M726" s="1278">
        <v>225</v>
      </c>
      <c r="N726" s="71"/>
      <c r="O726" s="101" t="s">
        <v>64</v>
      </c>
      <c r="P726" s="101">
        <v>20</v>
      </c>
      <c r="Q726" s="101">
        <v>16</v>
      </c>
      <c r="R726" s="101">
        <v>16</v>
      </c>
      <c r="S726" s="101">
        <v>20</v>
      </c>
      <c r="T726" s="101">
        <v>22</v>
      </c>
      <c r="U726" s="101">
        <v>18</v>
      </c>
      <c r="V726" s="106">
        <f>IF(J726="Canvas",P726+Border,P726)</f>
        <v>20</v>
      </c>
      <c r="W726" s="106">
        <f>IF(J726="Canvas",Q726+Border,Q726)</f>
        <v>16</v>
      </c>
      <c r="X726" s="137" t="s">
        <v>257</v>
      </c>
      <c r="Y726" s="101">
        <v>20</v>
      </c>
      <c r="Z726" s="101">
        <v>16</v>
      </c>
      <c r="AA726" s="724">
        <f>V726*W726/144</f>
        <v>2.2222222222222223</v>
      </c>
      <c r="AB726" s="184">
        <f>AA726*Swiss1</f>
        <v>62.888888888888893</v>
      </c>
      <c r="AC726" s="104">
        <f>Table1[[#This Row],[Substrate SF]]*Paper</f>
        <v>3.0066666666666668</v>
      </c>
      <c r="AD726" s="405">
        <f>Table1[[#This Row],[Substrate SF]]*SWISSC1</f>
        <v>6.2222222222222223</v>
      </c>
      <c r="AE726" s="104">
        <f>IF(Table1[[#This Row],[Work Center]]="SwissQ",Materials!G$37,IF(Table1[[#This Row],[Work Center]]="Inca",Materials!G$29,IF(Table1[[#This Row],[Work Center]]="Canon",Materials!G$49,Materials!G$45)))</f>
        <v>20</v>
      </c>
      <c r="AF726" s="406">
        <f>'Cali Frames'!D$22</f>
        <v>82.44</v>
      </c>
      <c r="AG726" s="115"/>
      <c r="AH726" s="498">
        <f>(M726*0.05)</f>
        <v>11.25</v>
      </c>
      <c r="AI726" s="112"/>
      <c r="AJ726" s="406">
        <f>SUM(AC726:AH726)</f>
        <v>122.91888888888889</v>
      </c>
      <c r="AK726" s="62">
        <f>(M726-AJ726)/M726</f>
        <v>0.45369382716049383</v>
      </c>
      <c r="AL726" s="225">
        <f>Table1[[#This Row],[WSP/Dealer]]/Table1[[#This Row],[OD Sq Inch]]</f>
        <v>0.56818181818181823</v>
      </c>
      <c r="AM726" s="399">
        <f>Table1[[#This Row],[OD Wdth]]*Table1[[#This Row],[OD Hgt]]</f>
        <v>396</v>
      </c>
      <c r="AN726" s="400" t="str">
        <f>Table1[[#This Row],[Color]]</f>
        <v>BA</v>
      </c>
      <c r="AO726" s="115" t="str">
        <f>Table1[[#This Row],[Print Type]]</f>
        <v>Synograph</v>
      </c>
      <c r="AP726" s="101"/>
      <c r="AQ726" s="104"/>
      <c r="AR726" s="104"/>
      <c r="AS726" s="104"/>
      <c r="AT726" s="104"/>
      <c r="AU726" s="830" t="str">
        <f t="shared" si="229"/>
        <v>-</v>
      </c>
    </row>
    <row r="727" spans="1:47" s="68" customFormat="1" hidden="1" x14ac:dyDescent="0.2">
      <c r="A727" s="552"/>
      <c r="B727" s="279"/>
      <c r="C727" s="100" t="s">
        <v>1916</v>
      </c>
      <c r="D727" s="94"/>
      <c r="E727" s="100" t="s">
        <v>1917</v>
      </c>
      <c r="F727" s="115" t="s">
        <v>150</v>
      </c>
      <c r="G727" s="101" t="s">
        <v>643</v>
      </c>
      <c r="H727" s="101" t="s">
        <v>810</v>
      </c>
      <c r="I727" s="101" t="s">
        <v>52</v>
      </c>
      <c r="J727" s="101" t="s">
        <v>257</v>
      </c>
      <c r="K727" s="180" t="s">
        <v>1444</v>
      </c>
      <c r="L727" s="101" t="s">
        <v>259</v>
      </c>
      <c r="M727" s="1278">
        <v>225</v>
      </c>
      <c r="N727" s="71"/>
      <c r="O727" s="101" t="s">
        <v>64</v>
      </c>
      <c r="P727" s="101">
        <v>20</v>
      </c>
      <c r="Q727" s="101">
        <v>16</v>
      </c>
      <c r="R727" s="101">
        <v>16</v>
      </c>
      <c r="S727" s="101">
        <v>20</v>
      </c>
      <c r="T727" s="101">
        <v>22</v>
      </c>
      <c r="U727" s="101">
        <v>18</v>
      </c>
      <c r="V727" s="106">
        <f>IF(J727="Canvas",P727+Border,P727)</f>
        <v>20</v>
      </c>
      <c r="W727" s="106">
        <f>IF(J727="Canvas",Q727+Border,Q727)</f>
        <v>16</v>
      </c>
      <c r="X727" s="137" t="s">
        <v>257</v>
      </c>
      <c r="Y727" s="101">
        <v>20</v>
      </c>
      <c r="Z727" s="101">
        <v>16</v>
      </c>
      <c r="AA727" s="724">
        <f>V727*W727/144</f>
        <v>2.2222222222222223</v>
      </c>
      <c r="AB727" s="184">
        <f>AA727*Swiss1</f>
        <v>62.888888888888893</v>
      </c>
      <c r="AC727" s="104">
        <f>Table1[[#This Row],[Substrate SF]]*Paper</f>
        <v>3.0066666666666668</v>
      </c>
      <c r="AD727" s="405">
        <f>Table1[[#This Row],[Substrate SF]]*Materials!C$37</f>
        <v>6.2222222222222223</v>
      </c>
      <c r="AE727" s="104">
        <f>IF(Table1[[#This Row],[Work Center]]="SwissQ",Materials!G$37,IF(Table1[[#This Row],[Work Center]]="Inca",Materials!G$29,IF(Table1[[#This Row],[Work Center]]="Canon",Materials!G$49,Materials!G$45)))</f>
        <v>20</v>
      </c>
      <c r="AF727" s="406">
        <f>'Cali Frames'!D$22</f>
        <v>82.44</v>
      </c>
      <c r="AG727" s="115"/>
      <c r="AH727" s="112">
        <f>(M727*0.05)</f>
        <v>11.25</v>
      </c>
      <c r="AI727" s="112"/>
      <c r="AJ727" s="405">
        <f>SUM(AC727:AH727)</f>
        <v>122.91888888888889</v>
      </c>
      <c r="AK727" s="62">
        <f>(M727-AJ727)/M727</f>
        <v>0.45369382716049383</v>
      </c>
      <c r="AL727" s="225">
        <f>Table1[[#This Row],[WSP/Dealer]]/Table1[[#This Row],[OD Sq Inch]]</f>
        <v>0.56818181818181823</v>
      </c>
      <c r="AM727" s="399">
        <f>Table1[[#This Row],[OD Wdth]]*Table1[[#This Row],[OD Hgt]]</f>
        <v>396</v>
      </c>
      <c r="AN727" s="400" t="str">
        <f>Table1[[#This Row],[Color]]</f>
        <v>BA</v>
      </c>
      <c r="AO727" s="115" t="str">
        <f>Table1[[#This Row],[Print Type]]</f>
        <v>Synograph</v>
      </c>
      <c r="AP727" s="101"/>
      <c r="AQ727" s="104"/>
      <c r="AR727" s="104"/>
      <c r="AS727" s="104"/>
      <c r="AT727" s="104"/>
      <c r="AU727" s="830" t="str">
        <f t="shared" si="229"/>
        <v>-</v>
      </c>
    </row>
    <row r="728" spans="1:47" s="68" customFormat="1" hidden="1" x14ac:dyDescent="0.2">
      <c r="A728" s="274" t="s">
        <v>187</v>
      </c>
      <c r="B728" s="1061" t="s">
        <v>445</v>
      </c>
      <c r="C728" s="316" t="s">
        <v>1918</v>
      </c>
      <c r="D728" s="94"/>
      <c r="E728" s="316" t="s">
        <v>1919</v>
      </c>
      <c r="F728" s="275" t="s">
        <v>960</v>
      </c>
      <c r="G728" s="315" t="s">
        <v>1588</v>
      </c>
      <c r="H728" s="274" t="s">
        <v>1588</v>
      </c>
      <c r="I728" s="315" t="s">
        <v>256</v>
      </c>
      <c r="J728" s="68" t="s">
        <v>257</v>
      </c>
      <c r="K728" s="965" t="s">
        <v>1920</v>
      </c>
      <c r="L728" s="274" t="s">
        <v>1921</v>
      </c>
      <c r="M728" s="980"/>
      <c r="N728" s="71"/>
      <c r="O728" s="274" t="s">
        <v>260</v>
      </c>
      <c r="P728" s="274"/>
      <c r="Q728" s="274"/>
      <c r="R728" s="274"/>
      <c r="S728" s="274"/>
      <c r="T728" s="274"/>
      <c r="U728" s="274"/>
      <c r="V728" s="277"/>
      <c r="W728" s="277"/>
      <c r="X728" s="343">
        <v>24</v>
      </c>
      <c r="Y728" s="274"/>
      <c r="Z728" s="274"/>
      <c r="AA728" s="727">
        <f>V728*W728/144</f>
        <v>0</v>
      </c>
      <c r="AB728" s="341">
        <f>AA728*canonML</f>
        <v>0</v>
      </c>
      <c r="AC728" s="278">
        <f>Table1[[#This Row],[Print Ht]]*paper60</f>
        <v>0</v>
      </c>
      <c r="AD728" s="263">
        <f>Table1[[#This Row],[Ink g/mL]]*CanonC</f>
        <v>0</v>
      </c>
      <c r="AE728" s="278">
        <f>IF(Table1[[#This Row],[Work Center]]="SwissQ",Materials!G$37,IF(Table1[[#This Row],[Work Center]]="Inca",Materials!G$29,IF(Table1[[#This Row],[Work Center]]="Canon",Materials!G$49,Materials!G$45)))</f>
        <v>7</v>
      </c>
      <c r="AF728" s="321">
        <f>'Cali Frames'!D1</f>
        <v>44743</v>
      </c>
      <c r="AG728" s="320"/>
      <c r="AH728" s="112">
        <f>(M728*0.05)</f>
        <v>0</v>
      </c>
      <c r="AI728" s="112"/>
      <c r="AJ728" s="278">
        <f>SUM(AC728:AH728)</f>
        <v>44750</v>
      </c>
      <c r="AK728" s="62" t="e">
        <f>(M728-AJ728)/M728</f>
        <v>#DIV/0!</v>
      </c>
      <c r="AL728" s="225" t="e">
        <f>Table1[[#This Row],[WSP/Dealer]]/Table1[[#This Row],[OD Sq Inch]]</f>
        <v>#DIV/0!</v>
      </c>
      <c r="AM728" s="170">
        <f>Table1[[#This Row],[OD Wdth]]*Table1[[#This Row],[OD Hgt]]</f>
        <v>0</v>
      </c>
      <c r="AN728" s="274">
        <f>Table1[[#This Row],[Min VO]]+Table1[[#This Row],[Max VO]]</f>
        <v>0</v>
      </c>
      <c r="AO728" s="275"/>
      <c r="AP728" s="275"/>
      <c r="AQ728" s="320"/>
      <c r="AR728" s="320"/>
      <c r="AS728" s="320"/>
      <c r="AT728" s="278"/>
      <c r="AU728" s="1368" t="str">
        <f t="shared" ref="AU728:AU791" si="254">IF(AQ728=0,"-",(AQ728-AT728)/AQ728)</f>
        <v>-</v>
      </c>
    </row>
    <row r="729" spans="1:47" s="103" customFormat="1" hidden="1" x14ac:dyDescent="0.2">
      <c r="A729" s="68"/>
      <c r="B729" s="1152"/>
      <c r="C729" s="627" t="s">
        <v>1922</v>
      </c>
      <c r="D729" s="94"/>
      <c r="E729" s="172" t="s">
        <v>1923</v>
      </c>
      <c r="F729" s="84" t="s">
        <v>920</v>
      </c>
      <c r="G729" s="363" t="s">
        <v>350</v>
      </c>
      <c r="H729" s="68" t="s">
        <v>350</v>
      </c>
      <c r="I729" s="363" t="s">
        <v>52</v>
      </c>
      <c r="J729" s="140" t="s">
        <v>53</v>
      </c>
      <c r="K729" s="363" t="s">
        <v>54</v>
      </c>
      <c r="L729" s="68" t="s">
        <v>55</v>
      </c>
      <c r="M729" s="93"/>
      <c r="N729" s="93"/>
      <c r="O729" s="68"/>
      <c r="P729" s="68"/>
      <c r="Q729" s="68"/>
      <c r="R729" s="68"/>
      <c r="S729" s="68"/>
      <c r="T729" s="68"/>
      <c r="U729" s="68"/>
      <c r="V729" s="917"/>
      <c r="W729" s="917"/>
      <c r="X729" s="68"/>
      <c r="Y729" s="68"/>
      <c r="Z729" s="68"/>
      <c r="AA729" s="699"/>
      <c r="AB729" s="297"/>
      <c r="AC729" s="74"/>
      <c r="AD729" s="118"/>
      <c r="AE729" s="126"/>
      <c r="AF729" s="73"/>
      <c r="AG729" s="126"/>
      <c r="AH729" s="126"/>
      <c r="AI729" s="126"/>
      <c r="AJ729" s="126"/>
      <c r="AK729" s="1001"/>
      <c r="AL729" s="126"/>
      <c r="AM729" s="119"/>
      <c r="AN729" s="84"/>
      <c r="AO729" s="84"/>
      <c r="AP729" s="84"/>
      <c r="AQ729" s="126"/>
      <c r="AR729" s="126"/>
      <c r="AS729" s="126"/>
      <c r="AT729" s="74"/>
      <c r="AU729" s="1357" t="str">
        <f t="shared" si="254"/>
        <v>-</v>
      </c>
    </row>
    <row r="730" spans="1:47" s="103" customFormat="1" hidden="1" x14ac:dyDescent="0.2">
      <c r="A730" s="68"/>
      <c r="B730" s="1152"/>
      <c r="C730" s="627" t="s">
        <v>1924</v>
      </c>
      <c r="D730" s="94"/>
      <c r="E730" s="172" t="s">
        <v>1925</v>
      </c>
      <c r="F730" s="84" t="s">
        <v>920</v>
      </c>
      <c r="G730" s="363" t="s">
        <v>350</v>
      </c>
      <c r="H730" s="68" t="s">
        <v>350</v>
      </c>
      <c r="I730" s="363" t="s">
        <v>52</v>
      </c>
      <c r="J730" s="140" t="s">
        <v>53</v>
      </c>
      <c r="K730" s="363" t="s">
        <v>54</v>
      </c>
      <c r="L730" s="68" t="s">
        <v>55</v>
      </c>
      <c r="M730" s="93"/>
      <c r="N730" s="93"/>
      <c r="O730" s="68"/>
      <c r="P730" s="68"/>
      <c r="Q730" s="68"/>
      <c r="R730" s="68"/>
      <c r="S730" s="68"/>
      <c r="T730" s="68"/>
      <c r="U730" s="68"/>
      <c r="V730" s="917"/>
      <c r="W730" s="917"/>
      <c r="X730" s="68"/>
      <c r="Y730" s="68"/>
      <c r="Z730" s="68"/>
      <c r="AA730" s="699"/>
      <c r="AB730" s="297"/>
      <c r="AC730" s="74"/>
      <c r="AD730" s="118"/>
      <c r="AE730" s="126"/>
      <c r="AF730" s="73"/>
      <c r="AG730" s="126"/>
      <c r="AH730" s="126"/>
      <c r="AI730" s="118"/>
      <c r="AJ730" s="126"/>
      <c r="AK730" s="1001"/>
      <c r="AL730" s="126"/>
      <c r="AM730" s="119"/>
      <c r="AN730" s="84"/>
      <c r="AO730" s="84"/>
      <c r="AP730" s="84"/>
      <c r="AQ730" s="126"/>
      <c r="AR730" s="126"/>
      <c r="AS730" s="126"/>
      <c r="AT730" s="74"/>
      <c r="AU730" s="1357" t="str">
        <f t="shared" si="254"/>
        <v>-</v>
      </c>
    </row>
    <row r="731" spans="1:47" s="46" customFormat="1" hidden="1" x14ac:dyDescent="0.2">
      <c r="A731" s="68" t="s">
        <v>101</v>
      </c>
      <c r="B731" s="1072" t="s">
        <v>65</v>
      </c>
      <c r="C731" s="627" t="s">
        <v>1926</v>
      </c>
      <c r="D731" s="94"/>
      <c r="E731" s="172" t="s">
        <v>1927</v>
      </c>
      <c r="F731" s="84" t="s">
        <v>105</v>
      </c>
      <c r="G731" s="363" t="s">
        <v>519</v>
      </c>
      <c r="H731" s="68" t="s">
        <v>974</v>
      </c>
      <c r="I731" s="363" t="s">
        <v>256</v>
      </c>
      <c r="J731" s="140" t="s">
        <v>257</v>
      </c>
      <c r="K731" s="68" t="s">
        <v>258</v>
      </c>
      <c r="L731" s="68" t="s">
        <v>508</v>
      </c>
      <c r="M731" s="141">
        <v>203</v>
      </c>
      <c r="N731" s="93"/>
      <c r="O731" s="68" t="s">
        <v>260</v>
      </c>
      <c r="P731" s="68">
        <v>16</v>
      </c>
      <c r="Q731" s="68">
        <v>20</v>
      </c>
      <c r="R731" s="68">
        <v>16</v>
      </c>
      <c r="S731" s="68">
        <v>20</v>
      </c>
      <c r="T731" s="68">
        <v>18</v>
      </c>
      <c r="U731" s="68">
        <v>22</v>
      </c>
      <c r="V731" s="917">
        <f>IF(J731="Canvas",P731+Border,P731)</f>
        <v>16</v>
      </c>
      <c r="W731" s="917">
        <f>IF(J731="Canvas",Q731+Border,Q731)</f>
        <v>20</v>
      </c>
      <c r="X731" s="68" t="s">
        <v>257</v>
      </c>
      <c r="Y731" s="1347">
        <f>Table1[[#This Row],[Print Wth]]+Materials!$C$7</f>
        <v>18</v>
      </c>
      <c r="Z731" s="1347">
        <f>Table1[[#This Row],[Print Ht]]+Materials!$C$7</f>
        <v>22</v>
      </c>
      <c r="AA731" s="1027">
        <f>(Table1[[#This Row],[Cut Width]]*Table1[[#This Row],[Cut Height]])/144</f>
        <v>2.75</v>
      </c>
      <c r="AB731" s="297">
        <f>(Table1[[#This Row],[Print Wth]]*Table1[[#This Row],[Print Ht]])/144*canonML</f>
        <v>10.666666666666666</v>
      </c>
      <c r="AC731" s="74">
        <f>Table1[[#This Row],[Substrate SF]]*Paper</f>
        <v>3.7207499999999998</v>
      </c>
      <c r="AD731" s="67">
        <f>(Table1[[#This Row],[Print Wth]]*Table1[[#This Row],[Print Ht]])/144*CanonC</f>
        <v>0.60000000000000009</v>
      </c>
      <c r="AE731" s="74">
        <f>IF(Table1[[#This Row],[Work Center]]="SwissQ",Materials!G$37,IF(Table1[[#This Row],[Work Center]]="Inca",Materials!G$29,IF(Table1[[#This Row],[Work Center]]="Canon",Materials!G$49,Materials!G$45)))</f>
        <v>7</v>
      </c>
      <c r="AF731" s="73">
        <f>'Cali Frames'!D80</f>
        <v>90</v>
      </c>
      <c r="AG731" s="126"/>
      <c r="AH731" s="278">
        <v>0</v>
      </c>
      <c r="AI731" s="278"/>
      <c r="AJ731" s="67">
        <f>SUM(AC731:AI731)</f>
        <v>101.32075</v>
      </c>
      <c r="AK731" s="1192">
        <f t="shared" ref="AK731:AK741" si="255">(M731-AJ731)/M731</f>
        <v>0.50088300492610838</v>
      </c>
      <c r="AL731" s="278">
        <f>Table1[[#This Row],[WSP/Dealer]]/Table1[[#This Row],[OD Sq Inch]]</f>
        <v>0.51262626262626265</v>
      </c>
      <c r="AM731" s="170">
        <f>Table1[[#This Row],[OD Wdth]]*Table1[[#This Row],[OD Hgt]]</f>
        <v>396</v>
      </c>
      <c r="AN731" s="274">
        <f>Table1[[#This Row],[Min VO]]+Table1[[#This Row],[Max VO]]</f>
        <v>36</v>
      </c>
      <c r="AO731" s="84"/>
      <c r="AP731" s="84"/>
      <c r="AQ731" s="126"/>
      <c r="AR731" s="126"/>
      <c r="AS731" s="126"/>
      <c r="AT731" s="74"/>
      <c r="AU731" s="1357" t="str">
        <f t="shared" si="254"/>
        <v>-</v>
      </c>
    </row>
    <row r="732" spans="1:47" s="103" customFormat="1" hidden="1" x14ac:dyDescent="0.2">
      <c r="A732" s="68" t="s">
        <v>101</v>
      </c>
      <c r="B732" s="1072" t="s">
        <v>65</v>
      </c>
      <c r="C732" s="627" t="s">
        <v>1928</v>
      </c>
      <c r="D732" s="94"/>
      <c r="E732" s="172" t="s">
        <v>1929</v>
      </c>
      <c r="F732" s="84" t="s">
        <v>105</v>
      </c>
      <c r="G732" s="363" t="s">
        <v>519</v>
      </c>
      <c r="H732" s="68" t="s">
        <v>974</v>
      </c>
      <c r="I732" s="363" t="s">
        <v>256</v>
      </c>
      <c r="J732" s="140" t="s">
        <v>257</v>
      </c>
      <c r="K732" s="68" t="s">
        <v>258</v>
      </c>
      <c r="L732" s="68" t="s">
        <v>508</v>
      </c>
      <c r="M732" s="141">
        <v>203</v>
      </c>
      <c r="N732" s="93"/>
      <c r="O732" s="68" t="s">
        <v>260</v>
      </c>
      <c r="P732" s="68">
        <v>16</v>
      </c>
      <c r="Q732" s="68">
        <v>20</v>
      </c>
      <c r="R732" s="68">
        <v>16</v>
      </c>
      <c r="S732" s="68">
        <v>20</v>
      </c>
      <c r="T732" s="63">
        <v>18</v>
      </c>
      <c r="U732" s="63">
        <v>22</v>
      </c>
      <c r="V732" s="917">
        <f>IF(J732="Canvas",P732+Border,P732)</f>
        <v>16</v>
      </c>
      <c r="W732" s="917">
        <f>IF(J732="Canvas",Q732+Border,Q732)</f>
        <v>20</v>
      </c>
      <c r="X732" s="68" t="s">
        <v>257</v>
      </c>
      <c r="Y732" s="1347">
        <f>Table1[[#This Row],[Print Wth]]+Materials!$C$7</f>
        <v>18</v>
      </c>
      <c r="Z732" s="1347">
        <f>Table1[[#This Row],[Print Ht]]+Materials!$C$7</f>
        <v>22</v>
      </c>
      <c r="AA732" s="1027">
        <f>(Table1[[#This Row],[Cut Width]]*Table1[[#This Row],[Cut Height]])/144</f>
        <v>2.75</v>
      </c>
      <c r="AB732" s="297">
        <f>(Table1[[#This Row],[Print Wth]]*Table1[[#This Row],[Print Ht]])/144*canonML</f>
        <v>10.666666666666666</v>
      </c>
      <c r="AC732" s="74">
        <f>Table1[[#This Row],[Substrate SF]]*Paper</f>
        <v>3.7207499999999998</v>
      </c>
      <c r="AD732" s="67">
        <f>(Table1[[#This Row],[Print Wth]]*Table1[[#This Row],[Print Ht]])/144*CanonC</f>
        <v>0.60000000000000009</v>
      </c>
      <c r="AE732" s="74">
        <f>IF(Table1[[#This Row],[Work Center]]="SwissQ",Materials!G$37,IF(Table1[[#This Row],[Work Center]]="Inca",Materials!G$29,IF(Table1[[#This Row],[Work Center]]="Canon",Materials!G$49,Materials!G$45)))</f>
        <v>7</v>
      </c>
      <c r="AF732" s="73">
        <f>'Cali Frames'!D80</f>
        <v>90</v>
      </c>
      <c r="AG732" s="126"/>
      <c r="AH732" s="278">
        <v>0</v>
      </c>
      <c r="AI732" s="278"/>
      <c r="AJ732" s="67">
        <f>SUM(AC732:AI732)</f>
        <v>101.32075</v>
      </c>
      <c r="AK732" s="1192">
        <f t="shared" si="255"/>
        <v>0.50088300492610838</v>
      </c>
      <c r="AL732" s="278">
        <f>Table1[[#This Row],[WSP/Dealer]]/Table1[[#This Row],[OD Sq Inch]]</f>
        <v>0.51262626262626265</v>
      </c>
      <c r="AM732" s="170">
        <f>Table1[[#This Row],[OD Wdth]]*Table1[[#This Row],[OD Hgt]]</f>
        <v>396</v>
      </c>
      <c r="AN732" s="274">
        <f>Table1[[#This Row],[Min VO]]+Table1[[#This Row],[Max VO]]</f>
        <v>36</v>
      </c>
      <c r="AO732" s="119"/>
      <c r="AP732" s="84"/>
      <c r="AQ732" s="126"/>
      <c r="AR732" s="126"/>
      <c r="AS732" s="126"/>
      <c r="AT732" s="74"/>
      <c r="AU732" s="1357" t="str">
        <f t="shared" si="254"/>
        <v>-</v>
      </c>
    </row>
    <row r="733" spans="1:47" s="103" customFormat="1" hidden="1" x14ac:dyDescent="0.2">
      <c r="A733" s="400" t="s">
        <v>110</v>
      </c>
      <c r="B733" s="1322" t="s">
        <v>134</v>
      </c>
      <c r="C733" s="1390" t="s">
        <v>1930</v>
      </c>
      <c r="D733" s="689"/>
      <c r="E733" s="536" t="s">
        <v>1931</v>
      </c>
      <c r="F733" s="401" t="s">
        <v>960</v>
      </c>
      <c r="G733" s="789" t="s">
        <v>693</v>
      </c>
      <c r="H733" s="400" t="s">
        <v>1932</v>
      </c>
      <c r="I733" s="789" t="s">
        <v>256</v>
      </c>
      <c r="J733" s="101" t="s">
        <v>257</v>
      </c>
      <c r="K733" s="1390" t="s">
        <v>265</v>
      </c>
      <c r="L733" s="400" t="s">
        <v>259</v>
      </c>
      <c r="M733" s="488">
        <v>400</v>
      </c>
      <c r="N733" s="832"/>
      <c r="O733" s="400" t="s">
        <v>260</v>
      </c>
      <c r="P733" s="400">
        <v>12</v>
      </c>
      <c r="Q733" s="400">
        <v>12</v>
      </c>
      <c r="R733" s="400">
        <v>12</v>
      </c>
      <c r="S733" s="400">
        <v>12</v>
      </c>
      <c r="T733" s="400">
        <v>14</v>
      </c>
      <c r="U733" s="400">
        <v>14</v>
      </c>
      <c r="V733" s="106">
        <f>IF(J733="Canvas",P733+Border,P733)</f>
        <v>12</v>
      </c>
      <c r="W733" s="106">
        <f>IF(J733="Canvas",Q733+Border,Q733)</f>
        <v>12</v>
      </c>
      <c r="X733" s="525" t="s">
        <v>257</v>
      </c>
      <c r="Y733" s="400">
        <v>12</v>
      </c>
      <c r="Z733" s="400">
        <v>12</v>
      </c>
      <c r="AA733" s="649">
        <f t="shared" ref="AA733:AA738" si="256">V733*W733/144</f>
        <v>1</v>
      </c>
      <c r="AB733" s="184">
        <f t="shared" ref="AB733:AB738" si="257">AA733*canonML</f>
        <v>4.8</v>
      </c>
      <c r="AC733" s="104">
        <f>Table1[[#This Row],[Print Wth]]*paper60</f>
        <v>4.08</v>
      </c>
      <c r="AD733" s="120">
        <f>Table1[[#This Row],[Ink g/mL]]*CanonC</f>
        <v>1.296</v>
      </c>
      <c r="AE733" s="121">
        <f>IF(Table1[[#This Row],[Work Center]]="SwissQ",Materials!G$37,IF(Table1[[#This Row],[Work Center]]="Inca",Materials!G$29,IF(Table1[[#This Row],[Work Center]]="Canon",Materials!G$49,Materials!G$45)))</f>
        <v>7</v>
      </c>
      <c r="AF733" s="403">
        <f>'Cali Frames'!D2</f>
        <v>0</v>
      </c>
      <c r="AG733" s="1000"/>
      <c r="AH733" s="405">
        <f t="shared" ref="AH733:AH738" si="258">(M733*0.05)</f>
        <v>20</v>
      </c>
      <c r="AI733" s="405">
        <f>IF(A733="Codarus",(M733*0.13))</f>
        <v>52</v>
      </c>
      <c r="AJ733" s="107">
        <f>SUM(AC733:AI733)</f>
        <v>84.376000000000005</v>
      </c>
      <c r="AK733" s="1068">
        <f t="shared" si="255"/>
        <v>0.78906000000000009</v>
      </c>
      <c r="AL733" s="406">
        <f>Table1[[#This Row],[WSP/Dealer]]/Table1[[#This Row],[OD Sq Inch]]</f>
        <v>2.0408163265306123</v>
      </c>
      <c r="AM733" s="399">
        <f>Table1[[#This Row],[OD Wdth]]*Table1[[#This Row],[OD Hgt]]</f>
        <v>196</v>
      </c>
      <c r="AN733" s="400">
        <f>Table1[[#This Row],[Min VO]]+Table1[[#This Row],[Max VO]]</f>
        <v>24</v>
      </c>
      <c r="AO733" s="401"/>
      <c r="AP733" s="1000">
        <v>800</v>
      </c>
      <c r="AQ733" s="1000">
        <f>(Table1[[#This Row],[Desgnr/Retail P]]*0.05)</f>
        <v>40</v>
      </c>
      <c r="AR733" s="121">
        <f>IF(A733="Codarus",(AP733*0.13))</f>
        <v>104</v>
      </c>
      <c r="AS733" s="121">
        <f>SUM(Table1[[#This Row],[Substrate $]:[GP FINISH]])+Table1[[#This Row],[Retail Royalty]]+Table1[[#This Row],[Retail$Comm]]</f>
        <v>156.376</v>
      </c>
      <c r="AT733" s="830">
        <f>IF(AP733=0,"-",(AP733-AS733)/AP733)</f>
        <v>0.80453000000000008</v>
      </c>
      <c r="AU733" s="1366">
        <f t="shared" si="254"/>
        <v>0.97988675000000003</v>
      </c>
    </row>
    <row r="734" spans="1:47" s="103" customFormat="1" hidden="1" x14ac:dyDescent="0.2">
      <c r="A734" s="400" t="s">
        <v>110</v>
      </c>
      <c r="B734" s="1322" t="s">
        <v>134</v>
      </c>
      <c r="C734" s="1390" t="s">
        <v>1933</v>
      </c>
      <c r="D734" s="689"/>
      <c r="E734" s="536" t="s">
        <v>1934</v>
      </c>
      <c r="F734" s="401" t="s">
        <v>960</v>
      </c>
      <c r="G734" s="789" t="s">
        <v>693</v>
      </c>
      <c r="H734" s="400" t="s">
        <v>1932</v>
      </c>
      <c r="I734" s="789" t="s">
        <v>256</v>
      </c>
      <c r="J734" s="101" t="s">
        <v>257</v>
      </c>
      <c r="K734" s="1390" t="s">
        <v>265</v>
      </c>
      <c r="L734" s="400" t="s">
        <v>259</v>
      </c>
      <c r="M734" s="488">
        <v>400</v>
      </c>
      <c r="N734" s="832"/>
      <c r="O734" s="400" t="s">
        <v>260</v>
      </c>
      <c r="P734" s="400">
        <v>12</v>
      </c>
      <c r="Q734" s="400">
        <v>12</v>
      </c>
      <c r="R734" s="400">
        <v>12</v>
      </c>
      <c r="S734" s="400">
        <v>12</v>
      </c>
      <c r="T734" s="400">
        <v>14</v>
      </c>
      <c r="U734" s="400">
        <v>14</v>
      </c>
      <c r="V734" s="608">
        <f>IF(J734="Canvas",P734+Border,P734)</f>
        <v>12</v>
      </c>
      <c r="W734" s="608">
        <f>IF(J734="Canvas",Q734+Border,Q734)</f>
        <v>12</v>
      </c>
      <c r="X734" s="525" t="s">
        <v>257</v>
      </c>
      <c r="Y734" s="400">
        <v>12</v>
      </c>
      <c r="Z734" s="400">
        <v>12</v>
      </c>
      <c r="AA734" s="649">
        <f t="shared" si="256"/>
        <v>1</v>
      </c>
      <c r="AB734" s="184">
        <f t="shared" si="257"/>
        <v>4.8</v>
      </c>
      <c r="AC734" s="104">
        <f>Table1[[#This Row],[Print Wth]]*paper60</f>
        <v>4.08</v>
      </c>
      <c r="AD734" s="120">
        <f>Table1[[#This Row],[Ink g/mL]]*CanonC</f>
        <v>1.296</v>
      </c>
      <c r="AE734" s="121">
        <f>IF(Table1[[#This Row],[Work Center]]="SwissQ",Materials!G$37,IF(Table1[[#This Row],[Work Center]]="Inca",Materials!G$29,IF(Table1[[#This Row],[Work Center]]="Canon",Materials!G$49,Materials!G$45)))</f>
        <v>7</v>
      </c>
      <c r="AF734" s="403">
        <f>'Cali Frames'!D2</f>
        <v>0</v>
      </c>
      <c r="AG734" s="1000"/>
      <c r="AH734" s="406">
        <f t="shared" si="258"/>
        <v>20</v>
      </c>
      <c r="AI734" s="406">
        <f>IF(A734="Codarus",(M734*0.13))</f>
        <v>52</v>
      </c>
      <c r="AJ734" s="104">
        <f>SUM(AC734:AI734)</f>
        <v>84.376000000000005</v>
      </c>
      <c r="AK734" s="1065">
        <f t="shared" si="255"/>
        <v>0.78906000000000009</v>
      </c>
      <c r="AL734" s="406">
        <f>Table1[[#This Row],[WSP/Dealer]]/Table1[[#This Row],[OD Sq Inch]]</f>
        <v>2.0408163265306123</v>
      </c>
      <c r="AM734" s="400">
        <f>Table1[[#This Row],[OD Wdth]]*Table1[[#This Row],[OD Hgt]]</f>
        <v>196</v>
      </c>
      <c r="AN734" s="400">
        <f>Table1[[#This Row],[Min VO]]+Table1[[#This Row],[Max VO]]</f>
        <v>24</v>
      </c>
      <c r="AO734" s="401"/>
      <c r="AP734" s="1000">
        <v>800</v>
      </c>
      <c r="AQ734" s="1000">
        <f>(Table1[[#This Row],[Desgnr/Retail P]]*0.05)</f>
        <v>40</v>
      </c>
      <c r="AR734" s="121">
        <f>IF(A734="Codarus",(AP734*0.13))</f>
        <v>104</v>
      </c>
      <c r="AS734" s="121">
        <f>SUM(Table1[[#This Row],[Substrate $]:[GP FINISH]])+Table1[[#This Row],[Retail Royalty]]+Table1[[#This Row],[Retail$Comm]]</f>
        <v>156.376</v>
      </c>
      <c r="AT734" s="830">
        <f>IF(AP734=0,"-",(AP734-AS734)/AP734)</f>
        <v>0.80453000000000008</v>
      </c>
      <c r="AU734" s="1366">
        <f t="shared" si="254"/>
        <v>0.97988675000000003</v>
      </c>
    </row>
    <row r="735" spans="1:47" s="63" customFormat="1" hidden="1" x14ac:dyDescent="0.2">
      <c r="A735" s="447" t="s">
        <v>187</v>
      </c>
      <c r="B735" s="279" t="s">
        <v>261</v>
      </c>
      <c r="C735" s="965" t="s">
        <v>1935</v>
      </c>
      <c r="D735" s="94"/>
      <c r="E735" s="965" t="s">
        <v>1936</v>
      </c>
      <c r="F735" s="441" t="s">
        <v>960</v>
      </c>
      <c r="G735" s="972" t="s">
        <v>1937</v>
      </c>
      <c r="H735" s="447" t="s">
        <v>1938</v>
      </c>
      <c r="I735" s="972" t="s">
        <v>256</v>
      </c>
      <c r="J735" s="421" t="s">
        <v>257</v>
      </c>
      <c r="K735" s="965" t="s">
        <v>265</v>
      </c>
      <c r="L735" s="447" t="s">
        <v>259</v>
      </c>
      <c r="M735" s="981">
        <v>425</v>
      </c>
      <c r="N735" s="71"/>
      <c r="O735" s="447" t="s">
        <v>260</v>
      </c>
      <c r="P735" s="447">
        <v>16</v>
      </c>
      <c r="Q735" s="447">
        <v>16</v>
      </c>
      <c r="R735" s="274">
        <v>12</v>
      </c>
      <c r="S735" s="274">
        <v>12</v>
      </c>
      <c r="T735" s="447">
        <v>18</v>
      </c>
      <c r="U735" s="447">
        <v>18</v>
      </c>
      <c r="V735" s="1423">
        <f>Table1[[#This Row],[VO Wdth]]+Materials!$C$50</f>
        <v>18</v>
      </c>
      <c r="W735" s="1423">
        <f>Table1[[#This Row],[VO Hgt]]+Materials!$C$50</f>
        <v>18</v>
      </c>
      <c r="X735" s="343">
        <v>24</v>
      </c>
      <c r="Y735" s="447"/>
      <c r="Z735" s="447"/>
      <c r="AA735" s="840">
        <f t="shared" si="256"/>
        <v>2.25</v>
      </c>
      <c r="AB735" s="720">
        <f t="shared" si="257"/>
        <v>10.799999999999999</v>
      </c>
      <c r="AC735" s="428">
        <f>Table1[[#This Row],[Print Ht]]*paper60</f>
        <v>6.12</v>
      </c>
      <c r="AD735" s="425">
        <f>Table1[[#This Row],[Ink g/mL]]*CanonC</f>
        <v>2.9159999999999999</v>
      </c>
      <c r="AE735" s="428">
        <f>IF(Table1[[#This Row],[Work Center]]="SwissQ",Materials!G$37,IF(Table1[[#This Row],[Work Center]]="Inca",Materials!G$29,IF(Table1[[#This Row],[Work Center]]="Canon",Materials!G$49,Materials!G$45)))</f>
        <v>7</v>
      </c>
      <c r="AF735" s="726">
        <f>'Cali Frames'!D21</f>
        <v>78.02</v>
      </c>
      <c r="AG735" s="921"/>
      <c r="AH735" s="112">
        <f t="shared" si="258"/>
        <v>21.25</v>
      </c>
      <c r="AI735" s="112"/>
      <c r="AJ735" s="428">
        <f>SUM(AC735:AH735)</f>
        <v>115.306</v>
      </c>
      <c r="AK735" s="62">
        <f t="shared" si="255"/>
        <v>0.72869176470588237</v>
      </c>
      <c r="AL735" s="225">
        <f>Table1[[#This Row],[WSP/Dealer]]/Table1[[#This Row],[OD Sq Inch]]</f>
        <v>1.3117283950617284</v>
      </c>
      <c r="AM735" s="422">
        <f>Table1[[#This Row],[OD Wdth]]*Table1[[#This Row],[OD Hgt]]</f>
        <v>324</v>
      </c>
      <c r="AN735" s="447">
        <f>Table1[[#This Row],[Min VO]]+Table1[[#This Row],[Max VO]]</f>
        <v>24</v>
      </c>
      <c r="AO735" s="441"/>
      <c r="AP735" s="441"/>
      <c r="AQ735" s="921"/>
      <c r="AR735" s="921"/>
      <c r="AS735" s="921"/>
      <c r="AT735" s="428"/>
      <c r="AU735" s="1466" t="str">
        <f t="shared" si="254"/>
        <v>-</v>
      </c>
    </row>
    <row r="736" spans="1:47" s="63" customFormat="1" hidden="1" x14ac:dyDescent="0.2">
      <c r="A736" s="274" t="s">
        <v>187</v>
      </c>
      <c r="B736" s="279" t="s">
        <v>261</v>
      </c>
      <c r="C736" s="316" t="s">
        <v>1939</v>
      </c>
      <c r="D736" s="94"/>
      <c r="E736" s="316" t="s">
        <v>1936</v>
      </c>
      <c r="F736" s="275" t="s">
        <v>960</v>
      </c>
      <c r="G736" s="315" t="s">
        <v>1937</v>
      </c>
      <c r="H736" s="274" t="s">
        <v>1938</v>
      </c>
      <c r="I736" s="315" t="s">
        <v>256</v>
      </c>
      <c r="J736" s="68" t="s">
        <v>257</v>
      </c>
      <c r="K736" s="316" t="s">
        <v>268</v>
      </c>
      <c r="L736" s="274" t="s">
        <v>269</v>
      </c>
      <c r="M736" s="980">
        <v>425</v>
      </c>
      <c r="N736" s="71"/>
      <c r="O736" s="274" t="s">
        <v>260</v>
      </c>
      <c r="P736" s="274">
        <v>16</v>
      </c>
      <c r="Q736" s="274">
        <v>16</v>
      </c>
      <c r="R736" s="274">
        <v>16</v>
      </c>
      <c r="S736" s="274">
        <v>16</v>
      </c>
      <c r="T736" s="274">
        <v>18</v>
      </c>
      <c r="U736" s="274">
        <v>18</v>
      </c>
      <c r="V736" s="686">
        <f>Table1[[#This Row],[VO Wdth]]+Materials!$C$50</f>
        <v>18</v>
      </c>
      <c r="W736" s="686">
        <f>Table1[[#This Row],[VO Hgt]]+Materials!$C$50</f>
        <v>18</v>
      </c>
      <c r="X736" s="343">
        <v>24</v>
      </c>
      <c r="Y736" s="274"/>
      <c r="Z736" s="274"/>
      <c r="AA736" s="727">
        <f t="shared" si="256"/>
        <v>2.25</v>
      </c>
      <c r="AB736" s="341">
        <f t="shared" si="257"/>
        <v>10.799999999999999</v>
      </c>
      <c r="AC736" s="278">
        <f>Table1[[#This Row],[Print Ht]]*paper60</f>
        <v>6.12</v>
      </c>
      <c r="AD736" s="278">
        <f>Table1[[#This Row],[Ink g/mL]]*CanonC</f>
        <v>2.9159999999999999</v>
      </c>
      <c r="AE736" s="278">
        <f>IF(Table1[[#This Row],[Work Center]]="SwissQ",Materials!G$37,IF(Table1[[#This Row],[Work Center]]="Inca",Materials!G$29,IF(Table1[[#This Row],[Work Center]]="Canon",Materials!G$49,Materials!G$45)))</f>
        <v>7</v>
      </c>
      <c r="AF736" s="321">
        <f>'Cali Frames'!D21</f>
        <v>78.02</v>
      </c>
      <c r="AG736" s="320"/>
      <c r="AH736" s="498">
        <f t="shared" si="258"/>
        <v>21.25</v>
      </c>
      <c r="AI736" s="498"/>
      <c r="AJ736" s="278">
        <f>SUM(AC736:AH736)</f>
        <v>115.306</v>
      </c>
      <c r="AK736" s="650">
        <f t="shared" si="255"/>
        <v>0.72869176470588237</v>
      </c>
      <c r="AL736" s="225">
        <f>Table1[[#This Row],[WSP/Dealer]]/Table1[[#This Row],[OD Sq Inch]]</f>
        <v>1.3117283950617284</v>
      </c>
      <c r="AM736" s="274">
        <f>Table1[[#This Row],[OD Wdth]]*Table1[[#This Row],[OD Hgt]]</f>
        <v>324</v>
      </c>
      <c r="AN736" s="274">
        <f>Table1[[#This Row],[Min VO]]+Table1[[#This Row],[Max VO]]</f>
        <v>32</v>
      </c>
      <c r="AO736" s="275"/>
      <c r="AP736" s="275"/>
      <c r="AQ736" s="320"/>
      <c r="AR736" s="320"/>
      <c r="AS736" s="320"/>
      <c r="AT736" s="278"/>
      <c r="AU736" s="1368" t="str">
        <f t="shared" si="254"/>
        <v>-</v>
      </c>
    </row>
    <row r="737" spans="1:47" s="63" customFormat="1" hidden="1" x14ac:dyDescent="0.2">
      <c r="A737" s="447" t="s">
        <v>187</v>
      </c>
      <c r="B737" s="279" t="s">
        <v>261</v>
      </c>
      <c r="C737" s="965" t="s">
        <v>1940</v>
      </c>
      <c r="D737" s="94"/>
      <c r="E737" s="965" t="s">
        <v>1941</v>
      </c>
      <c r="F737" s="441" t="s">
        <v>960</v>
      </c>
      <c r="G737" s="972" t="s">
        <v>1937</v>
      </c>
      <c r="H737" s="447" t="s">
        <v>1937</v>
      </c>
      <c r="I737" s="972" t="s">
        <v>256</v>
      </c>
      <c r="J737" s="421" t="s">
        <v>257</v>
      </c>
      <c r="K737" s="972" t="s">
        <v>198</v>
      </c>
      <c r="L737" s="447" t="s">
        <v>199</v>
      </c>
      <c r="M737" s="981">
        <v>270</v>
      </c>
      <c r="N737" s="71"/>
      <c r="O737" s="447" t="s">
        <v>260</v>
      </c>
      <c r="P737" s="447">
        <v>16</v>
      </c>
      <c r="Q737" s="447">
        <v>16</v>
      </c>
      <c r="R737" s="447">
        <v>16</v>
      </c>
      <c r="S737" s="447">
        <v>16</v>
      </c>
      <c r="T737" s="422">
        <v>16</v>
      </c>
      <c r="U737" s="422">
        <v>16</v>
      </c>
      <c r="V737" s="1423">
        <f>Table1[[#This Row],[VO Wdth]]+Materials!$C$50</f>
        <v>18</v>
      </c>
      <c r="W737" s="1423">
        <f>Table1[[#This Row],[VO Hgt]]+Materials!$C$50</f>
        <v>18</v>
      </c>
      <c r="X737" s="343">
        <v>24</v>
      </c>
      <c r="Y737" s="447"/>
      <c r="Z737" s="447"/>
      <c r="AA737" s="840">
        <f t="shared" si="256"/>
        <v>2.25</v>
      </c>
      <c r="AB737" s="720">
        <f t="shared" si="257"/>
        <v>10.799999999999999</v>
      </c>
      <c r="AC737" s="428">
        <f>Table1[[#This Row],[Print Ht]]*paper60</f>
        <v>6.12</v>
      </c>
      <c r="AD737" s="425">
        <f>Table1[[#This Row],[Ink g/mL]]*CanonC</f>
        <v>2.9159999999999999</v>
      </c>
      <c r="AE737" s="428">
        <f>IF(Table1[[#This Row],[Work Center]]="SwissQ",Materials!G$37,IF(Table1[[#This Row],[Work Center]]="Inca",Materials!G$29,IF(Table1[[#This Row],[Work Center]]="Canon",Materials!G$49,Materials!G$45)))</f>
        <v>7</v>
      </c>
      <c r="AF737" s="921">
        <v>0</v>
      </c>
      <c r="AG737" s="921">
        <f>Materials!D$76</f>
        <v>10.82</v>
      </c>
      <c r="AH737" s="498">
        <f t="shared" si="258"/>
        <v>13.5</v>
      </c>
      <c r="AI737" s="498"/>
      <c r="AJ737" s="425">
        <f>SUM(AC737:AH737)</f>
        <v>40.356000000000002</v>
      </c>
      <c r="AK737" s="650">
        <f t="shared" si="255"/>
        <v>0.85053333333333336</v>
      </c>
      <c r="AL737" s="225">
        <f>Table1[[#This Row],[WSP/Dealer]]/Table1[[#This Row],[OD Sq Inch]]</f>
        <v>1.0546875</v>
      </c>
      <c r="AM737" s="422">
        <f>Table1[[#This Row],[OD Wdth]]*Table1[[#This Row],[OD Hgt]]</f>
        <v>256</v>
      </c>
      <c r="AN737" s="447">
        <f>Table1[[#This Row],[Min VO]]+Table1[[#This Row],[Max VO]]</f>
        <v>32</v>
      </c>
      <c r="AO737" s="441"/>
      <c r="AP737" s="441"/>
      <c r="AQ737" s="921"/>
      <c r="AR737" s="921"/>
      <c r="AS737" s="921"/>
      <c r="AT737" s="428"/>
      <c r="AU737" s="1466" t="str">
        <f t="shared" si="254"/>
        <v>-</v>
      </c>
    </row>
    <row r="738" spans="1:47" s="20" customFormat="1" hidden="1" x14ac:dyDescent="0.2">
      <c r="A738" s="400" t="s">
        <v>110</v>
      </c>
      <c r="B738" s="1322" t="s">
        <v>134</v>
      </c>
      <c r="C738" s="1390" t="s">
        <v>1942</v>
      </c>
      <c r="D738" s="689"/>
      <c r="E738" s="536" t="s">
        <v>1943</v>
      </c>
      <c r="F738" s="401" t="s">
        <v>960</v>
      </c>
      <c r="G738" s="789" t="s">
        <v>693</v>
      </c>
      <c r="H738" s="400" t="s">
        <v>1932</v>
      </c>
      <c r="I738" s="789" t="s">
        <v>256</v>
      </c>
      <c r="J738" s="101" t="s">
        <v>257</v>
      </c>
      <c r="K738" s="1390" t="s">
        <v>265</v>
      </c>
      <c r="L738" s="400" t="s">
        <v>259</v>
      </c>
      <c r="M738" s="488">
        <v>400</v>
      </c>
      <c r="N738" s="832"/>
      <c r="O738" s="400" t="s">
        <v>260</v>
      </c>
      <c r="P738" s="400">
        <v>12</v>
      </c>
      <c r="Q738" s="400">
        <v>12</v>
      </c>
      <c r="R738" s="400">
        <v>12</v>
      </c>
      <c r="S738" s="400">
        <v>12</v>
      </c>
      <c r="T738" s="400">
        <v>14</v>
      </c>
      <c r="U738" s="400">
        <v>14</v>
      </c>
      <c r="V738" s="106">
        <f>IF(J738="Canvas",P738+Border,P738)</f>
        <v>12</v>
      </c>
      <c r="W738" s="106">
        <f>IF(J738="Canvas",Q738+Border,Q738)</f>
        <v>12</v>
      </c>
      <c r="X738" s="525" t="s">
        <v>257</v>
      </c>
      <c r="Y738" s="400">
        <v>12</v>
      </c>
      <c r="Z738" s="400">
        <v>12</v>
      </c>
      <c r="AA738" s="649">
        <f t="shared" si="256"/>
        <v>1</v>
      </c>
      <c r="AB738" s="184">
        <f t="shared" si="257"/>
        <v>4.8</v>
      </c>
      <c r="AC738" s="606">
        <f>Table1[[#This Row],[Substrate SF]]*Paper</f>
        <v>1.353</v>
      </c>
      <c r="AD738" s="107">
        <f>Table1[[#This Row],[Ink g/mL]]*CanonC</f>
        <v>1.296</v>
      </c>
      <c r="AE738" s="104">
        <f>IF(Table1[[#This Row],[Work Center]]="SwissQ",Materials!G$37,IF(Table1[[#This Row],[Work Center]]="Inca",Materials!G$29,IF(Table1[[#This Row],[Work Center]]="Canon",Materials!G$49,Materials!G$45)))</f>
        <v>7</v>
      </c>
      <c r="AF738" s="403">
        <f>'Cali Frames'!D2</f>
        <v>0</v>
      </c>
      <c r="AG738" s="1000"/>
      <c r="AH738" s="406">
        <f t="shared" si="258"/>
        <v>20</v>
      </c>
      <c r="AI738" s="406">
        <f>IF(A738="Codarus",(M738*0.13))</f>
        <v>52</v>
      </c>
      <c r="AJ738" s="104">
        <f>SUM(AC738:AI738)</f>
        <v>81.649000000000001</v>
      </c>
      <c r="AK738" s="830">
        <f t="shared" si="255"/>
        <v>0.79587750000000002</v>
      </c>
      <c r="AL738" s="660">
        <f>Table1[[#This Row],[WSP/Dealer]]/Table1[[#This Row],[OD Sq Inch]]</f>
        <v>2.0408163265306123</v>
      </c>
      <c r="AM738" s="399">
        <f>Table1[[#This Row],[OD Wdth]]*Table1[[#This Row],[OD Hgt]]</f>
        <v>196</v>
      </c>
      <c r="AN738" s="400">
        <f>Table1[[#This Row],[Min VO]]+Table1[[#This Row],[Max VO]]</f>
        <v>24</v>
      </c>
      <c r="AO738" s="401"/>
      <c r="AP738" s="1000">
        <v>800</v>
      </c>
      <c r="AQ738" s="1000">
        <f>(Table1[[#This Row],[Desgnr/Retail P]]*0.05)</f>
        <v>40</v>
      </c>
      <c r="AR738" s="121">
        <f>IF(A738="Codarus",(AP738*0.13))</f>
        <v>104</v>
      </c>
      <c r="AS738" s="121">
        <f>SUM(Table1[[#This Row],[Substrate $]:[GP FINISH]])+Table1[[#This Row],[Retail Royalty]]+Table1[[#This Row],[Retail$Comm]]</f>
        <v>153.649</v>
      </c>
      <c r="AT738" s="830">
        <f>IF(AP738=0,"-",(AP738-AS738)/AP738)</f>
        <v>0.80793875000000004</v>
      </c>
      <c r="AU738" s="1366">
        <f t="shared" si="254"/>
        <v>0.97980153125000002</v>
      </c>
    </row>
    <row r="739" spans="1:47" s="170" customFormat="1" hidden="1" x14ac:dyDescent="0.2">
      <c r="A739" s="68" t="s">
        <v>318</v>
      </c>
      <c r="B739" s="1152" t="s">
        <v>568</v>
      </c>
      <c r="C739" s="94" t="s">
        <v>1944</v>
      </c>
      <c r="D739" s="94"/>
      <c r="E739" s="172" t="s">
        <v>1945</v>
      </c>
      <c r="F739" s="84" t="s">
        <v>105</v>
      </c>
      <c r="G739" s="68" t="s">
        <v>1946</v>
      </c>
      <c r="H739" s="68" t="s">
        <v>1947</v>
      </c>
      <c r="I739" s="68" t="s">
        <v>108</v>
      </c>
      <c r="J739" s="140" t="s">
        <v>53</v>
      </c>
      <c r="K739" s="68" t="s">
        <v>814</v>
      </c>
      <c r="L739" s="68" t="s">
        <v>815</v>
      </c>
      <c r="M739" s="141">
        <v>450</v>
      </c>
      <c r="N739" s="93"/>
      <c r="O739" s="68" t="s">
        <v>109</v>
      </c>
      <c r="P739" s="68">
        <v>12</v>
      </c>
      <c r="Q739" s="68">
        <v>24</v>
      </c>
      <c r="R739" s="101">
        <v>12</v>
      </c>
      <c r="S739" s="101">
        <v>24</v>
      </c>
      <c r="T739" s="101">
        <v>15</v>
      </c>
      <c r="U739" s="101">
        <v>27</v>
      </c>
      <c r="V739" s="106">
        <f>IF(J739="Canvas",P739+BorderGW,P739)</f>
        <v>20</v>
      </c>
      <c r="W739" s="106">
        <f>IF(J739="Canvas",Q739+BorderGW,Q739)</f>
        <v>32</v>
      </c>
      <c r="X739" s="101">
        <v>40</v>
      </c>
      <c r="Y739" s="917">
        <f>Table1[[#This Row],[Print Wth]]</f>
        <v>20</v>
      </c>
      <c r="Z739" s="917">
        <f>Table1[[#This Row],[Print Ht]]</f>
        <v>32</v>
      </c>
      <c r="AA739" s="1027">
        <f>Table1[[#This Row],[Cut Width]]*Table1[[#This Row],[Cut Height]]/144</f>
        <v>4.4444444444444446</v>
      </c>
      <c r="AB739" s="1130">
        <f>Table1[[#This Row],[Print Wth]]*Table1[[#This Row],[Print Ht]]/144*EPSONM</f>
        <v>20</v>
      </c>
      <c r="AC739" s="278">
        <f>Table1[[#This Row],[Substrate SF]]*Canvas</f>
        <v>2.9333333333333336</v>
      </c>
      <c r="AD739" s="263">
        <f>Table1[[#This Row],[Ink g/mL]]*EPSONC</f>
        <v>4.4000000000000004</v>
      </c>
      <c r="AE739" s="74">
        <f>IF(Table1[[#This Row],[Work Center]]="SwissQ",Materials!G$37,IF(Table1[[#This Row],[Work Center]]="Inca",Materials!G$29,IF(Table1[[#This Row],[Work Center]]="Canon",Materials!G$49,Materials!G$45)))</f>
        <v>5</v>
      </c>
      <c r="AF739" s="535">
        <f>'Cali Frames'!D187</f>
        <v>130</v>
      </c>
      <c r="AG739" s="121"/>
      <c r="AH739" s="278">
        <f>(M739*0.13)</f>
        <v>58.5</v>
      </c>
      <c r="AI739" s="278"/>
      <c r="AJ739" s="74">
        <f>SUM(AC739:AI739)</f>
        <v>200.83333333333334</v>
      </c>
      <c r="AK739" s="1001">
        <f t="shared" si="255"/>
        <v>0.5537037037037037</v>
      </c>
      <c r="AL739" s="240">
        <f>Table1[[#This Row],[WSP/Dealer]]/Table1[[#This Row],[OD Sq Inch]]</f>
        <v>1.1111111111111112</v>
      </c>
      <c r="AM739" s="170">
        <f>Table1[[#This Row],[OD Wdth]]*Table1[[#This Row],[OD Hgt]]</f>
        <v>405</v>
      </c>
      <c r="AN739" s="274">
        <f>Table1[[#This Row],[Min VO]]+Table1[[#This Row],[Max VO]]</f>
        <v>36</v>
      </c>
      <c r="AO739" s="115"/>
      <c r="AP739" s="408"/>
      <c r="AQ739" s="121">
        <f>(Table1[[#This Row],[Desgnr/Retail P]]*0.05)</f>
        <v>0</v>
      </c>
      <c r="AR739" s="121" t="b">
        <f>IF(A739="Codarus",(AP739*0.13))</f>
        <v>0</v>
      </c>
      <c r="AS739" s="121" t="e" cm="1">
        <f t="array" ref="AS739">SUM(AC739:AG739+AQ+AR)</f>
        <v>#NAME?</v>
      </c>
      <c r="AT739" s="104" t="e">
        <f>(AP739-AS739)/AP739</f>
        <v>#NAME?</v>
      </c>
      <c r="AU739" s="1359" t="str">
        <f t="shared" si="254"/>
        <v>-</v>
      </c>
    </row>
    <row r="740" spans="1:47" s="170" customFormat="1" hidden="1" x14ac:dyDescent="0.2">
      <c r="A740" s="373"/>
      <c r="B740" s="279"/>
      <c r="C740" s="94" t="s">
        <v>1948</v>
      </c>
      <c r="D740" s="94"/>
      <c r="E740" s="172" t="s">
        <v>1945</v>
      </c>
      <c r="F740" s="83" t="s">
        <v>105</v>
      </c>
      <c r="G740" s="68" t="s">
        <v>1946</v>
      </c>
      <c r="H740" s="68" t="s">
        <v>1949</v>
      </c>
      <c r="I740" s="68" t="s">
        <v>108</v>
      </c>
      <c r="J740" s="140" t="s">
        <v>53</v>
      </c>
      <c r="K740" s="68" t="s">
        <v>69</v>
      </c>
      <c r="L740" s="68" t="s">
        <v>315</v>
      </c>
      <c r="M740" s="93"/>
      <c r="N740" s="71"/>
      <c r="O740" s="68"/>
      <c r="P740" s="68"/>
      <c r="Q740" s="68"/>
      <c r="R740" s="274">
        <v>12</v>
      </c>
      <c r="S740" s="274">
        <v>12</v>
      </c>
      <c r="T740" s="68"/>
      <c r="U740" s="68"/>
      <c r="V740" s="66"/>
      <c r="W740" s="66"/>
      <c r="X740" s="189"/>
      <c r="Y740" s="68"/>
      <c r="Z740" s="68"/>
      <c r="AA740" s="678">
        <f>V740*W740/144</f>
        <v>0</v>
      </c>
      <c r="AB740" s="297"/>
      <c r="AC740" s="74"/>
      <c r="AD740" s="118"/>
      <c r="AE740" s="126"/>
      <c r="AF740" s="535"/>
      <c r="AG740" s="126"/>
      <c r="AH740" s="498">
        <v>0</v>
      </c>
      <c r="AI740" s="498"/>
      <c r="AJ740" s="126"/>
      <c r="AK740" s="650" t="e">
        <f t="shared" si="255"/>
        <v>#DIV/0!</v>
      </c>
      <c r="AL740" s="225" t="e">
        <f>Table1[[#This Row],[WSP/Dealer]]/Table1[[#This Row],[OD Sq Inch]]</f>
        <v>#DIV/0!</v>
      </c>
      <c r="AM740" s="119"/>
      <c r="AN740" s="84"/>
      <c r="AO740" s="84"/>
      <c r="AP740" s="84"/>
      <c r="AQ740" s="126"/>
      <c r="AR740" s="126"/>
      <c r="AS740" s="126"/>
      <c r="AT740" s="74"/>
      <c r="AU740" s="1357" t="str">
        <f t="shared" si="254"/>
        <v>-</v>
      </c>
    </row>
    <row r="741" spans="1:47" s="1434" customFormat="1" hidden="1" x14ac:dyDescent="0.2">
      <c r="A741" s="101" t="s">
        <v>110</v>
      </c>
      <c r="B741" s="1064" t="s">
        <v>250</v>
      </c>
      <c r="C741" s="168" t="s">
        <v>1944</v>
      </c>
      <c r="D741" s="168"/>
      <c r="E741" s="169" t="s">
        <v>1945</v>
      </c>
      <c r="F741" s="115" t="s">
        <v>105</v>
      </c>
      <c r="G741" s="101" t="s">
        <v>1946</v>
      </c>
      <c r="H741" s="101" t="s">
        <v>1947</v>
      </c>
      <c r="I741" s="101" t="s">
        <v>108</v>
      </c>
      <c r="J741" s="487" t="s">
        <v>53</v>
      </c>
      <c r="K741" s="101" t="s">
        <v>814</v>
      </c>
      <c r="L741" s="101" t="s">
        <v>815</v>
      </c>
      <c r="M741" s="299">
        <v>550</v>
      </c>
      <c r="N741" s="114"/>
      <c r="O741" s="101" t="s">
        <v>109</v>
      </c>
      <c r="P741" s="68">
        <v>12</v>
      </c>
      <c r="Q741" s="68">
        <v>24</v>
      </c>
      <c r="R741" s="101">
        <v>12</v>
      </c>
      <c r="S741" s="101">
        <v>24</v>
      </c>
      <c r="T741" s="101">
        <v>15</v>
      </c>
      <c r="U741" s="101">
        <v>27</v>
      </c>
      <c r="V741" s="106">
        <f>IF(J741="Canvas",P741+BorderGW,P741)</f>
        <v>20</v>
      </c>
      <c r="W741" s="106">
        <f>IF(J741="Canvas",Q741+BorderGW,Q741)</f>
        <v>32</v>
      </c>
      <c r="X741" s="101">
        <v>40</v>
      </c>
      <c r="Y741" s="608">
        <f>Table1[[#This Row],[Print Wth]]</f>
        <v>20</v>
      </c>
      <c r="Z741" s="608">
        <f>Table1[[#This Row],[Print Ht]]</f>
        <v>32</v>
      </c>
      <c r="AA741" s="1011">
        <f>Table1[[#This Row],[Cut Width]]*Table1[[#This Row],[Cut Height]]/144</f>
        <v>4.4444444444444446</v>
      </c>
      <c r="AB741" s="1015">
        <f>Table1[[#This Row],[Print Wth]]*Table1[[#This Row],[Print Ht]]/144*EPSONM</f>
        <v>20</v>
      </c>
      <c r="AC741" s="406">
        <f>Table1[[#This Row],[Substrate SF]]*Canvas</f>
        <v>2.9333333333333336</v>
      </c>
      <c r="AD741" s="405">
        <f>Table1[[#This Row],[Ink g/mL]]*EPSONC</f>
        <v>4.4000000000000004</v>
      </c>
      <c r="AE741" s="104">
        <f>IF(Table1[[#This Row],[Work Center]]="SwissQ",Materials!G$37,IF(Table1[[#This Row],[Work Center]]="Inca",Materials!G$29,IF(Table1[[#This Row],[Work Center]]="Canon",Materials!G$49,Materials!G$45)))</f>
        <v>5</v>
      </c>
      <c r="AF741" s="408">
        <f>'Cali Frames'!D187</f>
        <v>130</v>
      </c>
      <c r="AG741" s="121"/>
      <c r="AH741" s="406">
        <f>(M741*0.13)</f>
        <v>71.5</v>
      </c>
      <c r="AI741" s="406">
        <f>IF(A741="Codarus",(M741*0.13))</f>
        <v>71.5</v>
      </c>
      <c r="AJ741" s="104">
        <f>SUM(AC741:AI741)</f>
        <v>285.33333333333337</v>
      </c>
      <c r="AK741" s="830">
        <f t="shared" si="255"/>
        <v>0.48121212121212115</v>
      </c>
      <c r="AL741" s="660">
        <f>Table1[[#This Row],[WSP/Dealer]]/Table1[[#This Row],[OD Sq Inch]]</f>
        <v>1.3580246913580247</v>
      </c>
      <c r="AM741" s="399">
        <f>Table1[[#This Row],[OD Wdth]]*Table1[[#This Row],[OD Hgt]]</f>
        <v>405</v>
      </c>
      <c r="AN741" s="400">
        <f>Table1[[#This Row],[Min VO]]+Table1[[#This Row],[Max VO]]</f>
        <v>36</v>
      </c>
      <c r="AO741" s="115"/>
      <c r="AP741" s="408">
        <v>1100</v>
      </c>
      <c r="AQ741" s="1000">
        <f>(Table1[[#This Row],[Desgnr/Retail P]]*0.05)</f>
        <v>55</v>
      </c>
      <c r="AR741" s="121">
        <f>IF(A741="Codarus",(AP741*0.13))</f>
        <v>143</v>
      </c>
      <c r="AS741" s="121">
        <f>SUM(Table1[[#This Row],[Substrate $]:[GP FINISH]])+Table1[[#This Row],[Retail Royalty]]+Table1[[#This Row],[Retail$Comm]]</f>
        <v>340.33333333333337</v>
      </c>
      <c r="AT741" s="830">
        <f>IF(AP741=0,"-",(AP741-AS741)/AP741)</f>
        <v>0.69060606060606056</v>
      </c>
      <c r="AU741" s="1366">
        <f t="shared" si="254"/>
        <v>0.987443526170799</v>
      </c>
    </row>
    <row r="742" spans="1:47" s="399" customFormat="1" hidden="1" x14ac:dyDescent="0.2">
      <c r="A742" s="68"/>
      <c r="B742" s="1072"/>
      <c r="C742" s="94" t="s">
        <v>1950</v>
      </c>
      <c r="D742" s="94"/>
      <c r="E742" s="172" t="s">
        <v>1951</v>
      </c>
      <c r="F742" s="84" t="s">
        <v>105</v>
      </c>
      <c r="G742" s="68" t="s">
        <v>1952</v>
      </c>
      <c r="H742" s="68" t="s">
        <v>1953</v>
      </c>
      <c r="I742" s="68" t="s">
        <v>108</v>
      </c>
      <c r="J742" s="140" t="s">
        <v>53</v>
      </c>
      <c r="K742" s="68" t="s">
        <v>69</v>
      </c>
      <c r="L742" s="68" t="s">
        <v>315</v>
      </c>
      <c r="M742" s="93"/>
      <c r="N742" s="93"/>
      <c r="O742" s="68"/>
      <c r="P742" s="68"/>
      <c r="Q742" s="68"/>
      <c r="R742" s="68"/>
      <c r="S742" s="68"/>
      <c r="T742" s="68"/>
      <c r="U742" s="68"/>
      <c r="V742" s="917"/>
      <c r="W742" s="917"/>
      <c r="X742" s="68"/>
      <c r="Y742" s="68"/>
      <c r="Z742" s="68"/>
      <c r="AA742" s="699"/>
      <c r="AB742" s="297"/>
      <c r="AC742" s="74"/>
      <c r="AD742" s="118"/>
      <c r="AE742" s="126"/>
      <c r="AF742" s="535"/>
      <c r="AG742" s="126"/>
      <c r="AH742" s="126"/>
      <c r="AI742" s="126"/>
      <c r="AJ742" s="126"/>
      <c r="AK742" s="1001"/>
      <c r="AL742" s="126"/>
      <c r="AM742" s="119"/>
      <c r="AN742" s="84"/>
      <c r="AO742" s="84"/>
      <c r="AP742" s="84"/>
      <c r="AQ742" s="126"/>
      <c r="AR742" s="126"/>
      <c r="AS742" s="126"/>
      <c r="AT742" s="74"/>
      <c r="AU742" s="1357" t="str">
        <f t="shared" si="254"/>
        <v>-</v>
      </c>
    </row>
    <row r="743" spans="1:47" s="170" customFormat="1" hidden="1" x14ac:dyDescent="0.2">
      <c r="A743" s="68" t="s">
        <v>187</v>
      </c>
      <c r="B743" s="279" t="s">
        <v>261</v>
      </c>
      <c r="C743" s="94" t="s">
        <v>1954</v>
      </c>
      <c r="D743" s="94"/>
      <c r="E743" s="172" t="s">
        <v>1955</v>
      </c>
      <c r="F743" s="172" t="s">
        <v>1956</v>
      </c>
      <c r="G743" s="68" t="s">
        <v>276</v>
      </c>
      <c r="H743" s="68"/>
      <c r="I743" s="68" t="s">
        <v>108</v>
      </c>
      <c r="J743" s="140" t="s">
        <v>257</v>
      </c>
      <c r="K743" s="68" t="s">
        <v>198</v>
      </c>
      <c r="L743" s="68" t="s">
        <v>199</v>
      </c>
      <c r="M743" s="141">
        <v>100</v>
      </c>
      <c r="N743" s="71"/>
      <c r="O743" s="68" t="s">
        <v>260</v>
      </c>
      <c r="P743" s="68">
        <v>16</v>
      </c>
      <c r="Q743" s="68">
        <v>16</v>
      </c>
      <c r="R743" s="274">
        <v>12</v>
      </c>
      <c r="S743" s="170">
        <v>12</v>
      </c>
      <c r="T743" s="68">
        <v>18</v>
      </c>
      <c r="U743" s="68">
        <v>18</v>
      </c>
      <c r="V743" s="66">
        <f>Table1[[#This Row],[VO Wdth]]+Materials!$C$50</f>
        <v>18</v>
      </c>
      <c r="W743" s="66">
        <f>Table1[[#This Row],[VO Hgt]]+Materials!$C$50</f>
        <v>18</v>
      </c>
      <c r="X743" s="189" t="s">
        <v>257</v>
      </c>
      <c r="Y743" s="68"/>
      <c r="Z743" s="68"/>
      <c r="AA743" s="699">
        <f>V743*W743/144</f>
        <v>2.25</v>
      </c>
      <c r="AB743" s="297">
        <f>AA743*canonML</f>
        <v>10.799999999999999</v>
      </c>
      <c r="AC743" s="74">
        <f>Table1[[#This Row],[Print Ht]]*paper60</f>
        <v>6.12</v>
      </c>
      <c r="AD743" s="67">
        <f>Table1[[#This Row],[Ink g/mL]]*CanonC</f>
        <v>2.9159999999999999</v>
      </c>
      <c r="AE743" s="104">
        <f>IF(Table1[[#This Row],[Work Center]]="SwissQ",Materials!G$37,IF(Table1[[#This Row],[Work Center]]="Inca",Materials!G$29,IF(Table1[[#This Row],[Work Center]]="Canon",Materials!G$49,Materials!G$45)))</f>
        <v>7</v>
      </c>
      <c r="AF743" s="260"/>
      <c r="AG743" s="126">
        <f>Materials!D$76</f>
        <v>10.82</v>
      </c>
      <c r="AH743" s="112">
        <f>(M743*0.05)</f>
        <v>5</v>
      </c>
      <c r="AI743" s="112"/>
      <c r="AJ743" s="263">
        <f>SUM(AC743:AH743)</f>
        <v>31.856000000000002</v>
      </c>
      <c r="AK743" s="62">
        <f t="shared" ref="AK743:AK780" si="259">(M743-AJ743)/M743</f>
        <v>0.68144000000000005</v>
      </c>
      <c r="AL743" s="225">
        <f>Table1[[#This Row],[WSP/Dealer]]/Table1[[#This Row],[OD Sq Inch]]</f>
        <v>0.30864197530864196</v>
      </c>
      <c r="AM743" s="170">
        <f>Table1[[#This Row],[OD Wdth]]*Table1[[#This Row],[OD Hgt]]</f>
        <v>324</v>
      </c>
      <c r="AN743" s="216">
        <f>Table1[[#This Row],[Min VO]]+Table1[[#This Row],[Max VO]]</f>
        <v>24</v>
      </c>
      <c r="AO743" s="84"/>
      <c r="AP743" s="84"/>
      <c r="AQ743" s="126"/>
      <c r="AR743" s="126"/>
      <c r="AS743" s="126"/>
      <c r="AT743" s="74"/>
      <c r="AU743" s="1357" t="str">
        <f t="shared" si="254"/>
        <v>-</v>
      </c>
    </row>
    <row r="744" spans="1:47" s="170" customFormat="1" hidden="1" x14ac:dyDescent="0.2">
      <c r="A744" s="68" t="s">
        <v>101</v>
      </c>
      <c r="B744" s="1152" t="s">
        <v>102</v>
      </c>
      <c r="C744" s="94" t="s">
        <v>1957</v>
      </c>
      <c r="D744" s="94"/>
      <c r="E744" s="172" t="s">
        <v>1958</v>
      </c>
      <c r="F744" s="172" t="s">
        <v>105</v>
      </c>
      <c r="G744" s="68" t="s">
        <v>350</v>
      </c>
      <c r="H744" s="68" t="s">
        <v>1087</v>
      </c>
      <c r="I744" s="68" t="s">
        <v>256</v>
      </c>
      <c r="J744" s="140" t="s">
        <v>257</v>
      </c>
      <c r="K744" s="68" t="s">
        <v>258</v>
      </c>
      <c r="L744" s="68" t="s">
        <v>259</v>
      </c>
      <c r="M744" s="141">
        <v>156</v>
      </c>
      <c r="N744" s="93"/>
      <c r="O744" s="68" t="s">
        <v>260</v>
      </c>
      <c r="P744" s="68">
        <v>12</v>
      </c>
      <c r="Q744" s="68">
        <v>16</v>
      </c>
      <c r="R744" s="68">
        <v>12</v>
      </c>
      <c r="S744" s="68">
        <v>16</v>
      </c>
      <c r="T744" s="68">
        <v>14</v>
      </c>
      <c r="U744" s="68">
        <v>18</v>
      </c>
      <c r="V744" s="66">
        <f>Table1[[#This Row],[VO Wdth]]+Materials!$C$50</f>
        <v>14</v>
      </c>
      <c r="W744" s="66">
        <f>Table1[[#This Row],[VO Hgt]]+Materials!$C$50</f>
        <v>18</v>
      </c>
      <c r="X744" s="68" t="s">
        <v>257</v>
      </c>
      <c r="Y744" s="1347">
        <f>Table1[[#This Row],[Print Wth]]+Materials!$C$7</f>
        <v>16</v>
      </c>
      <c r="Z744" s="1347">
        <f>Table1[[#This Row],[Print Ht]]+Materials!$C$7</f>
        <v>20</v>
      </c>
      <c r="AA744" s="1027">
        <f>(Table1[[#This Row],[Cut Width]]*Table1[[#This Row],[Cut Height]])/144</f>
        <v>2.2222222222222223</v>
      </c>
      <c r="AB744" s="297">
        <f>(Table1[[#This Row],[Print Wth]]*Table1[[#This Row],[Print Ht]])/144*canonML</f>
        <v>8.4</v>
      </c>
      <c r="AC744" s="74">
        <f>Table1[[#This Row],[Substrate SF]]*Paper</f>
        <v>3.0066666666666668</v>
      </c>
      <c r="AD744" s="67">
        <f>(Table1[[#This Row],[Print Wth]]*Table1[[#This Row],[Print Ht]])/144*CanonC</f>
        <v>0.47250000000000003</v>
      </c>
      <c r="AE744" s="74">
        <f>IF(Table1[[#This Row],[Work Center]]="SwissQ",Materials!G$37,IF(Table1[[#This Row],[Work Center]]="Inca",Materials!G$29,IF(Table1[[#This Row],[Work Center]]="Canon",Materials!G$49,Materials!G$45)))</f>
        <v>7</v>
      </c>
      <c r="AF744" s="1234">
        <f>'Cali Frames'!D12</f>
        <v>75.78</v>
      </c>
      <c r="AG744" s="126"/>
      <c r="AH744" s="67">
        <v>0</v>
      </c>
      <c r="AI744" s="67"/>
      <c r="AJ744" s="278">
        <f>SUM(AC744:AH744)</f>
        <v>86.259166666666673</v>
      </c>
      <c r="AK744" s="661">
        <f t="shared" si="259"/>
        <v>0.44705662393162388</v>
      </c>
      <c r="AL744" s="240">
        <f>Table1[[#This Row],[WSP/Dealer]]/Table1[[#This Row],[OD Sq Inch]]</f>
        <v>0.61904761904761907</v>
      </c>
      <c r="AM744" s="170">
        <f>Table1[[#This Row],[OD Wdth]]*Table1[[#This Row],[OD Hgt]]</f>
        <v>252</v>
      </c>
      <c r="AN744" s="238">
        <f>Table1[[#This Row],[Min VO]]+Table1[[#This Row],[Max VO]]</f>
        <v>28</v>
      </c>
      <c r="AO744" s="84"/>
      <c r="AP744" s="84"/>
      <c r="AQ744" s="126"/>
      <c r="AR744" s="126"/>
      <c r="AS744" s="126"/>
      <c r="AT744" s="74"/>
      <c r="AU744" s="1357" t="str">
        <f t="shared" si="254"/>
        <v>-</v>
      </c>
    </row>
    <row r="745" spans="1:47" s="399" customFormat="1" hidden="1" x14ac:dyDescent="0.2">
      <c r="A745" s="101" t="s">
        <v>110</v>
      </c>
      <c r="B745" s="1067" t="s">
        <v>250</v>
      </c>
      <c r="C745" s="168" t="s">
        <v>1959</v>
      </c>
      <c r="D745" s="168"/>
      <c r="E745" s="169" t="s">
        <v>1960</v>
      </c>
      <c r="F745" s="169" t="s">
        <v>105</v>
      </c>
      <c r="G745" s="101" t="s">
        <v>302</v>
      </c>
      <c r="H745" s="101" t="s">
        <v>303</v>
      </c>
      <c r="I745" s="101" t="s">
        <v>256</v>
      </c>
      <c r="J745" s="487" t="s">
        <v>257</v>
      </c>
      <c r="K745" s="101" t="s">
        <v>258</v>
      </c>
      <c r="L745" s="101" t="s">
        <v>259</v>
      </c>
      <c r="M745" s="114">
        <v>550</v>
      </c>
      <c r="N745" s="114"/>
      <c r="O745" s="101" t="s">
        <v>260</v>
      </c>
      <c r="P745" s="101">
        <v>24</v>
      </c>
      <c r="Q745" s="101">
        <v>32</v>
      </c>
      <c r="R745" s="101">
        <v>24</v>
      </c>
      <c r="S745" s="101">
        <v>32</v>
      </c>
      <c r="T745" s="101">
        <v>26</v>
      </c>
      <c r="U745" s="101">
        <v>34</v>
      </c>
      <c r="V745" s="608">
        <f>IF(J745="Canvas",P745+Border,P745)</f>
        <v>24</v>
      </c>
      <c r="W745" s="608">
        <f>IF(J745="Canvas",Q745+Border,Q745)</f>
        <v>32</v>
      </c>
      <c r="X745" s="101" t="s">
        <v>257</v>
      </c>
      <c r="Y745" s="1345">
        <f>Table1[[#This Row],[Print Wth]]+Materials!$C$7</f>
        <v>26</v>
      </c>
      <c r="Z745" s="1345">
        <f>Table1[[#This Row],[Print Ht]]+Materials!$C$7</f>
        <v>34</v>
      </c>
      <c r="AA745" s="1011">
        <f>(Table1[[#This Row],[Cut Width]]*Table1[[#This Row],[Cut Height]])/144</f>
        <v>6.1388888888888893</v>
      </c>
      <c r="AB745" s="184">
        <f>(Table1[[#This Row],[Print Wth]]*Table1[[#This Row],[Print Ht]])/144*canonML</f>
        <v>25.599999999999998</v>
      </c>
      <c r="AC745" s="104">
        <f>Table1[[#This Row],[Substrate SF]]*Paper</f>
        <v>8.3059166666666666</v>
      </c>
      <c r="AD745" s="107">
        <f>(Table1[[#This Row],[Print Wth]]*Table1[[#This Row],[Print Ht]])/144*CanonC</f>
        <v>1.44</v>
      </c>
      <c r="AE745" s="104">
        <f>IF(Table1[[#This Row],[Work Center]]="SwissQ",Materials!G$37,IF(Table1[[#This Row],[Work Center]]="Inca",Materials!G$29,IF(Table1[[#This Row],[Work Center]]="Canon",Materials!G$49,Materials!G$45)))</f>
        <v>7</v>
      </c>
      <c r="AF745" s="1018">
        <f>'Cali Frames'!D36</f>
        <v>114.08</v>
      </c>
      <c r="AG745" s="121"/>
      <c r="AH745" s="405">
        <f>(M745*0.13)</f>
        <v>71.5</v>
      </c>
      <c r="AI745" s="405">
        <f>IF(A745="Codarus",(M745*0.13))</f>
        <v>71.5</v>
      </c>
      <c r="AJ745" s="104">
        <f>SUM(AC745:AI745)</f>
        <v>273.82591666666667</v>
      </c>
      <c r="AK745" s="108">
        <f t="shared" si="259"/>
        <v>0.50213469696969693</v>
      </c>
      <c r="AL745" s="660">
        <f>Table1[[#This Row],[WSP/Dealer]]/Table1[[#This Row],[OD Sq Inch]]</f>
        <v>0.62217194570135748</v>
      </c>
      <c r="AM745" s="399">
        <f>Table1[[#This Row],[OD Wdth]]*Table1[[#This Row],[OD Hgt]]</f>
        <v>884</v>
      </c>
      <c r="AN745" s="400">
        <f>Table1[[#This Row],[Min VO]]+Table1[[#This Row],[Max VO]]</f>
        <v>56</v>
      </c>
      <c r="AO745" s="115"/>
      <c r="AP745" s="408">
        <v>1100</v>
      </c>
      <c r="AQ745" s="1000">
        <f>(Table1[[#This Row],[Desgnr/Retail P]]*0.05)</f>
        <v>55</v>
      </c>
      <c r="AR745" s="121">
        <f>IF(A745="Codarus",(AP745*0.13))</f>
        <v>143</v>
      </c>
      <c r="AS745" s="121">
        <f>SUM(Table1[[#This Row],[Substrate $]:[GP FINISH]])+Table1[[#This Row],[Retail Royalty]]+Table1[[#This Row],[Retail$Comm]]</f>
        <v>328.82591666666667</v>
      </c>
      <c r="AT745" s="830">
        <f>IF(AP745=0,"-",(AP745-AS745)/AP745)</f>
        <v>0.70106734848484853</v>
      </c>
      <c r="AU745" s="1366">
        <f t="shared" si="254"/>
        <v>0.98725332093663909</v>
      </c>
    </row>
    <row r="746" spans="1:47" s="399" customFormat="1" hidden="1" x14ac:dyDescent="0.2">
      <c r="A746" s="101" t="s">
        <v>110</v>
      </c>
      <c r="B746" s="1067" t="s">
        <v>250</v>
      </c>
      <c r="C746" s="100" t="s">
        <v>1961</v>
      </c>
      <c r="D746" s="168"/>
      <c r="E746" s="100" t="s">
        <v>1962</v>
      </c>
      <c r="F746" s="115" t="s">
        <v>301</v>
      </c>
      <c r="G746" s="101" t="s">
        <v>302</v>
      </c>
      <c r="H746" s="101" t="s">
        <v>303</v>
      </c>
      <c r="I746" s="101" t="s">
        <v>256</v>
      </c>
      <c r="J746" s="487" t="s">
        <v>257</v>
      </c>
      <c r="K746" s="101" t="s">
        <v>258</v>
      </c>
      <c r="L746" s="101" t="s">
        <v>259</v>
      </c>
      <c r="M746" s="102">
        <v>550</v>
      </c>
      <c r="N746" s="102"/>
      <c r="O746" s="101" t="s">
        <v>260</v>
      </c>
      <c r="P746" s="101">
        <v>24</v>
      </c>
      <c r="Q746" s="101">
        <v>32</v>
      </c>
      <c r="R746" s="101">
        <v>24</v>
      </c>
      <c r="S746" s="101">
        <v>32</v>
      </c>
      <c r="T746" s="101">
        <v>26</v>
      </c>
      <c r="U746" s="101">
        <v>34</v>
      </c>
      <c r="V746" s="608">
        <f>IF(J746="Canvas",P746+Border,P746)</f>
        <v>24</v>
      </c>
      <c r="W746" s="608">
        <f>IF(J746="Canvas",Q746+Border,Q746)</f>
        <v>32</v>
      </c>
      <c r="X746" s="101" t="s">
        <v>257</v>
      </c>
      <c r="Y746" s="1345">
        <f>Table1[[#This Row],[Print Wth]]+Materials!$C$7</f>
        <v>26</v>
      </c>
      <c r="Z746" s="1345">
        <f>Table1[[#This Row],[Print Ht]]+Materials!$C$7</f>
        <v>34</v>
      </c>
      <c r="AA746" s="1011">
        <f>(Table1[[#This Row],[Cut Width]]*Table1[[#This Row],[Cut Height]])/144</f>
        <v>6.1388888888888893</v>
      </c>
      <c r="AB746" s="184">
        <f>(Table1[[#This Row],[Print Wth]]*Table1[[#This Row],[Print Ht]])/144*canonML</f>
        <v>25.599999999999998</v>
      </c>
      <c r="AC746" s="104">
        <f>Table1[[#This Row],[Substrate SF]]*Paper</f>
        <v>8.3059166666666666</v>
      </c>
      <c r="AD746" s="107">
        <f>(Table1[[#This Row],[Print Wth]]*Table1[[#This Row],[Print Ht]])/144*CanonC</f>
        <v>1.44</v>
      </c>
      <c r="AE746" s="104">
        <f>IF(Table1[[#This Row],[Work Center]]="SwissQ",Materials!G$37,IF(Table1[[#This Row],[Work Center]]="Inca",Materials!G$29,IF(Table1[[#This Row],[Work Center]]="Canon",Materials!G$49,Materials!G$45)))</f>
        <v>7</v>
      </c>
      <c r="AF746" s="104">
        <f>'Cali Frames'!D36</f>
        <v>114.08</v>
      </c>
      <c r="AG746" s="115"/>
      <c r="AH746" s="406">
        <f>(M746*0.13)</f>
        <v>71.5</v>
      </c>
      <c r="AI746" s="406">
        <f>IF(A746="Codarus",(M746*0.13))</f>
        <v>71.5</v>
      </c>
      <c r="AJ746" s="104">
        <f>SUM(AC746:AI746)</f>
        <v>273.82591666666667</v>
      </c>
      <c r="AK746" s="830">
        <f t="shared" si="259"/>
        <v>0.50213469696969693</v>
      </c>
      <c r="AL746" s="660">
        <f>Table1[[#This Row],[WSP/Dealer]]/Table1[[#This Row],[OD Sq Inch]]</f>
        <v>0.62217194570135748</v>
      </c>
      <c r="AM746" s="399">
        <f>Table1[[#This Row],[OD Wdth]]*Table1[[#This Row],[OD Hgt]]</f>
        <v>884</v>
      </c>
      <c r="AN746" s="400">
        <f>Table1[[#This Row],[Min VO]]+Table1[[#This Row],[Max VO]]</f>
        <v>56</v>
      </c>
      <c r="AO746" s="101"/>
      <c r="AP746" s="408">
        <v>1100</v>
      </c>
      <c r="AQ746" s="1000">
        <f>(Table1[[#This Row],[Desgnr/Retail P]]*0.05)</f>
        <v>55</v>
      </c>
      <c r="AR746" s="121">
        <f>IF(A746="Codarus",(AP746*0.13))</f>
        <v>143</v>
      </c>
      <c r="AS746" s="121">
        <f>SUM(Table1[[#This Row],[Substrate $]:[GP FINISH]])+Table1[[#This Row],[Retail Royalty]]+Table1[[#This Row],[Retail$Comm]]</f>
        <v>328.82591666666667</v>
      </c>
      <c r="AT746" s="830">
        <f>IF(AP746=0,"-",(AP746-AS746)/AP746)</f>
        <v>0.70106734848484853</v>
      </c>
      <c r="AU746" s="1366">
        <f t="shared" si="254"/>
        <v>0.98725332093663909</v>
      </c>
    </row>
    <row r="747" spans="1:47" s="309" customFormat="1" hidden="1" x14ac:dyDescent="0.2">
      <c r="A747" s="68" t="s">
        <v>318</v>
      </c>
      <c r="B747" s="1152" t="s">
        <v>111</v>
      </c>
      <c r="C747" s="78" t="s">
        <v>1963</v>
      </c>
      <c r="D747" s="94"/>
      <c r="E747" s="84" t="s">
        <v>1964</v>
      </c>
      <c r="F747" s="84" t="s">
        <v>634</v>
      </c>
      <c r="G747" s="68" t="s">
        <v>519</v>
      </c>
      <c r="H747" s="68" t="s">
        <v>974</v>
      </c>
      <c r="I747" s="68" t="s">
        <v>52</v>
      </c>
      <c r="J747" s="140" t="s">
        <v>53</v>
      </c>
      <c r="K747" s="68" t="s">
        <v>69</v>
      </c>
      <c r="L747" s="68" t="s">
        <v>70</v>
      </c>
      <c r="M747" s="93">
        <v>220</v>
      </c>
      <c r="N747" s="93"/>
      <c r="O747" s="68" t="s">
        <v>64</v>
      </c>
      <c r="P747" s="68">
        <v>16</v>
      </c>
      <c r="Q747" s="68">
        <v>20</v>
      </c>
      <c r="R747" s="68">
        <v>16</v>
      </c>
      <c r="S747" s="68">
        <v>20</v>
      </c>
      <c r="T747" s="68">
        <v>18</v>
      </c>
      <c r="U747" s="68">
        <v>22</v>
      </c>
      <c r="V747" s="66">
        <f t="shared" ref="V747:V754" si="260">IF(J747="Canvas",P747+BorderGW,P747)</f>
        <v>24</v>
      </c>
      <c r="W747" s="66">
        <f t="shared" ref="W747:W754" si="261">IF(J747="Canvas",Q747+BorderGW,Q747)</f>
        <v>28</v>
      </c>
      <c r="X747" s="68" t="s">
        <v>165</v>
      </c>
      <c r="Y747" s="68">
        <v>24</v>
      </c>
      <c r="Z747" s="68">
        <v>28</v>
      </c>
      <c r="AA747" s="952">
        <f>V747*W747/144</f>
        <v>4.666666666666667</v>
      </c>
      <c r="AB747" s="297">
        <f>AA747*Swiss1</f>
        <v>132.06666666666669</v>
      </c>
      <c r="AC747" s="74">
        <f>AA747*Canvas</f>
        <v>3.0800000000000005</v>
      </c>
      <c r="AD747" s="67">
        <f>Table1[[#This Row],[Substrate SF]]*Materials!C$37</f>
        <v>13.066666666666666</v>
      </c>
      <c r="AE747" s="74">
        <f>IF(Table1[[#This Row],[Work Center]]="SwissQ",Materials!G$37,IF(Table1[[#This Row],[Work Center]]="Inca",Materials!G$29,IF(Table1[[#This Row],[Work Center]]="Canon",Materials!G$49,Materials!G$45)))</f>
        <v>20</v>
      </c>
      <c r="AF747" s="73">
        <f>'Cali Frames'!D267</f>
        <v>82.757499999999993</v>
      </c>
      <c r="AG747" s="84"/>
      <c r="AH747" s="74">
        <f t="shared" ref="AH747:AH754" si="262">(M747*0.05)</f>
        <v>11</v>
      </c>
      <c r="AI747" s="74"/>
      <c r="AJ747" s="278">
        <f t="shared" ref="AJ747:AJ767" si="263">SUM(AC747:AH747)</f>
        <v>129.90416666666667</v>
      </c>
      <c r="AK747" s="1001">
        <f t="shared" si="259"/>
        <v>0.40952651515151517</v>
      </c>
      <c r="AL747" s="240">
        <f>Table1[[#This Row],[WSP/Dealer]]/Table1[[#This Row],[OD Sq Inch]]</f>
        <v>0.55555555555555558</v>
      </c>
      <c r="AM747" s="170">
        <f>Table1[[#This Row],[OD Wdth]]*Table1[[#This Row],[OD Hgt]]</f>
        <v>396</v>
      </c>
      <c r="AN747" s="274">
        <f>Table1[[#This Row],[Min VO]]+Table1[[#This Row],[Max VO]]</f>
        <v>36</v>
      </c>
      <c r="AO747" s="84"/>
      <c r="AP747" s="84"/>
      <c r="AQ747" s="74"/>
      <c r="AR747" s="74"/>
      <c r="AS747" s="74"/>
      <c r="AT747" s="74"/>
      <c r="AU747" s="1357" t="str">
        <f t="shared" si="254"/>
        <v>-</v>
      </c>
    </row>
    <row r="748" spans="1:47" s="1427" customFormat="1" hidden="1" x14ac:dyDescent="0.2">
      <c r="A748" s="551" t="s">
        <v>318</v>
      </c>
      <c r="B748" s="1107" t="s">
        <v>111</v>
      </c>
      <c r="C748" s="805" t="s">
        <v>1965</v>
      </c>
      <c r="D748" s="77"/>
      <c r="E748" s="653" t="s">
        <v>1964</v>
      </c>
      <c r="F748" s="84" t="s">
        <v>634</v>
      </c>
      <c r="G748" s="551" t="s">
        <v>519</v>
      </c>
      <c r="H748" s="551" t="s">
        <v>974</v>
      </c>
      <c r="I748" s="551" t="s">
        <v>52</v>
      </c>
      <c r="J748" s="856" t="s">
        <v>53</v>
      </c>
      <c r="K748" s="551" t="s">
        <v>69</v>
      </c>
      <c r="L748" s="551" t="s">
        <v>73</v>
      </c>
      <c r="M748" s="857">
        <v>220</v>
      </c>
      <c r="N748" s="1167"/>
      <c r="O748" s="551" t="s">
        <v>64</v>
      </c>
      <c r="P748" s="551">
        <v>16</v>
      </c>
      <c r="Q748" s="551">
        <v>20</v>
      </c>
      <c r="R748" s="551">
        <v>16</v>
      </c>
      <c r="S748" s="551">
        <v>20</v>
      </c>
      <c r="T748" s="551">
        <v>18</v>
      </c>
      <c r="U748" s="551">
        <v>22</v>
      </c>
      <c r="V748" s="859">
        <f t="shared" si="260"/>
        <v>24</v>
      </c>
      <c r="W748" s="859">
        <f t="shared" si="261"/>
        <v>28</v>
      </c>
      <c r="X748" s="551" t="s">
        <v>165</v>
      </c>
      <c r="Y748" s="551">
        <v>24</v>
      </c>
      <c r="Z748" s="551">
        <v>28</v>
      </c>
      <c r="AA748" s="892">
        <f>V748*W748/144</f>
        <v>4.666666666666667</v>
      </c>
      <c r="AB748" s="125">
        <f>AA748*Swiss1</f>
        <v>132.06666666666669</v>
      </c>
      <c r="AC748" s="69">
        <f>AA748*Canvas</f>
        <v>3.0800000000000005</v>
      </c>
      <c r="AD748" s="48">
        <f>Table1[[#This Row],[Substrate SF]]*Materials!C$37</f>
        <v>13.066666666666666</v>
      </c>
      <c r="AE748" s="863">
        <f>IF(Table1[[#This Row],[Work Center]]="SwissQ",Materials!G$37,IF(Table1[[#This Row],[Work Center]]="Inca",Materials!G$29,IF(Table1[[#This Row],[Work Center]]="Canon",Materials!G$49,Materials!G$45)))</f>
        <v>20</v>
      </c>
      <c r="AF748" s="902">
        <f>'Cali Frames'!D414</f>
        <v>89.83</v>
      </c>
      <c r="AG748" s="653"/>
      <c r="AH748" s="863">
        <f t="shared" si="262"/>
        <v>11</v>
      </c>
      <c r="AI748" s="863"/>
      <c r="AJ748" s="867">
        <f t="shared" si="263"/>
        <v>136.97666666666666</v>
      </c>
      <c r="AK748" s="1163">
        <f t="shared" si="259"/>
        <v>0.37737878787878792</v>
      </c>
      <c r="AL748" s="895">
        <f>Table1[[#This Row],[WSP/Dealer]]/Table1[[#This Row],[OD Sq Inch]]</f>
        <v>0.55555555555555558</v>
      </c>
      <c r="AM748" s="868">
        <f>Table1[[#This Row],[OD Wdth]]*Table1[[#This Row],[OD Hgt]]</f>
        <v>396</v>
      </c>
      <c r="AN748" s="869">
        <f>Table1[[#This Row],[Min VO]]+Table1[[#This Row],[Max VO]]</f>
        <v>36</v>
      </c>
      <c r="AO748" s="653"/>
      <c r="AP748" s="653"/>
      <c r="AQ748" s="863"/>
      <c r="AR748" s="863"/>
      <c r="AS748" s="863"/>
      <c r="AT748" s="863"/>
      <c r="AU748" s="1364" t="str">
        <f t="shared" si="254"/>
        <v>-</v>
      </c>
    </row>
    <row r="749" spans="1:47" s="309" customFormat="1" hidden="1" x14ac:dyDescent="0.2">
      <c r="A749" s="68" t="s">
        <v>318</v>
      </c>
      <c r="B749" s="1152" t="s">
        <v>111</v>
      </c>
      <c r="C749" s="78" t="s">
        <v>1966</v>
      </c>
      <c r="D749" s="94"/>
      <c r="E749" s="84" t="s">
        <v>1964</v>
      </c>
      <c r="F749" s="84" t="s">
        <v>634</v>
      </c>
      <c r="G749" s="68" t="s">
        <v>519</v>
      </c>
      <c r="H749" s="68" t="s">
        <v>974</v>
      </c>
      <c r="I749" s="68" t="s">
        <v>52</v>
      </c>
      <c r="J749" s="140" t="s">
        <v>53</v>
      </c>
      <c r="K749" s="68" t="s">
        <v>69</v>
      </c>
      <c r="L749" s="68" t="s">
        <v>315</v>
      </c>
      <c r="M749" s="93">
        <v>260</v>
      </c>
      <c r="N749" s="93"/>
      <c r="O749" s="68" t="s">
        <v>64</v>
      </c>
      <c r="P749" s="68">
        <v>16</v>
      </c>
      <c r="Q749" s="68">
        <v>20</v>
      </c>
      <c r="R749" s="68">
        <v>16</v>
      </c>
      <c r="S749" s="68">
        <v>20</v>
      </c>
      <c r="T749" s="68">
        <v>18</v>
      </c>
      <c r="U749" s="68">
        <v>22</v>
      </c>
      <c r="V749" s="917">
        <f t="shared" si="260"/>
        <v>24</v>
      </c>
      <c r="W749" s="917">
        <f t="shared" si="261"/>
        <v>28</v>
      </c>
      <c r="X749" s="68" t="s">
        <v>165</v>
      </c>
      <c r="Y749" s="68">
        <v>24</v>
      </c>
      <c r="Z749" s="68">
        <v>28</v>
      </c>
      <c r="AA749" s="952">
        <f>V749*W749/144</f>
        <v>4.666666666666667</v>
      </c>
      <c r="AB749" s="297">
        <f>AA749*Swiss1</f>
        <v>132.06666666666669</v>
      </c>
      <c r="AC749" s="74">
        <f>AA749*Canvas</f>
        <v>3.0800000000000005</v>
      </c>
      <c r="AD749" s="67">
        <f>Table1[[#This Row],[Substrate SF]]*Materials!C$37</f>
        <v>13.066666666666666</v>
      </c>
      <c r="AE749" s="74">
        <f>IF(Table1[[#This Row],[Work Center]]="SwissQ",Materials!G$37,IF(Table1[[#This Row],[Work Center]]="Inca",Materials!G$29,IF(Table1[[#This Row],[Work Center]]="Canon",Materials!G$49,Materials!G$45)))</f>
        <v>20</v>
      </c>
      <c r="AF749" s="73">
        <f>'Cali Frames'!D504</f>
        <v>83.25</v>
      </c>
      <c r="AG749" s="84"/>
      <c r="AH749" s="67">
        <f t="shared" si="262"/>
        <v>13</v>
      </c>
      <c r="AI749" s="67"/>
      <c r="AJ749" s="278">
        <f t="shared" si="263"/>
        <v>132.39666666666668</v>
      </c>
      <c r="AK749" s="661">
        <f t="shared" si="259"/>
        <v>0.49078205128205127</v>
      </c>
      <c r="AL749" s="240">
        <f>Table1[[#This Row],[WSP/Dealer]]/Table1[[#This Row],[OD Sq Inch]]</f>
        <v>0.65656565656565657</v>
      </c>
      <c r="AM749" s="170">
        <f>Table1[[#This Row],[OD Wdth]]*Table1[[#This Row],[OD Hgt]]</f>
        <v>396</v>
      </c>
      <c r="AN749" s="274">
        <f>Table1[[#This Row],[Min VO]]+Table1[[#This Row],[Max VO]]</f>
        <v>36</v>
      </c>
      <c r="AO749" s="84"/>
      <c r="AP749" s="84"/>
      <c r="AQ749" s="74"/>
      <c r="AR749" s="74"/>
      <c r="AS749" s="74"/>
      <c r="AT749" s="74"/>
      <c r="AU749" s="1357" t="str">
        <f t="shared" si="254"/>
        <v>-</v>
      </c>
    </row>
    <row r="750" spans="1:47" s="309" customFormat="1" hidden="1" x14ac:dyDescent="0.2">
      <c r="A750" s="68" t="s">
        <v>101</v>
      </c>
      <c r="B750" s="1072" t="s">
        <v>102</v>
      </c>
      <c r="C750" s="78" t="s">
        <v>1967</v>
      </c>
      <c r="D750" s="94"/>
      <c r="E750" s="84" t="s">
        <v>1964</v>
      </c>
      <c r="F750" s="84" t="s">
        <v>634</v>
      </c>
      <c r="G750" s="68" t="s">
        <v>519</v>
      </c>
      <c r="H750" s="68" t="s">
        <v>519</v>
      </c>
      <c r="I750" s="68" t="s">
        <v>52</v>
      </c>
      <c r="J750" s="140" t="s">
        <v>53</v>
      </c>
      <c r="K750" s="68" t="s">
        <v>54</v>
      </c>
      <c r="L750" s="68" t="s">
        <v>55</v>
      </c>
      <c r="M750" s="141">
        <v>210</v>
      </c>
      <c r="N750" s="93"/>
      <c r="O750" s="68" t="s">
        <v>64</v>
      </c>
      <c r="P750" s="68">
        <v>16</v>
      </c>
      <c r="Q750" s="68">
        <v>20</v>
      </c>
      <c r="R750" s="68">
        <v>16</v>
      </c>
      <c r="S750" s="68">
        <v>20</v>
      </c>
      <c r="T750" s="68">
        <v>16</v>
      </c>
      <c r="U750" s="68">
        <v>20</v>
      </c>
      <c r="V750" s="917">
        <f t="shared" si="260"/>
        <v>24</v>
      </c>
      <c r="W750" s="917">
        <f t="shared" si="261"/>
        <v>28</v>
      </c>
      <c r="X750" s="68" t="s">
        <v>165</v>
      </c>
      <c r="Y750" s="917">
        <f>Table1[[#This Row],[Print Wth]]</f>
        <v>24</v>
      </c>
      <c r="Z750" s="917">
        <f>Table1[[#This Row],[Print Ht]]</f>
        <v>28</v>
      </c>
      <c r="AA750" s="952">
        <f>Table1[[#This Row],[Cut Width]]*Table1[[#This Row],[Cut Height]]/144</f>
        <v>4.666666666666667</v>
      </c>
      <c r="AB750" s="1130">
        <f>Table1[[#This Row],[Print Wth]]*Table1[[#This Row],[Print Ht]]/144*Swiss1ML</f>
        <v>132.06666666666669</v>
      </c>
      <c r="AC750" s="278">
        <f>Table1[[#This Row],[Substrate SF]]*Canvas</f>
        <v>3.0800000000000005</v>
      </c>
      <c r="AD750" s="263">
        <f>(Table1[[#This Row],[Print Wth]]*Table1[[#This Row],[Print Ht]])/144*SWISSC1</f>
        <v>13.066666666666666</v>
      </c>
      <c r="AE750" s="74">
        <f>IF(Table1[[#This Row],[Work Center]]="SwissQ",Materials!G$37,IF(Table1[[#This Row],[Work Center]]="Inca",Materials!G$29,IF(Table1[[#This Row],[Work Center]]="Canon",Materials!G$49,Materials!G$45)))</f>
        <v>20</v>
      </c>
      <c r="AF750" s="73">
        <f>'Cali FPS'!C18</f>
        <v>61.15</v>
      </c>
      <c r="AG750" s="84"/>
      <c r="AH750" s="74">
        <f t="shared" si="262"/>
        <v>10.5</v>
      </c>
      <c r="AI750" s="74"/>
      <c r="AJ750" s="278">
        <f t="shared" si="263"/>
        <v>107.79666666666667</v>
      </c>
      <c r="AK750" s="1001">
        <f t="shared" si="259"/>
        <v>0.48668253968253966</v>
      </c>
      <c r="AL750" s="240">
        <f>Table1[[#This Row],[WSP/Dealer]]/Table1[[#This Row],[OD Sq Inch]]</f>
        <v>0.65625</v>
      </c>
      <c r="AM750" s="274">
        <f>Table1[[#This Row],[OD Wdth]]*Table1[[#This Row],[OD Hgt]]</f>
        <v>320</v>
      </c>
      <c r="AN750" s="274">
        <f>Table1[[#This Row],[Min VO]]+Table1[[#This Row],[Max VO]]</f>
        <v>36</v>
      </c>
      <c r="AO750" s="84"/>
      <c r="AP750" s="84"/>
      <c r="AQ750" s="74"/>
      <c r="AR750" s="74"/>
      <c r="AS750" s="74"/>
      <c r="AT750" s="74"/>
      <c r="AU750" s="1357" t="str">
        <f t="shared" si="254"/>
        <v>-</v>
      </c>
    </row>
    <row r="751" spans="1:47" s="486" customFormat="1" hidden="1" x14ac:dyDescent="0.2">
      <c r="A751" s="68" t="s">
        <v>318</v>
      </c>
      <c r="B751" s="1072" t="s">
        <v>111</v>
      </c>
      <c r="C751" s="78" t="s">
        <v>1968</v>
      </c>
      <c r="D751" s="94"/>
      <c r="E751" s="84" t="s">
        <v>1969</v>
      </c>
      <c r="F751" s="84" t="s">
        <v>634</v>
      </c>
      <c r="G751" s="68" t="s">
        <v>519</v>
      </c>
      <c r="H751" s="68" t="s">
        <v>974</v>
      </c>
      <c r="I751" s="68" t="s">
        <v>52</v>
      </c>
      <c r="J751" s="140" t="s">
        <v>53</v>
      </c>
      <c r="K751" s="68" t="s">
        <v>69</v>
      </c>
      <c r="L751" s="68" t="s">
        <v>70</v>
      </c>
      <c r="M751" s="93">
        <v>220</v>
      </c>
      <c r="N751" s="93"/>
      <c r="O751" s="68" t="s">
        <v>64</v>
      </c>
      <c r="P751" s="68">
        <v>16</v>
      </c>
      <c r="Q751" s="68">
        <v>20</v>
      </c>
      <c r="R751" s="68">
        <v>16</v>
      </c>
      <c r="S751" s="68">
        <v>20</v>
      </c>
      <c r="T751" s="68">
        <v>18</v>
      </c>
      <c r="U751" s="68">
        <v>22</v>
      </c>
      <c r="V751" s="66">
        <f t="shared" si="260"/>
        <v>24</v>
      </c>
      <c r="W751" s="66">
        <f t="shared" si="261"/>
        <v>28</v>
      </c>
      <c r="X751" s="68" t="s">
        <v>165</v>
      </c>
      <c r="Y751" s="68">
        <v>24</v>
      </c>
      <c r="Z751" s="68">
        <v>28</v>
      </c>
      <c r="AA751" s="952">
        <f>V751*W751/144</f>
        <v>4.666666666666667</v>
      </c>
      <c r="AB751" s="297">
        <f>AA751*Swiss1</f>
        <v>132.06666666666669</v>
      </c>
      <c r="AC751" s="74">
        <f>AA751*Canvas</f>
        <v>3.0800000000000005</v>
      </c>
      <c r="AD751" s="67">
        <f>Table1[[#This Row],[Substrate SF]]*Materials!C$37</f>
        <v>13.066666666666666</v>
      </c>
      <c r="AE751" s="74">
        <f>IF(Table1[[#This Row],[Work Center]]="SwissQ",Materials!G$37,IF(Table1[[#This Row],[Work Center]]="Inca",Materials!G$29,IF(Table1[[#This Row],[Work Center]]="Canon",Materials!G$49,Materials!G$45)))</f>
        <v>20</v>
      </c>
      <c r="AF751" s="73">
        <f>'Cali Frames'!D267</f>
        <v>82.757499999999993</v>
      </c>
      <c r="AG751" s="84"/>
      <c r="AH751" s="74">
        <f t="shared" si="262"/>
        <v>11</v>
      </c>
      <c r="AI751" s="74"/>
      <c r="AJ751" s="278">
        <f t="shared" si="263"/>
        <v>129.90416666666667</v>
      </c>
      <c r="AK751" s="1001">
        <f t="shared" si="259"/>
        <v>0.40952651515151517</v>
      </c>
      <c r="AL751" s="240">
        <f>Table1[[#This Row],[WSP/Dealer]]/Table1[[#This Row],[OD Sq Inch]]</f>
        <v>0.55555555555555558</v>
      </c>
      <c r="AM751" s="170">
        <f>Table1[[#This Row],[OD Wdth]]*Table1[[#This Row],[OD Hgt]]</f>
        <v>396</v>
      </c>
      <c r="AN751" s="274">
        <f>Table1[[#This Row],[Min VO]]+Table1[[#This Row],[Max VO]]</f>
        <v>36</v>
      </c>
      <c r="AO751" s="84"/>
      <c r="AP751" s="84"/>
      <c r="AQ751" s="74"/>
      <c r="AR751" s="74"/>
      <c r="AS751" s="74"/>
      <c r="AT751" s="74"/>
      <c r="AU751" s="1357" t="str">
        <f t="shared" si="254"/>
        <v>-</v>
      </c>
    </row>
    <row r="752" spans="1:47" s="170" customFormat="1" hidden="1" x14ac:dyDescent="0.2">
      <c r="A752" s="551" t="s">
        <v>318</v>
      </c>
      <c r="B752" s="1150" t="s">
        <v>111</v>
      </c>
      <c r="C752" s="805" t="s">
        <v>1970</v>
      </c>
      <c r="D752" s="77"/>
      <c r="E752" s="653" t="s">
        <v>1969</v>
      </c>
      <c r="F752" s="84" t="s">
        <v>634</v>
      </c>
      <c r="G752" s="551" t="s">
        <v>519</v>
      </c>
      <c r="H752" s="551" t="s">
        <v>974</v>
      </c>
      <c r="I752" s="551" t="s">
        <v>52</v>
      </c>
      <c r="J752" s="856" t="s">
        <v>53</v>
      </c>
      <c r="K752" s="551" t="s">
        <v>69</v>
      </c>
      <c r="L752" s="551" t="s">
        <v>73</v>
      </c>
      <c r="M752" s="857">
        <v>260</v>
      </c>
      <c r="N752" s="1167"/>
      <c r="O752" s="551" t="s">
        <v>64</v>
      </c>
      <c r="P752" s="551">
        <v>16</v>
      </c>
      <c r="Q752" s="551">
        <v>20</v>
      </c>
      <c r="R752" s="551">
        <v>16</v>
      </c>
      <c r="S752" s="551">
        <v>20</v>
      </c>
      <c r="T752" s="551">
        <v>18</v>
      </c>
      <c r="U752" s="551">
        <v>22</v>
      </c>
      <c r="V752" s="859">
        <f t="shared" si="260"/>
        <v>24</v>
      </c>
      <c r="W752" s="859">
        <f t="shared" si="261"/>
        <v>28</v>
      </c>
      <c r="X752" s="551" t="s">
        <v>165</v>
      </c>
      <c r="Y752" s="551">
        <v>24</v>
      </c>
      <c r="Z752" s="551">
        <v>28</v>
      </c>
      <c r="AA752" s="892">
        <f>V752*W752/144</f>
        <v>4.666666666666667</v>
      </c>
      <c r="AB752" s="125">
        <f>AA752*Swiss1</f>
        <v>132.06666666666669</v>
      </c>
      <c r="AC752" s="69">
        <f>AA752*Canvas</f>
        <v>3.0800000000000005</v>
      </c>
      <c r="AD752" s="48">
        <f>Table1[[#This Row],[Substrate SF]]*Materials!C$37</f>
        <v>13.066666666666666</v>
      </c>
      <c r="AE752" s="863">
        <f>IF(Table1[[#This Row],[Work Center]]="SwissQ",Materials!G$37,IF(Table1[[#This Row],[Work Center]]="Inca",Materials!G$29,IF(Table1[[#This Row],[Work Center]]="Canon",Materials!G$49,Materials!G$45)))</f>
        <v>20</v>
      </c>
      <c r="AF752" s="902">
        <f>'Cali Frames'!D414</f>
        <v>89.83</v>
      </c>
      <c r="AG752" s="653"/>
      <c r="AH752" s="862">
        <f t="shared" si="262"/>
        <v>13</v>
      </c>
      <c r="AI752" s="862"/>
      <c r="AJ752" s="867">
        <f t="shared" si="263"/>
        <v>138.97666666666666</v>
      </c>
      <c r="AK752" s="894">
        <f t="shared" si="259"/>
        <v>0.46547435897435901</v>
      </c>
      <c r="AL752" s="895">
        <f>Table1[[#This Row],[WSP/Dealer]]/Table1[[#This Row],[OD Sq Inch]]</f>
        <v>0.65656565656565657</v>
      </c>
      <c r="AM752" s="868">
        <f>Table1[[#This Row],[OD Wdth]]*Table1[[#This Row],[OD Hgt]]</f>
        <v>396</v>
      </c>
      <c r="AN752" s="869">
        <f>Table1[[#This Row],[Min VO]]+Table1[[#This Row],[Max VO]]</f>
        <v>36</v>
      </c>
      <c r="AO752" s="653"/>
      <c r="AP752" s="653"/>
      <c r="AQ752" s="863"/>
      <c r="AR752" s="863"/>
      <c r="AS752" s="863"/>
      <c r="AT752" s="863"/>
      <c r="AU752" s="1364" t="str">
        <f t="shared" si="254"/>
        <v>-</v>
      </c>
    </row>
    <row r="753" spans="1:47" s="103" customFormat="1" hidden="1" x14ac:dyDescent="0.2">
      <c r="A753" s="68" t="s">
        <v>318</v>
      </c>
      <c r="B753" s="1152" t="s">
        <v>111</v>
      </c>
      <c r="C753" s="78" t="s">
        <v>1971</v>
      </c>
      <c r="D753" s="94"/>
      <c r="E753" s="84" t="s">
        <v>1969</v>
      </c>
      <c r="F753" s="84" t="s">
        <v>634</v>
      </c>
      <c r="G753" s="68" t="s">
        <v>519</v>
      </c>
      <c r="H753" s="68" t="s">
        <v>974</v>
      </c>
      <c r="I753" s="68" t="s">
        <v>52</v>
      </c>
      <c r="J753" s="140" t="s">
        <v>53</v>
      </c>
      <c r="K753" s="68" t="s">
        <v>69</v>
      </c>
      <c r="L753" s="68" t="s">
        <v>315</v>
      </c>
      <c r="M753" s="93">
        <v>260</v>
      </c>
      <c r="N753" s="93"/>
      <c r="O753" s="68" t="s">
        <v>64</v>
      </c>
      <c r="P753" s="68">
        <v>16</v>
      </c>
      <c r="Q753" s="68">
        <v>20</v>
      </c>
      <c r="R753" s="68">
        <v>16</v>
      </c>
      <c r="S753" s="68">
        <v>20</v>
      </c>
      <c r="T753" s="68">
        <v>18</v>
      </c>
      <c r="U753" s="68">
        <v>22</v>
      </c>
      <c r="V753" s="66">
        <f t="shared" si="260"/>
        <v>24</v>
      </c>
      <c r="W753" s="66">
        <f t="shared" si="261"/>
        <v>28</v>
      </c>
      <c r="X753" s="68" t="s">
        <v>165</v>
      </c>
      <c r="Y753" s="68">
        <v>24</v>
      </c>
      <c r="Z753" s="68">
        <v>28</v>
      </c>
      <c r="AA753" s="952">
        <f>V753*W753/144</f>
        <v>4.666666666666667</v>
      </c>
      <c r="AB753" s="297">
        <f>AA753*Swiss1</f>
        <v>132.06666666666669</v>
      </c>
      <c r="AC753" s="74">
        <f>AA753*Canvas</f>
        <v>3.0800000000000005</v>
      </c>
      <c r="AD753" s="67">
        <f>Table1[[#This Row],[Substrate SF]]*Materials!C$37</f>
        <v>13.066666666666666</v>
      </c>
      <c r="AE753" s="74">
        <f>IF(Table1[[#This Row],[Work Center]]="SwissQ",Materials!G$37,IF(Table1[[#This Row],[Work Center]]="Inca",Materials!G$29,IF(Table1[[#This Row],[Work Center]]="Canon",Materials!G$49,Materials!G$45)))</f>
        <v>20</v>
      </c>
      <c r="AF753" s="73">
        <f>'Cali Frames'!D504</f>
        <v>83.25</v>
      </c>
      <c r="AG753" s="84"/>
      <c r="AH753" s="74">
        <f t="shared" si="262"/>
        <v>13</v>
      </c>
      <c r="AI753" s="74"/>
      <c r="AJ753" s="278">
        <f t="shared" si="263"/>
        <v>132.39666666666668</v>
      </c>
      <c r="AK753" s="1001">
        <f t="shared" si="259"/>
        <v>0.49078205128205127</v>
      </c>
      <c r="AL753" s="240">
        <f>Table1[[#This Row],[WSP/Dealer]]/Table1[[#This Row],[OD Sq Inch]]</f>
        <v>0.65656565656565657</v>
      </c>
      <c r="AM753" s="170">
        <f>Table1[[#This Row],[OD Wdth]]*Table1[[#This Row],[OD Hgt]]</f>
        <v>396</v>
      </c>
      <c r="AN753" s="274">
        <f>Table1[[#This Row],[Min VO]]+Table1[[#This Row],[Max VO]]</f>
        <v>36</v>
      </c>
      <c r="AO753" s="84"/>
      <c r="AP753" s="84"/>
      <c r="AQ753" s="74"/>
      <c r="AR753" s="74"/>
      <c r="AS753" s="74"/>
      <c r="AT753" s="74"/>
      <c r="AU753" s="1357" t="str">
        <f t="shared" si="254"/>
        <v>-</v>
      </c>
    </row>
    <row r="754" spans="1:47" s="63" customFormat="1" hidden="1" x14ac:dyDescent="0.2">
      <c r="A754" s="68" t="s">
        <v>101</v>
      </c>
      <c r="B754" s="1152" t="s">
        <v>102</v>
      </c>
      <c r="C754" s="78" t="s">
        <v>1972</v>
      </c>
      <c r="D754" s="94"/>
      <c r="E754" s="84" t="s">
        <v>1969</v>
      </c>
      <c r="F754" s="84" t="s">
        <v>634</v>
      </c>
      <c r="G754" s="68" t="s">
        <v>519</v>
      </c>
      <c r="H754" s="68" t="s">
        <v>519</v>
      </c>
      <c r="I754" s="68" t="s">
        <v>52</v>
      </c>
      <c r="J754" s="140" t="s">
        <v>53</v>
      </c>
      <c r="K754" s="68" t="s">
        <v>54</v>
      </c>
      <c r="L754" s="68" t="s">
        <v>55</v>
      </c>
      <c r="M754" s="141">
        <v>210</v>
      </c>
      <c r="N754" s="93"/>
      <c r="O754" s="68" t="s">
        <v>64</v>
      </c>
      <c r="P754" s="68">
        <v>16</v>
      </c>
      <c r="Q754" s="68">
        <v>20</v>
      </c>
      <c r="R754" s="68">
        <v>16</v>
      </c>
      <c r="S754" s="68">
        <v>20</v>
      </c>
      <c r="T754" s="68">
        <v>16</v>
      </c>
      <c r="U754" s="68">
        <v>20</v>
      </c>
      <c r="V754" s="66">
        <f t="shared" si="260"/>
        <v>24</v>
      </c>
      <c r="W754" s="66">
        <f t="shared" si="261"/>
        <v>28</v>
      </c>
      <c r="X754" s="68" t="s">
        <v>165</v>
      </c>
      <c r="Y754" s="917">
        <f>Table1[[#This Row],[Print Wth]]</f>
        <v>24</v>
      </c>
      <c r="Z754" s="917">
        <f>Table1[[#This Row],[Print Ht]]</f>
        <v>28</v>
      </c>
      <c r="AA754" s="952">
        <f>Table1[[#This Row],[Cut Width]]*Table1[[#This Row],[Cut Height]]/144</f>
        <v>4.666666666666667</v>
      </c>
      <c r="AB754" s="1130">
        <f>Table1[[#This Row],[Print Wth]]*Table1[[#This Row],[Print Ht]]/144*Swiss1ML</f>
        <v>132.06666666666669</v>
      </c>
      <c r="AC754" s="278">
        <f>Table1[[#This Row],[Substrate SF]]*Canvas</f>
        <v>3.0800000000000005</v>
      </c>
      <c r="AD754" s="263">
        <f>(Table1[[#This Row],[Print Wth]]*Table1[[#This Row],[Print Ht]])/144*SWISSC1</f>
        <v>13.066666666666666</v>
      </c>
      <c r="AE754" s="74">
        <f>IF(Table1[[#This Row],[Work Center]]="SwissQ",Materials!G$37,IF(Table1[[#This Row],[Work Center]]="Inca",Materials!G$29,IF(Table1[[#This Row],[Work Center]]="Canon",Materials!G$49,Materials!G$45)))</f>
        <v>20</v>
      </c>
      <c r="AF754" s="73">
        <f>'Cali FPS'!C18</f>
        <v>61.15</v>
      </c>
      <c r="AG754" s="84"/>
      <c r="AH754" s="74">
        <f t="shared" si="262"/>
        <v>10.5</v>
      </c>
      <c r="AI754" s="67"/>
      <c r="AJ754" s="278">
        <f t="shared" si="263"/>
        <v>107.79666666666667</v>
      </c>
      <c r="AK754" s="1001">
        <f t="shared" si="259"/>
        <v>0.48668253968253966</v>
      </c>
      <c r="AL754" s="240">
        <f>Table1[[#This Row],[WSP/Dealer]]/Table1[[#This Row],[OD Sq Inch]]</f>
        <v>0.65625</v>
      </c>
      <c r="AM754" s="170">
        <f>Table1[[#This Row],[OD Wdth]]*Table1[[#This Row],[OD Hgt]]</f>
        <v>320</v>
      </c>
      <c r="AN754" s="274">
        <f>Table1[[#This Row],[Min VO]]+Table1[[#This Row],[Max VO]]</f>
        <v>36</v>
      </c>
      <c r="AO754" s="84"/>
      <c r="AP754" s="84"/>
      <c r="AQ754" s="74"/>
      <c r="AR754" s="74"/>
      <c r="AS754" s="74"/>
      <c r="AT754" s="74"/>
      <c r="AU754" s="1357" t="str">
        <f t="shared" si="254"/>
        <v>-</v>
      </c>
    </row>
    <row r="755" spans="1:47" s="103" customFormat="1" hidden="1" x14ac:dyDescent="0.2">
      <c r="A755" s="68" t="s">
        <v>101</v>
      </c>
      <c r="B755" s="1152" t="s">
        <v>102</v>
      </c>
      <c r="C755" s="76" t="s">
        <v>1973</v>
      </c>
      <c r="D755" s="94"/>
      <c r="E755" s="84" t="s">
        <v>1974</v>
      </c>
      <c r="F755" s="84" t="s">
        <v>105</v>
      </c>
      <c r="G755" s="68" t="s">
        <v>1100</v>
      </c>
      <c r="H755" s="68" t="s">
        <v>1975</v>
      </c>
      <c r="I755" s="68" t="s">
        <v>256</v>
      </c>
      <c r="J755" s="140" t="s">
        <v>257</v>
      </c>
      <c r="K755" s="68" t="s">
        <v>258</v>
      </c>
      <c r="L755" s="68" t="s">
        <v>269</v>
      </c>
      <c r="M755" s="141">
        <v>148</v>
      </c>
      <c r="N755" s="93"/>
      <c r="O755" s="68" t="s">
        <v>260</v>
      </c>
      <c r="P755" s="68">
        <v>9</v>
      </c>
      <c r="Q755" s="68">
        <v>13</v>
      </c>
      <c r="R755" s="68">
        <v>9</v>
      </c>
      <c r="S755" s="68">
        <v>13</v>
      </c>
      <c r="T755" s="68">
        <v>11</v>
      </c>
      <c r="U755" s="68">
        <v>15</v>
      </c>
      <c r="V755" s="66">
        <f>IF(J755="Canvas",P755+Border,P755)</f>
        <v>9</v>
      </c>
      <c r="W755" s="66">
        <f>IF(J755="Canvas",Q755+Border,Q755)</f>
        <v>13</v>
      </c>
      <c r="X755" s="68" t="s">
        <v>257</v>
      </c>
      <c r="Y755" s="1347">
        <f>Table1[[#This Row],[Print Wth]]+Materials!$C$7</f>
        <v>11</v>
      </c>
      <c r="Z755" s="1347">
        <f>Table1[[#This Row],[Print Ht]]+Materials!$C$7</f>
        <v>15</v>
      </c>
      <c r="AA755" s="1027">
        <f>(Table1[[#This Row],[Cut Width]]*Table1[[#This Row],[Cut Height]])/144</f>
        <v>1.1458333333333333</v>
      </c>
      <c r="AB755" s="297">
        <f>(Table1[[#This Row],[Print Wth]]*Table1[[#This Row],[Print Ht]])/144*canonML</f>
        <v>3.9</v>
      </c>
      <c r="AC755" s="74">
        <f>Table1[[#This Row],[Substrate SF]]*Paper</f>
        <v>1.5503125</v>
      </c>
      <c r="AD755" s="67">
        <f>(Table1[[#This Row],[Print Wth]]*Table1[[#This Row],[Print Ht]])/144*CanonC</f>
        <v>0.21937500000000001</v>
      </c>
      <c r="AE755" s="74">
        <f>IF(Table1[[#This Row],[Work Center]]="SwissQ",Materials!G$37,IF(Table1[[#This Row],[Work Center]]="Inca",Materials!G$29,IF(Table1[[#This Row],[Work Center]]="Canon",Materials!G$49,Materials!G$45)))</f>
        <v>7</v>
      </c>
      <c r="AF755" s="73">
        <f>'Cali Frames'!D56</f>
        <v>65</v>
      </c>
      <c r="AG755" s="84"/>
      <c r="AH755" s="74">
        <v>0</v>
      </c>
      <c r="AI755" s="74"/>
      <c r="AJ755" s="278">
        <f t="shared" si="263"/>
        <v>73.769687500000003</v>
      </c>
      <c r="AK755" s="1001">
        <f t="shared" si="259"/>
        <v>0.5015561655405405</v>
      </c>
      <c r="AL755" s="240">
        <f>Table1[[#This Row],[WSP/Dealer]]/Table1[[#This Row],[OD Sq Inch]]</f>
        <v>0.89696969696969697</v>
      </c>
      <c r="AM755" s="170">
        <f>Table1[[#This Row],[OD Wdth]]*Table1[[#This Row],[OD Hgt]]</f>
        <v>165</v>
      </c>
      <c r="AN755" s="274">
        <f>Table1[[#This Row],[Min VO]]+Table1[[#This Row],[Max VO]]</f>
        <v>22</v>
      </c>
      <c r="AO755" s="84"/>
      <c r="AP755" s="84"/>
      <c r="AQ755" s="74"/>
      <c r="AR755" s="74"/>
      <c r="AS755" s="74"/>
      <c r="AT755" s="74"/>
      <c r="AU755" s="1357" t="str">
        <f t="shared" si="254"/>
        <v>-</v>
      </c>
    </row>
    <row r="756" spans="1:47" s="88" customFormat="1" hidden="1" x14ac:dyDescent="0.2">
      <c r="A756" s="68" t="s">
        <v>101</v>
      </c>
      <c r="B756" s="1072" t="s">
        <v>102</v>
      </c>
      <c r="C756" s="78" t="s">
        <v>1976</v>
      </c>
      <c r="D756" s="94"/>
      <c r="E756" s="84" t="s">
        <v>1977</v>
      </c>
      <c r="F756" s="84" t="s">
        <v>105</v>
      </c>
      <c r="G756" s="68" t="s">
        <v>1978</v>
      </c>
      <c r="H756" s="68" t="s">
        <v>1978</v>
      </c>
      <c r="I756" s="68" t="s">
        <v>108</v>
      </c>
      <c r="J756" s="140" t="s">
        <v>53</v>
      </c>
      <c r="K756" s="68" t="s">
        <v>119</v>
      </c>
      <c r="L756" s="68" t="s">
        <v>120</v>
      </c>
      <c r="M756" s="141">
        <v>171</v>
      </c>
      <c r="N756" s="93"/>
      <c r="O756" s="68" t="s">
        <v>109</v>
      </c>
      <c r="P756" s="68">
        <v>6</v>
      </c>
      <c r="Q756" s="68">
        <v>19</v>
      </c>
      <c r="R756" s="68">
        <v>6</v>
      </c>
      <c r="S756" s="68">
        <v>19</v>
      </c>
      <c r="T756" s="68">
        <v>6</v>
      </c>
      <c r="U756" s="68">
        <v>19</v>
      </c>
      <c r="V756" s="917">
        <f t="shared" ref="V756:V766" si="264">IF(J756="Canvas",P756+BorderGW,P756)</f>
        <v>14</v>
      </c>
      <c r="W756" s="917">
        <f t="shared" ref="W756:W766" si="265">IF(J756="Canvas",Q756+BorderGW,Q756)</f>
        <v>27</v>
      </c>
      <c r="X756" s="68">
        <v>40</v>
      </c>
      <c r="Y756" s="686">
        <f>Table1[[#This Row],[Print Wth]]</f>
        <v>14</v>
      </c>
      <c r="Z756" s="686">
        <f>Table1[[#This Row],[Print Ht]]</f>
        <v>27</v>
      </c>
      <c r="AA756" s="1027">
        <f>Table1[[#This Row],[Cut Width]]*Table1[[#This Row],[Cut Height]]/144</f>
        <v>2.625</v>
      </c>
      <c r="AB756" s="1130">
        <f>Table1[[#This Row],[Print Wth]]*Table1[[#This Row],[Print Ht]]/144*EPSONM</f>
        <v>11.8125</v>
      </c>
      <c r="AC756" s="278">
        <f>Table1[[#This Row],[Substrate SF]]*Canvas</f>
        <v>1.7325000000000002</v>
      </c>
      <c r="AD756" s="278">
        <f>Table1[[#This Row],[Ink g/mL]]*EPSONC</f>
        <v>2.5987499999999999</v>
      </c>
      <c r="AE756" s="74">
        <f>IF(Table1[[#This Row],[Work Center]]="SwissQ",Materials!G$37,IF(Table1[[#This Row],[Work Center]]="Inca",Materials!G$29,IF(Table1[[#This Row],[Work Center]]="Canon",Materials!G$49,Materials!G$45)))</f>
        <v>5</v>
      </c>
      <c r="AF756" s="73">
        <f>'Cali FPS'!C175</f>
        <v>75.97</v>
      </c>
      <c r="AG756" s="84"/>
      <c r="AH756" s="74">
        <v>0</v>
      </c>
      <c r="AI756" s="74"/>
      <c r="AJ756" s="278">
        <f t="shared" si="263"/>
        <v>85.301249999999996</v>
      </c>
      <c r="AK756" s="1001">
        <f t="shared" si="259"/>
        <v>0.50116228070175439</v>
      </c>
      <c r="AL756" s="240">
        <f>Table1[[#This Row],[WSP/Dealer]]/Table1[[#This Row],[OD Sq Inch]]</f>
        <v>1.5</v>
      </c>
      <c r="AM756" s="274">
        <f>Table1[[#This Row],[OD Wdth]]*Table1[[#This Row],[OD Hgt]]</f>
        <v>114</v>
      </c>
      <c r="AN756" s="274">
        <f>Table1[[#This Row],[Min VO]]+Table1[[#This Row],[Max VO]]</f>
        <v>25</v>
      </c>
      <c r="AO756" s="84"/>
      <c r="AP756" s="84"/>
      <c r="AQ756" s="74"/>
      <c r="AR756" s="74"/>
      <c r="AS756" s="74"/>
      <c r="AT756" s="74"/>
      <c r="AU756" s="1357" t="str">
        <f t="shared" si="254"/>
        <v>-</v>
      </c>
    </row>
    <row r="757" spans="1:47" s="63" customFormat="1" hidden="1" x14ac:dyDescent="0.2">
      <c r="A757" s="68" t="s">
        <v>187</v>
      </c>
      <c r="B757" s="1072" t="s">
        <v>801</v>
      </c>
      <c r="C757" s="78" t="s">
        <v>1979</v>
      </c>
      <c r="D757" s="94"/>
      <c r="E757" s="84" t="s">
        <v>1980</v>
      </c>
      <c r="F757" s="84" t="s">
        <v>1981</v>
      </c>
      <c r="G757" s="68" t="s">
        <v>519</v>
      </c>
      <c r="H757" s="68" t="s">
        <v>519</v>
      </c>
      <c r="I757" s="68" t="s">
        <v>52</v>
      </c>
      <c r="J757" s="140" t="s">
        <v>53</v>
      </c>
      <c r="K757" s="68" t="s">
        <v>54</v>
      </c>
      <c r="L757" s="68" t="s">
        <v>55</v>
      </c>
      <c r="M757" s="93">
        <v>300</v>
      </c>
      <c r="N757" s="93"/>
      <c r="O757" s="68" t="s">
        <v>575</v>
      </c>
      <c r="P757" s="68">
        <v>16</v>
      </c>
      <c r="Q757" s="68">
        <v>20</v>
      </c>
      <c r="R757" s="68">
        <v>16</v>
      </c>
      <c r="S757" s="63">
        <v>20</v>
      </c>
      <c r="T757" s="63">
        <v>16</v>
      </c>
      <c r="U757" s="63">
        <v>20</v>
      </c>
      <c r="V757" s="66">
        <f t="shared" si="264"/>
        <v>24</v>
      </c>
      <c r="W757" s="66">
        <f t="shared" si="265"/>
        <v>28</v>
      </c>
      <c r="X757" s="68">
        <v>40</v>
      </c>
      <c r="Y757" s="68">
        <v>24</v>
      </c>
      <c r="Z757" s="68">
        <v>28</v>
      </c>
      <c r="AA757" s="699">
        <f t="shared" ref="AA757:AA767" si="266">V757*W757/144</f>
        <v>4.666666666666667</v>
      </c>
      <c r="AB757" s="341">
        <f t="shared" ref="AB757:AB764" si="267">AA757*SWISSMLR*3</f>
        <v>28</v>
      </c>
      <c r="AC757" s="74">
        <f t="shared" ref="AC757:AD764" si="268">AA757*Canvas</f>
        <v>3.0800000000000005</v>
      </c>
      <c r="AD757" s="67">
        <f t="shared" si="268"/>
        <v>18.48</v>
      </c>
      <c r="AE757" s="428">
        <f>IF(Table1[[#This Row],[Work Center]]="SwissQ",Materials!G$37,IF(Table1[[#This Row],[Work Center]]="Inca",Materials!G$29,IF(Table1[[#This Row],[Work Center]]="Canon",Materials!G$49,Materials!G$45)))</f>
        <v>5</v>
      </c>
      <c r="AF757" s="73">
        <f>'Cali FPS'!C18</f>
        <v>61.15</v>
      </c>
      <c r="AG757" s="84"/>
      <c r="AH757" s="74">
        <f t="shared" ref="AH757:AH780" si="269">(M757*0.05)</f>
        <v>15</v>
      </c>
      <c r="AI757" s="74"/>
      <c r="AJ757" s="278">
        <f t="shared" si="263"/>
        <v>102.71000000000001</v>
      </c>
      <c r="AK757" s="1001">
        <f t="shared" si="259"/>
        <v>0.65763333333333329</v>
      </c>
      <c r="AL757" s="240">
        <f>Table1[[#This Row],[WSP/Dealer]]/Table1[[#This Row],[OD Sq Inch]]</f>
        <v>0.9375</v>
      </c>
      <c r="AM757" s="170">
        <f>Table1[[#This Row],[OD Wdth]]*Table1[[#This Row],[OD Hgt]]</f>
        <v>320</v>
      </c>
      <c r="AN757" s="274">
        <f>Table1[[#This Row],[Min VO]]+Table1[[#This Row],[Max VO]]</f>
        <v>36</v>
      </c>
      <c r="AO757" s="119"/>
      <c r="AP757" s="84"/>
      <c r="AQ757" s="126"/>
      <c r="AR757" s="126"/>
      <c r="AS757" s="126"/>
      <c r="AT757" s="74"/>
      <c r="AU757" s="1356" t="str">
        <f t="shared" si="254"/>
        <v>-</v>
      </c>
    </row>
    <row r="758" spans="1:47" s="63" customFormat="1" hidden="1" x14ac:dyDescent="0.2">
      <c r="A758" s="68" t="s">
        <v>187</v>
      </c>
      <c r="B758" s="1072" t="s">
        <v>801</v>
      </c>
      <c r="C758" s="78" t="s">
        <v>1982</v>
      </c>
      <c r="D758" s="94"/>
      <c r="E758" s="84" t="s">
        <v>1980</v>
      </c>
      <c r="F758" s="84" t="s">
        <v>1981</v>
      </c>
      <c r="G758" s="68" t="s">
        <v>519</v>
      </c>
      <c r="H758" s="68" t="s">
        <v>519</v>
      </c>
      <c r="I758" s="68" t="s">
        <v>52</v>
      </c>
      <c r="J758" s="140" t="s">
        <v>53</v>
      </c>
      <c r="K758" s="68" t="s">
        <v>119</v>
      </c>
      <c r="L758" s="68" t="s">
        <v>120</v>
      </c>
      <c r="M758" s="93">
        <v>375</v>
      </c>
      <c r="N758" s="93"/>
      <c r="O758" s="68" t="s">
        <v>575</v>
      </c>
      <c r="P758" s="68">
        <v>16</v>
      </c>
      <c r="Q758" s="68">
        <v>20</v>
      </c>
      <c r="R758" s="68">
        <v>16</v>
      </c>
      <c r="S758" s="68">
        <v>20</v>
      </c>
      <c r="T758" s="63">
        <v>16</v>
      </c>
      <c r="U758" s="63">
        <v>20</v>
      </c>
      <c r="V758" s="917">
        <f t="shared" si="264"/>
        <v>24</v>
      </c>
      <c r="W758" s="917">
        <f t="shared" si="265"/>
        <v>28</v>
      </c>
      <c r="X758" s="68">
        <v>40</v>
      </c>
      <c r="Y758" s="68">
        <v>24</v>
      </c>
      <c r="Z758" s="68">
        <v>28</v>
      </c>
      <c r="AA758" s="699">
        <f t="shared" si="266"/>
        <v>4.666666666666667</v>
      </c>
      <c r="AB758" s="341">
        <f t="shared" si="267"/>
        <v>28</v>
      </c>
      <c r="AC758" s="74">
        <f t="shared" si="268"/>
        <v>3.0800000000000005</v>
      </c>
      <c r="AD758" s="67">
        <f t="shared" si="268"/>
        <v>18.48</v>
      </c>
      <c r="AE758" s="278">
        <f>IF(Table1[[#This Row],[Work Center]]="SwissQ",Materials!G$37,IF(Table1[[#This Row],[Work Center]]="Inca",Materials!G$29,IF(Table1[[#This Row],[Work Center]]="Canon",Materials!G$49,Materials!G$45)))</f>
        <v>5</v>
      </c>
      <c r="AF758" s="73">
        <f>'Cali FPS'!C191</f>
        <v>78.89</v>
      </c>
      <c r="AG758" s="84"/>
      <c r="AH758" s="74">
        <f t="shared" si="269"/>
        <v>18.75</v>
      </c>
      <c r="AI758" s="74"/>
      <c r="AJ758" s="278">
        <f t="shared" si="263"/>
        <v>124.2</v>
      </c>
      <c r="AK758" s="1001">
        <f t="shared" si="259"/>
        <v>0.66880000000000006</v>
      </c>
      <c r="AL758" s="240">
        <f>Table1[[#This Row],[WSP/Dealer]]/Table1[[#This Row],[OD Sq Inch]]</f>
        <v>1.171875</v>
      </c>
      <c r="AM758" s="170">
        <f>Table1[[#This Row],[OD Wdth]]*Table1[[#This Row],[OD Hgt]]</f>
        <v>320</v>
      </c>
      <c r="AN758" s="274">
        <f>Table1[[#This Row],[Min VO]]+Table1[[#This Row],[Max VO]]</f>
        <v>36</v>
      </c>
      <c r="AO758" s="119"/>
      <c r="AP758" s="84"/>
      <c r="AQ758" s="126"/>
      <c r="AR758" s="126"/>
      <c r="AS758" s="126"/>
      <c r="AT758" s="74"/>
      <c r="AU758" s="1356" t="str">
        <f t="shared" si="254"/>
        <v>-</v>
      </c>
    </row>
    <row r="759" spans="1:47" s="63" customFormat="1" hidden="1" x14ac:dyDescent="0.2">
      <c r="A759" s="68" t="s">
        <v>187</v>
      </c>
      <c r="B759" s="1072" t="s">
        <v>801</v>
      </c>
      <c r="C759" s="78" t="s">
        <v>1983</v>
      </c>
      <c r="D759" s="94"/>
      <c r="E759" s="84" t="s">
        <v>1980</v>
      </c>
      <c r="F759" s="84" t="s">
        <v>1981</v>
      </c>
      <c r="G759" s="68" t="s">
        <v>519</v>
      </c>
      <c r="H759" s="68" t="s">
        <v>688</v>
      </c>
      <c r="I759" s="68" t="s">
        <v>52</v>
      </c>
      <c r="J759" s="140" t="s">
        <v>53</v>
      </c>
      <c r="K759" s="68" t="s">
        <v>69</v>
      </c>
      <c r="L759" s="68" t="s">
        <v>73</v>
      </c>
      <c r="M759" s="93">
        <v>400</v>
      </c>
      <c r="N759" s="93"/>
      <c r="O759" s="68" t="s">
        <v>575</v>
      </c>
      <c r="P759" s="68">
        <v>16</v>
      </c>
      <c r="Q759" s="68">
        <v>20</v>
      </c>
      <c r="R759" s="68">
        <v>16</v>
      </c>
      <c r="S759" s="68">
        <v>20</v>
      </c>
      <c r="T759" s="68">
        <v>17</v>
      </c>
      <c r="U759" s="68">
        <v>21</v>
      </c>
      <c r="V759" s="917">
        <f t="shared" si="264"/>
        <v>24</v>
      </c>
      <c r="W759" s="917">
        <f t="shared" si="265"/>
        <v>28</v>
      </c>
      <c r="X759" s="68">
        <v>40</v>
      </c>
      <c r="Y759" s="68">
        <v>24</v>
      </c>
      <c r="Z759" s="68">
        <v>28</v>
      </c>
      <c r="AA759" s="699">
        <f t="shared" si="266"/>
        <v>4.666666666666667</v>
      </c>
      <c r="AB759" s="341">
        <f t="shared" si="267"/>
        <v>28</v>
      </c>
      <c r="AC759" s="74">
        <f t="shared" si="268"/>
        <v>3.0800000000000005</v>
      </c>
      <c r="AD759" s="67">
        <f t="shared" si="268"/>
        <v>18.48</v>
      </c>
      <c r="AE759" s="428">
        <f>IF(Table1[[#This Row],[Work Center]]="SwissQ",Materials!G$37,IF(Table1[[#This Row],[Work Center]]="Inca",Materials!G$29,IF(Table1[[#This Row],[Work Center]]="Canon",Materials!G$49,Materials!G$45)))</f>
        <v>5</v>
      </c>
      <c r="AF759" s="73">
        <f>'Cali Frames'!D414</f>
        <v>89.83</v>
      </c>
      <c r="AG759" s="84"/>
      <c r="AH759" s="74">
        <f t="shared" si="269"/>
        <v>20</v>
      </c>
      <c r="AI759" s="74"/>
      <c r="AJ759" s="278">
        <f t="shared" si="263"/>
        <v>136.38999999999999</v>
      </c>
      <c r="AK759" s="1001">
        <f t="shared" si="259"/>
        <v>0.65902500000000008</v>
      </c>
      <c r="AL759" s="240">
        <f>Table1[[#This Row],[WSP/Dealer]]/Table1[[#This Row],[OD Sq Inch]]</f>
        <v>1.1204481792717087</v>
      </c>
      <c r="AM759" s="274">
        <f>Table1[[#This Row],[OD Wdth]]*Table1[[#This Row],[OD Hgt]]</f>
        <v>357</v>
      </c>
      <c r="AN759" s="274">
        <f>Table1[[#This Row],[Min VO]]+Table1[[#This Row],[Max VO]]</f>
        <v>36</v>
      </c>
      <c r="AO759" s="84"/>
      <c r="AP759" s="84"/>
      <c r="AQ759" s="126"/>
      <c r="AR759" s="126"/>
      <c r="AS759" s="126"/>
      <c r="AT759" s="74"/>
      <c r="AU759" s="1357" t="str">
        <f t="shared" si="254"/>
        <v>-</v>
      </c>
    </row>
    <row r="760" spans="1:47" s="63" customFormat="1" hidden="1" x14ac:dyDescent="0.2">
      <c r="A760" s="68" t="s">
        <v>187</v>
      </c>
      <c r="B760" s="1072" t="s">
        <v>801</v>
      </c>
      <c r="C760" s="78" t="s">
        <v>1984</v>
      </c>
      <c r="D760" s="94"/>
      <c r="E760" s="84" t="s">
        <v>1980</v>
      </c>
      <c r="F760" s="84" t="s">
        <v>1981</v>
      </c>
      <c r="G760" s="68" t="s">
        <v>519</v>
      </c>
      <c r="H760" s="68" t="s">
        <v>688</v>
      </c>
      <c r="I760" s="68" t="s">
        <v>52</v>
      </c>
      <c r="J760" s="140" t="s">
        <v>53</v>
      </c>
      <c r="K760" s="68" t="s">
        <v>69</v>
      </c>
      <c r="L760" s="68" t="s">
        <v>315</v>
      </c>
      <c r="M760" s="93">
        <v>475</v>
      </c>
      <c r="N760" s="93"/>
      <c r="O760" s="68" t="s">
        <v>575</v>
      </c>
      <c r="P760" s="68">
        <v>16</v>
      </c>
      <c r="Q760" s="68">
        <v>20</v>
      </c>
      <c r="R760" s="68">
        <v>16</v>
      </c>
      <c r="S760" s="68">
        <v>20</v>
      </c>
      <c r="T760" s="68">
        <v>17</v>
      </c>
      <c r="U760" s="68">
        <v>21</v>
      </c>
      <c r="V760" s="917">
        <f t="shared" si="264"/>
        <v>24</v>
      </c>
      <c r="W760" s="917">
        <f t="shared" si="265"/>
        <v>28</v>
      </c>
      <c r="X760" s="68">
        <v>40</v>
      </c>
      <c r="Y760" s="68">
        <v>24</v>
      </c>
      <c r="Z760" s="68">
        <v>28</v>
      </c>
      <c r="AA760" s="699">
        <f t="shared" si="266"/>
        <v>4.666666666666667</v>
      </c>
      <c r="AB760" s="341">
        <f t="shared" si="267"/>
        <v>28</v>
      </c>
      <c r="AC760" s="74">
        <f t="shared" si="268"/>
        <v>3.0800000000000005</v>
      </c>
      <c r="AD760" s="67">
        <f t="shared" si="268"/>
        <v>18.48</v>
      </c>
      <c r="AE760" s="428">
        <f>IF(Table1[[#This Row],[Work Center]]="SwissQ",Materials!G$37,IF(Table1[[#This Row],[Work Center]]="Inca",Materials!G$29,IF(Table1[[#This Row],[Work Center]]="Canon",Materials!G$49,Materials!G$45)))</f>
        <v>5</v>
      </c>
      <c r="AF760" s="73">
        <f>'Cali Frames'!D504</f>
        <v>83.25</v>
      </c>
      <c r="AG760" s="84"/>
      <c r="AH760" s="74">
        <f t="shared" si="269"/>
        <v>23.75</v>
      </c>
      <c r="AI760" s="74"/>
      <c r="AJ760" s="278">
        <f t="shared" si="263"/>
        <v>133.56</v>
      </c>
      <c r="AK760" s="1001">
        <f t="shared" si="259"/>
        <v>0.71882105263157892</v>
      </c>
      <c r="AL760" s="240">
        <f>Table1[[#This Row],[WSP/Dealer]]/Table1[[#This Row],[OD Sq Inch]]</f>
        <v>1.330532212885154</v>
      </c>
      <c r="AM760" s="274">
        <f>Table1[[#This Row],[OD Wdth]]*Table1[[#This Row],[OD Hgt]]</f>
        <v>357</v>
      </c>
      <c r="AN760" s="274">
        <f>Table1[[#This Row],[Min VO]]+Table1[[#This Row],[Max VO]]</f>
        <v>36</v>
      </c>
      <c r="AO760" s="84"/>
      <c r="AP760" s="84"/>
      <c r="AQ760" s="126"/>
      <c r="AR760" s="126"/>
      <c r="AS760" s="126"/>
      <c r="AT760" s="74"/>
      <c r="AU760" s="1357" t="str">
        <f t="shared" si="254"/>
        <v>-</v>
      </c>
    </row>
    <row r="761" spans="1:47" s="63" customFormat="1" hidden="1" x14ac:dyDescent="0.2">
      <c r="A761" s="68" t="s">
        <v>187</v>
      </c>
      <c r="B761" s="1072" t="s">
        <v>801</v>
      </c>
      <c r="C761" s="78" t="s">
        <v>1985</v>
      </c>
      <c r="D761" s="94"/>
      <c r="E761" s="84" t="s">
        <v>1980</v>
      </c>
      <c r="F761" s="84" t="s">
        <v>1981</v>
      </c>
      <c r="G761" s="68" t="s">
        <v>519</v>
      </c>
      <c r="H761" s="68" t="s">
        <v>688</v>
      </c>
      <c r="I761" s="68" t="s">
        <v>52</v>
      </c>
      <c r="J761" s="140" t="s">
        <v>53</v>
      </c>
      <c r="K761" s="68" t="s">
        <v>69</v>
      </c>
      <c r="L761" s="68" t="s">
        <v>70</v>
      </c>
      <c r="M761" s="93">
        <v>400</v>
      </c>
      <c r="N761" s="93"/>
      <c r="O761" s="68" t="s">
        <v>575</v>
      </c>
      <c r="P761" s="68">
        <v>16</v>
      </c>
      <c r="Q761" s="68">
        <v>20</v>
      </c>
      <c r="R761" s="68">
        <v>16</v>
      </c>
      <c r="S761" s="68">
        <v>20</v>
      </c>
      <c r="T761" s="68">
        <v>17</v>
      </c>
      <c r="U761" s="68">
        <v>21</v>
      </c>
      <c r="V761" s="66">
        <f t="shared" si="264"/>
        <v>24</v>
      </c>
      <c r="W761" s="66">
        <f t="shared" si="265"/>
        <v>28</v>
      </c>
      <c r="X761" s="68">
        <v>40</v>
      </c>
      <c r="Y761" s="68">
        <v>24</v>
      </c>
      <c r="Z761" s="68">
        <v>28</v>
      </c>
      <c r="AA761" s="699">
        <f t="shared" si="266"/>
        <v>4.666666666666667</v>
      </c>
      <c r="AB761" s="341">
        <f t="shared" si="267"/>
        <v>28</v>
      </c>
      <c r="AC761" s="74">
        <f t="shared" si="268"/>
        <v>3.0800000000000005</v>
      </c>
      <c r="AD761" s="67">
        <f t="shared" si="268"/>
        <v>18.48</v>
      </c>
      <c r="AE761" s="278">
        <f>IF(Table1[[#This Row],[Work Center]]="SwissQ",Materials!G$37,IF(Table1[[#This Row],[Work Center]]="Inca",Materials!G$29,IF(Table1[[#This Row],[Work Center]]="Canon",Materials!G$49,Materials!G$45)))</f>
        <v>5</v>
      </c>
      <c r="AF761" s="73">
        <f>'Cali Frames'!D267</f>
        <v>82.757499999999993</v>
      </c>
      <c r="AG761" s="84"/>
      <c r="AH761" s="74">
        <f t="shared" si="269"/>
        <v>20</v>
      </c>
      <c r="AI761" s="74"/>
      <c r="AJ761" s="263">
        <f t="shared" si="263"/>
        <v>129.3175</v>
      </c>
      <c r="AK761" s="1001">
        <f t="shared" si="259"/>
        <v>0.67670625000000006</v>
      </c>
      <c r="AL761" s="240">
        <f>Table1[[#This Row],[WSP/Dealer]]/Table1[[#This Row],[OD Sq Inch]]</f>
        <v>1.1204481792717087</v>
      </c>
      <c r="AM761" s="170">
        <f>Table1[[#This Row],[OD Wdth]]*Table1[[#This Row],[OD Hgt]]</f>
        <v>357</v>
      </c>
      <c r="AN761" s="274">
        <f>Table1[[#This Row],[Min VO]]+Table1[[#This Row],[Max VO]]</f>
        <v>36</v>
      </c>
      <c r="AO761" s="84"/>
      <c r="AP761" s="84"/>
      <c r="AQ761" s="126"/>
      <c r="AR761" s="126"/>
      <c r="AS761" s="126"/>
      <c r="AT761" s="74"/>
      <c r="AU761" s="1357" t="str">
        <f t="shared" si="254"/>
        <v>-</v>
      </c>
    </row>
    <row r="762" spans="1:47" s="63" customFormat="1" hidden="1" x14ac:dyDescent="0.2">
      <c r="A762" s="68" t="s">
        <v>187</v>
      </c>
      <c r="B762" s="1072" t="s">
        <v>801</v>
      </c>
      <c r="C762" s="78" t="s">
        <v>1986</v>
      </c>
      <c r="D762" s="94"/>
      <c r="E762" s="84" t="s">
        <v>1980</v>
      </c>
      <c r="F762" s="84" t="s">
        <v>1981</v>
      </c>
      <c r="G762" s="68" t="s">
        <v>519</v>
      </c>
      <c r="H762" s="68" t="s">
        <v>974</v>
      </c>
      <c r="I762" s="68" t="s">
        <v>52</v>
      </c>
      <c r="J762" s="140" t="s">
        <v>53</v>
      </c>
      <c r="K762" s="68" t="s">
        <v>82</v>
      </c>
      <c r="L762" s="68" t="s">
        <v>334</v>
      </c>
      <c r="M762" s="93">
        <v>400</v>
      </c>
      <c r="N762" s="93"/>
      <c r="O762" s="68" t="s">
        <v>575</v>
      </c>
      <c r="P762" s="63">
        <v>16</v>
      </c>
      <c r="Q762" s="63">
        <v>20</v>
      </c>
      <c r="R762" s="68">
        <v>16</v>
      </c>
      <c r="S762" s="63">
        <v>20</v>
      </c>
      <c r="T762" s="63">
        <v>18</v>
      </c>
      <c r="U762" s="63">
        <v>22</v>
      </c>
      <c r="V762" s="66">
        <f t="shared" si="264"/>
        <v>24</v>
      </c>
      <c r="W762" s="66">
        <f t="shared" si="265"/>
        <v>28</v>
      </c>
      <c r="X762" s="68">
        <v>40</v>
      </c>
      <c r="Y762" s="68">
        <v>24</v>
      </c>
      <c r="Z762" s="68">
        <v>28</v>
      </c>
      <c r="AA762" s="699">
        <f t="shared" si="266"/>
        <v>4.666666666666667</v>
      </c>
      <c r="AB762" s="341">
        <f t="shared" si="267"/>
        <v>28</v>
      </c>
      <c r="AC762" s="74">
        <f t="shared" si="268"/>
        <v>3.0800000000000005</v>
      </c>
      <c r="AD762" s="67">
        <f t="shared" si="268"/>
        <v>18.48</v>
      </c>
      <c r="AE762" s="278">
        <f>IF(Table1[[#This Row],[Work Center]]="SwissQ",Materials!G$37,IF(Table1[[#This Row],[Work Center]]="Inca",Materials!G$29,IF(Table1[[#This Row],[Work Center]]="Canon",Materials!G$49,Materials!G$45)))</f>
        <v>5</v>
      </c>
      <c r="AF762" s="73">
        <f>'Cali Frames'!D207</f>
        <v>75</v>
      </c>
      <c r="AG762" s="84"/>
      <c r="AH762" s="67">
        <f t="shared" si="269"/>
        <v>20</v>
      </c>
      <c r="AI762" s="67"/>
      <c r="AJ762" s="263">
        <f t="shared" si="263"/>
        <v>121.56</v>
      </c>
      <c r="AK762" s="661">
        <f t="shared" si="259"/>
        <v>0.69609999999999994</v>
      </c>
      <c r="AL762" s="240">
        <f>Table1[[#This Row],[WSP/Dealer]]/Table1[[#This Row],[OD Sq Inch]]</f>
        <v>1.0101010101010102</v>
      </c>
      <c r="AM762" s="170">
        <f>Table1[[#This Row],[OD Wdth]]*Table1[[#This Row],[OD Hgt]]</f>
        <v>396</v>
      </c>
      <c r="AN762" s="274">
        <f>Table1[[#This Row],[Min VO]]+Table1[[#This Row],[Max VO]]</f>
        <v>36</v>
      </c>
      <c r="AO762" s="119"/>
      <c r="AP762" s="84"/>
      <c r="AQ762" s="126"/>
      <c r="AR762" s="126"/>
      <c r="AS762" s="126"/>
      <c r="AT762" s="74"/>
      <c r="AU762" s="1356" t="str">
        <f t="shared" si="254"/>
        <v>-</v>
      </c>
    </row>
    <row r="763" spans="1:47" s="63" customFormat="1" hidden="1" x14ac:dyDescent="0.2">
      <c r="A763" s="68" t="s">
        <v>187</v>
      </c>
      <c r="B763" s="1072" t="s">
        <v>801</v>
      </c>
      <c r="C763" s="78" t="s">
        <v>1987</v>
      </c>
      <c r="D763" s="94"/>
      <c r="E763" s="84" t="s">
        <v>1980</v>
      </c>
      <c r="F763" s="84" t="s">
        <v>1981</v>
      </c>
      <c r="G763" s="68" t="s">
        <v>519</v>
      </c>
      <c r="H763" s="68" t="s">
        <v>974</v>
      </c>
      <c r="I763" s="68" t="s">
        <v>52</v>
      </c>
      <c r="J763" s="140" t="s">
        <v>53</v>
      </c>
      <c r="K763" s="68" t="s">
        <v>82</v>
      </c>
      <c r="L763" s="68" t="s">
        <v>83</v>
      </c>
      <c r="M763" s="93">
        <v>400</v>
      </c>
      <c r="N763" s="93"/>
      <c r="O763" s="68" t="s">
        <v>575</v>
      </c>
      <c r="P763" s="63">
        <v>16</v>
      </c>
      <c r="Q763" s="63">
        <v>20</v>
      </c>
      <c r="R763" s="68">
        <v>16</v>
      </c>
      <c r="S763" s="63">
        <v>20</v>
      </c>
      <c r="T763" s="68">
        <v>18</v>
      </c>
      <c r="U763" s="68">
        <v>22</v>
      </c>
      <c r="V763" s="917">
        <f t="shared" si="264"/>
        <v>24</v>
      </c>
      <c r="W763" s="917">
        <f t="shared" si="265"/>
        <v>28</v>
      </c>
      <c r="X763" s="68">
        <v>40</v>
      </c>
      <c r="Y763" s="68">
        <v>24</v>
      </c>
      <c r="Z763" s="68">
        <v>28</v>
      </c>
      <c r="AA763" s="699">
        <f t="shared" si="266"/>
        <v>4.666666666666667</v>
      </c>
      <c r="AB763" s="341">
        <f t="shared" si="267"/>
        <v>28</v>
      </c>
      <c r="AC763" s="74">
        <f t="shared" si="268"/>
        <v>3.0800000000000005</v>
      </c>
      <c r="AD763" s="67">
        <f t="shared" si="268"/>
        <v>18.48</v>
      </c>
      <c r="AE763" s="428">
        <f>IF(Table1[[#This Row],[Work Center]]="SwissQ",Materials!G$37,IF(Table1[[#This Row],[Work Center]]="Inca",Materials!G$29,IF(Table1[[#This Row],[Work Center]]="Canon",Materials!G$49,Materials!G$45)))</f>
        <v>5</v>
      </c>
      <c r="AF763" s="73">
        <f>'Cali Frames'!D113</f>
        <v>90.07</v>
      </c>
      <c r="AG763" s="84"/>
      <c r="AH763" s="74">
        <f t="shared" si="269"/>
        <v>20</v>
      </c>
      <c r="AI763" s="74"/>
      <c r="AJ763" s="263">
        <f t="shared" si="263"/>
        <v>136.63</v>
      </c>
      <c r="AK763" s="1001">
        <f t="shared" si="259"/>
        <v>0.65842500000000004</v>
      </c>
      <c r="AL763" s="240">
        <f>Table1[[#This Row],[WSP/Dealer]]/Table1[[#This Row],[OD Sq Inch]]</f>
        <v>1.0101010101010102</v>
      </c>
      <c r="AM763" s="170">
        <f>Table1[[#This Row],[OD Wdth]]*Table1[[#This Row],[OD Hgt]]</f>
        <v>396</v>
      </c>
      <c r="AN763" s="274">
        <f>Table1[[#This Row],[Min VO]]+Table1[[#This Row],[Max VO]]</f>
        <v>36</v>
      </c>
      <c r="AO763" s="84"/>
      <c r="AP763" s="84"/>
      <c r="AQ763" s="126"/>
      <c r="AR763" s="126"/>
      <c r="AS763" s="126"/>
      <c r="AT763" s="74"/>
      <c r="AU763" s="1357" t="str">
        <f t="shared" si="254"/>
        <v>-</v>
      </c>
    </row>
    <row r="764" spans="1:47" s="103" customFormat="1" hidden="1" x14ac:dyDescent="0.2">
      <c r="A764" s="101" t="s">
        <v>110</v>
      </c>
      <c r="B764" s="1067" t="s">
        <v>250</v>
      </c>
      <c r="C764" s="100" t="s">
        <v>1988</v>
      </c>
      <c r="D764" s="168"/>
      <c r="E764" s="115" t="s">
        <v>1980</v>
      </c>
      <c r="F764" s="115" t="s">
        <v>1981</v>
      </c>
      <c r="G764" s="101" t="s">
        <v>519</v>
      </c>
      <c r="H764" s="101" t="s">
        <v>517</v>
      </c>
      <c r="I764" s="101" t="s">
        <v>52</v>
      </c>
      <c r="J764" s="487" t="s">
        <v>53</v>
      </c>
      <c r="K764" s="101" t="s">
        <v>814</v>
      </c>
      <c r="L764" s="101" t="s">
        <v>815</v>
      </c>
      <c r="M764" s="299">
        <v>500</v>
      </c>
      <c r="N764" s="114"/>
      <c r="O764" s="101" t="s">
        <v>575</v>
      </c>
      <c r="P764" s="103">
        <v>16</v>
      </c>
      <c r="Q764" s="103">
        <v>20</v>
      </c>
      <c r="R764" s="101">
        <v>16</v>
      </c>
      <c r="S764" s="103">
        <v>20</v>
      </c>
      <c r="T764" s="103">
        <v>19</v>
      </c>
      <c r="U764" s="103">
        <v>23</v>
      </c>
      <c r="V764" s="608">
        <f t="shared" si="264"/>
        <v>24</v>
      </c>
      <c r="W764" s="608">
        <f t="shared" si="265"/>
        <v>28</v>
      </c>
      <c r="X764" s="101">
        <v>40</v>
      </c>
      <c r="Y764" s="101">
        <v>24</v>
      </c>
      <c r="Z764" s="101">
        <v>28</v>
      </c>
      <c r="AA764" s="649">
        <f t="shared" si="266"/>
        <v>4.666666666666667</v>
      </c>
      <c r="AB764" s="633">
        <f t="shared" si="267"/>
        <v>28</v>
      </c>
      <c r="AC764" s="107">
        <f t="shared" si="268"/>
        <v>3.0800000000000005</v>
      </c>
      <c r="AD764" s="107">
        <f t="shared" si="268"/>
        <v>18.48</v>
      </c>
      <c r="AE764" s="406">
        <f>IF(Table1[[#This Row],[Work Center]]="SwissQ",Materials!G$37,IF(Table1[[#This Row],[Work Center]]="Inca",Materials!G$29,IF(Table1[[#This Row],[Work Center]]="Canon",Materials!G$49,Materials!G$45)))</f>
        <v>5</v>
      </c>
      <c r="AF764" s="102">
        <f>'Cali Frames'!D193</f>
        <v>126.35</v>
      </c>
      <c r="AG764" s="115"/>
      <c r="AH764" s="104">
        <f t="shared" si="269"/>
        <v>25</v>
      </c>
      <c r="AI764" s="104"/>
      <c r="AJ764" s="405">
        <f t="shared" si="263"/>
        <v>177.91</v>
      </c>
      <c r="AK764" s="830">
        <f t="shared" si="259"/>
        <v>0.64418000000000009</v>
      </c>
      <c r="AL764" s="660">
        <f>Table1[[#This Row],[WSP/Dealer]]/Table1[[#This Row],[OD Sq Inch]]</f>
        <v>1.1441647597254005</v>
      </c>
      <c r="AM764" s="399">
        <f>Table1[[#This Row],[OD Wdth]]*Table1[[#This Row],[OD Hgt]]</f>
        <v>437</v>
      </c>
      <c r="AN764" s="400">
        <f>Table1[[#This Row],[Min VO]]+Table1[[#This Row],[Max VO]]</f>
        <v>36</v>
      </c>
      <c r="AO764" s="115"/>
      <c r="AP764" s="408">
        <v>1000</v>
      </c>
      <c r="AQ764" s="1000">
        <f>(Table1[[#This Row],[Desgnr/Retail P]]*0.05)</f>
        <v>50</v>
      </c>
      <c r="AR764" s="121">
        <f>IF(A764="Codarus",(AP764*0.13))</f>
        <v>130</v>
      </c>
      <c r="AS764" s="121">
        <f>SUM(Table1[[#This Row],[Substrate $]:[GP FINISH]])+Table1[[#This Row],[Retail Royalty]]+Table1[[#This Row],[Retail$Comm]]</f>
        <v>332.90999999999997</v>
      </c>
      <c r="AT764" s="830">
        <f>IF(AP764=0,"-",(AP764-AS764)/AP764)</f>
        <v>0.66709000000000007</v>
      </c>
      <c r="AU764" s="1366">
        <f t="shared" si="254"/>
        <v>0.98665819999999993</v>
      </c>
    </row>
    <row r="765" spans="1:47" s="63" customFormat="1" x14ac:dyDescent="0.2">
      <c r="A765" s="86" t="s">
        <v>58</v>
      </c>
      <c r="B765" s="1061" t="s">
        <v>406</v>
      </c>
      <c r="C765" s="100" t="s">
        <v>1989</v>
      </c>
      <c r="D765" s="94" t="s">
        <v>1990</v>
      </c>
      <c r="E765" s="85" t="s">
        <v>1991</v>
      </c>
      <c r="F765" s="85" t="s">
        <v>386</v>
      </c>
      <c r="G765" s="86" t="s">
        <v>132</v>
      </c>
      <c r="H765" s="86" t="s">
        <v>133</v>
      </c>
      <c r="I765" s="86" t="s">
        <v>52</v>
      </c>
      <c r="J765" s="86" t="s">
        <v>53</v>
      </c>
      <c r="K765" s="86" t="s">
        <v>54</v>
      </c>
      <c r="L765" s="86" t="s">
        <v>55</v>
      </c>
      <c r="M765" s="87">
        <v>599.5</v>
      </c>
      <c r="N765" s="639">
        <v>720</v>
      </c>
      <c r="O765" s="551" t="s">
        <v>56</v>
      </c>
      <c r="P765" s="101">
        <v>36</v>
      </c>
      <c r="Q765" s="101">
        <v>48</v>
      </c>
      <c r="R765" s="60">
        <v>36</v>
      </c>
      <c r="S765" s="273">
        <v>48</v>
      </c>
      <c r="T765" s="273">
        <f>Table1[[#This Row],[VO Wdth]]</f>
        <v>36</v>
      </c>
      <c r="U765" s="273">
        <f>Table1[[#This Row],[VO Hgt]]</f>
        <v>48</v>
      </c>
      <c r="V765" s="608">
        <f t="shared" si="264"/>
        <v>44</v>
      </c>
      <c r="W765" s="608">
        <f t="shared" si="265"/>
        <v>56</v>
      </c>
      <c r="X765" s="137">
        <v>59</v>
      </c>
      <c r="Y765" s="101"/>
      <c r="Z765" s="101"/>
      <c r="AA765" s="649">
        <f t="shared" si="266"/>
        <v>17.111111111111111</v>
      </c>
      <c r="AB765" s="184">
        <f>AA765*IncaG</f>
        <v>360.01777777777778</v>
      </c>
      <c r="AC765" s="104">
        <f>AA765*Canvas</f>
        <v>11.293333333333333</v>
      </c>
      <c r="AD765" s="107">
        <f>AA765*IncaC</f>
        <v>28.801422222222222</v>
      </c>
      <c r="AE765" s="104">
        <f>IF(Table1[[#This Row],[Work Center]]="SwissQ",Materials!G$37,IF(Table1[[#This Row],[Work Center]]="Inca",Materials!G$29,IF(Table1[[#This Row],[Work Center]]="Canon",Materials!G$49,Materials!G$45)))</f>
        <v>8</v>
      </c>
      <c r="AF765" s="104">
        <f>'Cali FPS'!C$71</f>
        <v>114.31</v>
      </c>
      <c r="AG765" s="115"/>
      <c r="AH765" s="498">
        <f t="shared" si="269"/>
        <v>29.975000000000001</v>
      </c>
      <c r="AI765" s="498"/>
      <c r="AJ765" s="104">
        <f t="shared" si="263"/>
        <v>192.37975555555553</v>
      </c>
      <c r="AK765" s="650">
        <f t="shared" si="259"/>
        <v>0.67909965712167542</v>
      </c>
      <c r="AL765" s="225">
        <f>Table1[[#This Row],[WSP/Dealer]]/Table1[[#This Row],[OD Sq Inch]]</f>
        <v>0.34693287037037035</v>
      </c>
      <c r="AM765" s="101">
        <f>Table1[[#This Row],[OD Wdth]]*Table1[[#This Row],[OD Hgt]]</f>
        <v>1728</v>
      </c>
      <c r="AN765" s="216">
        <f>Table1[[#This Row],[Min VO]]+Table1[[#This Row],[Max VO]]</f>
        <v>84</v>
      </c>
      <c r="AO765" s="101"/>
      <c r="AP765" s="101"/>
      <c r="AQ765" s="104"/>
      <c r="AR765" s="104"/>
      <c r="AS765" s="104"/>
      <c r="AT765" s="104"/>
      <c r="AU765" s="830" t="str">
        <f t="shared" si="254"/>
        <v>-</v>
      </c>
    </row>
    <row r="766" spans="1:47" s="63" customFormat="1" hidden="1" x14ac:dyDescent="0.2">
      <c r="A766" s="180" t="s">
        <v>272</v>
      </c>
      <c r="B766" s="1061" t="s">
        <v>1062</v>
      </c>
      <c r="C766" s="302" t="s">
        <v>1992</v>
      </c>
      <c r="D766" s="94" t="s">
        <v>1993</v>
      </c>
      <c r="E766" s="284" t="s">
        <v>1991</v>
      </c>
      <c r="F766" s="284" t="s">
        <v>386</v>
      </c>
      <c r="G766" s="180" t="s">
        <v>132</v>
      </c>
      <c r="H766" s="180" t="s">
        <v>133</v>
      </c>
      <c r="I766" s="180" t="s">
        <v>52</v>
      </c>
      <c r="J766" s="180" t="s">
        <v>53</v>
      </c>
      <c r="K766" s="180" t="s">
        <v>54</v>
      </c>
      <c r="L766" s="180" t="s">
        <v>55</v>
      </c>
      <c r="M766" s="285">
        <v>400</v>
      </c>
      <c r="N766" s="285"/>
      <c r="O766" s="180" t="s">
        <v>56</v>
      </c>
      <c r="P766" s="180">
        <v>36</v>
      </c>
      <c r="Q766" s="180">
        <v>48</v>
      </c>
      <c r="R766" s="180">
        <v>36</v>
      </c>
      <c r="S766" s="813">
        <v>48</v>
      </c>
      <c r="T766" s="813">
        <f>Table1[[#This Row],[VO Wdth]]</f>
        <v>36</v>
      </c>
      <c r="U766" s="813">
        <f>Table1[[#This Row],[VO Hgt]]</f>
        <v>48</v>
      </c>
      <c r="V766" s="174">
        <f t="shared" si="264"/>
        <v>44</v>
      </c>
      <c r="W766" s="174">
        <f t="shared" si="265"/>
        <v>56</v>
      </c>
      <c r="X766" s="289">
        <v>59</v>
      </c>
      <c r="Y766" s="180"/>
      <c r="Z766" s="180"/>
      <c r="AA766" s="678">
        <f t="shared" si="266"/>
        <v>17.111111111111111</v>
      </c>
      <c r="AB766" s="329">
        <f>AA766*IncaG</f>
        <v>360.01777777777778</v>
      </c>
      <c r="AC766" s="176">
        <f>AA766*Canvas</f>
        <v>11.293333333333333</v>
      </c>
      <c r="AD766" s="175">
        <f>AA766*IncaC</f>
        <v>28.801422222222222</v>
      </c>
      <c r="AE766" s="104">
        <f>IF(Table1[[#This Row],[Work Center]]="SwissQ",Materials!G$37,IF(Table1[[#This Row],[Work Center]]="Inca",Materials!G$29,IF(Table1[[#This Row],[Work Center]]="Canon",Materials!G$49,Materials!G$45)))</f>
        <v>8</v>
      </c>
      <c r="AF766" s="176">
        <f>'Cali FPS'!C$71</f>
        <v>114.31</v>
      </c>
      <c r="AG766" s="284"/>
      <c r="AH766" s="498">
        <f t="shared" si="269"/>
        <v>20</v>
      </c>
      <c r="AI766" s="498"/>
      <c r="AJ766" s="176">
        <f t="shared" si="263"/>
        <v>182.40475555555554</v>
      </c>
      <c r="AK766" s="650">
        <f t="shared" si="259"/>
        <v>0.54398811111111112</v>
      </c>
      <c r="AL766" s="225">
        <f>Table1[[#This Row],[WSP/Dealer]]/Table1[[#This Row],[OD Sq Inch]]</f>
        <v>0.23148148148148148</v>
      </c>
      <c r="AM766" s="173">
        <f>Table1[[#This Row],[OD Wdth]]*Table1[[#This Row],[OD Hgt]]</f>
        <v>1728</v>
      </c>
      <c r="AN766" s="216">
        <f>Table1[[#This Row],[Min VO]]+Table1[[#This Row],[Max VO]]</f>
        <v>84</v>
      </c>
      <c r="AO766" s="180"/>
      <c r="AP766" s="180"/>
      <c r="AQ766" s="176"/>
      <c r="AR766" s="176"/>
      <c r="AS766" s="176"/>
      <c r="AT766" s="176"/>
      <c r="AU766" s="1201" t="str">
        <f t="shared" si="254"/>
        <v>-</v>
      </c>
    </row>
    <row r="767" spans="1:47" s="88" customFormat="1" hidden="1" x14ac:dyDescent="0.2">
      <c r="A767" s="374" t="s">
        <v>187</v>
      </c>
      <c r="B767" s="1061" t="s">
        <v>188</v>
      </c>
      <c r="C767" s="78" t="s">
        <v>1994</v>
      </c>
      <c r="D767" s="94"/>
      <c r="E767" s="84" t="s">
        <v>1995</v>
      </c>
      <c r="F767" s="84" t="s">
        <v>386</v>
      </c>
      <c r="G767" s="68" t="s">
        <v>191</v>
      </c>
      <c r="H767" s="68" t="s">
        <v>191</v>
      </c>
      <c r="I767" s="68" t="s">
        <v>108</v>
      </c>
      <c r="J767" s="140" t="s">
        <v>197</v>
      </c>
      <c r="K767" s="68" t="s">
        <v>198</v>
      </c>
      <c r="L767" s="68" t="s">
        <v>199</v>
      </c>
      <c r="M767" s="93">
        <v>120</v>
      </c>
      <c r="N767" s="71"/>
      <c r="O767" s="68" t="s">
        <v>56</v>
      </c>
      <c r="P767" s="68">
        <v>48</v>
      </c>
      <c r="Q767" s="68">
        <v>60</v>
      </c>
      <c r="R767" s="68">
        <v>48</v>
      </c>
      <c r="S767" s="68">
        <v>60</v>
      </c>
      <c r="T767" s="68">
        <v>48</v>
      </c>
      <c r="U767" s="68">
        <v>60</v>
      </c>
      <c r="V767" s="277">
        <f>Table1[[#This Row],[VO Wdth]]+Materials!$C$7</f>
        <v>50</v>
      </c>
      <c r="W767" s="277">
        <f>Table1[[#This Row],[VO Hgt]]+Materials!$C$7</f>
        <v>62</v>
      </c>
      <c r="X767" s="343" t="s">
        <v>197</v>
      </c>
      <c r="Y767" s="68"/>
      <c r="Z767" s="68"/>
      <c r="AA767" s="699">
        <f t="shared" si="266"/>
        <v>21.527777777777779</v>
      </c>
      <c r="AB767" s="297">
        <f>AA767*IncaGR</f>
        <v>21.958333333333336</v>
      </c>
      <c r="AC767" s="74">
        <f>Table1[[#This Row],[Substrate SF]]*POster</f>
        <v>16.016666666666666</v>
      </c>
      <c r="AD767" s="208">
        <f>Table1[[#This Row],[Ink g/mL]]*IncaCR</f>
        <v>1.7566666666666668</v>
      </c>
      <c r="AE76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767" s="73">
        <v>0</v>
      </c>
      <c r="AG767" s="126">
        <f>Materials!D$76</f>
        <v>10.82</v>
      </c>
      <c r="AH767" s="498">
        <f t="shared" si="269"/>
        <v>6</v>
      </c>
      <c r="AI767" s="498"/>
      <c r="AJ767" s="278">
        <f t="shared" si="263"/>
        <v>44.593333333333334</v>
      </c>
      <c r="AK767" s="650">
        <f t="shared" si="259"/>
        <v>0.62838888888888889</v>
      </c>
      <c r="AL767" s="225">
        <f>Table1[[#This Row],[WSP/Dealer]]/Table1[[#This Row],[OD Sq Inch]]</f>
        <v>4.1666666666666664E-2</v>
      </c>
      <c r="AM767" s="170">
        <f>Table1[[#This Row],[OD Wdth]]*Table1[[#This Row],[OD Hgt]]</f>
        <v>2880</v>
      </c>
      <c r="AN767" s="84"/>
      <c r="AO767" s="84"/>
      <c r="AP767" s="84"/>
      <c r="AQ767" s="126"/>
      <c r="AR767" s="126"/>
      <c r="AS767" s="126"/>
      <c r="AT767" s="74"/>
      <c r="AU767" s="1357" t="str">
        <f t="shared" si="254"/>
        <v>-</v>
      </c>
    </row>
    <row r="768" spans="1:47" s="88" customFormat="1" hidden="1" x14ac:dyDescent="0.2">
      <c r="A768" s="374" t="s">
        <v>187</v>
      </c>
      <c r="B768" s="1061" t="s">
        <v>188</v>
      </c>
      <c r="C768" s="78" t="s">
        <v>1996</v>
      </c>
      <c r="D768" s="94"/>
      <c r="E768" s="84" t="s">
        <v>1995</v>
      </c>
      <c r="F768" s="84" t="s">
        <v>386</v>
      </c>
      <c r="G768" s="68" t="s">
        <v>191</v>
      </c>
      <c r="H768" s="68" t="s">
        <v>193</v>
      </c>
      <c r="I768" s="68" t="s">
        <v>52</v>
      </c>
      <c r="J768" s="140" t="s">
        <v>53</v>
      </c>
      <c r="K768" s="68" t="s">
        <v>69</v>
      </c>
      <c r="L768" s="68" t="s">
        <v>70</v>
      </c>
      <c r="M768" s="93">
        <v>2950</v>
      </c>
      <c r="N768" s="71"/>
      <c r="O768" s="68" t="s">
        <v>56</v>
      </c>
      <c r="P768" s="68"/>
      <c r="Q768" s="68"/>
      <c r="R768" s="68"/>
      <c r="S768" s="623"/>
      <c r="T768" s="623"/>
      <c r="U768" s="623"/>
      <c r="V768" s="66"/>
      <c r="W768" s="66"/>
      <c r="X768" s="189"/>
      <c r="Y768" s="68"/>
      <c r="Z768" s="68"/>
      <c r="AA768" s="699"/>
      <c r="AB768" s="297"/>
      <c r="AC768" s="74"/>
      <c r="AD768" s="118"/>
      <c r="AE768" s="126"/>
      <c r="AF768" s="73"/>
      <c r="AG768" s="84"/>
      <c r="AH768" s="498">
        <f t="shared" si="269"/>
        <v>147.5</v>
      </c>
      <c r="AI768" s="498"/>
      <c r="AJ768" s="126"/>
      <c r="AK768" s="650">
        <f t="shared" si="259"/>
        <v>1</v>
      </c>
      <c r="AL768" s="225" t="e">
        <f>Table1[[#This Row],[WSP/Dealer]]/Table1[[#This Row],[OD Sq Inch]]</f>
        <v>#DIV/0!</v>
      </c>
      <c r="AM768" s="119"/>
      <c r="AN768" s="84"/>
      <c r="AO768" s="84"/>
      <c r="AP768" s="84"/>
      <c r="AQ768" s="126"/>
      <c r="AR768" s="126"/>
      <c r="AS768" s="126"/>
      <c r="AT768" s="74"/>
      <c r="AU768" s="1357" t="str">
        <f t="shared" si="254"/>
        <v>-</v>
      </c>
    </row>
    <row r="769" spans="1:47" s="88" customFormat="1" hidden="1" x14ac:dyDescent="0.2">
      <c r="A769" s="374" t="s">
        <v>187</v>
      </c>
      <c r="B769" s="1061" t="s">
        <v>188</v>
      </c>
      <c r="C769" s="78" t="s">
        <v>1997</v>
      </c>
      <c r="D769" s="94"/>
      <c r="E769" s="84" t="s">
        <v>1995</v>
      </c>
      <c r="F769" s="84" t="s">
        <v>386</v>
      </c>
      <c r="G769" s="68" t="s">
        <v>191</v>
      </c>
      <c r="H769" s="68" t="s">
        <v>191</v>
      </c>
      <c r="I769" s="68" t="s">
        <v>52</v>
      </c>
      <c r="J769" s="140" t="s">
        <v>53</v>
      </c>
      <c r="K769" s="68" t="s">
        <v>54</v>
      </c>
      <c r="L769" s="68" t="s">
        <v>55</v>
      </c>
      <c r="M769" s="93">
        <v>2550</v>
      </c>
      <c r="N769" s="71"/>
      <c r="O769" s="68" t="s">
        <v>56</v>
      </c>
      <c r="P769" s="68"/>
      <c r="Q769" s="68"/>
      <c r="R769" s="68"/>
      <c r="S769" s="623"/>
      <c r="T769" s="623"/>
      <c r="U769" s="623"/>
      <c r="V769" s="66"/>
      <c r="W769" s="66"/>
      <c r="X769" s="189"/>
      <c r="Y769" s="68"/>
      <c r="Z769" s="68"/>
      <c r="AA769" s="699"/>
      <c r="AB769" s="297"/>
      <c r="AC769" s="74"/>
      <c r="AD769" s="118"/>
      <c r="AE769" s="126"/>
      <c r="AF769" s="73"/>
      <c r="AG769" s="84"/>
      <c r="AH769" s="498">
        <f t="shared" si="269"/>
        <v>127.5</v>
      </c>
      <c r="AI769" s="498"/>
      <c r="AJ769" s="126"/>
      <c r="AK769" s="650">
        <f t="shared" si="259"/>
        <v>1</v>
      </c>
      <c r="AL769" s="225" t="e">
        <f>Table1[[#This Row],[WSP/Dealer]]/Table1[[#This Row],[OD Sq Inch]]</f>
        <v>#DIV/0!</v>
      </c>
      <c r="AM769" s="119"/>
      <c r="AN769" s="84"/>
      <c r="AO769" s="84"/>
      <c r="AP769" s="84"/>
      <c r="AQ769" s="126"/>
      <c r="AR769" s="126"/>
      <c r="AS769" s="126"/>
      <c r="AT769" s="74"/>
      <c r="AU769" s="1357" t="str">
        <f t="shared" si="254"/>
        <v>-</v>
      </c>
    </row>
    <row r="770" spans="1:47" s="63" customFormat="1" hidden="1" x14ac:dyDescent="0.2">
      <c r="A770" s="373" t="s">
        <v>187</v>
      </c>
      <c r="B770" s="1061" t="s">
        <v>188</v>
      </c>
      <c r="C770" s="78" t="s">
        <v>1998</v>
      </c>
      <c r="D770" s="94"/>
      <c r="E770" s="84" t="s">
        <v>1995</v>
      </c>
      <c r="F770" s="84" t="s">
        <v>386</v>
      </c>
      <c r="G770" s="68" t="s">
        <v>191</v>
      </c>
      <c r="H770" s="68" t="s">
        <v>193</v>
      </c>
      <c r="I770" s="68" t="s">
        <v>52</v>
      </c>
      <c r="J770" s="140" t="s">
        <v>53</v>
      </c>
      <c r="K770" s="68" t="s">
        <v>69</v>
      </c>
      <c r="L770" s="68" t="s">
        <v>73</v>
      </c>
      <c r="M770" s="93">
        <v>2950</v>
      </c>
      <c r="N770" s="71"/>
      <c r="O770" s="68" t="s">
        <v>56</v>
      </c>
      <c r="R770" s="68"/>
      <c r="S770" s="65"/>
      <c r="T770" s="65"/>
      <c r="U770" s="65"/>
      <c r="V770" s="66"/>
      <c r="W770" s="66"/>
      <c r="X770" s="189"/>
      <c r="Y770" s="68"/>
      <c r="Z770" s="68"/>
      <c r="AA770" s="699"/>
      <c r="AB770" s="297"/>
      <c r="AC770" s="74"/>
      <c r="AD770" s="118"/>
      <c r="AE770" s="126"/>
      <c r="AF770" s="73"/>
      <c r="AG770" s="84"/>
      <c r="AH770" s="498">
        <f t="shared" si="269"/>
        <v>147.5</v>
      </c>
      <c r="AI770" s="498"/>
      <c r="AJ770" s="126"/>
      <c r="AK770" s="650">
        <f t="shared" si="259"/>
        <v>1</v>
      </c>
      <c r="AL770" s="225" t="e">
        <f>Table1[[#This Row],[WSP/Dealer]]/Table1[[#This Row],[OD Sq Inch]]</f>
        <v>#DIV/0!</v>
      </c>
      <c r="AM770" s="119"/>
      <c r="AN770" s="84"/>
      <c r="AO770" s="119"/>
      <c r="AP770" s="84"/>
      <c r="AQ770" s="126"/>
      <c r="AR770" s="126"/>
      <c r="AS770" s="126"/>
      <c r="AT770" s="74"/>
      <c r="AU770" s="1356" t="str">
        <f t="shared" si="254"/>
        <v>-</v>
      </c>
    </row>
    <row r="771" spans="1:47" s="63" customFormat="1" x14ac:dyDescent="0.2">
      <c r="A771" s="86" t="s">
        <v>58</v>
      </c>
      <c r="B771" s="1061" t="s">
        <v>406</v>
      </c>
      <c r="C771" s="100" t="s">
        <v>1999</v>
      </c>
      <c r="D771" s="94" t="s">
        <v>2000</v>
      </c>
      <c r="E771" s="85" t="s">
        <v>2001</v>
      </c>
      <c r="F771" s="85" t="s">
        <v>386</v>
      </c>
      <c r="G771" s="86" t="s">
        <v>132</v>
      </c>
      <c r="H771" s="86" t="s">
        <v>133</v>
      </c>
      <c r="I771" s="86" t="s">
        <v>52</v>
      </c>
      <c r="J771" s="86" t="s">
        <v>53</v>
      </c>
      <c r="K771" s="86" t="s">
        <v>54</v>
      </c>
      <c r="L771" s="86" t="s">
        <v>55</v>
      </c>
      <c r="M771" s="87">
        <v>599.5</v>
      </c>
      <c r="N771" s="639">
        <v>720</v>
      </c>
      <c r="O771" s="551" t="s">
        <v>56</v>
      </c>
      <c r="P771" s="101">
        <v>36</v>
      </c>
      <c r="Q771" s="101">
        <v>48</v>
      </c>
      <c r="R771" s="60">
        <v>36</v>
      </c>
      <c r="S771" s="273">
        <v>48</v>
      </c>
      <c r="T771" s="273">
        <f>Table1[[#This Row],[VO Wdth]]</f>
        <v>36</v>
      </c>
      <c r="U771" s="273">
        <f>Table1[[#This Row],[VO Hgt]]</f>
        <v>48</v>
      </c>
      <c r="V771" s="106">
        <f>IF(J771="Canvas",P771+BorderGW,P771)</f>
        <v>44</v>
      </c>
      <c r="W771" s="106">
        <f>IF(J771="Canvas",Q771+BorderGW,Q771)</f>
        <v>56</v>
      </c>
      <c r="X771" s="137">
        <v>59</v>
      </c>
      <c r="Y771" s="101"/>
      <c r="Z771" s="101"/>
      <c r="AA771" s="649">
        <f>V771*W771/144</f>
        <v>17.111111111111111</v>
      </c>
      <c r="AB771" s="184">
        <f>AA771*IncaG</f>
        <v>360.01777777777778</v>
      </c>
      <c r="AC771" s="104">
        <f>AA771*Canvas</f>
        <v>11.293333333333333</v>
      </c>
      <c r="AD771" s="107">
        <f>AA771*IncaC</f>
        <v>28.801422222222222</v>
      </c>
      <c r="AE771" s="104">
        <f>IF(Table1[[#This Row],[Work Center]]="SwissQ",Materials!G$37,IF(Table1[[#This Row],[Work Center]]="Inca",Materials!G$29,IF(Table1[[#This Row],[Work Center]]="Canon",Materials!G$49,Materials!G$45)))</f>
        <v>8</v>
      </c>
      <c r="AF771" s="104">
        <f>'Cali FPS'!C$71</f>
        <v>114.31</v>
      </c>
      <c r="AG771" s="115"/>
      <c r="AH771" s="498">
        <f t="shared" si="269"/>
        <v>29.975000000000001</v>
      </c>
      <c r="AI771" s="498"/>
      <c r="AJ771" s="104">
        <f>SUM(AC771:AH771)</f>
        <v>192.37975555555553</v>
      </c>
      <c r="AK771" s="650">
        <f t="shared" si="259"/>
        <v>0.67909965712167542</v>
      </c>
      <c r="AL771" s="225">
        <f>Table1[[#This Row],[WSP/Dealer]]/Table1[[#This Row],[OD Sq Inch]]</f>
        <v>0.34693287037037035</v>
      </c>
      <c r="AM771" s="218">
        <f>Table1[[#This Row],[OD Wdth]]*Table1[[#This Row],[OD Hgt]]</f>
        <v>1728</v>
      </c>
      <c r="AN771" s="216">
        <f>Table1[[#This Row],[Min VO]]+Table1[[#This Row],[Max VO]]</f>
        <v>84</v>
      </c>
      <c r="AO771" s="101"/>
      <c r="AP771" s="101"/>
      <c r="AQ771" s="104"/>
      <c r="AR771" s="104"/>
      <c r="AS771" s="104"/>
      <c r="AT771" s="104"/>
      <c r="AU771" s="830" t="str">
        <f t="shared" si="254"/>
        <v>-</v>
      </c>
    </row>
    <row r="772" spans="1:47" s="63" customFormat="1" hidden="1" x14ac:dyDescent="0.2">
      <c r="A772" s="374" t="s">
        <v>187</v>
      </c>
      <c r="B772" s="1061" t="s">
        <v>188</v>
      </c>
      <c r="C772" s="78" t="s">
        <v>2002</v>
      </c>
      <c r="D772" s="94"/>
      <c r="E772" s="84" t="s">
        <v>2003</v>
      </c>
      <c r="F772" s="84" t="s">
        <v>386</v>
      </c>
      <c r="G772" s="68" t="s">
        <v>191</v>
      </c>
      <c r="H772" s="68" t="s">
        <v>191</v>
      </c>
      <c r="I772" s="68" t="s">
        <v>108</v>
      </c>
      <c r="J772" s="140" t="s">
        <v>197</v>
      </c>
      <c r="K772" s="68" t="s">
        <v>198</v>
      </c>
      <c r="L772" s="68" t="s">
        <v>199</v>
      </c>
      <c r="M772" s="93">
        <v>120</v>
      </c>
      <c r="N772" s="71"/>
      <c r="O772" s="68" t="s">
        <v>56</v>
      </c>
      <c r="P772" s="68">
        <v>48</v>
      </c>
      <c r="Q772" s="68">
        <v>60</v>
      </c>
      <c r="R772" s="68">
        <v>48</v>
      </c>
      <c r="S772" s="68">
        <v>60</v>
      </c>
      <c r="T772" s="68">
        <v>48</v>
      </c>
      <c r="U772" s="68">
        <v>60</v>
      </c>
      <c r="V772" s="277">
        <f>Table1[[#This Row],[VO Wdth]]+Materials!$C$7</f>
        <v>50</v>
      </c>
      <c r="W772" s="277">
        <f>Table1[[#This Row],[VO Hgt]]+Materials!$C$7</f>
        <v>62</v>
      </c>
      <c r="X772" s="343" t="s">
        <v>197</v>
      </c>
      <c r="Y772" s="68"/>
      <c r="Z772" s="68"/>
      <c r="AA772" s="699">
        <f>V772*W772/144</f>
        <v>21.527777777777779</v>
      </c>
      <c r="AB772" s="297">
        <f>AA772*IncaGR</f>
        <v>21.958333333333336</v>
      </c>
      <c r="AC772" s="74">
        <f>Table1[[#This Row],[Substrate SF]]*POster</f>
        <v>16.016666666666666</v>
      </c>
      <c r="AD772" s="208">
        <f>Table1[[#This Row],[Ink g/mL]]*IncaCR</f>
        <v>1.7566666666666668</v>
      </c>
      <c r="AE772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772" s="73">
        <v>0</v>
      </c>
      <c r="AG772" s="126">
        <f>Materials!D$76</f>
        <v>10.82</v>
      </c>
      <c r="AH772" s="498">
        <f t="shared" si="269"/>
        <v>6</v>
      </c>
      <c r="AI772" s="498"/>
      <c r="AJ772" s="278">
        <f>SUM(AC772:AH772)</f>
        <v>44.593333333333334</v>
      </c>
      <c r="AK772" s="650">
        <f t="shared" si="259"/>
        <v>0.62838888888888889</v>
      </c>
      <c r="AL772" s="225">
        <f>Table1[[#This Row],[WSP/Dealer]]/Table1[[#This Row],[OD Sq Inch]]</f>
        <v>4.1666666666666664E-2</v>
      </c>
      <c r="AM772" s="170">
        <f>Table1[[#This Row],[OD Wdth]]*Table1[[#This Row],[OD Hgt]]</f>
        <v>2880</v>
      </c>
      <c r="AN772" s="84"/>
      <c r="AO772" s="84"/>
      <c r="AP772" s="84"/>
      <c r="AQ772" s="126"/>
      <c r="AR772" s="126"/>
      <c r="AS772" s="126"/>
      <c r="AT772" s="74"/>
      <c r="AU772" s="1357" t="str">
        <f t="shared" si="254"/>
        <v>-</v>
      </c>
    </row>
    <row r="773" spans="1:47" s="63" customFormat="1" hidden="1" x14ac:dyDescent="0.2">
      <c r="A773" s="374" t="s">
        <v>187</v>
      </c>
      <c r="B773" s="1061" t="s">
        <v>188</v>
      </c>
      <c r="C773" s="78" t="s">
        <v>2004</v>
      </c>
      <c r="D773" s="94"/>
      <c r="E773" s="84" t="s">
        <v>2003</v>
      </c>
      <c r="F773" s="84" t="s">
        <v>386</v>
      </c>
      <c r="G773" s="68" t="s">
        <v>191</v>
      </c>
      <c r="H773" s="68" t="s">
        <v>193</v>
      </c>
      <c r="I773" s="68" t="s">
        <v>52</v>
      </c>
      <c r="J773" s="140" t="s">
        <v>53</v>
      </c>
      <c r="K773" s="68" t="s">
        <v>69</v>
      </c>
      <c r="L773" s="68" t="s">
        <v>70</v>
      </c>
      <c r="M773" s="93">
        <v>2950</v>
      </c>
      <c r="N773" s="71"/>
      <c r="O773" s="68" t="s">
        <v>56</v>
      </c>
      <c r="P773" s="68"/>
      <c r="Q773" s="68"/>
      <c r="R773" s="68"/>
      <c r="S773" s="623"/>
      <c r="T773" s="623"/>
      <c r="U773" s="623"/>
      <c r="V773" s="917"/>
      <c r="W773" s="917"/>
      <c r="X773" s="189"/>
      <c r="Y773" s="68"/>
      <c r="Z773" s="68"/>
      <c r="AA773" s="699"/>
      <c r="AB773" s="297"/>
      <c r="AC773" s="74"/>
      <c r="AD773" s="118"/>
      <c r="AE773" s="126"/>
      <c r="AF773" s="73"/>
      <c r="AG773" s="84"/>
      <c r="AH773" s="498">
        <f t="shared" si="269"/>
        <v>147.5</v>
      </c>
      <c r="AI773" s="498"/>
      <c r="AJ773" s="126"/>
      <c r="AK773" s="650">
        <f t="shared" si="259"/>
        <v>1</v>
      </c>
      <c r="AL773" s="225" t="e">
        <f>Table1[[#This Row],[WSP/Dealer]]/Table1[[#This Row],[OD Sq Inch]]</f>
        <v>#DIV/0!</v>
      </c>
      <c r="AM773" s="119"/>
      <c r="AN773" s="84"/>
      <c r="AO773" s="119"/>
      <c r="AP773" s="84"/>
      <c r="AQ773" s="126"/>
      <c r="AR773" s="126"/>
      <c r="AS773" s="126"/>
      <c r="AT773" s="74"/>
      <c r="AU773" s="1356" t="str">
        <f t="shared" si="254"/>
        <v>-</v>
      </c>
    </row>
    <row r="774" spans="1:47" s="63" customFormat="1" hidden="1" x14ac:dyDescent="0.2">
      <c r="A774" s="373" t="s">
        <v>187</v>
      </c>
      <c r="B774" s="1061" t="s">
        <v>188</v>
      </c>
      <c r="C774" s="78" t="s">
        <v>2005</v>
      </c>
      <c r="D774" s="94"/>
      <c r="E774" s="84" t="s">
        <v>2003</v>
      </c>
      <c r="F774" s="84" t="s">
        <v>386</v>
      </c>
      <c r="G774" s="68" t="s">
        <v>191</v>
      </c>
      <c r="H774" s="68" t="s">
        <v>191</v>
      </c>
      <c r="I774" s="68" t="s">
        <v>52</v>
      </c>
      <c r="J774" s="140" t="s">
        <v>53</v>
      </c>
      <c r="K774" s="68" t="s">
        <v>54</v>
      </c>
      <c r="L774" s="68" t="s">
        <v>55</v>
      </c>
      <c r="M774" s="93">
        <v>2550</v>
      </c>
      <c r="N774" s="71"/>
      <c r="O774" s="68" t="s">
        <v>56</v>
      </c>
      <c r="P774" s="68"/>
      <c r="Q774" s="68"/>
      <c r="R774" s="68"/>
      <c r="S774" s="623"/>
      <c r="T774" s="623"/>
      <c r="U774" s="623"/>
      <c r="V774" s="66"/>
      <c r="W774" s="66"/>
      <c r="X774" s="189"/>
      <c r="Y774" s="68"/>
      <c r="Z774" s="68"/>
      <c r="AA774" s="699"/>
      <c r="AB774" s="297"/>
      <c r="AC774" s="74"/>
      <c r="AD774" s="118"/>
      <c r="AE774" s="126"/>
      <c r="AF774" s="73"/>
      <c r="AG774" s="84"/>
      <c r="AH774" s="498">
        <f t="shared" si="269"/>
        <v>127.5</v>
      </c>
      <c r="AI774" s="498"/>
      <c r="AJ774" s="118"/>
      <c r="AK774" s="650">
        <f t="shared" si="259"/>
        <v>1</v>
      </c>
      <c r="AL774" s="225" t="e">
        <f>Table1[[#This Row],[WSP/Dealer]]/Table1[[#This Row],[OD Sq Inch]]</f>
        <v>#DIV/0!</v>
      </c>
      <c r="AM774" s="119"/>
      <c r="AN774" s="84"/>
      <c r="AO774" s="119"/>
      <c r="AP774" s="84"/>
      <c r="AQ774" s="126"/>
      <c r="AR774" s="126"/>
      <c r="AS774" s="126"/>
      <c r="AT774" s="74"/>
      <c r="AU774" s="1356" t="str">
        <f t="shared" si="254"/>
        <v>-</v>
      </c>
    </row>
    <row r="775" spans="1:47" s="63" customFormat="1" hidden="1" x14ac:dyDescent="0.2">
      <c r="A775" s="374" t="s">
        <v>187</v>
      </c>
      <c r="B775" s="1061" t="s">
        <v>188</v>
      </c>
      <c r="C775" s="78" t="s">
        <v>2006</v>
      </c>
      <c r="D775" s="94"/>
      <c r="E775" s="84" t="s">
        <v>2003</v>
      </c>
      <c r="F775" s="84" t="s">
        <v>386</v>
      </c>
      <c r="G775" s="68" t="s">
        <v>191</v>
      </c>
      <c r="H775" s="68" t="s">
        <v>193</v>
      </c>
      <c r="I775" s="68" t="s">
        <v>52</v>
      </c>
      <c r="J775" s="140" t="s">
        <v>53</v>
      </c>
      <c r="K775" s="68" t="s">
        <v>69</v>
      </c>
      <c r="L775" s="68" t="s">
        <v>73</v>
      </c>
      <c r="M775" s="93">
        <v>2950</v>
      </c>
      <c r="N775" s="71"/>
      <c r="O775" s="68" t="s">
        <v>56</v>
      </c>
      <c r="P775" s="68"/>
      <c r="Q775" s="68"/>
      <c r="R775" s="68"/>
      <c r="S775" s="623"/>
      <c r="T775" s="623"/>
      <c r="U775" s="623"/>
      <c r="V775" s="66"/>
      <c r="W775" s="66"/>
      <c r="X775" s="189"/>
      <c r="Y775" s="68"/>
      <c r="Z775" s="68"/>
      <c r="AA775" s="699"/>
      <c r="AB775" s="297"/>
      <c r="AC775" s="74"/>
      <c r="AD775" s="118"/>
      <c r="AE775" s="126"/>
      <c r="AF775" s="73"/>
      <c r="AG775" s="84"/>
      <c r="AH775" s="498">
        <f t="shared" si="269"/>
        <v>147.5</v>
      </c>
      <c r="AI775" s="498"/>
      <c r="AJ775" s="126"/>
      <c r="AK775" s="650">
        <f t="shared" si="259"/>
        <v>1</v>
      </c>
      <c r="AL775" s="225" t="e">
        <f>Table1[[#This Row],[WSP/Dealer]]/Table1[[#This Row],[OD Sq Inch]]</f>
        <v>#DIV/0!</v>
      </c>
      <c r="AM775" s="119"/>
      <c r="AN775" s="84"/>
      <c r="AO775" s="84"/>
      <c r="AP775" s="84"/>
      <c r="AQ775" s="126"/>
      <c r="AR775" s="126"/>
      <c r="AS775" s="126"/>
      <c r="AT775" s="74"/>
      <c r="AU775" s="1357" t="str">
        <f t="shared" si="254"/>
        <v>-</v>
      </c>
    </row>
    <row r="776" spans="1:47" s="63" customFormat="1" x14ac:dyDescent="0.2">
      <c r="A776" s="101" t="s">
        <v>581</v>
      </c>
      <c r="B776" s="1061" t="s">
        <v>292</v>
      </c>
      <c r="C776" s="100" t="s">
        <v>2007</v>
      </c>
      <c r="D776" s="94" t="s">
        <v>2008</v>
      </c>
      <c r="E776" s="115" t="s">
        <v>2009</v>
      </c>
      <c r="F776" s="84" t="s">
        <v>289</v>
      </c>
      <c r="G776" s="68" t="s">
        <v>2010</v>
      </c>
      <c r="H776" s="68" t="s">
        <v>2011</v>
      </c>
      <c r="I776" s="68" t="s">
        <v>52</v>
      </c>
      <c r="J776" s="140" t="s">
        <v>53</v>
      </c>
      <c r="K776" s="68" t="s">
        <v>82</v>
      </c>
      <c r="L776" s="68" t="s">
        <v>298</v>
      </c>
      <c r="M776" s="299">
        <v>1300</v>
      </c>
      <c r="N776" s="114">
        <v>1300</v>
      </c>
      <c r="O776" s="101" t="s">
        <v>56</v>
      </c>
      <c r="P776" s="101">
        <v>51</v>
      </c>
      <c r="Q776" s="101">
        <v>61</v>
      </c>
      <c r="R776" s="101">
        <v>51</v>
      </c>
      <c r="S776" s="697">
        <v>61</v>
      </c>
      <c r="T776" s="697">
        <v>52</v>
      </c>
      <c r="U776" s="697">
        <v>62</v>
      </c>
      <c r="V776" s="404">
        <f>IF(J776="Canvas",P776+BorderL,P776)</f>
        <v>62</v>
      </c>
      <c r="W776" s="404">
        <f>IF(J776="Canvas",Q776+BorderL,Q776)</f>
        <v>72</v>
      </c>
      <c r="X776" s="137">
        <v>62</v>
      </c>
      <c r="Y776" s="101">
        <v>62</v>
      </c>
      <c r="Z776" s="101">
        <v>72</v>
      </c>
      <c r="AA776" s="724">
        <f>V776*W776/144</f>
        <v>31</v>
      </c>
      <c r="AB776" s="633">
        <f>AA776*IncaG</f>
        <v>652.24</v>
      </c>
      <c r="AC776" s="406">
        <f>AA776*Canvas</f>
        <v>20.46</v>
      </c>
      <c r="AD776" s="405">
        <f>AA776*IncaC</f>
        <v>52.179200000000002</v>
      </c>
      <c r="AE776" s="406">
        <f>IF(Table1[[#This Row],[Work Center]]="SwissQ",Materials!G$37,IF(Table1[[#This Row],[Work Center]]="Inca",Materials!G$29,IF(Table1[[#This Row],[Work Center]]="Canon",Materials!G$49,Materials!G$45)))</f>
        <v>8</v>
      </c>
      <c r="AF776" s="102">
        <f>'Cali Frames'!D239</f>
        <v>248.72749999999999</v>
      </c>
      <c r="AG776" s="540"/>
      <c r="AH776" s="104">
        <f t="shared" si="269"/>
        <v>65</v>
      </c>
      <c r="AI776" s="104"/>
      <c r="AJ776" s="406">
        <f>SUM(AC776:AH776)</f>
        <v>394.36669999999998</v>
      </c>
      <c r="AK776" s="830">
        <f t="shared" si="259"/>
        <v>0.69664099999999995</v>
      </c>
      <c r="AL776" s="660">
        <f>Table1[[#This Row],[WSP/Dealer]]/Table1[[#This Row],[OD Sq Inch]]</f>
        <v>0.40322580645161288</v>
      </c>
      <c r="AM776" s="399">
        <f>Table1[[#This Row],[OD Wdth]]*Table1[[#This Row],[OD Hgt]]</f>
        <v>3224</v>
      </c>
      <c r="AN776" s="400">
        <f>Table1[[#This Row],[Min VO]]+Table1[[#This Row],[Max VO]]</f>
        <v>112</v>
      </c>
      <c r="AO776" s="115"/>
      <c r="AP776" s="115"/>
      <c r="AQ776" s="121"/>
      <c r="AR776" s="121"/>
      <c r="AS776" s="121"/>
      <c r="AT776" s="104"/>
      <c r="AU776" s="1359" t="str">
        <f t="shared" si="254"/>
        <v>-</v>
      </c>
    </row>
    <row r="777" spans="1:47" s="46" customFormat="1" x14ac:dyDescent="0.2">
      <c r="A777" s="60" t="s">
        <v>58</v>
      </c>
      <c r="B777" s="1071" t="s">
        <v>305</v>
      </c>
      <c r="C777" s="76" t="s">
        <v>2012</v>
      </c>
      <c r="D777" s="79"/>
      <c r="E777" s="83" t="s">
        <v>2013</v>
      </c>
      <c r="F777" s="83" t="s">
        <v>289</v>
      </c>
      <c r="G777" s="60" t="s">
        <v>1200</v>
      </c>
      <c r="H777" s="60" t="s">
        <v>1208</v>
      </c>
      <c r="I777" s="60" t="s">
        <v>52</v>
      </c>
      <c r="J777" s="59" t="s">
        <v>53</v>
      </c>
      <c r="K777" s="60" t="s">
        <v>82</v>
      </c>
      <c r="L777" s="60" t="s">
        <v>334</v>
      </c>
      <c r="M777" s="124">
        <v>1400</v>
      </c>
      <c r="N777" s="124"/>
      <c r="O777" s="60" t="s">
        <v>64</v>
      </c>
      <c r="P777" s="60">
        <v>60</v>
      </c>
      <c r="Q777" s="60">
        <v>80</v>
      </c>
      <c r="R777" s="60">
        <v>60</v>
      </c>
      <c r="S777" s="273">
        <v>80</v>
      </c>
      <c r="T777" s="273">
        <v>62</v>
      </c>
      <c r="U777" s="273">
        <v>82</v>
      </c>
      <c r="V777" s="47">
        <f>IF(J777="Canvas",P777+BorderL,P777)</f>
        <v>71</v>
      </c>
      <c r="W777" s="47">
        <f>IF(J777="Canvas",Q777+BorderL,Q777)</f>
        <v>91</v>
      </c>
      <c r="X777" s="60">
        <v>122</v>
      </c>
      <c r="Y777" s="60">
        <v>71</v>
      </c>
      <c r="Z777" s="60">
        <v>91</v>
      </c>
      <c r="AA777" s="678">
        <f>V777*W777/144</f>
        <v>44.868055555555557</v>
      </c>
      <c r="AB777" s="389">
        <f>AA777*Swiss1</f>
        <v>1269.7659722222222</v>
      </c>
      <c r="AC777" s="143">
        <f>Table1[[#This Row],[Substrate SF]]*Canvas</f>
        <v>29.612916666666671</v>
      </c>
      <c r="AD777" s="150">
        <f>Table1[[#This Row],[Substrate SF]]*Materials!C$37</f>
        <v>125.63055555555555</v>
      </c>
      <c r="AE777" s="69">
        <f>IF(Table1[[#This Row],[Work Center]]="SwissQ",Materials!G$37,IF(Table1[[#This Row],[Work Center]]="Inca",Materials!G$29,IF(Table1[[#This Row],[Work Center]]="Canon",Materials!G$49,Materials!G$45)))</f>
        <v>20</v>
      </c>
      <c r="AF777" s="72">
        <f>'Cali Frames'!D218</f>
        <v>301.72000000000003</v>
      </c>
      <c r="AG777" s="540"/>
      <c r="AH777" s="69">
        <f t="shared" si="269"/>
        <v>70</v>
      </c>
      <c r="AI777" s="69"/>
      <c r="AJ777" s="176">
        <f>SUM(AC777:AH777)</f>
        <v>546.96347222222221</v>
      </c>
      <c r="AK777" s="650">
        <f t="shared" si="259"/>
        <v>0.60931180555555553</v>
      </c>
      <c r="AL777" s="225">
        <f>Table1[[#This Row],[WSP/Dealer]]/Table1[[#This Row],[OD Sq Inch]]</f>
        <v>0.27537372147915029</v>
      </c>
      <c r="AM777" s="173">
        <f>Table1[[#This Row],[OD Wdth]]*Table1[[#This Row],[OD Hgt]]</f>
        <v>5084</v>
      </c>
      <c r="AN777" s="180">
        <f>Table1[[#This Row],[Min VO]]+Table1[[#This Row],[Max VO]]</f>
        <v>140</v>
      </c>
      <c r="AO777" s="83"/>
      <c r="AP777" s="83"/>
      <c r="AQ777" s="540">
        <f>(Table1[[#This Row],[Desgnr/Retail P]]*0.05)</f>
        <v>0</v>
      </c>
      <c r="AR777" s="540" t="b">
        <f>IF(A777="Codarus",(AP777*0.13))</f>
        <v>0</v>
      </c>
      <c r="AS777" s="540" t="e" cm="1">
        <f t="array" ref="AS777">SUM(AC777:AG777+AQ+AR)</f>
        <v>#NAME?</v>
      </c>
      <c r="AT777" s="69" t="e">
        <f>(AP777-AS777)/AP777</f>
        <v>#NAME?</v>
      </c>
      <c r="AU777" s="1361" t="str">
        <f t="shared" si="254"/>
        <v>-</v>
      </c>
    </row>
    <row r="778" spans="1:47" s="63" customFormat="1" x14ac:dyDescent="0.2">
      <c r="A778" s="60" t="s">
        <v>58</v>
      </c>
      <c r="B778" s="1073" t="s">
        <v>1013</v>
      </c>
      <c r="C778" s="76" t="s">
        <v>2014</v>
      </c>
      <c r="D778" s="79"/>
      <c r="E778" s="83" t="s">
        <v>2015</v>
      </c>
      <c r="F778" s="83" t="s">
        <v>289</v>
      </c>
      <c r="G778" s="60" t="s">
        <v>2016</v>
      </c>
      <c r="H778" s="60" t="s">
        <v>2017</v>
      </c>
      <c r="I778" s="60" t="s">
        <v>52</v>
      </c>
      <c r="J778" s="59" t="s">
        <v>53</v>
      </c>
      <c r="K778" s="60" t="s">
        <v>82</v>
      </c>
      <c r="L778" s="60" t="s">
        <v>298</v>
      </c>
      <c r="M778" s="179">
        <v>1450</v>
      </c>
      <c r="N778" s="124"/>
      <c r="O778" s="60" t="s">
        <v>64</v>
      </c>
      <c r="P778" s="60">
        <v>64</v>
      </c>
      <c r="Q778" s="60">
        <v>80</v>
      </c>
      <c r="R778" s="60">
        <v>64</v>
      </c>
      <c r="S778" s="273">
        <v>80</v>
      </c>
      <c r="T778" s="61">
        <v>66</v>
      </c>
      <c r="U778" s="61">
        <v>82</v>
      </c>
      <c r="V778" s="174">
        <f>IF(J778="Canvas",P778+BorderL,P778)</f>
        <v>75</v>
      </c>
      <c r="W778" s="174">
        <f>IF(J778="Canvas",Q778+BorderL,Q778)</f>
        <v>91</v>
      </c>
      <c r="X778" s="60">
        <v>122</v>
      </c>
      <c r="Y778" s="60">
        <v>75</v>
      </c>
      <c r="Z778" s="60">
        <v>91</v>
      </c>
      <c r="AA778" s="678">
        <f>V778*W778/144</f>
        <v>47.395833333333336</v>
      </c>
      <c r="AB778" s="389">
        <f>AA778*Swiss1</f>
        <v>1341.3020833333335</v>
      </c>
      <c r="AC778" s="143">
        <f>Table1[[#This Row],[Substrate SF]]*Canvas</f>
        <v>31.281250000000004</v>
      </c>
      <c r="AD778" s="150">
        <f>Table1[[#This Row],[Substrate SF]]*Materials!C$37</f>
        <v>132.70833333333334</v>
      </c>
      <c r="AE778" s="69">
        <f>IF(Table1[[#This Row],[Work Center]]="SwissQ",Materials!G$37,IF(Table1[[#This Row],[Work Center]]="Inca",Materials!G$29,IF(Table1[[#This Row],[Work Center]]="Canon",Materials!G$49,Materials!G$45)))</f>
        <v>20</v>
      </c>
      <c r="AF778" s="72">
        <f>'Cali Frames'!D244</f>
        <v>380</v>
      </c>
      <c r="AG778" s="540"/>
      <c r="AH778" s="69">
        <f t="shared" si="269"/>
        <v>72.5</v>
      </c>
      <c r="AI778" s="69"/>
      <c r="AJ778" s="175">
        <f>SUM(AC778:AH778)</f>
        <v>636.48958333333337</v>
      </c>
      <c r="AK778" s="650">
        <f t="shared" si="259"/>
        <v>0.56104166666666666</v>
      </c>
      <c r="AL778" s="225">
        <f>Table1[[#This Row],[WSP/Dealer]]/Table1[[#This Row],[OD Sq Inch]]</f>
        <v>0.26792313377679233</v>
      </c>
      <c r="AM778" s="173">
        <f>Table1[[#This Row],[OD Wdth]]*Table1[[#This Row],[OD Hgt]]</f>
        <v>5412</v>
      </c>
      <c r="AN778" s="180">
        <f>Table1[[#This Row],[Min VO]]+Table1[[#This Row],[Max VO]]</f>
        <v>144</v>
      </c>
      <c r="AO778" s="83"/>
      <c r="AP778" s="83"/>
      <c r="AQ778" s="540"/>
      <c r="AR778" s="540"/>
      <c r="AS778" s="540"/>
      <c r="AT778" s="69"/>
      <c r="AU778" s="1361" t="str">
        <f t="shared" si="254"/>
        <v>-</v>
      </c>
    </row>
    <row r="779" spans="1:47" s="46" customFormat="1" x14ac:dyDescent="0.2">
      <c r="A779" s="60" t="s">
        <v>58</v>
      </c>
      <c r="B779" s="1071" t="s">
        <v>250</v>
      </c>
      <c r="C779" s="76" t="s">
        <v>2018</v>
      </c>
      <c r="D779" s="79"/>
      <c r="E779" s="83" t="s">
        <v>2019</v>
      </c>
      <c r="F779" s="83" t="s">
        <v>289</v>
      </c>
      <c r="G779" s="60" t="s">
        <v>1180</v>
      </c>
      <c r="H779" s="60" t="s">
        <v>1181</v>
      </c>
      <c r="I779" s="60" t="s">
        <v>52</v>
      </c>
      <c r="J779" s="59" t="s">
        <v>53</v>
      </c>
      <c r="K779" s="60" t="s">
        <v>69</v>
      </c>
      <c r="L779" s="60" t="s">
        <v>70</v>
      </c>
      <c r="M779" s="179">
        <v>1900</v>
      </c>
      <c r="N779" s="124"/>
      <c r="O779" s="60" t="s">
        <v>64</v>
      </c>
      <c r="P779" s="60">
        <v>65</v>
      </c>
      <c r="Q779" s="60">
        <v>90</v>
      </c>
      <c r="R779" s="60">
        <v>65</v>
      </c>
      <c r="S779" s="61">
        <v>90</v>
      </c>
      <c r="T779" s="61">
        <v>66</v>
      </c>
      <c r="U779" s="61">
        <v>91</v>
      </c>
      <c r="V779" s="47">
        <f>IF(J779="Canvas",P779+BorderGW,P779)</f>
        <v>73</v>
      </c>
      <c r="W779" s="47">
        <f>IF(J779="Canvas",Q779+BorderGW,Q779)</f>
        <v>98</v>
      </c>
      <c r="X779" s="60">
        <v>122</v>
      </c>
      <c r="Y779" s="60">
        <v>73</v>
      </c>
      <c r="Z779" s="60">
        <v>98</v>
      </c>
      <c r="AA779" s="678">
        <f>V779*W779/144</f>
        <v>49.680555555555557</v>
      </c>
      <c r="AB779" s="389">
        <f>AA779*Swiss1</f>
        <v>1405.9597222222224</v>
      </c>
      <c r="AC779" s="143">
        <f>Table1[[#This Row],[Substrate SF]]*Canvas</f>
        <v>32.789166666666667</v>
      </c>
      <c r="AD779" s="150">
        <f>Table1[[#This Row],[Substrate SF]]*Materials!C$37</f>
        <v>139.10555555555555</v>
      </c>
      <c r="AE779" s="69">
        <f>IF(Table1[[#This Row],[Work Center]]="SwissQ",Materials!G$37,IF(Table1[[#This Row],[Work Center]]="Inca",Materials!G$29,IF(Table1[[#This Row],[Work Center]]="Canon",Materials!G$49,Materials!G$45)))</f>
        <v>20</v>
      </c>
      <c r="AF779" s="72">
        <f>'Cali Frames'!D353</f>
        <v>358.12</v>
      </c>
      <c r="AG779" s="540"/>
      <c r="AH779" s="69">
        <f t="shared" si="269"/>
        <v>95</v>
      </c>
      <c r="AI779" s="69"/>
      <c r="AJ779" s="175">
        <f>SUM(AC779:AH779)</f>
        <v>645.01472222222219</v>
      </c>
      <c r="AK779" s="650">
        <f t="shared" si="259"/>
        <v>0.66051856725146196</v>
      </c>
      <c r="AL779" s="225">
        <f>Table1[[#This Row],[WSP/Dealer]]/Table1[[#This Row],[OD Sq Inch]]</f>
        <v>0.31635031635031635</v>
      </c>
      <c r="AM779" s="173">
        <f>Table1[[#This Row],[OD Wdth]]*Table1[[#This Row],[OD Hgt]]</f>
        <v>6006</v>
      </c>
      <c r="AN779" s="180">
        <f>Table1[[#This Row],[Min VO]]+Table1[[#This Row],[Max VO]]</f>
        <v>155</v>
      </c>
      <c r="AO779" s="83"/>
      <c r="AP779" s="83"/>
      <c r="AQ779" s="540"/>
      <c r="AR779" s="540"/>
      <c r="AS779" s="540"/>
      <c r="AT779" s="69"/>
      <c r="AU779" s="1361"/>
    </row>
    <row r="780" spans="1:47" s="63" customFormat="1" x14ac:dyDescent="0.2">
      <c r="A780" s="60" t="s">
        <v>58</v>
      </c>
      <c r="B780" s="1071" t="s">
        <v>111</v>
      </c>
      <c r="C780" s="76" t="s">
        <v>2020</v>
      </c>
      <c r="D780" s="79"/>
      <c r="E780" s="83" t="s">
        <v>2021</v>
      </c>
      <c r="F780" s="83" t="s">
        <v>289</v>
      </c>
      <c r="G780" s="60" t="s">
        <v>290</v>
      </c>
      <c r="H780" s="60" t="s">
        <v>291</v>
      </c>
      <c r="I780" s="60" t="s">
        <v>108</v>
      </c>
      <c r="J780" s="59" t="s">
        <v>53</v>
      </c>
      <c r="K780" s="60" t="s">
        <v>69</v>
      </c>
      <c r="L780" s="60" t="s">
        <v>73</v>
      </c>
      <c r="M780" s="124">
        <v>2000</v>
      </c>
      <c r="N780" s="124"/>
      <c r="O780" s="60" t="s">
        <v>64</v>
      </c>
      <c r="P780" s="60">
        <v>70</v>
      </c>
      <c r="Q780" s="60">
        <v>110</v>
      </c>
      <c r="R780" s="60">
        <v>70</v>
      </c>
      <c r="S780" s="273">
        <v>110</v>
      </c>
      <c r="T780" s="61">
        <v>71</v>
      </c>
      <c r="U780" s="61">
        <v>111</v>
      </c>
      <c r="V780" s="47">
        <f>IF(J780="Canvas",P780+BorderL,P780)</f>
        <v>81</v>
      </c>
      <c r="W780" s="47">
        <f>IF(J780="Canvas",Q780+BorderL,Q780)</f>
        <v>121</v>
      </c>
      <c r="X780" s="60">
        <v>122</v>
      </c>
      <c r="Y780" s="60">
        <v>81</v>
      </c>
      <c r="Z780" s="60">
        <v>121</v>
      </c>
      <c r="AA780" s="678">
        <f>V780*W780/144</f>
        <v>68.0625</v>
      </c>
      <c r="AB780" s="389">
        <f>AA780*SWISSMLR</f>
        <v>136.125</v>
      </c>
      <c r="AC780" s="143">
        <f>Table1[[#This Row],[Substrate SF]]*Canvas</f>
        <v>44.921250000000001</v>
      </c>
      <c r="AD780" s="150">
        <f>Table1[[#This Row],[Substrate SF]]*Materials!C$41</f>
        <v>14.973750000000001</v>
      </c>
      <c r="AE780" s="69">
        <f>IF(Table1[[#This Row],[Work Center]]="SwissQ",Materials!G$37,IF(Table1[[#This Row],[Work Center]]="Inca",Materials!G$29,IF(Table1[[#This Row],[Work Center]]="Canon",Materials!G$49,Materials!G$45)))</f>
        <v>20</v>
      </c>
      <c r="AF780" s="72">
        <f>'Cali Frames'!D489</f>
        <v>425</v>
      </c>
      <c r="AG780" s="540"/>
      <c r="AH780" s="69">
        <f t="shared" si="269"/>
        <v>100</v>
      </c>
      <c r="AI780" s="69"/>
      <c r="AJ780" s="175">
        <f>SUM(AC780:AH780)</f>
        <v>604.89499999999998</v>
      </c>
      <c r="AK780" s="650">
        <f t="shared" si="259"/>
        <v>0.69755250000000002</v>
      </c>
      <c r="AL780" s="225">
        <f>Table1[[#This Row],[WSP/Dealer]]/Table1[[#This Row],[OD Sq Inch]]</f>
        <v>0.2537749016622256</v>
      </c>
      <c r="AM780" s="173">
        <f>Table1[[#This Row],[OD Wdth]]*Table1[[#This Row],[OD Hgt]]</f>
        <v>7881</v>
      </c>
      <c r="AN780" s="180">
        <f>Table1[[#This Row],[Min VO]]+Table1[[#This Row],[Max VO]]</f>
        <v>180</v>
      </c>
      <c r="AO780" s="83"/>
      <c r="AP780" s="83"/>
      <c r="AQ780" s="540"/>
      <c r="AR780" s="540"/>
      <c r="AS780" s="540"/>
      <c r="AT780" s="69"/>
      <c r="AU780" s="1361" t="str">
        <f t="shared" ref="AU780:AU811" si="270">IF(AQ780=0,"-",(AQ780-AT780)/AQ780)</f>
        <v>-</v>
      </c>
    </row>
    <row r="781" spans="1:47" s="63" customFormat="1" hidden="1" x14ac:dyDescent="0.2">
      <c r="A781" s="101"/>
      <c r="B781" s="1064"/>
      <c r="C781" s="168" t="s">
        <v>2022</v>
      </c>
      <c r="D781" s="168"/>
      <c r="E781" s="115" t="s">
        <v>2023</v>
      </c>
      <c r="F781" s="115" t="s">
        <v>889</v>
      </c>
      <c r="G781" s="101" t="s">
        <v>2024</v>
      </c>
      <c r="H781" s="101" t="s">
        <v>351</v>
      </c>
      <c r="I781" s="60"/>
      <c r="J781" s="59"/>
      <c r="K781" s="60"/>
      <c r="L781" s="101"/>
      <c r="M781" s="114"/>
      <c r="N781" s="114"/>
      <c r="O781" s="101"/>
      <c r="P781" s="60"/>
      <c r="Q781" s="60"/>
      <c r="R781" s="60"/>
      <c r="S781" s="60"/>
      <c r="T781" s="697"/>
      <c r="U781" s="697"/>
      <c r="V781" s="608"/>
      <c r="W781" s="608"/>
      <c r="X781" s="101"/>
      <c r="Y781" s="101"/>
      <c r="Z781" s="101"/>
      <c r="AA781" s="649"/>
      <c r="AB781" s="184"/>
      <c r="AC781" s="104"/>
      <c r="AD781" s="121"/>
      <c r="AE781" s="121"/>
      <c r="AF781" s="102"/>
      <c r="AG781" s="121"/>
      <c r="AH781" s="121"/>
      <c r="AI781" s="121"/>
      <c r="AJ781" s="121"/>
      <c r="AK781" s="830"/>
      <c r="AL781" s="121"/>
      <c r="AM781" s="115"/>
      <c r="AN781" s="115"/>
      <c r="AO781" s="115"/>
      <c r="AP781" s="115"/>
      <c r="AQ781" s="121"/>
      <c r="AR781" s="121"/>
      <c r="AS781" s="121"/>
      <c r="AT781" s="104"/>
      <c r="AU781" s="1359" t="str">
        <f t="shared" si="270"/>
        <v>-</v>
      </c>
    </row>
    <row r="782" spans="1:47" s="88" customFormat="1" hidden="1" x14ac:dyDescent="0.2">
      <c r="A782" s="101" t="s">
        <v>101</v>
      </c>
      <c r="B782" s="1067" t="s">
        <v>111</v>
      </c>
      <c r="C782" s="168" t="s">
        <v>2025</v>
      </c>
      <c r="D782" s="168"/>
      <c r="E782" s="115" t="s">
        <v>2026</v>
      </c>
      <c r="F782" s="115" t="s">
        <v>889</v>
      </c>
      <c r="G782" s="101" t="s">
        <v>1290</v>
      </c>
      <c r="H782" s="101" t="s">
        <v>2027</v>
      </c>
      <c r="I782" s="101" t="s">
        <v>256</v>
      </c>
      <c r="J782" s="487" t="s">
        <v>257</v>
      </c>
      <c r="K782" s="101" t="s">
        <v>2028</v>
      </c>
      <c r="L782" s="101" t="s">
        <v>513</v>
      </c>
      <c r="M782" s="141">
        <v>372</v>
      </c>
      <c r="N782" s="114"/>
      <c r="O782" s="101" t="s">
        <v>260</v>
      </c>
      <c r="P782" s="101">
        <v>20</v>
      </c>
      <c r="Q782" s="101">
        <v>30</v>
      </c>
      <c r="R782" s="101">
        <v>20</v>
      </c>
      <c r="S782" s="101">
        <v>30</v>
      </c>
      <c r="T782" s="697">
        <v>23</v>
      </c>
      <c r="U782" s="697">
        <v>33</v>
      </c>
      <c r="V782" s="106">
        <f>IF(J782="Canvas",P782+Border,P782)</f>
        <v>20</v>
      </c>
      <c r="W782" s="106">
        <f>IF(J782="Canvas",Q782+Border,Q782)</f>
        <v>30</v>
      </c>
      <c r="X782" s="101" t="s">
        <v>257</v>
      </c>
      <c r="Y782" s="1345">
        <f>Table1[[#This Row],[Print Wth]]+Materials!$C$7</f>
        <v>22</v>
      </c>
      <c r="Z782" s="1345">
        <f>Table1[[#This Row],[Print Ht]]+Materials!$C$7</f>
        <v>32</v>
      </c>
      <c r="AA782" s="1011">
        <f>(Table1[[#This Row],[Cut Width]]*Table1[[#This Row],[Cut Height]])/144</f>
        <v>4.8888888888888893</v>
      </c>
      <c r="AB782" s="184">
        <f>(Table1[[#This Row],[Print Wth]]*Table1[[#This Row],[Print Ht]])/144*canonML</f>
        <v>20</v>
      </c>
      <c r="AC782" s="104">
        <f>Table1[[#This Row],[Substrate SF]]*Paper</f>
        <v>6.6146666666666674</v>
      </c>
      <c r="AD782" s="107">
        <f>(Table1[[#This Row],[Print Wth]]*Table1[[#This Row],[Print Ht]])/144*CanonC</f>
        <v>1.1250000000000002</v>
      </c>
      <c r="AE782" s="104">
        <f>IF(Table1[[#This Row],[Work Center]]="SwissQ",Materials!G$37,IF(Table1[[#This Row],[Work Center]]="Inca",Materials!G$29,IF(Table1[[#This Row],[Work Center]]="Canon",Materials!G$49,Materials!G$45)))</f>
        <v>7</v>
      </c>
      <c r="AF782" s="102">
        <f>'Cali Frames'!D561</f>
        <v>151.91750000000002</v>
      </c>
      <c r="AG782" s="121"/>
      <c r="AH782" s="107">
        <f t="shared" ref="AH782:AH819" si="271">(M782*0.05)</f>
        <v>18.600000000000001</v>
      </c>
      <c r="AI782" s="107"/>
      <c r="AJ782" s="405">
        <f>SUM(AC782:AH782)</f>
        <v>185.25716666666668</v>
      </c>
      <c r="AK782" s="108">
        <f t="shared" ref="AK782:AK813" si="272">(M782-AJ782)/M782</f>
        <v>0.5019968637992831</v>
      </c>
      <c r="AL782" s="660">
        <f>Table1[[#This Row],[WSP/Dealer]]/Table1[[#This Row],[OD Sq Inch]]</f>
        <v>0.49011857707509882</v>
      </c>
      <c r="AM782" s="399">
        <f>Table1[[#This Row],[OD Wdth]]*Table1[[#This Row],[OD Hgt]]</f>
        <v>759</v>
      </c>
      <c r="AN782" s="400">
        <f>Table1[[#This Row],[Min VO]]+Table1[[#This Row],[Max VO]]</f>
        <v>50</v>
      </c>
      <c r="AO782" s="115"/>
      <c r="AP782" s="115"/>
      <c r="AQ782" s="121"/>
      <c r="AR782" s="121"/>
      <c r="AS782" s="121"/>
      <c r="AT782" s="104"/>
      <c r="AU782" s="1359" t="str">
        <f t="shared" si="270"/>
        <v>-</v>
      </c>
    </row>
    <row r="783" spans="1:47" s="63" customFormat="1" hidden="1" x14ac:dyDescent="0.2">
      <c r="A783" s="101"/>
      <c r="B783" s="1061"/>
      <c r="C783" s="77" t="s">
        <v>2029</v>
      </c>
      <c r="D783" s="94"/>
      <c r="E783" s="115" t="s">
        <v>2030</v>
      </c>
      <c r="F783" s="115" t="s">
        <v>737</v>
      </c>
      <c r="G783" s="101" t="s">
        <v>2031</v>
      </c>
      <c r="H783" s="101"/>
      <c r="I783" s="60" t="s">
        <v>52</v>
      </c>
      <c r="J783" s="59" t="s">
        <v>53</v>
      </c>
      <c r="K783" s="60" t="s">
        <v>54</v>
      </c>
      <c r="L783" s="101" t="s">
        <v>55</v>
      </c>
      <c r="M783" s="299">
        <v>650</v>
      </c>
      <c r="N783" s="71"/>
      <c r="O783" s="101" t="s">
        <v>56</v>
      </c>
      <c r="P783" s="46">
        <v>55</v>
      </c>
      <c r="Q783" s="46">
        <v>79</v>
      </c>
      <c r="R783" s="60">
        <v>55</v>
      </c>
      <c r="S783" s="46">
        <v>79</v>
      </c>
      <c r="T783" s="46">
        <v>55</v>
      </c>
      <c r="U783" s="46">
        <v>79</v>
      </c>
      <c r="V783" s="149">
        <f>IF(J783="Canvas",P783+Border,P783)</f>
        <v>63</v>
      </c>
      <c r="W783" s="149">
        <f>IF(J783="Canvas",Q783+Border,Q783)</f>
        <v>87</v>
      </c>
      <c r="X783" s="137">
        <v>62.75</v>
      </c>
      <c r="Y783" s="101">
        <v>63</v>
      </c>
      <c r="Z783" s="101">
        <v>87</v>
      </c>
      <c r="AA783" s="649">
        <f>V783*W783/144</f>
        <v>38.0625</v>
      </c>
      <c r="AB783" s="125">
        <f>AA783*Swiss1</f>
        <v>1077.16875</v>
      </c>
      <c r="AC783" s="104">
        <f>AA783*Canvas</f>
        <v>25.12125</v>
      </c>
      <c r="AD783" s="107">
        <f>AA783*IncaC</f>
        <v>64.066800000000001</v>
      </c>
      <c r="AE783" s="104">
        <f>IF(Table1[[#This Row],[Work Center]]="SwissQ",Materials!G$37,IF(Table1[[#This Row],[Work Center]]="Inca",Materials!G$29,IF(Table1[[#This Row],[Work Center]]="Canon",Materials!G$49,Materials!G$45)))</f>
        <v>8</v>
      </c>
      <c r="AF783" s="102">
        <f>'Cali FPS'!H146</f>
        <v>198.64999999999998</v>
      </c>
      <c r="AG783" s="121"/>
      <c r="AH783" s="498">
        <f t="shared" si="271"/>
        <v>32.5</v>
      </c>
      <c r="AI783" s="498"/>
      <c r="AJ783" s="107">
        <f>SUM(AC783:AH783)</f>
        <v>328.33804999999995</v>
      </c>
      <c r="AK783" s="650">
        <f t="shared" si="272"/>
        <v>0.49486453846153855</v>
      </c>
      <c r="AL783" s="225" t="e">
        <f>Table1[[#This Row],[WSP/Dealer]]/Table1[[#This Row],[OD Sq Inch]]</f>
        <v>#DIV/0!</v>
      </c>
      <c r="AM783" s="113"/>
      <c r="AN783" s="216">
        <f>Table1[[#This Row],[Min VO]]+Table1[[#This Row],[Max VO]]</f>
        <v>134</v>
      </c>
      <c r="AO783" s="113"/>
      <c r="AP783" s="115"/>
      <c r="AQ783" s="121"/>
      <c r="AR783" s="121"/>
      <c r="AS783" s="121"/>
      <c r="AT783" s="104"/>
      <c r="AU783" s="1359" t="str">
        <f t="shared" si="270"/>
        <v>-</v>
      </c>
    </row>
    <row r="784" spans="1:47" s="63" customFormat="1" hidden="1" x14ac:dyDescent="0.2">
      <c r="A784" s="101"/>
      <c r="B784" s="1061"/>
      <c r="C784" s="77" t="s">
        <v>2032</v>
      </c>
      <c r="D784" s="94"/>
      <c r="E784" s="115" t="s">
        <v>2033</v>
      </c>
      <c r="F784" s="115" t="s">
        <v>737</v>
      </c>
      <c r="G784" s="101" t="s">
        <v>2031</v>
      </c>
      <c r="H784" s="101"/>
      <c r="I784" s="60" t="s">
        <v>52</v>
      </c>
      <c r="J784" s="59" t="s">
        <v>53</v>
      </c>
      <c r="K784" s="60" t="s">
        <v>54</v>
      </c>
      <c r="L784" s="101" t="s">
        <v>55</v>
      </c>
      <c r="M784" s="299">
        <v>650</v>
      </c>
      <c r="N784" s="71"/>
      <c r="O784" s="101" t="s">
        <v>56</v>
      </c>
      <c r="P784" s="46">
        <v>55</v>
      </c>
      <c r="Q784" s="46">
        <v>79</v>
      </c>
      <c r="R784" s="60">
        <v>55</v>
      </c>
      <c r="S784" s="46">
        <v>79</v>
      </c>
      <c r="T784" s="46">
        <v>55</v>
      </c>
      <c r="U784" s="46">
        <v>79</v>
      </c>
      <c r="V784" s="913">
        <f>IF(J784="Canvas",P784+Border,P784)</f>
        <v>63</v>
      </c>
      <c r="W784" s="913">
        <f>IF(J784="Canvas",Q784+Border,Q784)</f>
        <v>87</v>
      </c>
      <c r="X784" s="137">
        <v>62.75</v>
      </c>
      <c r="Y784" s="101">
        <v>63</v>
      </c>
      <c r="Z784" s="101">
        <v>87</v>
      </c>
      <c r="AA784" s="649">
        <f>V784*W784/144</f>
        <v>38.0625</v>
      </c>
      <c r="AB784" s="125">
        <f>AA784*Swiss1</f>
        <v>1077.16875</v>
      </c>
      <c r="AC784" s="104">
        <f>AA784*Canvas</f>
        <v>25.12125</v>
      </c>
      <c r="AD784" s="107">
        <f>AA784*IncaC</f>
        <v>64.066800000000001</v>
      </c>
      <c r="AE784" s="104">
        <f>IF(Table1[[#This Row],[Work Center]]="SwissQ",Materials!G$37,IF(Table1[[#This Row],[Work Center]]="Inca",Materials!G$29,IF(Table1[[#This Row],[Work Center]]="Canon",Materials!G$49,Materials!G$45)))</f>
        <v>8</v>
      </c>
      <c r="AF784" s="102">
        <f>'Cali FPS'!H148</f>
        <v>193.81</v>
      </c>
      <c r="AG784" s="121"/>
      <c r="AH784" s="112">
        <f t="shared" si="271"/>
        <v>32.5</v>
      </c>
      <c r="AI784" s="112"/>
      <c r="AJ784" s="107">
        <f>SUM(AC784:AH784)</f>
        <v>323.49805000000003</v>
      </c>
      <c r="AK784" s="62">
        <f t="shared" si="272"/>
        <v>0.50231069230769221</v>
      </c>
      <c r="AL784" s="225" t="e">
        <f>Table1[[#This Row],[WSP/Dealer]]/Table1[[#This Row],[OD Sq Inch]]</f>
        <v>#DIV/0!</v>
      </c>
      <c r="AM784" s="113"/>
      <c r="AN784" s="216">
        <f>Table1[[#This Row],[Min VO]]+Table1[[#This Row],[Max VO]]</f>
        <v>134</v>
      </c>
      <c r="AO784" s="113"/>
      <c r="AP784" s="115"/>
      <c r="AQ784" s="121"/>
      <c r="AR784" s="121"/>
      <c r="AS784" s="121"/>
      <c r="AT784" s="104"/>
      <c r="AU784" s="1367" t="str">
        <f t="shared" si="270"/>
        <v>-</v>
      </c>
    </row>
    <row r="785" spans="1:47" s="63" customFormat="1" hidden="1" x14ac:dyDescent="0.2">
      <c r="A785" s="68"/>
      <c r="B785" s="1061"/>
      <c r="C785" s="94" t="s">
        <v>2034</v>
      </c>
      <c r="D785" s="94"/>
      <c r="E785" s="84" t="s">
        <v>2035</v>
      </c>
      <c r="F785" s="84" t="s">
        <v>737</v>
      </c>
      <c r="G785" s="68" t="s">
        <v>2036</v>
      </c>
      <c r="H785" s="68"/>
      <c r="I785" s="68" t="s">
        <v>52</v>
      </c>
      <c r="J785" s="68" t="s">
        <v>53</v>
      </c>
      <c r="K785" s="68" t="s">
        <v>54</v>
      </c>
      <c r="L785" s="68" t="s">
        <v>55</v>
      </c>
      <c r="M785" s="93"/>
      <c r="N785" s="71"/>
      <c r="O785" s="68"/>
      <c r="P785" s="68"/>
      <c r="Q785" s="68"/>
      <c r="R785" s="68"/>
      <c r="S785" s="68"/>
      <c r="T785" s="68"/>
      <c r="U785" s="68"/>
      <c r="V785" s="917"/>
      <c r="W785" s="917"/>
      <c r="X785" s="189"/>
      <c r="Y785" s="68"/>
      <c r="Z785" s="68"/>
      <c r="AA785" s="699"/>
      <c r="AB785" s="297"/>
      <c r="AC785" s="74"/>
      <c r="AD785" s="118"/>
      <c r="AE785" s="126"/>
      <c r="AF785" s="73"/>
      <c r="AG785" s="126"/>
      <c r="AH785" s="498">
        <f t="shared" si="271"/>
        <v>0</v>
      </c>
      <c r="AI785" s="498"/>
      <c r="AJ785" s="126"/>
      <c r="AK785" s="650" t="e">
        <f t="shared" si="272"/>
        <v>#DIV/0!</v>
      </c>
      <c r="AL785" s="225" t="e">
        <f>Table1[[#This Row],[WSP/Dealer]]/Table1[[#This Row],[OD Sq Inch]]</f>
        <v>#DIV/0!</v>
      </c>
      <c r="AM785" s="119"/>
      <c r="AN785" s="216">
        <f>Table1[[#This Row],[Min VO]]+Table1[[#This Row],[Max VO]]</f>
        <v>0</v>
      </c>
      <c r="AO785" s="84"/>
      <c r="AP785" s="84"/>
      <c r="AQ785" s="126"/>
      <c r="AR785" s="126"/>
      <c r="AS785" s="126"/>
      <c r="AT785" s="74"/>
      <c r="AU785" s="1357" t="str">
        <f t="shared" si="270"/>
        <v>-</v>
      </c>
    </row>
    <row r="786" spans="1:47" s="63" customFormat="1" hidden="1" x14ac:dyDescent="0.2">
      <c r="A786" s="68" t="s">
        <v>187</v>
      </c>
      <c r="B786" s="279" t="s">
        <v>261</v>
      </c>
      <c r="C786" s="436" t="s">
        <v>2037</v>
      </c>
      <c r="D786" s="94"/>
      <c r="E786" s="436" t="s">
        <v>2038</v>
      </c>
      <c r="F786" s="275" t="s">
        <v>737</v>
      </c>
      <c r="G786" s="258" t="s">
        <v>482</v>
      </c>
      <c r="H786" s="258" t="s">
        <v>482</v>
      </c>
      <c r="I786" s="274" t="s">
        <v>108</v>
      </c>
      <c r="J786" s="140" t="s">
        <v>53</v>
      </c>
      <c r="K786" s="258" t="s">
        <v>281</v>
      </c>
      <c r="L786" s="68" t="s">
        <v>55</v>
      </c>
      <c r="M786" s="420">
        <v>2860</v>
      </c>
      <c r="N786" s="71"/>
      <c r="O786" s="68" t="s">
        <v>109</v>
      </c>
      <c r="P786" s="68">
        <v>40</v>
      </c>
      <c r="Q786" s="68">
        <v>60</v>
      </c>
      <c r="R786" s="68">
        <v>40</v>
      </c>
      <c r="S786" s="68">
        <v>60</v>
      </c>
      <c r="T786" s="68">
        <v>40</v>
      </c>
      <c r="U786" s="68">
        <v>60</v>
      </c>
      <c r="V786" s="917">
        <f>IF(J786="Canvas",P786+BorderGW,P786)</f>
        <v>48</v>
      </c>
      <c r="W786" s="917">
        <f>IF(J786="Canvas",Q786+BorderGW,Q786)</f>
        <v>68</v>
      </c>
      <c r="X786" s="189">
        <v>69</v>
      </c>
      <c r="Y786" s="68"/>
      <c r="Z786" s="68"/>
      <c r="AA786" s="699">
        <f t="shared" ref="AA786:AA808" si="273">V786*W786/144</f>
        <v>22.666666666666668</v>
      </c>
      <c r="AB786" s="341">
        <f>AA786*EPSONC</f>
        <v>4.9866666666666672</v>
      </c>
      <c r="AC786" s="74">
        <f>Table1[[#This Row],[Substrate SF]]*CanvasR</f>
        <v>14.96</v>
      </c>
      <c r="AD786" s="278">
        <f>Table1[[#This Row],[Substrate SF]]*EPSONC</f>
        <v>4.9866666666666672</v>
      </c>
      <c r="AE786" s="74">
        <f>IF(Table1[[#This Row],[Work Center]]="SwissQ",Materials!G$37,IF(Table1[[#This Row],[Work Center]]="Inca",Materials!G$29,IF(Table1[[#This Row],[Work Center]]="Canon",Materials!G$49,Materials!G$45)))</f>
        <v>5</v>
      </c>
      <c r="AF786" s="73">
        <f>'Cali FPS'!C89</f>
        <v>112.01750000000001</v>
      </c>
      <c r="AG786" s="126"/>
      <c r="AH786" s="498">
        <f t="shared" si="271"/>
        <v>143</v>
      </c>
      <c r="AI786" s="498"/>
      <c r="AJ786" s="278">
        <f t="shared" ref="AJ786:AJ807" si="274">SUM(AC786:AH786)</f>
        <v>279.96416666666664</v>
      </c>
      <c r="AK786" s="650">
        <f t="shared" si="272"/>
        <v>0.90211043123543122</v>
      </c>
      <c r="AL786" s="225">
        <f>Table1[[#This Row],[WSP/Dealer]]/Table1[[#This Row],[OD Sq Inch]]</f>
        <v>1.1916666666666667</v>
      </c>
      <c r="AM786" s="274">
        <f>Table1[[#This Row],[OD Wdth]]*Table1[[#This Row],[OD Hgt]]</f>
        <v>2400</v>
      </c>
      <c r="AN786" s="84"/>
      <c r="AO786" s="84"/>
      <c r="AP786" s="84"/>
      <c r="AQ786" s="126"/>
      <c r="AR786" s="126"/>
      <c r="AS786" s="126"/>
      <c r="AT786" s="74"/>
      <c r="AU786" s="1357" t="str">
        <f t="shared" si="270"/>
        <v>-</v>
      </c>
    </row>
    <row r="787" spans="1:47" s="63" customFormat="1" hidden="1" x14ac:dyDescent="0.2">
      <c r="A787" s="68" t="s">
        <v>187</v>
      </c>
      <c r="B787" s="1061" t="s">
        <v>261</v>
      </c>
      <c r="C787" s="436" t="s">
        <v>2039</v>
      </c>
      <c r="D787" s="94"/>
      <c r="E787" s="436" t="s">
        <v>2040</v>
      </c>
      <c r="F787" s="275" t="s">
        <v>737</v>
      </c>
      <c r="G787" s="258" t="s">
        <v>482</v>
      </c>
      <c r="H787" s="68" t="s">
        <v>2041</v>
      </c>
      <c r="I787" s="274" t="s">
        <v>108</v>
      </c>
      <c r="J787" s="140" t="s">
        <v>53</v>
      </c>
      <c r="K787" s="258" t="s">
        <v>1410</v>
      </c>
      <c r="L787" s="68" t="s">
        <v>70</v>
      </c>
      <c r="M787" s="420">
        <v>3300</v>
      </c>
      <c r="N787" s="71"/>
      <c r="O787" s="68" t="s">
        <v>109</v>
      </c>
      <c r="P787" s="68">
        <v>40</v>
      </c>
      <c r="Q787" s="68">
        <v>60</v>
      </c>
      <c r="R787" s="68">
        <v>40</v>
      </c>
      <c r="S787" s="68">
        <v>60</v>
      </c>
      <c r="T787" s="68">
        <v>42</v>
      </c>
      <c r="U787" s="68">
        <v>62</v>
      </c>
      <c r="V787" s="917">
        <f>IF(J787="Canvas",P787+BorderGW,P787)</f>
        <v>48</v>
      </c>
      <c r="W787" s="917">
        <f>IF(J787="Canvas",Q787+BorderGW,Q787)</f>
        <v>68</v>
      </c>
      <c r="X787" s="189">
        <v>69</v>
      </c>
      <c r="Y787" s="68"/>
      <c r="Z787" s="68"/>
      <c r="AA787" s="699">
        <f t="shared" si="273"/>
        <v>22.666666666666668</v>
      </c>
      <c r="AB787" s="341">
        <f>AA787*EPSONC</f>
        <v>4.9866666666666672</v>
      </c>
      <c r="AC787" s="74">
        <f>Table1[[#This Row],[Substrate SF]]*CanvasR</f>
        <v>14.96</v>
      </c>
      <c r="AD787" s="263">
        <f>Table1[[#This Row],[Substrate SF]]*EPSONC</f>
        <v>4.9866666666666672</v>
      </c>
      <c r="AE787" s="74">
        <f>IF(Table1[[#This Row],[Work Center]]="SwissQ",Materials!G$37,IF(Table1[[#This Row],[Work Center]]="Inca",Materials!G$29,IF(Table1[[#This Row],[Work Center]]="Canon",Materials!G$49,Materials!G$45)))</f>
        <v>5</v>
      </c>
      <c r="AF787" s="73" t="e">
        <f>'Cali Frames'!#REF!</f>
        <v>#REF!</v>
      </c>
      <c r="AG787" s="126"/>
      <c r="AH787" s="498">
        <f t="shared" si="271"/>
        <v>165</v>
      </c>
      <c r="AI787" s="498"/>
      <c r="AJ787" s="278" t="e">
        <f t="shared" si="274"/>
        <v>#REF!</v>
      </c>
      <c r="AK787" s="650" t="e">
        <f t="shared" si="272"/>
        <v>#REF!</v>
      </c>
      <c r="AL787" s="225">
        <f>Table1[[#This Row],[WSP/Dealer]]/Table1[[#This Row],[OD Sq Inch]]</f>
        <v>1.2672811059907834</v>
      </c>
      <c r="AM787" s="274">
        <f>Table1[[#This Row],[OD Wdth]]*Table1[[#This Row],[OD Hgt]]</f>
        <v>2604</v>
      </c>
      <c r="AN787" s="84"/>
      <c r="AO787" s="84"/>
      <c r="AP787" s="84"/>
      <c r="AQ787" s="126"/>
      <c r="AR787" s="126"/>
      <c r="AS787" s="126"/>
      <c r="AT787" s="74"/>
      <c r="AU787" s="1357" t="str">
        <f t="shared" si="270"/>
        <v>-</v>
      </c>
    </row>
    <row r="788" spans="1:47" s="63" customFormat="1" hidden="1" x14ac:dyDescent="0.2">
      <c r="A788" s="421" t="s">
        <v>187</v>
      </c>
      <c r="B788" s="1061" t="s">
        <v>261</v>
      </c>
      <c r="C788" s="430" t="s">
        <v>2042</v>
      </c>
      <c r="D788" s="94"/>
      <c r="E788" s="430" t="s">
        <v>2040</v>
      </c>
      <c r="F788" s="441" t="s">
        <v>737</v>
      </c>
      <c r="G788" s="431" t="s">
        <v>482</v>
      </c>
      <c r="H788" s="68" t="s">
        <v>2041</v>
      </c>
      <c r="I788" s="447" t="s">
        <v>108</v>
      </c>
      <c r="J788" s="451" t="s">
        <v>53</v>
      </c>
      <c r="K788" s="431" t="s">
        <v>1412</v>
      </c>
      <c r="L788" s="421" t="s">
        <v>73</v>
      </c>
      <c r="M788" s="429">
        <v>3300</v>
      </c>
      <c r="N788" s="71"/>
      <c r="O788" s="421" t="s">
        <v>109</v>
      </c>
      <c r="P788" s="421">
        <v>40</v>
      </c>
      <c r="Q788" s="421">
        <v>60</v>
      </c>
      <c r="R788" s="421">
        <v>40</v>
      </c>
      <c r="S788" s="421">
        <v>60</v>
      </c>
      <c r="T788" s="421">
        <v>42</v>
      </c>
      <c r="U788" s="421">
        <v>62</v>
      </c>
      <c r="V788" s="443">
        <f>IF(J788="Canvas",P788+BorderGW,P788)</f>
        <v>48</v>
      </c>
      <c r="W788" s="443">
        <f>IF(J788="Canvas",Q788+BorderGW,Q788)</f>
        <v>68</v>
      </c>
      <c r="X788" s="189">
        <v>69</v>
      </c>
      <c r="Y788" s="421"/>
      <c r="Z788" s="421"/>
      <c r="AA788" s="836">
        <f t="shared" si="273"/>
        <v>22.666666666666668</v>
      </c>
      <c r="AB788" s="720">
        <f>AA788*EPSONC</f>
        <v>4.9866666666666672</v>
      </c>
      <c r="AC788" s="426">
        <f>Table1[[#This Row],[Substrate SF]]*CanvasR</f>
        <v>14.96</v>
      </c>
      <c r="AD788" s="425">
        <f>Table1[[#This Row],[Substrate SF]]*EPSONC</f>
        <v>4.9866666666666672</v>
      </c>
      <c r="AE788" s="426">
        <f>IF(Table1[[#This Row],[Work Center]]="SwissQ",Materials!G$37,IF(Table1[[#This Row],[Work Center]]="Inca",Materials!G$29,IF(Table1[[#This Row],[Work Center]]="Canon",Materials!G$49,Materials!G$45)))</f>
        <v>5</v>
      </c>
      <c r="AF788" s="427">
        <f>'Cali Frames'!D450</f>
        <v>224.10500000000002</v>
      </c>
      <c r="AG788" s="956"/>
      <c r="AH788" s="498">
        <f t="shared" si="271"/>
        <v>165</v>
      </c>
      <c r="AI788" s="498"/>
      <c r="AJ788" s="428">
        <f t="shared" si="274"/>
        <v>414.05166666666668</v>
      </c>
      <c r="AK788" s="650">
        <f t="shared" si="272"/>
        <v>0.87452979797979791</v>
      </c>
      <c r="AL788" s="225">
        <f>Table1[[#This Row],[WSP/Dealer]]/Table1[[#This Row],[OD Sq Inch]]</f>
        <v>1.2672811059907834</v>
      </c>
      <c r="AM788" s="422">
        <f>Table1[[#This Row],[OD Wdth]]*Table1[[#This Row],[OD Hgt]]</f>
        <v>2604</v>
      </c>
      <c r="AN788" s="450"/>
      <c r="AO788" s="450"/>
      <c r="AP788" s="450"/>
      <c r="AQ788" s="956"/>
      <c r="AR788" s="956"/>
      <c r="AS788" s="956"/>
      <c r="AT788" s="426"/>
      <c r="AU788" s="1374" t="str">
        <f t="shared" si="270"/>
        <v>-</v>
      </c>
    </row>
    <row r="789" spans="1:47" s="63" customFormat="1" hidden="1" x14ac:dyDescent="0.2">
      <c r="A789" s="68" t="s">
        <v>187</v>
      </c>
      <c r="B789" s="1061" t="s">
        <v>261</v>
      </c>
      <c r="C789" s="436" t="s">
        <v>2043</v>
      </c>
      <c r="D789" s="94"/>
      <c r="E789" s="436" t="s">
        <v>2044</v>
      </c>
      <c r="F789" s="275" t="s">
        <v>737</v>
      </c>
      <c r="G789" s="258" t="s">
        <v>482</v>
      </c>
      <c r="H789" s="258" t="s">
        <v>482</v>
      </c>
      <c r="I789" s="274" t="s">
        <v>108</v>
      </c>
      <c r="J789" s="68" t="s">
        <v>197</v>
      </c>
      <c r="K789" s="274" t="s">
        <v>198</v>
      </c>
      <c r="L789" s="274" t="s">
        <v>199</v>
      </c>
      <c r="M789" s="695">
        <v>120</v>
      </c>
      <c r="N789" s="71"/>
      <c r="O789" s="68" t="s">
        <v>109</v>
      </c>
      <c r="P789" s="68">
        <v>40</v>
      </c>
      <c r="Q789" s="68">
        <v>60</v>
      </c>
      <c r="R789" s="68">
        <v>40</v>
      </c>
      <c r="S789" s="68">
        <v>60</v>
      </c>
      <c r="T789" s="68">
        <v>40</v>
      </c>
      <c r="U789" s="68">
        <v>60</v>
      </c>
      <c r="V789" s="277">
        <f>Table1[[#This Row],[VO Wdth]]+Materials!$C$7</f>
        <v>42</v>
      </c>
      <c r="W789" s="277">
        <f>Table1[[#This Row],[VO Hgt]]+Materials!$C$7</f>
        <v>62</v>
      </c>
      <c r="X789" s="343" t="s">
        <v>197</v>
      </c>
      <c r="AA789" s="699">
        <f t="shared" si="273"/>
        <v>18.083333333333332</v>
      </c>
      <c r="AB789" s="783">
        <v>12</v>
      </c>
      <c r="AC789" s="74">
        <f>Table1[[#This Row],[Substrate SF]]*POster</f>
        <v>13.453999999999999</v>
      </c>
      <c r="AD789" s="263">
        <f>Table1[[#This Row],[Substrate SF]]*EPSONC</f>
        <v>3.9783333333333331</v>
      </c>
      <c r="AE789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789" s="73">
        <v>0</v>
      </c>
      <c r="AG789" s="126">
        <f>Materials!D$76</f>
        <v>10.82</v>
      </c>
      <c r="AH789" s="112">
        <f t="shared" si="271"/>
        <v>6</v>
      </c>
      <c r="AI789" s="112"/>
      <c r="AJ789" s="278">
        <f t="shared" si="274"/>
        <v>44.252333333333333</v>
      </c>
      <c r="AK789" s="62">
        <f t="shared" si="272"/>
        <v>0.63123055555555563</v>
      </c>
      <c r="AL789" s="225">
        <f>Table1[[#This Row],[WSP/Dealer]]/Table1[[#This Row],[OD Sq Inch]]</f>
        <v>0.05</v>
      </c>
      <c r="AM789" s="170">
        <f>Table1[[#This Row],[OD Wdth]]*Table1[[#This Row],[OD Hgt]]</f>
        <v>2400</v>
      </c>
      <c r="AN789" s="84"/>
      <c r="AO789" s="84"/>
      <c r="AP789" s="84"/>
      <c r="AQ789" s="126"/>
      <c r="AR789" s="126"/>
      <c r="AS789" s="126"/>
      <c r="AT789" s="74"/>
      <c r="AU789" s="1357" t="str">
        <f t="shared" si="270"/>
        <v>-</v>
      </c>
    </row>
    <row r="790" spans="1:47" s="46" customFormat="1" hidden="1" x14ac:dyDescent="0.2">
      <c r="A790" s="68" t="s">
        <v>187</v>
      </c>
      <c r="B790" s="1061" t="s">
        <v>261</v>
      </c>
      <c r="C790" s="436" t="s">
        <v>2045</v>
      </c>
      <c r="D790" s="94"/>
      <c r="E790" s="436" t="s">
        <v>2046</v>
      </c>
      <c r="F790" s="275" t="s">
        <v>737</v>
      </c>
      <c r="G790" s="258" t="s">
        <v>482</v>
      </c>
      <c r="H790" s="258" t="s">
        <v>482</v>
      </c>
      <c r="I790" s="274" t="s">
        <v>108</v>
      </c>
      <c r="J790" s="140" t="s">
        <v>53</v>
      </c>
      <c r="K790" s="258" t="s">
        <v>281</v>
      </c>
      <c r="L790" s="68" t="s">
        <v>55</v>
      </c>
      <c r="M790" s="420">
        <v>2860</v>
      </c>
      <c r="N790" s="71"/>
      <c r="O790" s="68" t="s">
        <v>109</v>
      </c>
      <c r="P790" s="68">
        <v>40</v>
      </c>
      <c r="Q790" s="68">
        <v>60</v>
      </c>
      <c r="R790" s="68">
        <v>40</v>
      </c>
      <c r="S790" s="68">
        <v>60</v>
      </c>
      <c r="T790" s="68">
        <v>40</v>
      </c>
      <c r="U790" s="68">
        <v>60</v>
      </c>
      <c r="V790" s="917">
        <f>IF(J790="Canvas",P790+BorderGW,P790)</f>
        <v>48</v>
      </c>
      <c r="W790" s="917">
        <f>IF(J790="Canvas",Q790+BorderGW,Q790)</f>
        <v>68</v>
      </c>
      <c r="X790" s="189">
        <v>69</v>
      </c>
      <c r="Y790" s="68"/>
      <c r="Z790" s="68"/>
      <c r="AA790" s="699">
        <f t="shared" si="273"/>
        <v>22.666666666666668</v>
      </c>
      <c r="AB790" s="341">
        <f>AA790*EPSONC</f>
        <v>4.9866666666666672</v>
      </c>
      <c r="AC790" s="74">
        <f>Table1[[#This Row],[Substrate SF]]*CanvasR</f>
        <v>14.96</v>
      </c>
      <c r="AD790" s="263">
        <f>Table1[[#This Row],[Substrate SF]]*EPSONC</f>
        <v>4.9866666666666672</v>
      </c>
      <c r="AE790" s="74">
        <f>IF(Table1[[#This Row],[Work Center]]="SwissQ",Materials!G$37,IF(Table1[[#This Row],[Work Center]]="Inca",Materials!G$29,IF(Table1[[#This Row],[Work Center]]="Canon",Materials!G$49,Materials!G$45)))</f>
        <v>5</v>
      </c>
      <c r="AF790" s="73">
        <f>'Cali FPS'!C89</f>
        <v>112.01750000000001</v>
      </c>
      <c r="AG790" s="126"/>
      <c r="AH790" s="498">
        <f t="shared" si="271"/>
        <v>143</v>
      </c>
      <c r="AI790" s="498"/>
      <c r="AJ790" s="263">
        <f t="shared" si="274"/>
        <v>279.96416666666664</v>
      </c>
      <c r="AK790" s="650">
        <f t="shared" si="272"/>
        <v>0.90211043123543122</v>
      </c>
      <c r="AL790" s="225">
        <f>Table1[[#This Row],[WSP/Dealer]]/Table1[[#This Row],[OD Sq Inch]]</f>
        <v>1.1916666666666667</v>
      </c>
      <c r="AM790" s="170">
        <f>Table1[[#This Row],[OD Wdth]]*Table1[[#This Row],[OD Hgt]]</f>
        <v>2400</v>
      </c>
      <c r="AN790" s="84"/>
      <c r="AO790" s="84"/>
      <c r="AP790" s="84"/>
      <c r="AQ790" s="126"/>
      <c r="AR790" s="126"/>
      <c r="AS790" s="126"/>
      <c r="AT790" s="74"/>
      <c r="AU790" s="1357" t="str">
        <f t="shared" si="270"/>
        <v>-</v>
      </c>
    </row>
    <row r="791" spans="1:47" s="46" customFormat="1" hidden="1" x14ac:dyDescent="0.2">
      <c r="A791" s="421" t="s">
        <v>187</v>
      </c>
      <c r="B791" s="1061" t="s">
        <v>261</v>
      </c>
      <c r="C791" s="430" t="s">
        <v>2047</v>
      </c>
      <c r="D791" s="94"/>
      <c r="E791" s="430" t="s">
        <v>2046</v>
      </c>
      <c r="F791" s="441" t="s">
        <v>737</v>
      </c>
      <c r="G791" s="431" t="s">
        <v>482</v>
      </c>
      <c r="H791" s="68" t="s">
        <v>2041</v>
      </c>
      <c r="I791" s="447" t="s">
        <v>108</v>
      </c>
      <c r="J791" s="451" t="s">
        <v>53</v>
      </c>
      <c r="K791" s="431" t="s">
        <v>1410</v>
      </c>
      <c r="L791" s="421" t="s">
        <v>70</v>
      </c>
      <c r="M791" s="429">
        <v>3300</v>
      </c>
      <c r="N791" s="71"/>
      <c r="O791" s="421" t="s">
        <v>109</v>
      </c>
      <c r="P791" s="421">
        <v>40</v>
      </c>
      <c r="Q791" s="421">
        <v>60</v>
      </c>
      <c r="R791" s="421">
        <v>40</v>
      </c>
      <c r="S791" s="421">
        <v>60</v>
      </c>
      <c r="T791" s="421">
        <v>42</v>
      </c>
      <c r="U791" s="421">
        <v>62</v>
      </c>
      <c r="V791" s="1316">
        <f>IF(J791="Canvas",P791+BorderGW,P791)</f>
        <v>48</v>
      </c>
      <c r="W791" s="1316">
        <f>IF(J791="Canvas",Q791+BorderGW,Q791)</f>
        <v>68</v>
      </c>
      <c r="X791" s="189">
        <v>69</v>
      </c>
      <c r="Y791" s="421"/>
      <c r="Z791" s="421"/>
      <c r="AA791" s="836">
        <f t="shared" si="273"/>
        <v>22.666666666666668</v>
      </c>
      <c r="AB791" s="720">
        <f>AA791*EPSONC</f>
        <v>4.9866666666666672</v>
      </c>
      <c r="AC791" s="426">
        <f>Table1[[#This Row],[Substrate SF]]*CanvasR</f>
        <v>14.96</v>
      </c>
      <c r="AD791" s="425">
        <f>Table1[[#This Row],[Substrate SF]]*EPSONC</f>
        <v>4.9866666666666672</v>
      </c>
      <c r="AE791" s="426">
        <f>IF(Table1[[#This Row],[Work Center]]="SwissQ",Materials!G$37,IF(Table1[[#This Row],[Work Center]]="Inca",Materials!G$29,IF(Table1[[#This Row],[Work Center]]="Canon",Materials!G$49,Materials!G$45)))</f>
        <v>5</v>
      </c>
      <c r="AF791" s="427" t="e">
        <f>'Cali Frames'!#REF!</f>
        <v>#REF!</v>
      </c>
      <c r="AG791" s="956"/>
      <c r="AH791" s="498">
        <f t="shared" si="271"/>
        <v>165</v>
      </c>
      <c r="AI791" s="498"/>
      <c r="AJ791" s="428" t="e">
        <f t="shared" si="274"/>
        <v>#REF!</v>
      </c>
      <c r="AK791" s="650" t="e">
        <f t="shared" si="272"/>
        <v>#REF!</v>
      </c>
      <c r="AL791" s="225">
        <f>Table1[[#This Row],[WSP/Dealer]]/Table1[[#This Row],[OD Sq Inch]]</f>
        <v>1.2672811059907834</v>
      </c>
      <c r="AM791" s="422">
        <f>Table1[[#This Row],[OD Wdth]]*Table1[[#This Row],[OD Hgt]]</f>
        <v>2604</v>
      </c>
      <c r="AN791" s="450"/>
      <c r="AO791" s="450"/>
      <c r="AP791" s="450"/>
      <c r="AQ791" s="956"/>
      <c r="AR791" s="956"/>
      <c r="AS791" s="956"/>
      <c r="AT791" s="426"/>
      <c r="AU791" s="1374" t="str">
        <f t="shared" si="270"/>
        <v>-</v>
      </c>
    </row>
    <row r="792" spans="1:47" s="63" customFormat="1" hidden="1" x14ac:dyDescent="0.2">
      <c r="A792" s="421" t="s">
        <v>187</v>
      </c>
      <c r="B792" s="1061" t="s">
        <v>261</v>
      </c>
      <c r="C792" s="430" t="s">
        <v>2048</v>
      </c>
      <c r="D792" s="94"/>
      <c r="E792" s="430" t="s">
        <v>2046</v>
      </c>
      <c r="F792" s="441" t="s">
        <v>737</v>
      </c>
      <c r="G792" s="431" t="s">
        <v>482</v>
      </c>
      <c r="H792" s="68" t="s">
        <v>2041</v>
      </c>
      <c r="I792" s="447" t="s">
        <v>108</v>
      </c>
      <c r="J792" s="451" t="s">
        <v>53</v>
      </c>
      <c r="K792" s="431" t="s">
        <v>1412</v>
      </c>
      <c r="L792" s="421" t="s">
        <v>73</v>
      </c>
      <c r="M792" s="429">
        <v>3300</v>
      </c>
      <c r="N792" s="71"/>
      <c r="O792" s="421" t="s">
        <v>109</v>
      </c>
      <c r="P792" s="421">
        <v>40</v>
      </c>
      <c r="Q792" s="421">
        <v>60</v>
      </c>
      <c r="R792" s="421">
        <v>40</v>
      </c>
      <c r="S792" s="421">
        <v>60</v>
      </c>
      <c r="T792" s="421">
        <v>42</v>
      </c>
      <c r="U792" s="421">
        <v>62</v>
      </c>
      <c r="V792" s="1316">
        <f>IF(J792="Canvas",P792+BorderGW,P792)</f>
        <v>48</v>
      </c>
      <c r="W792" s="1316">
        <f>IF(J792="Canvas",Q792+BorderGW,Q792)</f>
        <v>68</v>
      </c>
      <c r="X792" s="189">
        <v>69</v>
      </c>
      <c r="Y792" s="421"/>
      <c r="Z792" s="421"/>
      <c r="AA792" s="836">
        <f t="shared" si="273"/>
        <v>22.666666666666668</v>
      </c>
      <c r="AB792" s="720">
        <f>AA792*EPSONC</f>
        <v>4.9866666666666672</v>
      </c>
      <c r="AC792" s="426">
        <f>Table1[[#This Row],[Substrate SF]]*CanvasR</f>
        <v>14.96</v>
      </c>
      <c r="AD792" s="425">
        <f>Table1[[#This Row],[Substrate SF]]*EPSONC</f>
        <v>4.9866666666666672</v>
      </c>
      <c r="AE792" s="426">
        <f>IF(Table1[[#This Row],[Work Center]]="SwissQ",Materials!G$37,IF(Table1[[#This Row],[Work Center]]="Inca",Materials!G$29,IF(Table1[[#This Row],[Work Center]]="Canon",Materials!G$49,Materials!G$45)))</f>
        <v>5</v>
      </c>
      <c r="AF792" s="427">
        <f>'Cali Frames'!D450</f>
        <v>224.10500000000002</v>
      </c>
      <c r="AG792" s="956"/>
      <c r="AH792" s="498">
        <f t="shared" si="271"/>
        <v>165</v>
      </c>
      <c r="AI792" s="498"/>
      <c r="AJ792" s="425">
        <f t="shared" si="274"/>
        <v>414.05166666666668</v>
      </c>
      <c r="AK792" s="650">
        <f t="shared" si="272"/>
        <v>0.87452979797979791</v>
      </c>
      <c r="AL792" s="225">
        <f>Table1[[#This Row],[WSP/Dealer]]/Table1[[#This Row],[OD Sq Inch]]</f>
        <v>1.2672811059907834</v>
      </c>
      <c r="AM792" s="422">
        <f>Table1[[#This Row],[OD Wdth]]*Table1[[#This Row],[OD Hgt]]</f>
        <v>2604</v>
      </c>
      <c r="AN792" s="450"/>
      <c r="AO792" s="450"/>
      <c r="AP792" s="450"/>
      <c r="AQ792" s="956"/>
      <c r="AR792" s="956"/>
      <c r="AS792" s="956"/>
      <c r="AT792" s="426"/>
      <c r="AU792" s="1374" t="str">
        <f t="shared" si="270"/>
        <v>-</v>
      </c>
    </row>
    <row r="793" spans="1:47" s="103" customFormat="1" hidden="1" x14ac:dyDescent="0.2">
      <c r="A793" s="68" t="s">
        <v>187</v>
      </c>
      <c r="B793" s="1061" t="s">
        <v>261</v>
      </c>
      <c r="C793" s="436" t="s">
        <v>2049</v>
      </c>
      <c r="D793" s="94"/>
      <c r="E793" s="436" t="s">
        <v>2050</v>
      </c>
      <c r="F793" s="275" t="s">
        <v>737</v>
      </c>
      <c r="G793" s="258" t="s">
        <v>482</v>
      </c>
      <c r="H793" s="258" t="s">
        <v>482</v>
      </c>
      <c r="I793" s="274" t="s">
        <v>108</v>
      </c>
      <c r="J793" s="68" t="s">
        <v>197</v>
      </c>
      <c r="K793" s="274" t="s">
        <v>198</v>
      </c>
      <c r="L793" s="274" t="s">
        <v>199</v>
      </c>
      <c r="M793" s="695">
        <v>120</v>
      </c>
      <c r="N793" s="71"/>
      <c r="O793" s="68" t="s">
        <v>109</v>
      </c>
      <c r="P793" s="68">
        <v>40</v>
      </c>
      <c r="Q793" s="68">
        <v>60</v>
      </c>
      <c r="R793" s="68">
        <v>40</v>
      </c>
      <c r="S793" s="68">
        <v>60</v>
      </c>
      <c r="T793" s="68">
        <v>40</v>
      </c>
      <c r="U793" s="68">
        <v>60</v>
      </c>
      <c r="V793" s="686">
        <f>Table1[[#This Row],[VO Wdth]]+Materials!$C$7</f>
        <v>42</v>
      </c>
      <c r="W793" s="686">
        <f>Table1[[#This Row],[VO Hgt]]+Materials!$C$7</f>
        <v>62</v>
      </c>
      <c r="X793" s="343" t="s">
        <v>197</v>
      </c>
      <c r="Y793" s="68"/>
      <c r="Z793" s="68"/>
      <c r="AA793" s="699">
        <f t="shared" si="273"/>
        <v>18.083333333333332</v>
      </c>
      <c r="AB793" s="783">
        <v>12</v>
      </c>
      <c r="AC793" s="74">
        <f>Table1[[#This Row],[Substrate SF]]*POster</f>
        <v>13.453999999999999</v>
      </c>
      <c r="AD793" s="263">
        <f>Table1[[#This Row],[Substrate SF]]*EPSONC</f>
        <v>3.9783333333333331</v>
      </c>
      <c r="AE79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793" s="73">
        <v>0</v>
      </c>
      <c r="AG793" s="126">
        <f>Materials!D$76</f>
        <v>10.82</v>
      </c>
      <c r="AH793" s="498">
        <f t="shared" si="271"/>
        <v>6</v>
      </c>
      <c r="AI793" s="498"/>
      <c r="AJ793" s="278">
        <f t="shared" si="274"/>
        <v>44.252333333333333</v>
      </c>
      <c r="AK793" s="650">
        <f t="shared" si="272"/>
        <v>0.63123055555555563</v>
      </c>
      <c r="AL793" s="225">
        <f>Table1[[#This Row],[WSP/Dealer]]/Table1[[#This Row],[OD Sq Inch]]</f>
        <v>0.05</v>
      </c>
      <c r="AM793" s="274">
        <f>Table1[[#This Row],[OD Wdth]]*Table1[[#This Row],[OD Hgt]]</f>
        <v>2400</v>
      </c>
      <c r="AN793" s="84"/>
      <c r="AO793" s="84"/>
      <c r="AP793" s="84"/>
      <c r="AQ793" s="126"/>
      <c r="AR793" s="126"/>
      <c r="AS793" s="126"/>
      <c r="AT793" s="74"/>
      <c r="AU793" s="1357" t="str">
        <f t="shared" si="270"/>
        <v>-</v>
      </c>
    </row>
    <row r="794" spans="1:47" s="63" customFormat="1" hidden="1" x14ac:dyDescent="0.2">
      <c r="A794" s="68" t="s">
        <v>187</v>
      </c>
      <c r="B794" s="1061" t="s">
        <v>261</v>
      </c>
      <c r="C794" s="436" t="s">
        <v>2051</v>
      </c>
      <c r="D794" s="94"/>
      <c r="E794" s="436" t="s">
        <v>2052</v>
      </c>
      <c r="F794" s="275" t="s">
        <v>737</v>
      </c>
      <c r="G794" s="258" t="s">
        <v>482</v>
      </c>
      <c r="H794" s="258" t="s">
        <v>482</v>
      </c>
      <c r="I794" s="274" t="s">
        <v>108</v>
      </c>
      <c r="J794" s="140" t="s">
        <v>53</v>
      </c>
      <c r="K794" s="258" t="s">
        <v>281</v>
      </c>
      <c r="L794" s="68" t="s">
        <v>55</v>
      </c>
      <c r="M794" s="420">
        <v>2860</v>
      </c>
      <c r="N794" s="71"/>
      <c r="O794" s="68" t="s">
        <v>109</v>
      </c>
      <c r="P794" s="68">
        <v>40</v>
      </c>
      <c r="Q794" s="68">
        <v>60</v>
      </c>
      <c r="R794" s="68">
        <v>40</v>
      </c>
      <c r="S794" s="68">
        <v>60</v>
      </c>
      <c r="T794" s="68">
        <v>40</v>
      </c>
      <c r="U794" s="68">
        <v>60</v>
      </c>
      <c r="V794" s="66">
        <f>IF(J794="Canvas",P794+BorderGW,P794)</f>
        <v>48</v>
      </c>
      <c r="W794" s="66">
        <f>IF(J794="Canvas",Q794+BorderGW,Q794)</f>
        <v>68</v>
      </c>
      <c r="X794" s="189">
        <v>69</v>
      </c>
      <c r="Y794" s="68"/>
      <c r="Z794" s="68"/>
      <c r="AA794" s="699">
        <f t="shared" si="273"/>
        <v>22.666666666666668</v>
      </c>
      <c r="AB794" s="341">
        <f>AA794*EPSONC</f>
        <v>4.9866666666666672</v>
      </c>
      <c r="AC794" s="74">
        <f>Table1[[#This Row],[Substrate SF]]*CanvasR</f>
        <v>14.96</v>
      </c>
      <c r="AD794" s="263">
        <f>Table1[[#This Row],[Substrate SF]]*EPSONC</f>
        <v>4.9866666666666672</v>
      </c>
      <c r="AE794" s="74">
        <f>IF(Table1[[#This Row],[Work Center]]="SwissQ",Materials!G$37,IF(Table1[[#This Row],[Work Center]]="Inca",Materials!G$29,IF(Table1[[#This Row],[Work Center]]="Canon",Materials!G$49,Materials!G$45)))</f>
        <v>5</v>
      </c>
      <c r="AF794" s="73">
        <f>'Cali FPS'!C89</f>
        <v>112.01750000000001</v>
      </c>
      <c r="AG794" s="126"/>
      <c r="AH794" s="498">
        <f t="shared" si="271"/>
        <v>143</v>
      </c>
      <c r="AI794" s="498"/>
      <c r="AJ794" s="278">
        <f t="shared" si="274"/>
        <v>279.96416666666664</v>
      </c>
      <c r="AK794" s="650">
        <f t="shared" si="272"/>
        <v>0.90211043123543122</v>
      </c>
      <c r="AL794" s="225">
        <f>Table1[[#This Row],[WSP/Dealer]]/Table1[[#This Row],[OD Sq Inch]]</f>
        <v>1.1916666666666667</v>
      </c>
      <c r="AM794" s="170">
        <f>Table1[[#This Row],[OD Wdth]]*Table1[[#This Row],[OD Hgt]]</f>
        <v>2400</v>
      </c>
      <c r="AN794" s="84"/>
      <c r="AO794" s="84"/>
      <c r="AP794" s="84"/>
      <c r="AQ794" s="126"/>
      <c r="AR794" s="126"/>
      <c r="AS794" s="126"/>
      <c r="AT794" s="74"/>
      <c r="AU794" s="1357" t="str">
        <f t="shared" si="270"/>
        <v>-</v>
      </c>
    </row>
    <row r="795" spans="1:47" s="63" customFormat="1" hidden="1" x14ac:dyDescent="0.2">
      <c r="A795" s="421" t="s">
        <v>187</v>
      </c>
      <c r="B795" s="1061" t="s">
        <v>261</v>
      </c>
      <c r="C795" s="430" t="s">
        <v>2053</v>
      </c>
      <c r="D795" s="94"/>
      <c r="E795" s="430" t="s">
        <v>2052</v>
      </c>
      <c r="F795" s="441" t="s">
        <v>737</v>
      </c>
      <c r="G795" s="431" t="s">
        <v>482</v>
      </c>
      <c r="H795" s="68" t="s">
        <v>2041</v>
      </c>
      <c r="I795" s="447" t="s">
        <v>108</v>
      </c>
      <c r="J795" s="451" t="s">
        <v>53</v>
      </c>
      <c r="K795" s="431" t="s">
        <v>1410</v>
      </c>
      <c r="L795" s="421" t="s">
        <v>70</v>
      </c>
      <c r="M795" s="429">
        <v>3300</v>
      </c>
      <c r="N795" s="71"/>
      <c r="O795" s="421" t="s">
        <v>109</v>
      </c>
      <c r="P795" s="421">
        <v>40</v>
      </c>
      <c r="Q795" s="421">
        <v>60</v>
      </c>
      <c r="R795" s="421">
        <v>40</v>
      </c>
      <c r="S795" s="421">
        <v>60</v>
      </c>
      <c r="T795" s="421">
        <v>42</v>
      </c>
      <c r="U795" s="421">
        <v>62</v>
      </c>
      <c r="V795" s="1316">
        <f>IF(J795="Canvas",P795+BorderGW,P795)</f>
        <v>48</v>
      </c>
      <c r="W795" s="1316">
        <f>IF(J795="Canvas",Q795+BorderGW,Q795)</f>
        <v>68</v>
      </c>
      <c r="X795" s="189">
        <v>69</v>
      </c>
      <c r="Y795" s="421"/>
      <c r="Z795" s="421"/>
      <c r="AA795" s="836">
        <f t="shared" si="273"/>
        <v>22.666666666666668</v>
      </c>
      <c r="AB795" s="720">
        <f>AA795*EPSONC</f>
        <v>4.9866666666666672</v>
      </c>
      <c r="AC795" s="426">
        <f>Table1[[#This Row],[Substrate SF]]*CanvasR</f>
        <v>14.96</v>
      </c>
      <c r="AD795" s="425">
        <f>Table1[[#This Row],[Substrate SF]]*EPSONC</f>
        <v>4.9866666666666672</v>
      </c>
      <c r="AE795" s="426">
        <f>IF(Table1[[#This Row],[Work Center]]="SwissQ",Materials!G$37,IF(Table1[[#This Row],[Work Center]]="Inca",Materials!G$29,IF(Table1[[#This Row],[Work Center]]="Canon",Materials!G$49,Materials!G$45)))</f>
        <v>5</v>
      </c>
      <c r="AF795" s="427" t="e">
        <f>'Cali Frames'!#REF!</f>
        <v>#REF!</v>
      </c>
      <c r="AG795" s="956"/>
      <c r="AH795" s="498">
        <f t="shared" si="271"/>
        <v>165</v>
      </c>
      <c r="AI795" s="498"/>
      <c r="AJ795" s="428" t="e">
        <f t="shared" si="274"/>
        <v>#REF!</v>
      </c>
      <c r="AK795" s="650" t="e">
        <f t="shared" si="272"/>
        <v>#REF!</v>
      </c>
      <c r="AL795" s="225">
        <f>Table1[[#This Row],[WSP/Dealer]]/Table1[[#This Row],[OD Sq Inch]]</f>
        <v>1.2672811059907834</v>
      </c>
      <c r="AM795" s="447">
        <f>Table1[[#This Row],[OD Wdth]]*Table1[[#This Row],[OD Hgt]]</f>
        <v>2604</v>
      </c>
      <c r="AN795" s="450"/>
      <c r="AO795" s="450"/>
      <c r="AP795" s="450"/>
      <c r="AQ795" s="956"/>
      <c r="AR795" s="956"/>
      <c r="AS795" s="956"/>
      <c r="AT795" s="426"/>
      <c r="AU795" s="1374" t="str">
        <f t="shared" si="270"/>
        <v>-</v>
      </c>
    </row>
    <row r="796" spans="1:47" s="63" customFormat="1" hidden="1" x14ac:dyDescent="0.2">
      <c r="A796" s="421" t="s">
        <v>187</v>
      </c>
      <c r="B796" s="1061" t="s">
        <v>261</v>
      </c>
      <c r="C796" s="430" t="s">
        <v>2054</v>
      </c>
      <c r="D796" s="94"/>
      <c r="E796" s="430" t="s">
        <v>2052</v>
      </c>
      <c r="F796" s="441" t="s">
        <v>737</v>
      </c>
      <c r="G796" s="431" t="s">
        <v>482</v>
      </c>
      <c r="H796" s="68" t="s">
        <v>2041</v>
      </c>
      <c r="I796" s="447" t="s">
        <v>108</v>
      </c>
      <c r="J796" s="451" t="s">
        <v>53</v>
      </c>
      <c r="K796" s="431" t="s">
        <v>1412</v>
      </c>
      <c r="L796" s="421" t="s">
        <v>73</v>
      </c>
      <c r="M796" s="429">
        <v>3300</v>
      </c>
      <c r="N796" s="71"/>
      <c r="O796" s="421" t="s">
        <v>109</v>
      </c>
      <c r="P796" s="421">
        <v>40</v>
      </c>
      <c r="Q796" s="421">
        <v>60</v>
      </c>
      <c r="R796" s="421">
        <v>40</v>
      </c>
      <c r="S796" s="421">
        <v>60</v>
      </c>
      <c r="T796" s="421">
        <v>42</v>
      </c>
      <c r="U796" s="421">
        <v>62</v>
      </c>
      <c r="V796" s="1316">
        <f>IF(J796="Canvas",P796+BorderGW,P796)</f>
        <v>48</v>
      </c>
      <c r="W796" s="1316">
        <f>IF(J796="Canvas",Q796+BorderGW,Q796)</f>
        <v>68</v>
      </c>
      <c r="X796" s="189">
        <v>69</v>
      </c>
      <c r="Y796" s="421"/>
      <c r="Z796" s="421"/>
      <c r="AA796" s="836">
        <f t="shared" si="273"/>
        <v>22.666666666666668</v>
      </c>
      <c r="AB796" s="720">
        <f>AA796*EPSONC</f>
        <v>4.9866666666666672</v>
      </c>
      <c r="AC796" s="426">
        <f>Table1[[#This Row],[Substrate SF]]*CanvasR</f>
        <v>14.96</v>
      </c>
      <c r="AD796" s="425">
        <f>Table1[[#This Row],[Substrate SF]]*EPSONC</f>
        <v>4.9866666666666672</v>
      </c>
      <c r="AE796" s="426">
        <f>IF(Table1[[#This Row],[Work Center]]="SwissQ",Materials!G$37,IF(Table1[[#This Row],[Work Center]]="Inca",Materials!G$29,IF(Table1[[#This Row],[Work Center]]="Canon",Materials!G$49,Materials!G$45)))</f>
        <v>5</v>
      </c>
      <c r="AF796" s="427">
        <f>'Cali Frames'!D450</f>
        <v>224.10500000000002</v>
      </c>
      <c r="AG796" s="956"/>
      <c r="AH796" s="498">
        <f t="shared" si="271"/>
        <v>165</v>
      </c>
      <c r="AI796" s="498"/>
      <c r="AJ796" s="428">
        <f t="shared" si="274"/>
        <v>414.05166666666668</v>
      </c>
      <c r="AK796" s="650">
        <f t="shared" si="272"/>
        <v>0.87452979797979791</v>
      </c>
      <c r="AL796" s="225">
        <f>Table1[[#This Row],[WSP/Dealer]]/Table1[[#This Row],[OD Sq Inch]]</f>
        <v>1.2672811059907834</v>
      </c>
      <c r="AM796" s="447">
        <f>Table1[[#This Row],[OD Wdth]]*Table1[[#This Row],[OD Hgt]]</f>
        <v>2604</v>
      </c>
      <c r="AN796" s="450"/>
      <c r="AO796" s="450"/>
      <c r="AP796" s="450"/>
      <c r="AQ796" s="956"/>
      <c r="AR796" s="956"/>
      <c r="AS796" s="956"/>
      <c r="AT796" s="426"/>
      <c r="AU796" s="1374" t="str">
        <f t="shared" si="270"/>
        <v>-</v>
      </c>
    </row>
    <row r="797" spans="1:47" s="63" customFormat="1" hidden="1" x14ac:dyDescent="0.2">
      <c r="A797" s="68" t="s">
        <v>187</v>
      </c>
      <c r="B797" s="1061" t="s">
        <v>261</v>
      </c>
      <c r="C797" s="436" t="s">
        <v>2055</v>
      </c>
      <c r="D797" s="94"/>
      <c r="E797" s="436" t="s">
        <v>2056</v>
      </c>
      <c r="F797" s="275" t="s">
        <v>737</v>
      </c>
      <c r="G797" s="258" t="s">
        <v>482</v>
      </c>
      <c r="H797" s="258" t="s">
        <v>482</v>
      </c>
      <c r="I797" s="274" t="s">
        <v>108</v>
      </c>
      <c r="J797" s="68" t="s">
        <v>197</v>
      </c>
      <c r="K797" s="274" t="s">
        <v>198</v>
      </c>
      <c r="L797" s="274" t="s">
        <v>199</v>
      </c>
      <c r="M797" s="695">
        <v>120</v>
      </c>
      <c r="N797" s="71"/>
      <c r="O797" s="68" t="s">
        <v>109</v>
      </c>
      <c r="P797" s="68">
        <v>40</v>
      </c>
      <c r="Q797" s="68">
        <v>60</v>
      </c>
      <c r="R797" s="68">
        <v>40</v>
      </c>
      <c r="S797" s="68">
        <v>60</v>
      </c>
      <c r="T797" s="68">
        <v>40</v>
      </c>
      <c r="U797" s="68">
        <v>60</v>
      </c>
      <c r="V797" s="686">
        <f>Table1[[#This Row],[VO Wdth]]+Materials!$C$7</f>
        <v>42</v>
      </c>
      <c r="W797" s="686">
        <f>Table1[[#This Row],[VO Hgt]]+Materials!$C$7</f>
        <v>62</v>
      </c>
      <c r="X797" s="343" t="s">
        <v>197</v>
      </c>
      <c r="Y797" s="68"/>
      <c r="Z797" s="68"/>
      <c r="AA797" s="699">
        <f t="shared" si="273"/>
        <v>18.083333333333332</v>
      </c>
      <c r="AB797" s="783">
        <v>12</v>
      </c>
      <c r="AC797" s="74">
        <f>Table1[[#This Row],[Substrate SF]]*POster</f>
        <v>13.453999999999999</v>
      </c>
      <c r="AD797" s="263">
        <f>Table1[[#This Row],[Substrate SF]]*EPSONC</f>
        <v>3.9783333333333331</v>
      </c>
      <c r="AE79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797" s="73">
        <v>0</v>
      </c>
      <c r="AG797" s="126">
        <f>Materials!D$76</f>
        <v>10.82</v>
      </c>
      <c r="AH797" s="498">
        <f t="shared" si="271"/>
        <v>6</v>
      </c>
      <c r="AI797" s="498"/>
      <c r="AJ797" s="278">
        <f t="shared" si="274"/>
        <v>44.252333333333333</v>
      </c>
      <c r="AK797" s="650">
        <f t="shared" si="272"/>
        <v>0.63123055555555563</v>
      </c>
      <c r="AL797" s="225">
        <f>Table1[[#This Row],[WSP/Dealer]]/Table1[[#This Row],[OD Sq Inch]]</f>
        <v>0.05</v>
      </c>
      <c r="AM797" s="274">
        <f>Table1[[#This Row],[OD Wdth]]*Table1[[#This Row],[OD Hgt]]</f>
        <v>2400</v>
      </c>
      <c r="AN797" s="84"/>
      <c r="AO797" s="84"/>
      <c r="AP797" s="84"/>
      <c r="AQ797" s="126"/>
      <c r="AR797" s="126"/>
      <c r="AS797" s="126"/>
      <c r="AT797" s="74"/>
      <c r="AU797" s="1357" t="str">
        <f t="shared" si="270"/>
        <v>-</v>
      </c>
    </row>
    <row r="798" spans="1:47" s="63" customFormat="1" hidden="1" x14ac:dyDescent="0.2">
      <c r="A798" s="68" t="s">
        <v>187</v>
      </c>
      <c r="B798" s="279" t="s">
        <v>261</v>
      </c>
      <c r="C798" s="436" t="s">
        <v>2057</v>
      </c>
      <c r="D798" s="94"/>
      <c r="E798" s="436" t="s">
        <v>2058</v>
      </c>
      <c r="F798" s="275" t="s">
        <v>737</v>
      </c>
      <c r="G798" s="258" t="s">
        <v>482</v>
      </c>
      <c r="H798" s="258" t="s">
        <v>482</v>
      </c>
      <c r="I798" s="274" t="s">
        <v>108</v>
      </c>
      <c r="J798" s="140" t="s">
        <v>53</v>
      </c>
      <c r="K798" s="258" t="s">
        <v>281</v>
      </c>
      <c r="L798" s="68" t="s">
        <v>55</v>
      </c>
      <c r="M798" s="420">
        <v>2860</v>
      </c>
      <c r="N798" s="71"/>
      <c r="O798" s="68" t="s">
        <v>109</v>
      </c>
      <c r="P798" s="68">
        <v>40</v>
      </c>
      <c r="Q798" s="68">
        <v>60</v>
      </c>
      <c r="R798" s="68">
        <v>40</v>
      </c>
      <c r="S798" s="68">
        <v>60</v>
      </c>
      <c r="T798" s="68">
        <v>40</v>
      </c>
      <c r="U798" s="68">
        <v>60</v>
      </c>
      <c r="V798" s="917">
        <f>IF(J798="Canvas",P798+BorderGW,P798)</f>
        <v>48</v>
      </c>
      <c r="W798" s="917">
        <f>IF(J798="Canvas",Q798+BorderGW,Q798)</f>
        <v>68</v>
      </c>
      <c r="X798" s="189">
        <v>69</v>
      </c>
      <c r="Y798" s="68"/>
      <c r="Z798" s="68"/>
      <c r="AA798" s="699">
        <f t="shared" si="273"/>
        <v>22.666666666666668</v>
      </c>
      <c r="AB798" s="341">
        <f>AA798*EPSONC</f>
        <v>4.9866666666666672</v>
      </c>
      <c r="AC798" s="74">
        <f>Table1[[#This Row],[Substrate SF]]*CanvasR</f>
        <v>14.96</v>
      </c>
      <c r="AD798" s="263">
        <f>Table1[[#This Row],[Substrate SF]]*EPSONC</f>
        <v>4.9866666666666672</v>
      </c>
      <c r="AE798" s="74">
        <f>IF(Table1[[#This Row],[Work Center]]="SwissQ",Materials!G$37,IF(Table1[[#This Row],[Work Center]]="Inca",Materials!G$29,IF(Table1[[#This Row],[Work Center]]="Canon",Materials!G$49,Materials!G$45)))</f>
        <v>5</v>
      </c>
      <c r="AF798" s="73">
        <f>'Cali FPS'!C89</f>
        <v>112.01750000000001</v>
      </c>
      <c r="AG798" s="126"/>
      <c r="AH798" s="498">
        <f t="shared" si="271"/>
        <v>143</v>
      </c>
      <c r="AI798" s="498"/>
      <c r="AJ798" s="278">
        <f t="shared" si="274"/>
        <v>279.96416666666664</v>
      </c>
      <c r="AK798" s="650">
        <f t="shared" si="272"/>
        <v>0.90211043123543122</v>
      </c>
      <c r="AL798" s="225">
        <f>Table1[[#This Row],[WSP/Dealer]]/Table1[[#This Row],[OD Sq Inch]]</f>
        <v>1.1916666666666667</v>
      </c>
      <c r="AM798" s="274">
        <f>Table1[[#This Row],[OD Wdth]]*Table1[[#This Row],[OD Hgt]]</f>
        <v>2400</v>
      </c>
      <c r="AN798" s="84"/>
      <c r="AO798" s="84"/>
      <c r="AP798" s="84"/>
      <c r="AQ798" s="126"/>
      <c r="AR798" s="126"/>
      <c r="AS798" s="126"/>
      <c r="AT798" s="74"/>
      <c r="AU798" s="1357" t="str">
        <f t="shared" si="270"/>
        <v>-</v>
      </c>
    </row>
    <row r="799" spans="1:47" s="423" customFormat="1" hidden="1" x14ac:dyDescent="0.2">
      <c r="A799" s="421" t="s">
        <v>187</v>
      </c>
      <c r="B799" s="1061" t="s">
        <v>261</v>
      </c>
      <c r="C799" s="430" t="s">
        <v>2059</v>
      </c>
      <c r="D799" s="94"/>
      <c r="E799" s="430" t="s">
        <v>2058</v>
      </c>
      <c r="F799" s="441" t="s">
        <v>737</v>
      </c>
      <c r="G799" s="431" t="s">
        <v>482</v>
      </c>
      <c r="H799" s="68" t="s">
        <v>2041</v>
      </c>
      <c r="I799" s="447" t="s">
        <v>108</v>
      </c>
      <c r="J799" s="451" t="s">
        <v>53</v>
      </c>
      <c r="K799" s="431" t="s">
        <v>1410</v>
      </c>
      <c r="L799" s="421" t="s">
        <v>70</v>
      </c>
      <c r="M799" s="429">
        <v>3300</v>
      </c>
      <c r="N799" s="71"/>
      <c r="O799" s="421" t="s">
        <v>109</v>
      </c>
      <c r="P799" s="421">
        <v>40</v>
      </c>
      <c r="Q799" s="421">
        <v>60</v>
      </c>
      <c r="R799" s="421">
        <v>40</v>
      </c>
      <c r="S799" s="421">
        <v>60</v>
      </c>
      <c r="T799" s="421">
        <v>42</v>
      </c>
      <c r="U799" s="421">
        <v>62</v>
      </c>
      <c r="V799" s="1316">
        <f>IF(J799="Canvas",P799+BorderGW,P799)</f>
        <v>48</v>
      </c>
      <c r="W799" s="1316">
        <f>IF(J799="Canvas",Q799+BorderGW,Q799)</f>
        <v>68</v>
      </c>
      <c r="X799" s="189">
        <v>69</v>
      </c>
      <c r="Y799" s="421"/>
      <c r="Z799" s="421"/>
      <c r="AA799" s="836">
        <f t="shared" si="273"/>
        <v>22.666666666666668</v>
      </c>
      <c r="AB799" s="720">
        <f>AA799*EPSONC</f>
        <v>4.9866666666666672</v>
      </c>
      <c r="AC799" s="426">
        <f>Table1[[#This Row],[Substrate SF]]*CanvasR</f>
        <v>14.96</v>
      </c>
      <c r="AD799" s="425">
        <f>Table1[[#This Row],[Substrate SF]]*EPSONC</f>
        <v>4.9866666666666672</v>
      </c>
      <c r="AE799" s="426">
        <f>IF(Table1[[#This Row],[Work Center]]="SwissQ",Materials!G$37,IF(Table1[[#This Row],[Work Center]]="Inca",Materials!G$29,IF(Table1[[#This Row],[Work Center]]="Canon",Materials!G$49,Materials!G$45)))</f>
        <v>5</v>
      </c>
      <c r="AF799" s="427" t="e">
        <f>'Cali Frames'!#REF!</f>
        <v>#REF!</v>
      </c>
      <c r="AG799" s="956"/>
      <c r="AH799" s="498">
        <f t="shared" si="271"/>
        <v>165</v>
      </c>
      <c r="AI799" s="498"/>
      <c r="AJ799" s="428" t="e">
        <f t="shared" si="274"/>
        <v>#REF!</v>
      </c>
      <c r="AK799" s="650" t="e">
        <f t="shared" si="272"/>
        <v>#REF!</v>
      </c>
      <c r="AL799" s="225">
        <f>Table1[[#This Row],[WSP/Dealer]]/Table1[[#This Row],[OD Sq Inch]]</f>
        <v>1.2672811059907834</v>
      </c>
      <c r="AM799" s="447">
        <f>Table1[[#This Row],[OD Wdth]]*Table1[[#This Row],[OD Hgt]]</f>
        <v>2604</v>
      </c>
      <c r="AN799" s="450"/>
      <c r="AO799" s="450"/>
      <c r="AP799" s="450"/>
      <c r="AQ799" s="956"/>
      <c r="AR799" s="956"/>
      <c r="AS799" s="956"/>
      <c r="AT799" s="426"/>
      <c r="AU799" s="1374" t="str">
        <f t="shared" si="270"/>
        <v>-</v>
      </c>
    </row>
    <row r="800" spans="1:47" s="63" customFormat="1" hidden="1" x14ac:dyDescent="0.2">
      <c r="A800" s="421" t="s">
        <v>187</v>
      </c>
      <c r="B800" s="1061" t="s">
        <v>261</v>
      </c>
      <c r="C800" s="430" t="s">
        <v>2060</v>
      </c>
      <c r="D800" s="94"/>
      <c r="E800" s="430" t="s">
        <v>2058</v>
      </c>
      <c r="F800" s="441" t="s">
        <v>737</v>
      </c>
      <c r="G800" s="431" t="s">
        <v>482</v>
      </c>
      <c r="H800" s="68" t="s">
        <v>2041</v>
      </c>
      <c r="I800" s="447" t="s">
        <v>108</v>
      </c>
      <c r="J800" s="451" t="s">
        <v>53</v>
      </c>
      <c r="K800" s="431" t="s">
        <v>1412</v>
      </c>
      <c r="L800" s="421" t="s">
        <v>73</v>
      </c>
      <c r="M800" s="429">
        <v>3300</v>
      </c>
      <c r="N800" s="71"/>
      <c r="O800" s="421" t="s">
        <v>109</v>
      </c>
      <c r="P800" s="421">
        <v>40</v>
      </c>
      <c r="Q800" s="421">
        <v>60</v>
      </c>
      <c r="R800" s="421">
        <v>40</v>
      </c>
      <c r="S800" s="421">
        <v>60</v>
      </c>
      <c r="T800" s="421">
        <v>42</v>
      </c>
      <c r="U800" s="421">
        <v>62</v>
      </c>
      <c r="V800" s="1316">
        <f>IF(J800="Canvas",P800+BorderGW,P800)</f>
        <v>48</v>
      </c>
      <c r="W800" s="1316">
        <f>IF(J800="Canvas",Q800+BorderGW,Q800)</f>
        <v>68</v>
      </c>
      <c r="X800" s="189">
        <v>69</v>
      </c>
      <c r="Y800" s="421"/>
      <c r="Z800" s="421"/>
      <c r="AA800" s="836">
        <f t="shared" si="273"/>
        <v>22.666666666666668</v>
      </c>
      <c r="AB800" s="720">
        <f>AA800*EPSONC</f>
        <v>4.9866666666666672</v>
      </c>
      <c r="AC800" s="426">
        <f>Table1[[#This Row],[Substrate SF]]*CanvasR</f>
        <v>14.96</v>
      </c>
      <c r="AD800" s="425">
        <f>Table1[[#This Row],[Substrate SF]]*EPSONC</f>
        <v>4.9866666666666672</v>
      </c>
      <c r="AE800" s="426">
        <f>IF(Table1[[#This Row],[Work Center]]="SwissQ",Materials!G$37,IF(Table1[[#This Row],[Work Center]]="Inca",Materials!G$29,IF(Table1[[#This Row],[Work Center]]="Canon",Materials!G$49,Materials!G$45)))</f>
        <v>5</v>
      </c>
      <c r="AF800" s="427">
        <f>'Cali Frames'!D450</f>
        <v>224.10500000000002</v>
      </c>
      <c r="AG800" s="956"/>
      <c r="AH800" s="498">
        <f t="shared" si="271"/>
        <v>165</v>
      </c>
      <c r="AI800" s="498"/>
      <c r="AJ800" s="428">
        <f t="shared" si="274"/>
        <v>414.05166666666668</v>
      </c>
      <c r="AK800" s="650">
        <f t="shared" si="272"/>
        <v>0.87452979797979791</v>
      </c>
      <c r="AL800" s="225">
        <f>Table1[[#This Row],[WSP/Dealer]]/Table1[[#This Row],[OD Sq Inch]]</f>
        <v>1.2672811059907834</v>
      </c>
      <c r="AM800" s="447">
        <f>Table1[[#This Row],[OD Wdth]]*Table1[[#This Row],[OD Hgt]]</f>
        <v>2604</v>
      </c>
      <c r="AN800" s="450"/>
      <c r="AO800" s="450"/>
      <c r="AP800" s="450"/>
      <c r="AQ800" s="956"/>
      <c r="AR800" s="956"/>
      <c r="AS800" s="956"/>
      <c r="AT800" s="426"/>
      <c r="AU800" s="1374" t="str">
        <f t="shared" si="270"/>
        <v>-</v>
      </c>
    </row>
    <row r="801" spans="1:47" s="423" customFormat="1" hidden="1" x14ac:dyDescent="0.2">
      <c r="A801" s="68" t="s">
        <v>187</v>
      </c>
      <c r="B801" s="1061" t="s">
        <v>261</v>
      </c>
      <c r="C801" s="436" t="s">
        <v>2061</v>
      </c>
      <c r="D801" s="94"/>
      <c r="E801" s="436" t="s">
        <v>2062</v>
      </c>
      <c r="F801" s="275" t="s">
        <v>737</v>
      </c>
      <c r="G801" s="258" t="s">
        <v>482</v>
      </c>
      <c r="H801" s="258" t="s">
        <v>482</v>
      </c>
      <c r="I801" s="274" t="s">
        <v>108</v>
      </c>
      <c r="J801" s="68" t="s">
        <v>197</v>
      </c>
      <c r="K801" s="274" t="s">
        <v>198</v>
      </c>
      <c r="L801" s="274" t="s">
        <v>199</v>
      </c>
      <c r="M801" s="695">
        <v>120</v>
      </c>
      <c r="N801" s="71"/>
      <c r="O801" s="68" t="s">
        <v>109</v>
      </c>
      <c r="P801" s="68">
        <v>40</v>
      </c>
      <c r="Q801" s="68">
        <v>60</v>
      </c>
      <c r="R801" s="68">
        <v>40</v>
      </c>
      <c r="S801" s="68">
        <v>60</v>
      </c>
      <c r="T801" s="68">
        <v>40</v>
      </c>
      <c r="U801" s="68">
        <v>60</v>
      </c>
      <c r="V801" s="277">
        <f>Table1[[#This Row],[VO Wdth]]+Materials!$C$7</f>
        <v>42</v>
      </c>
      <c r="W801" s="277">
        <f>Table1[[#This Row],[VO Hgt]]+Materials!$C$7</f>
        <v>62</v>
      </c>
      <c r="X801" s="343" t="s">
        <v>197</v>
      </c>
      <c r="Y801" s="68"/>
      <c r="Z801" s="68"/>
      <c r="AA801" s="699">
        <f t="shared" si="273"/>
        <v>18.083333333333332</v>
      </c>
      <c r="AB801" s="783">
        <v>12</v>
      </c>
      <c r="AC801" s="74">
        <f>Table1[[#This Row],[Substrate SF]]*POster</f>
        <v>13.453999999999999</v>
      </c>
      <c r="AD801" s="263">
        <f>Table1[[#This Row],[Substrate SF]]*EPSONC</f>
        <v>3.9783333333333331</v>
      </c>
      <c r="AE80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801" s="73">
        <v>0</v>
      </c>
      <c r="AG801" s="126">
        <f>Materials!D$76</f>
        <v>10.82</v>
      </c>
      <c r="AH801" s="112">
        <f t="shared" si="271"/>
        <v>6</v>
      </c>
      <c r="AI801" s="112"/>
      <c r="AJ801" s="278">
        <f t="shared" si="274"/>
        <v>44.252333333333333</v>
      </c>
      <c r="AK801" s="62">
        <f t="shared" si="272"/>
        <v>0.63123055555555563</v>
      </c>
      <c r="AL801" s="225">
        <f>Table1[[#This Row],[WSP/Dealer]]/Table1[[#This Row],[OD Sq Inch]]</f>
        <v>0.05</v>
      </c>
      <c r="AM801" s="170">
        <f>Table1[[#This Row],[OD Wdth]]*Table1[[#This Row],[OD Hgt]]</f>
        <v>2400</v>
      </c>
      <c r="AN801" s="84"/>
      <c r="AO801" s="84"/>
      <c r="AP801" s="84"/>
      <c r="AQ801" s="126"/>
      <c r="AR801" s="126"/>
      <c r="AS801" s="126"/>
      <c r="AT801" s="74"/>
      <c r="AU801" s="1357" t="str">
        <f t="shared" si="270"/>
        <v>-</v>
      </c>
    </row>
    <row r="802" spans="1:47" s="63" customFormat="1" x14ac:dyDescent="0.2">
      <c r="A802" s="101" t="s">
        <v>581</v>
      </c>
      <c r="B802" s="1061" t="s">
        <v>292</v>
      </c>
      <c r="C802" s="625" t="s">
        <v>2063</v>
      </c>
      <c r="D802" s="94" t="s">
        <v>2064</v>
      </c>
      <c r="E802" s="169" t="s">
        <v>2065</v>
      </c>
      <c r="F802" s="84" t="s">
        <v>114</v>
      </c>
      <c r="G802" s="363" t="s">
        <v>637</v>
      </c>
      <c r="H802" s="363" t="s">
        <v>1119</v>
      </c>
      <c r="I802" s="68" t="s">
        <v>52</v>
      </c>
      <c r="J802" s="140" t="s">
        <v>53</v>
      </c>
      <c r="K802" s="68" t="s">
        <v>69</v>
      </c>
      <c r="L802" s="68" t="s">
        <v>76</v>
      </c>
      <c r="M802" s="299">
        <v>1250</v>
      </c>
      <c r="N802" s="829">
        <v>1250</v>
      </c>
      <c r="O802" s="101" t="s">
        <v>64</v>
      </c>
      <c r="P802" s="101">
        <v>60</v>
      </c>
      <c r="Q802" s="101">
        <v>48</v>
      </c>
      <c r="R802" s="101">
        <v>48</v>
      </c>
      <c r="S802" s="101">
        <v>60</v>
      </c>
      <c r="T802" s="101">
        <v>61</v>
      </c>
      <c r="U802" s="101">
        <v>49</v>
      </c>
      <c r="V802" s="918">
        <f>IF(J802="Canvas",P802+BorderL,P802)</f>
        <v>71</v>
      </c>
      <c r="W802" s="918">
        <f>IF(J802="Canvas",Q802+BorderL,Q802)</f>
        <v>59</v>
      </c>
      <c r="X802" s="137">
        <v>59</v>
      </c>
      <c r="Y802" s="101">
        <v>71</v>
      </c>
      <c r="Z802" s="101">
        <v>59</v>
      </c>
      <c r="AA802" s="724">
        <f t="shared" si="273"/>
        <v>29.090277777777779</v>
      </c>
      <c r="AB802" s="184">
        <f>Table1[[#This Row],[Substrate SF]]*Swiss1</f>
        <v>823.25486111111115</v>
      </c>
      <c r="AC802" s="406">
        <f>AA802*Canvas</f>
        <v>19.199583333333333</v>
      </c>
      <c r="AD802" s="107">
        <f>Table1[[#This Row],[Substrate SF]]*Materials!C$37</f>
        <v>81.452777777777769</v>
      </c>
      <c r="AE802" s="406">
        <f>IF(Table1[[#This Row],[Work Center]]="SwissQ",Materials!G$37,IF(Table1[[#This Row],[Work Center]]="Inca",Materials!G$29,IF(Table1[[#This Row],[Work Center]]="Canon",Materials!G$49,Materials!G$45)))</f>
        <v>20</v>
      </c>
      <c r="AF802" s="102">
        <f>'Cali Frames'!D381</f>
        <v>272.89999999999998</v>
      </c>
      <c r="AG802" s="540"/>
      <c r="AH802" s="107">
        <f t="shared" si="271"/>
        <v>62.5</v>
      </c>
      <c r="AI802" s="107"/>
      <c r="AJ802" s="406">
        <f t="shared" si="274"/>
        <v>456.05236111111105</v>
      </c>
      <c r="AK802" s="108">
        <f t="shared" si="272"/>
        <v>0.6351581111111112</v>
      </c>
      <c r="AL802" s="660">
        <f>Table1[[#This Row],[WSP/Dealer]]/Table1[[#This Row],[OD Sq Inch]]</f>
        <v>0.41820006691201073</v>
      </c>
      <c r="AM802" s="399">
        <f>Table1[[#This Row],[OD Wdth]]*Table1[[#This Row],[OD Hgt]]</f>
        <v>2989</v>
      </c>
      <c r="AN802" s="400">
        <f>Table1[[#This Row],[Min VO]]+Table1[[#This Row],[Max VO]]</f>
        <v>108</v>
      </c>
      <c r="AO802" s="115"/>
      <c r="AP802" s="115"/>
      <c r="AQ802" s="121"/>
      <c r="AR802" s="121"/>
      <c r="AS802" s="121"/>
      <c r="AT802" s="104"/>
      <c r="AU802" s="1359" t="str">
        <f t="shared" si="270"/>
        <v>-</v>
      </c>
    </row>
    <row r="803" spans="1:47" s="423" customFormat="1" x14ac:dyDescent="0.2">
      <c r="A803" s="101" t="s">
        <v>58</v>
      </c>
      <c r="B803" s="1062" t="s">
        <v>1013</v>
      </c>
      <c r="C803" s="625" t="s">
        <v>2066</v>
      </c>
      <c r="D803" s="168" t="s">
        <v>2067</v>
      </c>
      <c r="E803" s="169" t="s">
        <v>2068</v>
      </c>
      <c r="F803" s="115" t="s">
        <v>114</v>
      </c>
      <c r="G803" s="407" t="s">
        <v>296</v>
      </c>
      <c r="H803" s="407" t="s">
        <v>297</v>
      </c>
      <c r="I803" s="101" t="s">
        <v>52</v>
      </c>
      <c r="J803" s="487" t="s">
        <v>53</v>
      </c>
      <c r="K803" s="101" t="s">
        <v>69</v>
      </c>
      <c r="L803" s="101" t="s">
        <v>76</v>
      </c>
      <c r="M803" s="114">
        <v>1450</v>
      </c>
      <c r="N803" s="114"/>
      <c r="O803" s="101" t="s">
        <v>64</v>
      </c>
      <c r="P803" s="101">
        <v>80</v>
      </c>
      <c r="Q803" s="101">
        <v>64</v>
      </c>
      <c r="R803" s="101">
        <v>64</v>
      </c>
      <c r="S803" s="101">
        <v>80</v>
      </c>
      <c r="T803" s="101">
        <v>81</v>
      </c>
      <c r="U803" s="101">
        <v>65</v>
      </c>
      <c r="V803" s="608">
        <f>IF(J803="Canvas",P803+BorderGW,P803)</f>
        <v>88</v>
      </c>
      <c r="W803" s="608">
        <f>IF(J803="Canvas",Q803+BorderGW,Q803)</f>
        <v>72</v>
      </c>
      <c r="X803" s="101">
        <v>82</v>
      </c>
      <c r="Y803" s="101">
        <v>88</v>
      </c>
      <c r="Z803" s="101">
        <v>72</v>
      </c>
      <c r="AA803" s="649">
        <f t="shared" si="273"/>
        <v>44</v>
      </c>
      <c r="AB803" s="184">
        <f>Table1[[#This Row],[Substrate SF]]*Swiss1</f>
        <v>1245.2</v>
      </c>
      <c r="AC803" s="104">
        <f>MDFSHEET/3</f>
        <v>8.1166666666666671</v>
      </c>
      <c r="AD803" s="107">
        <f>Table1[[#This Row],[Substrate SF]]*Materials!C$37</f>
        <v>123.19999999999999</v>
      </c>
      <c r="AE803" s="104">
        <f>IF(Table1[[#This Row],[Work Center]]="SwissQ",Materials!G$37,IF(Table1[[#This Row],[Work Center]]="Inca",Materials!G$29,IF(Table1[[#This Row],[Work Center]]="Canon",Materials!G$49,Materials!G$45)))</f>
        <v>20</v>
      </c>
      <c r="AF803" s="102">
        <f>'Cali Frames'!D389</f>
        <v>355.92</v>
      </c>
      <c r="AG803" s="121"/>
      <c r="AH803" s="107">
        <f t="shared" si="271"/>
        <v>72.5</v>
      </c>
      <c r="AI803" s="107"/>
      <c r="AJ803" s="405">
        <f t="shared" si="274"/>
        <v>579.73666666666668</v>
      </c>
      <c r="AK803" s="108">
        <f t="shared" si="272"/>
        <v>0.60018160919540231</v>
      </c>
      <c r="AL803" s="660">
        <f>Table1[[#This Row],[WSP/Dealer]]/Table1[[#This Row],[OD Sq Inch]]</f>
        <v>0.27540360873694208</v>
      </c>
      <c r="AM803" s="400">
        <f>Table1[[#This Row],[OD Wdth]]*Table1[[#This Row],[OD Hgt]]</f>
        <v>5265</v>
      </c>
      <c r="AN803" s="400">
        <f>Table1[[#This Row],[Min VO]]+Table1[[#This Row],[Max VO]]</f>
        <v>144</v>
      </c>
      <c r="AO803" s="115"/>
      <c r="AP803" s="115"/>
      <c r="AQ803" s="121"/>
      <c r="AR803" s="121"/>
      <c r="AS803" s="121"/>
      <c r="AT803" s="104"/>
      <c r="AU803" s="1359" t="str">
        <f t="shared" si="270"/>
        <v>-</v>
      </c>
    </row>
    <row r="804" spans="1:47" s="63" customFormat="1" x14ac:dyDescent="0.2">
      <c r="A804" s="180" t="s">
        <v>58</v>
      </c>
      <c r="B804" s="1061" t="s">
        <v>406</v>
      </c>
      <c r="C804" s="302" t="s">
        <v>2069</v>
      </c>
      <c r="D804" s="94" t="s">
        <v>2070</v>
      </c>
      <c r="E804" s="284" t="s">
        <v>2071</v>
      </c>
      <c r="F804" s="284" t="s">
        <v>1981</v>
      </c>
      <c r="G804" s="180" t="s">
        <v>519</v>
      </c>
      <c r="H804" s="180" t="s">
        <v>517</v>
      </c>
      <c r="I804" s="180" t="s">
        <v>52</v>
      </c>
      <c r="J804" s="180" t="s">
        <v>280</v>
      </c>
      <c r="K804" s="180" t="s">
        <v>2072</v>
      </c>
      <c r="L804" s="180" t="s">
        <v>2073</v>
      </c>
      <c r="M804" s="285">
        <v>660</v>
      </c>
      <c r="N804" s="639">
        <v>660</v>
      </c>
      <c r="O804" s="145" t="s">
        <v>575</v>
      </c>
      <c r="P804" s="180">
        <v>16</v>
      </c>
      <c r="Q804" s="180">
        <v>20</v>
      </c>
      <c r="R804" s="180">
        <v>16</v>
      </c>
      <c r="S804" s="813">
        <v>20</v>
      </c>
      <c r="T804" s="173">
        <v>18</v>
      </c>
      <c r="U804" s="173">
        <v>22</v>
      </c>
      <c r="V804" s="174">
        <f>IF(J804="Canvas",P804+Border,P804)</f>
        <v>16</v>
      </c>
      <c r="W804" s="174">
        <f>IF(J804="Canvas",Q804+Border,Q804)</f>
        <v>20</v>
      </c>
      <c r="X804" s="289" t="s">
        <v>675</v>
      </c>
      <c r="Y804" s="180"/>
      <c r="Z804" s="180"/>
      <c r="AA804" s="678">
        <f t="shared" si="273"/>
        <v>2.2222222222222223</v>
      </c>
      <c r="AB804" s="329">
        <f>AA804*Swiss1</f>
        <v>62.888888888888893</v>
      </c>
      <c r="AC804" s="176">
        <f>PETG48/12</f>
        <v>4.0549999999999997</v>
      </c>
      <c r="AD804" s="107">
        <f>AA804*SWISSC1</f>
        <v>6.2222222222222223</v>
      </c>
      <c r="AE804" s="176">
        <f>IF(Table1[[#This Row],[Work Center]]="SwissQ",Materials!G$37,IF(Table1[[#This Row],[Work Center]]="Inca",Materials!G$29,IF(Table1[[#This Row],[Work Center]]="Canon",Materials!G$49,Materials!G$45)))</f>
        <v>5</v>
      </c>
      <c r="AF804" s="176" t="s">
        <v>128</v>
      </c>
      <c r="AG804" s="284"/>
      <c r="AH804" s="112">
        <f t="shared" si="271"/>
        <v>33</v>
      </c>
      <c r="AI804" s="112"/>
      <c r="AJ804" s="176">
        <f t="shared" si="274"/>
        <v>48.277222222222221</v>
      </c>
      <c r="AK804" s="62">
        <f t="shared" si="272"/>
        <v>0.92685269360269362</v>
      </c>
      <c r="AL804" s="225">
        <f>Table1[[#This Row],[WSP/Dealer]]/Table1[[#This Row],[OD Sq Inch]]</f>
        <v>1.6666666666666667</v>
      </c>
      <c r="AM804" s="173">
        <f>Table1[[#This Row],[OD Wdth]]*Table1[[#This Row],[OD Hgt]]</f>
        <v>396</v>
      </c>
      <c r="AN804" s="180">
        <f>Table1[[#This Row],[Min VO]]+Table1[[#This Row],[Max VO]]</f>
        <v>36</v>
      </c>
      <c r="AO804" s="173"/>
      <c r="AP804" s="180"/>
      <c r="AQ804" s="176"/>
      <c r="AR804" s="176"/>
      <c r="AS804" s="176"/>
      <c r="AT804" s="176"/>
      <c r="AU804" s="1201" t="str">
        <f t="shared" si="270"/>
        <v>-</v>
      </c>
    </row>
    <row r="805" spans="1:47" s="423" customFormat="1" x14ac:dyDescent="0.2">
      <c r="A805" s="180" t="s">
        <v>58</v>
      </c>
      <c r="B805" s="279" t="s">
        <v>406</v>
      </c>
      <c r="C805" s="302" t="s">
        <v>2074</v>
      </c>
      <c r="D805" s="94" t="s">
        <v>2070</v>
      </c>
      <c r="E805" s="284" t="s">
        <v>2071</v>
      </c>
      <c r="F805" s="284" t="s">
        <v>1981</v>
      </c>
      <c r="G805" s="180" t="s">
        <v>519</v>
      </c>
      <c r="H805" s="180" t="s">
        <v>517</v>
      </c>
      <c r="I805" s="180" t="s">
        <v>52</v>
      </c>
      <c r="J805" s="180" t="s">
        <v>280</v>
      </c>
      <c r="K805" s="180" t="s">
        <v>814</v>
      </c>
      <c r="L805" s="180" t="s">
        <v>815</v>
      </c>
      <c r="M805" s="285">
        <v>660</v>
      </c>
      <c r="N805" s="639">
        <v>660</v>
      </c>
      <c r="O805" s="145" t="s">
        <v>575</v>
      </c>
      <c r="P805" s="180">
        <v>16</v>
      </c>
      <c r="Q805" s="180">
        <v>20</v>
      </c>
      <c r="R805" s="180">
        <v>16</v>
      </c>
      <c r="S805" s="813">
        <v>20</v>
      </c>
      <c r="T805" s="180">
        <v>18</v>
      </c>
      <c r="U805" s="180">
        <v>22</v>
      </c>
      <c r="V805" s="174">
        <f>IF(J805="Canvas",P805+Border,P805)</f>
        <v>16</v>
      </c>
      <c r="W805" s="174">
        <f>IF(J805="Canvas",Q805+Border,Q805)</f>
        <v>20</v>
      </c>
      <c r="X805" s="289" t="s">
        <v>675</v>
      </c>
      <c r="Y805" s="180"/>
      <c r="Z805" s="180"/>
      <c r="AA805" s="678">
        <f t="shared" si="273"/>
        <v>2.2222222222222223</v>
      </c>
      <c r="AB805" s="329">
        <f>AA805*Swiss1</f>
        <v>62.888888888888893</v>
      </c>
      <c r="AC805" s="176">
        <f>PETG48/12</f>
        <v>4.0549999999999997</v>
      </c>
      <c r="AD805" s="107">
        <f>AA805*SWISSC1</f>
        <v>6.2222222222222223</v>
      </c>
      <c r="AE805" s="176">
        <f>IF(Table1[[#This Row],[Work Center]]="SwissQ",Materials!G$37,IF(Table1[[#This Row],[Work Center]]="Inca",Materials!G$29,IF(Table1[[#This Row],[Work Center]]="Canon",Materials!G$49,Materials!G$45)))</f>
        <v>5</v>
      </c>
      <c r="AF805" s="176">
        <f>'Cali Frames'!D$193</f>
        <v>126.35</v>
      </c>
      <c r="AG805" s="284"/>
      <c r="AH805" s="498">
        <f t="shared" si="271"/>
        <v>33</v>
      </c>
      <c r="AI805" s="498"/>
      <c r="AJ805" s="176">
        <f t="shared" si="274"/>
        <v>174.6272222222222</v>
      </c>
      <c r="AK805" s="650">
        <f t="shared" si="272"/>
        <v>0.73541329966329971</v>
      </c>
      <c r="AL805" s="225">
        <f>Table1[[#This Row],[WSP/Dealer]]/Table1[[#This Row],[OD Sq Inch]]</f>
        <v>1.6666666666666667</v>
      </c>
      <c r="AM805" s="173">
        <f>Table1[[#This Row],[OD Wdth]]*Table1[[#This Row],[OD Hgt]]</f>
        <v>396</v>
      </c>
      <c r="AN805" s="180">
        <f>Table1[[#This Row],[Min VO]]+Table1[[#This Row],[Max VO]]</f>
        <v>36</v>
      </c>
      <c r="AO805" s="180"/>
      <c r="AP805" s="180"/>
      <c r="AQ805" s="176"/>
      <c r="AR805" s="176"/>
      <c r="AS805" s="176"/>
      <c r="AT805" s="176"/>
      <c r="AU805" s="1201" t="str">
        <f t="shared" si="270"/>
        <v>-</v>
      </c>
    </row>
    <row r="806" spans="1:47" s="63" customFormat="1" hidden="1" x14ac:dyDescent="0.2">
      <c r="A806" s="373" t="s">
        <v>187</v>
      </c>
      <c r="B806" s="1061" t="s">
        <v>261</v>
      </c>
      <c r="C806" s="78" t="s">
        <v>2074</v>
      </c>
      <c r="D806" s="94"/>
      <c r="E806" s="84" t="s">
        <v>2071</v>
      </c>
      <c r="F806" s="84" t="s">
        <v>1981</v>
      </c>
      <c r="G806" s="68" t="s">
        <v>519</v>
      </c>
      <c r="H806" s="68" t="s">
        <v>517</v>
      </c>
      <c r="I806" s="68" t="s">
        <v>52</v>
      </c>
      <c r="J806" s="68" t="s">
        <v>280</v>
      </c>
      <c r="K806" s="68" t="s">
        <v>814</v>
      </c>
      <c r="L806" s="68" t="s">
        <v>815</v>
      </c>
      <c r="M806" s="93">
        <v>1450</v>
      </c>
      <c r="N806" s="71">
        <v>660</v>
      </c>
      <c r="O806" s="145" t="s">
        <v>575</v>
      </c>
      <c r="P806" s="68">
        <v>16</v>
      </c>
      <c r="Q806" s="68">
        <v>20</v>
      </c>
      <c r="R806" s="68">
        <v>16</v>
      </c>
      <c r="S806" s="623">
        <v>20</v>
      </c>
      <c r="T806" s="68">
        <v>18</v>
      </c>
      <c r="U806" s="68">
        <v>22</v>
      </c>
      <c r="V806" s="917">
        <f>IF(J806="Canvas",P806+Border,P806)</f>
        <v>16</v>
      </c>
      <c r="W806" s="917">
        <f>IF(J806="Canvas",Q806+Border,Q806)</f>
        <v>20</v>
      </c>
      <c r="X806" s="189" t="s">
        <v>675</v>
      </c>
      <c r="Y806" s="68"/>
      <c r="Z806" s="68"/>
      <c r="AA806" s="699">
        <f t="shared" si="273"/>
        <v>2.2222222222222223</v>
      </c>
      <c r="AB806" s="297">
        <f>AA806*Swiss1</f>
        <v>62.888888888888893</v>
      </c>
      <c r="AC806" s="74">
        <f>PETG48/12</f>
        <v>4.0549999999999997</v>
      </c>
      <c r="AD806" s="67">
        <f>Table1[[#This Row],[Substrate SF]]*Materials!C$37</f>
        <v>6.2222222222222223</v>
      </c>
      <c r="AE806" s="104">
        <f>IF(Table1[[#This Row],[Work Center]]="SwissQ",Materials!G$37,IF(Table1[[#This Row],[Work Center]]="Inca",Materials!G$29,IF(Table1[[#This Row],[Work Center]]="Canon",Materials!G$49,Materials!G$45)))</f>
        <v>5</v>
      </c>
      <c r="AF806" s="74">
        <f>'Cali Frames'!D193</f>
        <v>126.35</v>
      </c>
      <c r="AG806" s="115"/>
      <c r="AH806" s="498">
        <f t="shared" si="271"/>
        <v>72.5</v>
      </c>
      <c r="AI806" s="498"/>
      <c r="AJ806" s="74">
        <f t="shared" si="274"/>
        <v>214.1272222222222</v>
      </c>
      <c r="AK806" s="650">
        <f t="shared" si="272"/>
        <v>0.85232605363984681</v>
      </c>
      <c r="AL806" s="225">
        <f>Table1[[#This Row],[WSP/Dealer]]/Table1[[#This Row],[OD Sq Inch]]</f>
        <v>3.6616161616161618</v>
      </c>
      <c r="AM806" s="216">
        <f>Table1[[#This Row],[OD Wdth]]*Table1[[#This Row],[OD Hgt]]</f>
        <v>396</v>
      </c>
      <c r="AN806" s="216">
        <f>Table1[[#This Row],[Min VO]]+Table1[[#This Row],[Max VO]]</f>
        <v>36</v>
      </c>
      <c r="AO806" s="68"/>
      <c r="AP806" s="68"/>
      <c r="AQ806" s="74"/>
      <c r="AR806" s="74"/>
      <c r="AS806" s="74"/>
      <c r="AT806" s="74"/>
      <c r="AU806" s="1001" t="str">
        <f t="shared" si="270"/>
        <v>-</v>
      </c>
    </row>
    <row r="807" spans="1:47" s="423" customFormat="1" hidden="1" x14ac:dyDescent="0.2">
      <c r="A807" s="373" t="s">
        <v>187</v>
      </c>
      <c r="B807" s="1061" t="s">
        <v>261</v>
      </c>
      <c r="C807" s="78" t="s">
        <v>2075</v>
      </c>
      <c r="D807" s="94"/>
      <c r="E807" s="84" t="s">
        <v>2071</v>
      </c>
      <c r="F807" s="84" t="s">
        <v>1981</v>
      </c>
      <c r="G807" s="68" t="s">
        <v>519</v>
      </c>
      <c r="H807" s="68" t="s">
        <v>517</v>
      </c>
      <c r="I807" s="68" t="s">
        <v>108</v>
      </c>
      <c r="J807" s="68" t="s">
        <v>280</v>
      </c>
      <c r="K807" s="68" t="s">
        <v>814</v>
      </c>
      <c r="L807" s="68" t="s">
        <v>815</v>
      </c>
      <c r="M807" s="141"/>
      <c r="N807" s="71"/>
      <c r="O807" s="145" t="s">
        <v>575</v>
      </c>
      <c r="P807" s="68">
        <v>16</v>
      </c>
      <c r="Q807" s="68">
        <v>20</v>
      </c>
      <c r="R807" s="68">
        <v>16</v>
      </c>
      <c r="S807" s="623">
        <v>20</v>
      </c>
      <c r="T807" s="68">
        <v>18</v>
      </c>
      <c r="U807" s="68">
        <v>22</v>
      </c>
      <c r="V807" s="917">
        <f>IF(J807="Canvas",P807+Border,P807)</f>
        <v>16</v>
      </c>
      <c r="W807" s="917">
        <f>IF(J807="Canvas",Q807+Border,Q807)</f>
        <v>20</v>
      </c>
      <c r="X807" s="189" t="s">
        <v>675</v>
      </c>
      <c r="Y807" s="68"/>
      <c r="Z807" s="68"/>
      <c r="AA807" s="699">
        <f t="shared" si="273"/>
        <v>2.2222222222222223</v>
      </c>
      <c r="AB807" s="297">
        <f>AA807*Swiss1</f>
        <v>62.888888888888893</v>
      </c>
      <c r="AC807" s="74">
        <f>PETG48/12</f>
        <v>4.0549999999999997</v>
      </c>
      <c r="AD807" s="67">
        <f>Table1[[#This Row],[Substrate SF]]*Materials!C$37</f>
        <v>6.2222222222222223</v>
      </c>
      <c r="AE807" s="74">
        <f>IF(Table1[[#This Row],[Work Center]]="SwissQ",Materials!G$37,IF(Table1[[#This Row],[Work Center]]="Inca",Materials!G$29,IF(Table1[[#This Row],[Work Center]]="Canon",Materials!G$49,Materials!G$45)))</f>
        <v>5</v>
      </c>
      <c r="AF807" s="922">
        <f>'Cali Frames'!D209</f>
        <v>83.79</v>
      </c>
      <c r="AG807" s="74"/>
      <c r="AH807" s="498">
        <f t="shared" si="271"/>
        <v>0</v>
      </c>
      <c r="AI807" s="498"/>
      <c r="AJ807" s="74">
        <f t="shared" si="274"/>
        <v>99.067222222222227</v>
      </c>
      <c r="AK807" s="650" t="e">
        <f t="shared" si="272"/>
        <v>#DIV/0!</v>
      </c>
      <c r="AL807" s="225">
        <f>Table1[[#This Row],[WSP/Dealer]]/Table1[[#This Row],[OD Sq Inch]]</f>
        <v>0</v>
      </c>
      <c r="AM807" s="68">
        <f>Table1[[#This Row],[OD Wdth]]*Table1[[#This Row],[OD Hgt]]</f>
        <v>396</v>
      </c>
      <c r="AN807" s="68">
        <f>Table1[[#This Row],[Min VO]]+Table1[[#This Row],[Max VO]]</f>
        <v>36</v>
      </c>
      <c r="AO807" s="68"/>
      <c r="AP807" s="68"/>
      <c r="AQ807" s="74"/>
      <c r="AR807" s="74"/>
      <c r="AS807" s="74"/>
      <c r="AT807" s="74"/>
      <c r="AU807" s="1001" t="str">
        <f t="shared" si="270"/>
        <v>-</v>
      </c>
    </row>
    <row r="808" spans="1:47" s="103" customFormat="1" hidden="1" x14ac:dyDescent="0.2">
      <c r="A808" s="101" t="s">
        <v>110</v>
      </c>
      <c r="B808" s="1136" t="s">
        <v>250</v>
      </c>
      <c r="C808" s="100" t="s">
        <v>2076</v>
      </c>
      <c r="D808" s="168"/>
      <c r="E808" s="115" t="s">
        <v>2071</v>
      </c>
      <c r="F808" s="115" t="s">
        <v>1981</v>
      </c>
      <c r="G808" s="163" t="s">
        <v>519</v>
      </c>
      <c r="H808" s="101" t="s">
        <v>688</v>
      </c>
      <c r="I808" s="101" t="s">
        <v>52</v>
      </c>
      <c r="J808" s="487" t="s">
        <v>53</v>
      </c>
      <c r="K808" s="101" t="s">
        <v>69</v>
      </c>
      <c r="L808" s="101" t="s">
        <v>70</v>
      </c>
      <c r="M808" s="114">
        <v>575</v>
      </c>
      <c r="N808" s="114"/>
      <c r="O808" s="101" t="s">
        <v>64</v>
      </c>
      <c r="P808" s="101">
        <v>16</v>
      </c>
      <c r="Q808" s="101">
        <v>20</v>
      </c>
      <c r="R808" s="101">
        <v>16</v>
      </c>
      <c r="S808" s="697">
        <v>20</v>
      </c>
      <c r="T808" s="101">
        <v>17</v>
      </c>
      <c r="U808" s="101">
        <v>21</v>
      </c>
      <c r="V808" s="1697">
        <f>IF(J808="Canvas",P808+BorderGW,P808)</f>
        <v>24</v>
      </c>
      <c r="W808" s="1697">
        <f>IF(J808="Canvas",Q808+BorderGW,Q808)</f>
        <v>28</v>
      </c>
      <c r="X808" s="101">
        <v>40</v>
      </c>
      <c r="Y808" s="101">
        <v>24</v>
      </c>
      <c r="Z808" s="101">
        <v>28</v>
      </c>
      <c r="AA808" s="649">
        <f t="shared" si="273"/>
        <v>4.666666666666667</v>
      </c>
      <c r="AB808" s="184">
        <f>Table1[[#This Row],[Substrate SF]]*Swiss1</f>
        <v>132.06666666666669</v>
      </c>
      <c r="AC808" s="104">
        <f>MDFSHEET/3</f>
        <v>8.1166666666666671</v>
      </c>
      <c r="AD808" s="107">
        <f>Table1[[#This Row],[Substrate SF]]*Materials!C$37</f>
        <v>13.066666666666666</v>
      </c>
      <c r="AE808" s="104">
        <f>IF(Table1[[#This Row],[Work Center]]="SwissQ",Materials!G$37,IF(Table1[[#This Row],[Work Center]]="Inca",Materials!G$29,IF(Table1[[#This Row],[Work Center]]="Canon",Materials!G$49,Materials!G$45)))</f>
        <v>20</v>
      </c>
      <c r="AF808" s="102">
        <f>'Cali Frames'!D267</f>
        <v>82.757499999999993</v>
      </c>
      <c r="AG808" s="115"/>
      <c r="AH808" s="107">
        <f t="shared" si="271"/>
        <v>28.75</v>
      </c>
      <c r="AI808" s="405">
        <f>IF(A808="Codarus",(M808*0.13))</f>
        <v>74.75</v>
      </c>
      <c r="AJ808" s="104">
        <f>SUM(AC808:AI808)</f>
        <v>227.44083333333333</v>
      </c>
      <c r="AK808" s="108">
        <f t="shared" si="272"/>
        <v>0.60445072463768112</v>
      </c>
      <c r="AL808" s="660">
        <f>Table1[[#This Row],[WSP/Dealer]]/Table1[[#This Row],[OD Sq Inch]]</f>
        <v>1.6106442577030813</v>
      </c>
      <c r="AM808" s="229">
        <f>Table1[[#This Row],[OD Wdth]]*Table1[[#This Row],[OD Hgt]]</f>
        <v>357</v>
      </c>
      <c r="AN808" s="266">
        <f>Table1[[#This Row],[Min VO]]+Table1[[#This Row],[Max VO]]</f>
        <v>36</v>
      </c>
      <c r="AO808" s="115"/>
      <c r="AP808" s="1307">
        <f>(M808*2)</f>
        <v>1150</v>
      </c>
      <c r="AQ808" s="121">
        <f>(Table1[[#This Row],[Desgnr/Retail P]]*0.05)</f>
        <v>57.5</v>
      </c>
      <c r="AR808" s="121">
        <f>IF(A808="Codarus",(AP808*0.13))</f>
        <v>149.5</v>
      </c>
      <c r="AS808" s="121">
        <f>SUM(Table1[[#This Row],[Substrate $]:[GP FINISH]])+Table1[[#This Row],[Retail Royalty]]+Table1[[#This Row],[Retail$Comm]]</f>
        <v>330.94083333333333</v>
      </c>
      <c r="AT808" s="830">
        <f>IF(AP808=0,"-",(AP808-AS808)/AP808)</f>
        <v>0.71222536231884059</v>
      </c>
      <c r="AU808" s="1359">
        <f t="shared" si="270"/>
        <v>0.98761347195967231</v>
      </c>
    </row>
    <row r="809" spans="1:47" s="1166" customFormat="1" hidden="1" x14ac:dyDescent="0.2">
      <c r="A809" s="68" t="s">
        <v>101</v>
      </c>
      <c r="B809" s="1061" t="s">
        <v>96</v>
      </c>
      <c r="C809" s="805" t="s">
        <v>2077</v>
      </c>
      <c r="D809" s="94"/>
      <c r="E809" s="653" t="s">
        <v>2071</v>
      </c>
      <c r="F809" s="653" t="s">
        <v>1981</v>
      </c>
      <c r="G809" s="551" t="s">
        <v>519</v>
      </c>
      <c r="H809" s="551" t="s">
        <v>688</v>
      </c>
      <c r="I809" s="551" t="s">
        <v>574</v>
      </c>
      <c r="J809" s="856" t="s">
        <v>280</v>
      </c>
      <c r="K809" s="551" t="s">
        <v>2078</v>
      </c>
      <c r="L809" s="551" t="s">
        <v>315</v>
      </c>
      <c r="M809" s="141">
        <v>220</v>
      </c>
      <c r="N809" s="896"/>
      <c r="O809" s="551" t="s">
        <v>575</v>
      </c>
      <c r="P809" s="551">
        <v>16</v>
      </c>
      <c r="Q809" s="551">
        <v>20</v>
      </c>
      <c r="R809" s="551">
        <v>16</v>
      </c>
      <c r="S809" s="984">
        <v>20</v>
      </c>
      <c r="T809" s="551">
        <v>17</v>
      </c>
      <c r="U809" s="551">
        <v>21</v>
      </c>
      <c r="V809" s="881">
        <v>16</v>
      </c>
      <c r="W809" s="881">
        <v>20</v>
      </c>
      <c r="X809" s="995" t="s">
        <v>283</v>
      </c>
      <c r="Y809" s="918">
        <f>Table1[[#This Row],[Print Wth]]</f>
        <v>16</v>
      </c>
      <c r="Z809" s="918">
        <f>Table1[[#This Row],[Print Ht]]</f>
        <v>20</v>
      </c>
      <c r="AA809" s="1011">
        <f>Table1[[#This Row],[Cut Width]]*Table1[[#This Row],[Cut Height]]/144</f>
        <v>2.2222222222222223</v>
      </c>
      <c r="AB809" s="1015">
        <f>(Table1[[#This Row],[Print Wth]]*Table1[[#This Row],[Print Ht]])/144*Materials!$C$40</f>
        <v>4.4444444444444446</v>
      </c>
      <c r="AC809" s="863">
        <f>MDFSHEET/10</f>
        <v>2.4350000000000001</v>
      </c>
      <c r="AD809" s="405">
        <f>Table1[[#This Row],[Substrate SF]]*Materials!$C$42</f>
        <v>0.71111111111111114</v>
      </c>
      <c r="AE809" s="104">
        <v>10</v>
      </c>
      <c r="AF809" s="71">
        <f>'Cali Frames'!D504</f>
        <v>83.25</v>
      </c>
      <c r="AG809" s="653"/>
      <c r="AH809" s="862">
        <f t="shared" si="271"/>
        <v>11</v>
      </c>
      <c r="AI809" s="862"/>
      <c r="AJ809" s="867">
        <f t="shared" ref="AJ809:AJ815" si="275">SUM(AC809:AH809)</f>
        <v>107.39611111111111</v>
      </c>
      <c r="AK809" s="894">
        <f t="shared" si="272"/>
        <v>0.51183585858585856</v>
      </c>
      <c r="AL809" s="895">
        <f>Table1[[#This Row],[WSP/Dealer]]/Table1[[#This Row],[OD Sq Inch]]</f>
        <v>0.61624649859943981</v>
      </c>
      <c r="AM809" s="868">
        <f>Table1[[#This Row],[OD Wdth]]*Table1[[#This Row],[OD Hgt]]</f>
        <v>357</v>
      </c>
      <c r="AN809" s="869">
        <f>Table1[[#This Row],[Min VO]]+Table1[[#This Row],[Max VO]]</f>
        <v>36</v>
      </c>
      <c r="AO809" s="653" t="str">
        <f>Table1[[#This Row],[Print Type]]</f>
        <v>Reductive+</v>
      </c>
      <c r="AP809" s="1186"/>
      <c r="AQ809" s="126"/>
      <c r="AR809" s="278"/>
      <c r="AS809" s="1146"/>
      <c r="AT809" s="1147"/>
      <c r="AU809" s="1364" t="str">
        <f t="shared" si="270"/>
        <v>-</v>
      </c>
    </row>
    <row r="810" spans="1:47" s="423" customFormat="1" hidden="1" x14ac:dyDescent="0.2">
      <c r="A810" s="437" t="s">
        <v>187</v>
      </c>
      <c r="B810" s="1061" t="s">
        <v>261</v>
      </c>
      <c r="C810" s="436" t="s">
        <v>2079</v>
      </c>
      <c r="D810" s="94"/>
      <c r="E810" s="436" t="s">
        <v>2080</v>
      </c>
      <c r="F810" s="84" t="s">
        <v>1981</v>
      </c>
      <c r="G810" s="258" t="s">
        <v>519</v>
      </c>
      <c r="H810" s="68" t="s">
        <v>520</v>
      </c>
      <c r="I810" s="274" t="s">
        <v>108</v>
      </c>
      <c r="J810" s="68" t="s">
        <v>197</v>
      </c>
      <c r="K810" s="274" t="s">
        <v>198</v>
      </c>
      <c r="L810" s="274" t="s">
        <v>199</v>
      </c>
      <c r="M810" s="455">
        <v>60</v>
      </c>
      <c r="N810" s="71"/>
      <c r="O810" s="68" t="s">
        <v>64</v>
      </c>
      <c r="P810" s="68">
        <v>16</v>
      </c>
      <c r="Q810" s="68">
        <v>20</v>
      </c>
      <c r="R810" s="68">
        <v>16</v>
      </c>
      <c r="S810" s="65">
        <v>20</v>
      </c>
      <c r="T810" s="63">
        <v>18</v>
      </c>
      <c r="U810" s="63">
        <v>22</v>
      </c>
      <c r="V810" s="443">
        <f>IF(J810="Canvas",P810+BorderGW,P810)</f>
        <v>16</v>
      </c>
      <c r="W810" s="443">
        <f>IF(J810="Canvas",Q810+BorderGW,Q810)</f>
        <v>20</v>
      </c>
      <c r="X810" s="343" t="s">
        <v>197</v>
      </c>
      <c r="Y810" s="68"/>
      <c r="Z810" s="68"/>
      <c r="AA810" s="699">
        <f t="shared" ref="AA810:AA819" si="276">V810*W810/144</f>
        <v>2.2222222222222223</v>
      </c>
      <c r="AB810" s="341">
        <f>AA810*SWISSRML</f>
        <v>4.4444444444444446</v>
      </c>
      <c r="AC810" s="74">
        <f>Table1[[#This Row],[Substrate SF]]*POster</f>
        <v>1.6533333333333333</v>
      </c>
      <c r="AD810" s="263">
        <f>Table1[[#This Row],[Substrate SF]]*SWISSRC</f>
        <v>0.48888888888888893</v>
      </c>
      <c r="AE810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810" s="73">
        <v>0</v>
      </c>
      <c r="AG810" s="126">
        <f>Materials!D$76</f>
        <v>10.82</v>
      </c>
      <c r="AH810" s="498">
        <f t="shared" si="271"/>
        <v>3</v>
      </c>
      <c r="AI810" s="498"/>
      <c r="AJ810" s="278">
        <f t="shared" si="275"/>
        <v>25.962222222222223</v>
      </c>
      <c r="AK810" s="650">
        <f t="shared" si="272"/>
        <v>0.5672962962962963</v>
      </c>
      <c r="AL810" s="225">
        <f>Table1[[#This Row],[WSP/Dealer]]/Table1[[#This Row],[OD Sq Inch]]</f>
        <v>0.15151515151515152</v>
      </c>
      <c r="AM810" s="170">
        <f>Table1[[#This Row],[OD Wdth]]*Table1[[#This Row],[OD Hgt]]</f>
        <v>396</v>
      </c>
      <c r="AN810" s="84"/>
      <c r="AO810" s="119"/>
      <c r="AP810" s="84"/>
      <c r="AQ810" s="126"/>
      <c r="AR810" s="126"/>
      <c r="AS810" s="126"/>
      <c r="AT810" s="74"/>
      <c r="AU810" s="1357" t="str">
        <f t="shared" si="270"/>
        <v>-</v>
      </c>
    </row>
    <row r="811" spans="1:47" s="63" customFormat="1" x14ac:dyDescent="0.2">
      <c r="A811" s="693" t="s">
        <v>58</v>
      </c>
      <c r="B811" s="279" t="s">
        <v>533</v>
      </c>
      <c r="C811" s="185" t="s">
        <v>2081</v>
      </c>
      <c r="D811" s="94" t="s">
        <v>2082</v>
      </c>
      <c r="E811" s="185" t="s">
        <v>2083</v>
      </c>
      <c r="F811" s="186" t="s">
        <v>1269</v>
      </c>
      <c r="G811" s="1481" t="s">
        <v>532</v>
      </c>
      <c r="H811" s="1481" t="s">
        <v>532</v>
      </c>
      <c r="I811" s="1481" t="s">
        <v>52</v>
      </c>
      <c r="J811" s="1481" t="s">
        <v>53</v>
      </c>
      <c r="K811" s="1481" t="s">
        <v>54</v>
      </c>
      <c r="L811" s="1481" t="s">
        <v>55</v>
      </c>
      <c r="M811" s="187">
        <v>650</v>
      </c>
      <c r="N811" s="639">
        <v>800</v>
      </c>
      <c r="O811" s="693" t="s">
        <v>56</v>
      </c>
      <c r="P811" s="693">
        <v>48</v>
      </c>
      <c r="Q811" s="693">
        <v>35</v>
      </c>
      <c r="R811" s="693">
        <v>35</v>
      </c>
      <c r="S811" s="693">
        <v>48</v>
      </c>
      <c r="T811" s="1638">
        <f>Table1[[#This Row],[VO Wdth]]</f>
        <v>48</v>
      </c>
      <c r="U811" s="1638">
        <f>Table1[[#This Row],[VO Hgt]]</f>
        <v>35</v>
      </c>
      <c r="V811" s="1790">
        <f t="shared" ref="V811:V832" si="277">IF(J811="Canvas",P811+Border,P811)</f>
        <v>56</v>
      </c>
      <c r="W811" s="1790">
        <f t="shared" ref="W811:W832" si="278">IF(J811="Canvas",Q811+Border,Q811)</f>
        <v>43</v>
      </c>
      <c r="X811" s="381">
        <v>59</v>
      </c>
      <c r="Y811" s="166"/>
      <c r="Z811" s="166"/>
      <c r="AA811" s="954">
        <f t="shared" si="276"/>
        <v>16.722222222222221</v>
      </c>
      <c r="AB811" s="382">
        <f>AA811*IncaG</f>
        <v>351.83555555555552</v>
      </c>
      <c r="AC811" s="919">
        <f>Table1[[#This Row],[Substrate SF]]*Canvas</f>
        <v>11.036666666666667</v>
      </c>
      <c r="AD811" s="1715">
        <f>AA811*IncaC</f>
        <v>28.146844444444444</v>
      </c>
      <c r="AE811" s="104">
        <f>IF(Table1[[#This Row],[Work Center]]="SwissQ",Materials!G$37,IF(Table1[[#This Row],[Work Center]]="Inca",Materials!G$29,IF(Table1[[#This Row],[Work Center]]="Canon",Materials!G$49,Materials!G$45)))</f>
        <v>8</v>
      </c>
      <c r="AF811" s="919">
        <f>'Cali FPS'!C65</f>
        <v>106.61</v>
      </c>
      <c r="AG811" s="115"/>
      <c r="AH811" s="112">
        <f t="shared" si="271"/>
        <v>32.5</v>
      </c>
      <c r="AI811" s="112"/>
      <c r="AJ811" s="1396">
        <f t="shared" si="275"/>
        <v>186.29351111111112</v>
      </c>
      <c r="AK811" s="62">
        <f t="shared" si="272"/>
        <v>0.71339459829059826</v>
      </c>
      <c r="AL811" s="225">
        <f>Table1[[#This Row],[WSP/Dealer]]/Table1[[#This Row],[OD Sq Inch]]</f>
        <v>0.38690476190476192</v>
      </c>
      <c r="AM811" s="103">
        <f>Table1[[#This Row],[OD Wdth]]*Table1[[#This Row],[OD Hgt]]</f>
        <v>1680</v>
      </c>
      <c r="AN811" s="216">
        <f>Table1[[#This Row],[Min VO]]+Table1[[#This Row],[Max VO]]</f>
        <v>83</v>
      </c>
      <c r="AO811" s="693"/>
      <c r="AP811" s="693"/>
      <c r="AQ811" s="919"/>
      <c r="AR811" s="919"/>
      <c r="AS811" s="919"/>
      <c r="AT811" s="919"/>
      <c r="AU811" s="1465" t="str">
        <f t="shared" si="270"/>
        <v>-</v>
      </c>
    </row>
    <row r="812" spans="1:47" s="423" customFormat="1" x14ac:dyDescent="0.2">
      <c r="A812" s="188" t="s">
        <v>58</v>
      </c>
      <c r="B812" s="279" t="s">
        <v>533</v>
      </c>
      <c r="C812" s="802" t="s">
        <v>2084</v>
      </c>
      <c r="D812" s="94" t="s">
        <v>2082</v>
      </c>
      <c r="E812" s="322" t="s">
        <v>2085</v>
      </c>
      <c r="F812" s="29" t="s">
        <v>1269</v>
      </c>
      <c r="G812" s="163" t="s">
        <v>2086</v>
      </c>
      <c r="H812" s="163" t="s">
        <v>2086</v>
      </c>
      <c r="I812" s="163" t="s">
        <v>52</v>
      </c>
      <c r="J812" s="163" t="s">
        <v>53</v>
      </c>
      <c r="K812" s="163" t="s">
        <v>54</v>
      </c>
      <c r="L812" s="163" t="s">
        <v>55</v>
      </c>
      <c r="M812" s="164">
        <v>200</v>
      </c>
      <c r="N812" s="639">
        <v>225</v>
      </c>
      <c r="O812" s="188" t="s">
        <v>56</v>
      </c>
      <c r="P812" s="188">
        <v>12</v>
      </c>
      <c r="Q812" s="188">
        <v>35</v>
      </c>
      <c r="R812" s="188">
        <v>12</v>
      </c>
      <c r="S812" s="188">
        <v>35</v>
      </c>
      <c r="T812" s="1328">
        <v>35</v>
      </c>
      <c r="U812" s="1328">
        <v>12</v>
      </c>
      <c r="V812" s="1178">
        <f t="shared" si="277"/>
        <v>20</v>
      </c>
      <c r="W812" s="1178">
        <f t="shared" si="278"/>
        <v>43</v>
      </c>
      <c r="X812" s="157" t="s">
        <v>2087</v>
      </c>
      <c r="Y812" s="145">
        <v>40</v>
      </c>
      <c r="Z812" s="145">
        <v>86</v>
      </c>
      <c r="AA812" s="815">
        <f t="shared" si="276"/>
        <v>5.9722222222222223</v>
      </c>
      <c r="AB812" s="721">
        <f>AA812*IncaG</f>
        <v>125.65555555555555</v>
      </c>
      <c r="AC812" s="606">
        <f>Table1[[#This Row],[Substrate SF]]*Paper</f>
        <v>8.0804166666666664</v>
      </c>
      <c r="AD812" s="21">
        <f>AA812*IncaC</f>
        <v>10.052444444444445</v>
      </c>
      <c r="AE812" s="104">
        <f>IF(Table1[[#This Row],[Work Center]]="SwissQ",Materials!G$37,IF(Table1[[#This Row],[Work Center]]="Inca",Materials!G$29,IF(Table1[[#This Row],[Work Center]]="Canon",Materials!G$49,Materials!G$45)))</f>
        <v>8</v>
      </c>
      <c r="AF812" s="606">
        <f>'Cali FPS'!C13</f>
        <v>58.152499999999996</v>
      </c>
      <c r="AG812" s="115"/>
      <c r="AH812" s="498">
        <f t="shared" si="271"/>
        <v>10</v>
      </c>
      <c r="AI812" s="498"/>
      <c r="AJ812" s="606">
        <f t="shared" si="275"/>
        <v>94.285361111111115</v>
      </c>
      <c r="AK812" s="650">
        <f t="shared" si="272"/>
        <v>0.52857319444444439</v>
      </c>
      <c r="AL812" s="225">
        <f>Table1[[#This Row],[WSP/Dealer]]/Table1[[#This Row],[OD Sq Inch]]</f>
        <v>0.47619047619047616</v>
      </c>
      <c r="AM812" s="216">
        <f>Table1[[#This Row],[OD Wdth]]*Table1[[#This Row],[OD Hgt]]</f>
        <v>420</v>
      </c>
      <c r="AN812" s="216">
        <f>Table1[[#This Row],[Min VO]]+Table1[[#This Row],[Max VO]]</f>
        <v>47</v>
      </c>
      <c r="AO812" s="29"/>
      <c r="AP812" s="29"/>
      <c r="AQ812" s="1207"/>
      <c r="AR812" s="1207"/>
      <c r="AS812" s="1207"/>
      <c r="AT812" s="606"/>
      <c r="AU812" s="1377" t="str">
        <f t="shared" ref="AU812:AU843" si="279">IF(AQ812=0,"-",(AQ812-AT812)/AQ812)</f>
        <v>-</v>
      </c>
    </row>
    <row r="813" spans="1:47" s="677" customFormat="1" x14ac:dyDescent="0.2">
      <c r="A813" s="188" t="s">
        <v>58</v>
      </c>
      <c r="B813" s="1061" t="s">
        <v>533</v>
      </c>
      <c r="C813" s="802" t="s">
        <v>2088</v>
      </c>
      <c r="D813" s="94" t="s">
        <v>2082</v>
      </c>
      <c r="E813" s="322" t="s">
        <v>2089</v>
      </c>
      <c r="F813" s="29" t="s">
        <v>1269</v>
      </c>
      <c r="G813" s="163" t="s">
        <v>2086</v>
      </c>
      <c r="H813" s="163" t="s">
        <v>2086</v>
      </c>
      <c r="I813" s="163" t="s">
        <v>52</v>
      </c>
      <c r="J813" s="163" t="s">
        <v>53</v>
      </c>
      <c r="K813" s="163" t="s">
        <v>54</v>
      </c>
      <c r="L813" s="163" t="s">
        <v>55</v>
      </c>
      <c r="M813" s="164">
        <v>200</v>
      </c>
      <c r="N813" s="639">
        <v>225</v>
      </c>
      <c r="O813" s="188" t="s">
        <v>56</v>
      </c>
      <c r="P813" s="188">
        <v>12</v>
      </c>
      <c r="Q813" s="188">
        <v>35</v>
      </c>
      <c r="R813" s="188">
        <v>12</v>
      </c>
      <c r="S813" s="188">
        <v>35</v>
      </c>
      <c r="T813" s="1328">
        <v>35</v>
      </c>
      <c r="U813" s="1328">
        <v>12</v>
      </c>
      <c r="V813" s="1178">
        <f t="shared" si="277"/>
        <v>20</v>
      </c>
      <c r="W813" s="1178">
        <f t="shared" si="278"/>
        <v>43</v>
      </c>
      <c r="X813" s="157" t="s">
        <v>2087</v>
      </c>
      <c r="Y813" s="145">
        <v>40</v>
      </c>
      <c r="Z813" s="145">
        <v>86</v>
      </c>
      <c r="AA813" s="815">
        <f t="shared" si="276"/>
        <v>5.9722222222222223</v>
      </c>
      <c r="AB813" s="721">
        <f>AA813*IncaG</f>
        <v>125.65555555555555</v>
      </c>
      <c r="AC813" s="606">
        <f>Table1[[#This Row],[Substrate SF]]*Paper</f>
        <v>8.0804166666666664</v>
      </c>
      <c r="AD813" s="21">
        <f>AA813*IncaC</f>
        <v>10.052444444444445</v>
      </c>
      <c r="AE813" s="104">
        <f>IF(Table1[[#This Row],[Work Center]]="SwissQ",Materials!G$37,IF(Table1[[#This Row],[Work Center]]="Inca",Materials!G$29,IF(Table1[[#This Row],[Work Center]]="Canon",Materials!G$49,Materials!G$45)))</f>
        <v>8</v>
      </c>
      <c r="AF813" s="606">
        <f>'Cali FPS'!C13</f>
        <v>58.152499999999996</v>
      </c>
      <c r="AG813" s="115"/>
      <c r="AH813" s="498">
        <f t="shared" si="271"/>
        <v>10</v>
      </c>
      <c r="AI813" s="498"/>
      <c r="AJ813" s="606">
        <f t="shared" si="275"/>
        <v>94.285361111111115</v>
      </c>
      <c r="AK813" s="650">
        <f t="shared" si="272"/>
        <v>0.52857319444444439</v>
      </c>
      <c r="AL813" s="225">
        <f>Table1[[#This Row],[WSP/Dealer]]/Table1[[#This Row],[OD Sq Inch]]</f>
        <v>0.47619047619047616</v>
      </c>
      <c r="AM813" s="216">
        <f>Table1[[#This Row],[OD Wdth]]*Table1[[#This Row],[OD Hgt]]</f>
        <v>420</v>
      </c>
      <c r="AN813" s="216">
        <f>Table1[[#This Row],[Min VO]]+Table1[[#This Row],[Max VO]]</f>
        <v>47</v>
      </c>
      <c r="AO813" s="29"/>
      <c r="AP813" s="29"/>
      <c r="AQ813" s="1207"/>
      <c r="AR813" s="1207"/>
      <c r="AS813" s="1207"/>
      <c r="AT813" s="606"/>
      <c r="AU813" s="1377" t="str">
        <f t="shared" si="279"/>
        <v>-</v>
      </c>
    </row>
    <row r="814" spans="1:47" s="63" customFormat="1" x14ac:dyDescent="0.2">
      <c r="A814" s="188" t="s">
        <v>58</v>
      </c>
      <c r="B814" s="279" t="s">
        <v>533</v>
      </c>
      <c r="C814" s="802" t="s">
        <v>2090</v>
      </c>
      <c r="D814" s="94" t="s">
        <v>2082</v>
      </c>
      <c r="E814" s="322" t="s">
        <v>2091</v>
      </c>
      <c r="F814" s="29" t="s">
        <v>1269</v>
      </c>
      <c r="G814" s="163" t="s">
        <v>2086</v>
      </c>
      <c r="H814" s="163" t="s">
        <v>2086</v>
      </c>
      <c r="I814" s="163" t="s">
        <v>52</v>
      </c>
      <c r="J814" s="163" t="s">
        <v>53</v>
      </c>
      <c r="K814" s="163" t="s">
        <v>54</v>
      </c>
      <c r="L814" s="163" t="s">
        <v>55</v>
      </c>
      <c r="M814" s="164">
        <v>200</v>
      </c>
      <c r="N814" s="639">
        <v>225</v>
      </c>
      <c r="O814" s="188" t="s">
        <v>56</v>
      </c>
      <c r="P814" s="188">
        <v>12</v>
      </c>
      <c r="Q814" s="188">
        <v>35</v>
      </c>
      <c r="R814" s="188">
        <v>12</v>
      </c>
      <c r="S814" s="188">
        <v>35</v>
      </c>
      <c r="T814" s="1328">
        <v>35</v>
      </c>
      <c r="U814" s="1328">
        <v>12</v>
      </c>
      <c r="V814" s="165">
        <f t="shared" si="277"/>
        <v>20</v>
      </c>
      <c r="W814" s="165">
        <f t="shared" si="278"/>
        <v>43</v>
      </c>
      <c r="X814" s="157" t="s">
        <v>2087</v>
      </c>
      <c r="Y814" s="145">
        <v>40</v>
      </c>
      <c r="Z814" s="145">
        <v>86</v>
      </c>
      <c r="AA814" s="815">
        <f t="shared" si="276"/>
        <v>5.9722222222222223</v>
      </c>
      <c r="AB814" s="721">
        <f>AA814*IncaG</f>
        <v>125.65555555555555</v>
      </c>
      <c r="AC814" s="606">
        <f>Table1[[#This Row],[Substrate SF]]*Paper</f>
        <v>8.0804166666666664</v>
      </c>
      <c r="AD814" s="21">
        <f>AA814*IncaC</f>
        <v>10.052444444444445</v>
      </c>
      <c r="AE814" s="104">
        <f>IF(Table1[[#This Row],[Work Center]]="SwissQ",Materials!G$37,IF(Table1[[#This Row],[Work Center]]="Inca",Materials!G$29,IF(Table1[[#This Row],[Work Center]]="Canon",Materials!G$49,Materials!G$45)))</f>
        <v>8</v>
      </c>
      <c r="AF814" s="606">
        <f>'Cali FPS'!C13</f>
        <v>58.152499999999996</v>
      </c>
      <c r="AG814" s="115"/>
      <c r="AH814" s="498">
        <f t="shared" si="271"/>
        <v>10</v>
      </c>
      <c r="AI814" s="498"/>
      <c r="AJ814" s="606">
        <f t="shared" si="275"/>
        <v>94.285361111111115</v>
      </c>
      <c r="AK814" s="650">
        <f t="shared" ref="AK814:AK845" si="280">(M814-AJ814)/M814</f>
        <v>0.52857319444444439</v>
      </c>
      <c r="AL814" s="225">
        <f>Table1[[#This Row],[WSP/Dealer]]/Table1[[#This Row],[OD Sq Inch]]</f>
        <v>0.47619047619047616</v>
      </c>
      <c r="AM814" s="97">
        <f>Table1[[#This Row],[OD Wdth]]*Table1[[#This Row],[OD Hgt]]</f>
        <v>420</v>
      </c>
      <c r="AN814" s="216">
        <f>Table1[[#This Row],[Min VO]]+Table1[[#This Row],[Max VO]]</f>
        <v>47</v>
      </c>
      <c r="AO814" s="29"/>
      <c r="AP814" s="29"/>
      <c r="AQ814" s="1207"/>
      <c r="AR814" s="1207"/>
      <c r="AS814" s="1207"/>
      <c r="AT814" s="606"/>
      <c r="AU814" s="1377" t="str">
        <f t="shared" si="279"/>
        <v>-</v>
      </c>
    </row>
    <row r="815" spans="1:47" s="173" customFormat="1" ht="16" customHeight="1" x14ac:dyDescent="0.2">
      <c r="A815" s="188" t="s">
        <v>58</v>
      </c>
      <c r="B815" s="279" t="s">
        <v>533</v>
      </c>
      <c r="C815" s="802" t="s">
        <v>2092</v>
      </c>
      <c r="D815" s="94" t="s">
        <v>2082</v>
      </c>
      <c r="E815" s="322" t="s">
        <v>2093</v>
      </c>
      <c r="F815" s="29" t="s">
        <v>1269</v>
      </c>
      <c r="G815" s="163" t="s">
        <v>2086</v>
      </c>
      <c r="H815" s="163" t="s">
        <v>2086</v>
      </c>
      <c r="I815" s="163" t="s">
        <v>52</v>
      </c>
      <c r="J815" s="163" t="s">
        <v>53</v>
      </c>
      <c r="K815" s="163" t="s">
        <v>54</v>
      </c>
      <c r="L815" s="163" t="s">
        <v>55</v>
      </c>
      <c r="M815" s="164">
        <v>200</v>
      </c>
      <c r="N815" s="639">
        <v>225</v>
      </c>
      <c r="O815" s="188" t="s">
        <v>56</v>
      </c>
      <c r="P815" s="188">
        <v>12</v>
      </c>
      <c r="Q815" s="188">
        <v>35</v>
      </c>
      <c r="R815" s="188">
        <v>12</v>
      </c>
      <c r="S815" s="188">
        <v>35</v>
      </c>
      <c r="T815" s="1328">
        <v>35</v>
      </c>
      <c r="U815" s="1328">
        <v>12</v>
      </c>
      <c r="V815" s="1178">
        <f t="shared" si="277"/>
        <v>20</v>
      </c>
      <c r="W815" s="1178">
        <f t="shared" si="278"/>
        <v>43</v>
      </c>
      <c r="X815" s="157" t="s">
        <v>2087</v>
      </c>
      <c r="Y815" s="145">
        <v>40</v>
      </c>
      <c r="Z815" s="145">
        <v>86</v>
      </c>
      <c r="AA815" s="815">
        <f t="shared" si="276"/>
        <v>5.9722222222222223</v>
      </c>
      <c r="AB815" s="721">
        <f>AA815*IncaG</f>
        <v>125.65555555555555</v>
      </c>
      <c r="AC815" s="606">
        <f>Table1[[#This Row],[Substrate SF]]*Paper</f>
        <v>8.0804166666666664</v>
      </c>
      <c r="AD815" s="21">
        <f>AA815*IncaC</f>
        <v>10.052444444444445</v>
      </c>
      <c r="AE815" s="104">
        <f>IF(Table1[[#This Row],[Work Center]]="SwissQ",Materials!G$37,IF(Table1[[#This Row],[Work Center]]="Inca",Materials!G$29,IF(Table1[[#This Row],[Work Center]]="Canon",Materials!G$49,Materials!G$45)))</f>
        <v>8</v>
      </c>
      <c r="AF815" s="606">
        <f>'Cali FPS'!C13</f>
        <v>58.152499999999996</v>
      </c>
      <c r="AG815" s="115"/>
      <c r="AH815" s="498">
        <f t="shared" si="271"/>
        <v>10</v>
      </c>
      <c r="AI815" s="498"/>
      <c r="AJ815" s="606">
        <f t="shared" si="275"/>
        <v>94.285361111111115</v>
      </c>
      <c r="AK815" s="650">
        <f t="shared" si="280"/>
        <v>0.52857319444444439</v>
      </c>
      <c r="AL815" s="225">
        <f>Table1[[#This Row],[WSP/Dealer]]/Table1[[#This Row],[OD Sq Inch]]</f>
        <v>0.47619047619047616</v>
      </c>
      <c r="AM815" s="218">
        <f>Table1[[#This Row],[OD Wdth]]*Table1[[#This Row],[OD Hgt]]</f>
        <v>420</v>
      </c>
      <c r="AN815" s="216">
        <f>Table1[[#This Row],[Min VO]]+Table1[[#This Row],[Max VO]]</f>
        <v>47</v>
      </c>
      <c r="AO815" s="29"/>
      <c r="AP815" s="29"/>
      <c r="AQ815" s="1207"/>
      <c r="AR815" s="1207"/>
      <c r="AS815" s="1207"/>
      <c r="AT815" s="606"/>
      <c r="AU815" s="1377" t="str">
        <f t="shared" si="279"/>
        <v>-</v>
      </c>
    </row>
    <row r="816" spans="1:47" s="170" customFormat="1" hidden="1" x14ac:dyDescent="0.2">
      <c r="A816" s="68" t="s">
        <v>110</v>
      </c>
      <c r="B816" s="1152" t="s">
        <v>486</v>
      </c>
      <c r="C816" s="94" t="s">
        <v>2094</v>
      </c>
      <c r="D816" s="94"/>
      <c r="E816" s="172" t="s">
        <v>2095</v>
      </c>
      <c r="F816" s="84" t="s">
        <v>614</v>
      </c>
      <c r="G816" s="363" t="s">
        <v>350</v>
      </c>
      <c r="H816" s="363" t="s">
        <v>350</v>
      </c>
      <c r="I816" s="363" t="s">
        <v>52</v>
      </c>
      <c r="J816" s="646" t="s">
        <v>53</v>
      </c>
      <c r="K816" s="363" t="s">
        <v>54</v>
      </c>
      <c r="L816" s="363" t="s">
        <v>55</v>
      </c>
      <c r="M816" s="141">
        <v>200</v>
      </c>
      <c r="N816" s="93"/>
      <c r="O816" s="68" t="s">
        <v>64</v>
      </c>
      <c r="P816" s="68">
        <v>12</v>
      </c>
      <c r="Q816" s="68">
        <v>16</v>
      </c>
      <c r="R816" s="68">
        <v>12</v>
      </c>
      <c r="S816" s="68">
        <v>16</v>
      </c>
      <c r="T816" s="623">
        <v>12</v>
      </c>
      <c r="U816" s="623">
        <v>16</v>
      </c>
      <c r="V816" s="1198">
        <f t="shared" si="277"/>
        <v>20</v>
      </c>
      <c r="W816" s="1198">
        <f t="shared" si="278"/>
        <v>24</v>
      </c>
      <c r="X816" s="68">
        <v>40</v>
      </c>
      <c r="Y816" s="68">
        <v>20</v>
      </c>
      <c r="Z816" s="68">
        <v>24</v>
      </c>
      <c r="AA816" s="727">
        <f t="shared" si="276"/>
        <v>3.3333333333333335</v>
      </c>
      <c r="AB816" s="341">
        <f>AA816*Swiss1</f>
        <v>94.333333333333343</v>
      </c>
      <c r="AC816" s="278">
        <f>Table1[[#This Row],[Substrate SF]]*Canvas</f>
        <v>2.2000000000000002</v>
      </c>
      <c r="AD816" s="263">
        <f>Table1[[#This Row],[Substrate SF]]*Materials!C$37</f>
        <v>9.3333333333333339</v>
      </c>
      <c r="AE816" s="278">
        <f>IF(Table1[[#This Row],[Work Center]]="SwissQ",Materials!G$37,IF(Table1[[#This Row],[Work Center]]="Inca",Materials!G$29,IF(Table1[[#This Row],[Work Center]]="Canon",Materials!G$49,Materials!G$45)))</f>
        <v>20</v>
      </c>
      <c r="AF816" s="73">
        <f>'Cali FPS'!C12</f>
        <v>59</v>
      </c>
      <c r="AG816" s="84"/>
      <c r="AH816" s="74">
        <f t="shared" si="271"/>
        <v>10</v>
      </c>
      <c r="AI816" s="278">
        <f>IF(A816="Codarus",(M816*0.13))</f>
        <v>26</v>
      </c>
      <c r="AJ816" s="74">
        <f>SUM(AC816:AI816)</f>
        <v>126.53333333333333</v>
      </c>
      <c r="AK816" s="1001">
        <f t="shared" si="280"/>
        <v>0.36733333333333335</v>
      </c>
      <c r="AL816" s="240">
        <f>Table1[[#This Row],[WSP/Dealer]]/Table1[[#This Row],[OD Sq Inch]]</f>
        <v>1.0416666666666667</v>
      </c>
      <c r="AM816" s="238">
        <f>Table1[[#This Row],[OD Wdth]]*Table1[[#This Row],[OD Hgt]]</f>
        <v>192</v>
      </c>
      <c r="AN816" s="238">
        <f>Table1[[#This Row],[Min VO]]+Table1[[#This Row],[Max VO]]</f>
        <v>28</v>
      </c>
      <c r="AO816" s="84"/>
      <c r="AP816" s="535">
        <v>400</v>
      </c>
      <c r="AQ816" s="126">
        <f>(Table1[[#This Row],[Desgnr/Retail P]]*0.05)</f>
        <v>20</v>
      </c>
      <c r="AR816" s="126">
        <f>IF(A816="Codarus",(AP816*0.13))</f>
        <v>52</v>
      </c>
      <c r="AS816" s="126">
        <f>SUM(Table1[[#This Row],[Substrate $]:[GP FINISH]])+Table1[[#This Row],[Retail Royalty]]+Table1[[#This Row],[Retail$Comm]]</f>
        <v>162.53333333333333</v>
      </c>
      <c r="AT816" s="1001">
        <f>IF(AP816=0,"-",(AP816-AS816)/AP816)</f>
        <v>0.59366666666666668</v>
      </c>
      <c r="AU816" s="1357">
        <f t="shared" si="279"/>
        <v>0.97031666666666661</v>
      </c>
    </row>
    <row r="817" spans="1:47" s="170" customFormat="1" hidden="1" x14ac:dyDescent="0.2">
      <c r="A817" s="68" t="s">
        <v>110</v>
      </c>
      <c r="B817" s="1152" t="s">
        <v>486</v>
      </c>
      <c r="C817" s="94" t="s">
        <v>2096</v>
      </c>
      <c r="D817" s="94"/>
      <c r="E817" s="172" t="s">
        <v>2097</v>
      </c>
      <c r="F817" s="84" t="s">
        <v>614</v>
      </c>
      <c r="G817" s="363" t="s">
        <v>350</v>
      </c>
      <c r="H817" s="363" t="s">
        <v>350</v>
      </c>
      <c r="I817" s="363" t="s">
        <v>52</v>
      </c>
      <c r="J817" s="646" t="s">
        <v>53</v>
      </c>
      <c r="K817" s="363" t="s">
        <v>54</v>
      </c>
      <c r="L817" s="363" t="s">
        <v>55</v>
      </c>
      <c r="M817" s="141">
        <v>200</v>
      </c>
      <c r="N817" s="93"/>
      <c r="O817" s="68" t="s">
        <v>64</v>
      </c>
      <c r="P817" s="68">
        <v>12</v>
      </c>
      <c r="Q817" s="68">
        <v>16</v>
      </c>
      <c r="R817" s="68">
        <v>12</v>
      </c>
      <c r="S817" s="68">
        <v>16</v>
      </c>
      <c r="T817" s="623">
        <v>12</v>
      </c>
      <c r="U817" s="623">
        <v>16</v>
      </c>
      <c r="V817" s="160">
        <f t="shared" si="277"/>
        <v>20</v>
      </c>
      <c r="W817" s="160">
        <f t="shared" si="278"/>
        <v>24</v>
      </c>
      <c r="X817" s="68">
        <v>40</v>
      </c>
      <c r="Y817" s="68">
        <v>20</v>
      </c>
      <c r="Z817" s="68">
        <v>24</v>
      </c>
      <c r="AA817" s="727">
        <f t="shared" si="276"/>
        <v>3.3333333333333335</v>
      </c>
      <c r="AB817" s="341">
        <f>AA817*Swiss1</f>
        <v>94.333333333333343</v>
      </c>
      <c r="AC817" s="278">
        <f>Table1[[#This Row],[Substrate SF]]*Canvas</f>
        <v>2.2000000000000002</v>
      </c>
      <c r="AD817" s="263">
        <f>Table1[[#This Row],[Substrate SF]]*Materials!C$37</f>
        <v>9.3333333333333339</v>
      </c>
      <c r="AE817" s="278">
        <f>IF(Table1[[#This Row],[Work Center]]="SwissQ",Materials!G$37,IF(Table1[[#This Row],[Work Center]]="Inca",Materials!G$29,IF(Table1[[#This Row],[Work Center]]="Canon",Materials!G$49,Materials!G$45)))</f>
        <v>20</v>
      </c>
      <c r="AF817" s="73">
        <f>'Cali FPS'!C12</f>
        <v>59</v>
      </c>
      <c r="AG817" s="84"/>
      <c r="AH817" s="74">
        <f t="shared" si="271"/>
        <v>10</v>
      </c>
      <c r="AI817" s="278">
        <f>IF(A817="Codarus",(M817*0.13))</f>
        <v>26</v>
      </c>
      <c r="AJ817" s="74">
        <f>SUM(AC817:AI817)</f>
        <v>126.53333333333333</v>
      </c>
      <c r="AK817" s="1001">
        <f t="shared" si="280"/>
        <v>0.36733333333333335</v>
      </c>
      <c r="AL817" s="240">
        <f>Table1[[#This Row],[WSP/Dealer]]/Table1[[#This Row],[OD Sq Inch]]</f>
        <v>1.0416666666666667</v>
      </c>
      <c r="AM817" s="235">
        <f>Table1[[#This Row],[OD Wdth]]*Table1[[#This Row],[OD Hgt]]</f>
        <v>192</v>
      </c>
      <c r="AN817" s="238">
        <f>Table1[[#This Row],[Min VO]]+Table1[[#This Row],[Max VO]]</f>
        <v>28</v>
      </c>
      <c r="AO817" s="84"/>
      <c r="AP817" s="535">
        <v>400</v>
      </c>
      <c r="AQ817" s="126">
        <f>(Table1[[#This Row],[Desgnr/Retail P]]*0.05)</f>
        <v>20</v>
      </c>
      <c r="AR817" s="126">
        <f>IF(A817="Codarus",(AP817*0.13))</f>
        <v>52</v>
      </c>
      <c r="AS817" s="126">
        <f>SUM(Table1[[#This Row],[Substrate $]:[GP FINISH]])+Table1[[#This Row],[Retail Royalty]]+Table1[[#This Row],[Retail$Comm]]</f>
        <v>162.53333333333333</v>
      </c>
      <c r="AT817" s="1001">
        <f>IF(AP817=0,"-",(AP817-AS817)/AP817)</f>
        <v>0.59366666666666668</v>
      </c>
      <c r="AU817" s="1357">
        <f t="shared" si="279"/>
        <v>0.97031666666666661</v>
      </c>
    </row>
    <row r="818" spans="1:47" s="170" customFormat="1" hidden="1" x14ac:dyDescent="0.2">
      <c r="A818" s="68" t="s">
        <v>110</v>
      </c>
      <c r="B818" s="1152" t="s">
        <v>486</v>
      </c>
      <c r="C818" s="94" t="s">
        <v>2098</v>
      </c>
      <c r="D818" s="94"/>
      <c r="E818" s="172" t="s">
        <v>2099</v>
      </c>
      <c r="F818" s="84" t="s">
        <v>614</v>
      </c>
      <c r="G818" s="363" t="s">
        <v>350</v>
      </c>
      <c r="H818" s="363" t="s">
        <v>350</v>
      </c>
      <c r="I818" s="363" t="s">
        <v>52</v>
      </c>
      <c r="J818" s="646" t="s">
        <v>53</v>
      </c>
      <c r="K818" s="363" t="s">
        <v>54</v>
      </c>
      <c r="L818" s="363" t="s">
        <v>55</v>
      </c>
      <c r="M818" s="141">
        <v>200</v>
      </c>
      <c r="N818" s="93"/>
      <c r="O818" s="68" t="s">
        <v>64</v>
      </c>
      <c r="P818" s="68">
        <v>12</v>
      </c>
      <c r="Q818" s="68">
        <v>16</v>
      </c>
      <c r="R818" s="68">
        <v>12</v>
      </c>
      <c r="S818" s="68">
        <v>16</v>
      </c>
      <c r="T818" s="623">
        <v>12</v>
      </c>
      <c r="U818" s="623">
        <v>16</v>
      </c>
      <c r="V818" s="1198">
        <f t="shared" si="277"/>
        <v>20</v>
      </c>
      <c r="W818" s="1198">
        <f t="shared" si="278"/>
        <v>24</v>
      </c>
      <c r="X818" s="68">
        <v>40</v>
      </c>
      <c r="Y818" s="68">
        <v>20</v>
      </c>
      <c r="Z818" s="68">
        <v>24</v>
      </c>
      <c r="AA818" s="727">
        <f t="shared" si="276"/>
        <v>3.3333333333333335</v>
      </c>
      <c r="AB818" s="341">
        <f>AA818*Swiss1</f>
        <v>94.333333333333343</v>
      </c>
      <c r="AC818" s="278">
        <f>Table1[[#This Row],[Substrate SF]]*Canvas</f>
        <v>2.2000000000000002</v>
      </c>
      <c r="AD818" s="278">
        <f>Table1[[#This Row],[Substrate SF]]*Materials!C$37</f>
        <v>9.3333333333333339</v>
      </c>
      <c r="AE818" s="278">
        <f>IF(Table1[[#This Row],[Work Center]]="SwissQ",Materials!G$37,IF(Table1[[#This Row],[Work Center]]="Inca",Materials!G$29,IF(Table1[[#This Row],[Work Center]]="Canon",Materials!G$49,Materials!G$45)))</f>
        <v>20</v>
      </c>
      <c r="AF818" s="73">
        <f>'Cali FPS'!C12</f>
        <v>59</v>
      </c>
      <c r="AG818" s="84"/>
      <c r="AH818" s="74">
        <f t="shared" si="271"/>
        <v>10</v>
      </c>
      <c r="AI818" s="278">
        <f>IF(A818="Codarus",(M818*0.13))</f>
        <v>26</v>
      </c>
      <c r="AJ818" s="74">
        <f>SUM(AC818:AI818)</f>
        <v>126.53333333333333</v>
      </c>
      <c r="AK818" s="1001">
        <f t="shared" si="280"/>
        <v>0.36733333333333335</v>
      </c>
      <c r="AL818" s="240">
        <f>Table1[[#This Row],[WSP/Dealer]]/Table1[[#This Row],[OD Sq Inch]]</f>
        <v>1.0416666666666667</v>
      </c>
      <c r="AM818" s="238">
        <f>Table1[[#This Row],[OD Wdth]]*Table1[[#This Row],[OD Hgt]]</f>
        <v>192</v>
      </c>
      <c r="AN818" s="238">
        <f>Table1[[#This Row],[Min VO]]+Table1[[#This Row],[Max VO]]</f>
        <v>28</v>
      </c>
      <c r="AO818" s="84"/>
      <c r="AP818" s="535">
        <v>400</v>
      </c>
      <c r="AQ818" s="126">
        <f>(Table1[[#This Row],[Desgnr/Retail P]]*0.05)</f>
        <v>20</v>
      </c>
      <c r="AR818" s="126">
        <f>IF(A818="Codarus",(AP818*0.13))</f>
        <v>52</v>
      </c>
      <c r="AS818" s="126">
        <f>SUM(Table1[[#This Row],[Substrate $]:[GP FINISH]])+Table1[[#This Row],[Retail Royalty]]+Table1[[#This Row],[Retail$Comm]]</f>
        <v>162.53333333333333</v>
      </c>
      <c r="AT818" s="1001">
        <f>IF(AP818=0,"-",(AP818-AS818)/AP818)</f>
        <v>0.59366666666666668</v>
      </c>
      <c r="AU818" s="1357">
        <f t="shared" si="279"/>
        <v>0.97031666666666661</v>
      </c>
    </row>
    <row r="819" spans="1:47" s="170" customFormat="1" hidden="1" x14ac:dyDescent="0.2">
      <c r="A819" s="68" t="s">
        <v>110</v>
      </c>
      <c r="B819" s="1152" t="s">
        <v>486</v>
      </c>
      <c r="C819" s="94" t="s">
        <v>2100</v>
      </c>
      <c r="D819" s="94"/>
      <c r="E819" s="172" t="s">
        <v>2101</v>
      </c>
      <c r="F819" s="84" t="s">
        <v>614</v>
      </c>
      <c r="G819" s="363" t="s">
        <v>350</v>
      </c>
      <c r="H819" s="363" t="s">
        <v>350</v>
      </c>
      <c r="I819" s="363" t="s">
        <v>52</v>
      </c>
      <c r="J819" s="646" t="s">
        <v>53</v>
      </c>
      <c r="K819" s="363" t="s">
        <v>54</v>
      </c>
      <c r="L819" s="363" t="s">
        <v>55</v>
      </c>
      <c r="M819" s="141">
        <v>200</v>
      </c>
      <c r="N819" s="93"/>
      <c r="O819" s="68" t="s">
        <v>64</v>
      </c>
      <c r="P819" s="68">
        <v>12</v>
      </c>
      <c r="Q819" s="68">
        <v>16</v>
      </c>
      <c r="R819" s="68">
        <v>12</v>
      </c>
      <c r="S819" s="68">
        <v>16</v>
      </c>
      <c r="T819" s="623">
        <v>12</v>
      </c>
      <c r="U819" s="623">
        <v>16</v>
      </c>
      <c r="V819" s="1198">
        <f t="shared" si="277"/>
        <v>20</v>
      </c>
      <c r="W819" s="1198">
        <f t="shared" si="278"/>
        <v>24</v>
      </c>
      <c r="X819" s="68">
        <v>40</v>
      </c>
      <c r="Y819" s="68">
        <v>20</v>
      </c>
      <c r="Z819" s="68">
        <v>24</v>
      </c>
      <c r="AA819" s="727">
        <f t="shared" si="276"/>
        <v>3.3333333333333335</v>
      </c>
      <c r="AB819" s="341">
        <f>AA819*Swiss1</f>
        <v>94.333333333333343</v>
      </c>
      <c r="AC819" s="278">
        <f>Table1[[#This Row],[Substrate SF]]*Canvas</f>
        <v>2.2000000000000002</v>
      </c>
      <c r="AD819" s="263">
        <f>Table1[[#This Row],[Substrate SF]]*Materials!C$37</f>
        <v>9.3333333333333339</v>
      </c>
      <c r="AE819" s="278">
        <f>IF(Table1[[#This Row],[Work Center]]="SwissQ",Materials!G$37,IF(Table1[[#This Row],[Work Center]]="Inca",Materials!G$29,IF(Table1[[#This Row],[Work Center]]="Canon",Materials!G$49,Materials!G$45)))</f>
        <v>20</v>
      </c>
      <c r="AF819" s="73">
        <f>'Cali FPS'!C12</f>
        <v>59</v>
      </c>
      <c r="AG819" s="84"/>
      <c r="AH819" s="67">
        <f t="shared" si="271"/>
        <v>10</v>
      </c>
      <c r="AI819" s="263">
        <f>IF(A819="Codarus",(M819*0.13))</f>
        <v>26</v>
      </c>
      <c r="AJ819" s="74">
        <f>SUM(AC819:AI819)</f>
        <v>126.53333333333333</v>
      </c>
      <c r="AK819" s="661">
        <f t="shared" si="280"/>
        <v>0.36733333333333335</v>
      </c>
      <c r="AL819" s="240">
        <f>Table1[[#This Row],[WSP/Dealer]]/Table1[[#This Row],[OD Sq Inch]]</f>
        <v>1.0416666666666667</v>
      </c>
      <c r="AM819" s="235">
        <f>Table1[[#This Row],[OD Wdth]]*Table1[[#This Row],[OD Hgt]]</f>
        <v>192</v>
      </c>
      <c r="AN819" s="238">
        <f>Table1[[#This Row],[Min VO]]+Table1[[#This Row],[Max VO]]</f>
        <v>28</v>
      </c>
      <c r="AO819" s="84"/>
      <c r="AP819" s="535">
        <v>400</v>
      </c>
      <c r="AQ819" s="126">
        <f>(Table1[[#This Row],[Desgnr/Retail P]]*0.05)</f>
        <v>20</v>
      </c>
      <c r="AR819" s="126">
        <f>IF(A819="Codarus",(AP819*0.13))</f>
        <v>52</v>
      </c>
      <c r="AS819" s="126">
        <f>SUM(Table1[[#This Row],[Substrate $]:[GP FINISH]])+Table1[[#This Row],[Retail Royalty]]+Table1[[#This Row],[Retail$Comm]]</f>
        <v>162.53333333333333</v>
      </c>
      <c r="AT819" s="1001">
        <f>IF(AP819=0,"-",(AP819-AS819)/AP819)</f>
        <v>0.59366666666666668</v>
      </c>
      <c r="AU819" s="1357">
        <f t="shared" si="279"/>
        <v>0.97031666666666661</v>
      </c>
    </row>
    <row r="820" spans="1:47" s="173" customFormat="1" hidden="1" x14ac:dyDescent="0.2">
      <c r="A820" s="68" t="s">
        <v>101</v>
      </c>
      <c r="B820" s="1072" t="s">
        <v>102</v>
      </c>
      <c r="C820" s="94" t="s">
        <v>2102</v>
      </c>
      <c r="D820" s="94"/>
      <c r="E820" s="172" t="s">
        <v>2103</v>
      </c>
      <c r="F820" s="84" t="s">
        <v>105</v>
      </c>
      <c r="G820" s="363" t="s">
        <v>935</v>
      </c>
      <c r="H820" s="363" t="s">
        <v>936</v>
      </c>
      <c r="I820" s="363" t="s">
        <v>256</v>
      </c>
      <c r="J820" s="646" t="s">
        <v>257</v>
      </c>
      <c r="K820" s="363" t="s">
        <v>258</v>
      </c>
      <c r="L820" s="363" t="s">
        <v>269</v>
      </c>
      <c r="M820" s="141">
        <v>145</v>
      </c>
      <c r="N820" s="93"/>
      <c r="O820" s="68" t="s">
        <v>260</v>
      </c>
      <c r="P820" s="68">
        <v>8</v>
      </c>
      <c r="Q820" s="68">
        <v>12</v>
      </c>
      <c r="R820" s="68">
        <v>8</v>
      </c>
      <c r="S820" s="68">
        <v>12</v>
      </c>
      <c r="T820" s="623">
        <v>10</v>
      </c>
      <c r="U820" s="623">
        <v>14</v>
      </c>
      <c r="V820" s="1198">
        <f t="shared" si="277"/>
        <v>8</v>
      </c>
      <c r="W820" s="1198">
        <f t="shared" si="278"/>
        <v>12</v>
      </c>
      <c r="X820" s="68" t="s">
        <v>257</v>
      </c>
      <c r="Y820" s="1347">
        <f>Table1[[#This Row],[Print Wth]]+Materials!$C$7</f>
        <v>10</v>
      </c>
      <c r="Z820" s="1347">
        <f>Table1[[#This Row],[Print Ht]]+Materials!$C$7</f>
        <v>14</v>
      </c>
      <c r="AA820" s="1027">
        <f>(Table1[[#This Row],[Cut Width]]*Table1[[#This Row],[Cut Height]])/144</f>
        <v>0.97222222222222221</v>
      </c>
      <c r="AB820" s="690">
        <f>(Table1[[#This Row],[Print Wth]]*Table1[[#This Row],[Print Ht]])/144*canonML</f>
        <v>3.1999999999999997</v>
      </c>
      <c r="AC820" s="74">
        <f>Table1[[#This Row],[Substrate SF]]*Paper</f>
        <v>1.3154166666666667</v>
      </c>
      <c r="AD820" s="74">
        <f>(Table1[[#This Row],[Print Wth]]*Table1[[#This Row],[Print Ht]])/144*CanonC</f>
        <v>0.18</v>
      </c>
      <c r="AE820" s="74">
        <f>IF(Table1[[#This Row],[Work Center]]="SwissQ",Materials!G$37,IF(Table1[[#This Row],[Work Center]]="Inca",Materials!G$29,IF(Table1[[#This Row],[Work Center]]="Canon",Materials!G$49,Materials!G$45)))</f>
        <v>7</v>
      </c>
      <c r="AF820" s="73">
        <f>'Cali Frames'!D55</f>
        <v>63.65</v>
      </c>
      <c r="AG820" s="84"/>
      <c r="AH820" s="278">
        <v>0</v>
      </c>
      <c r="AI820" s="278"/>
      <c r="AJ820" s="278">
        <f t="shared" ref="AJ820:AJ841" si="281">SUM(AC820:AH820)</f>
        <v>72.145416666666662</v>
      </c>
      <c r="AK820" s="1192">
        <f t="shared" si="280"/>
        <v>0.5024454022988506</v>
      </c>
      <c r="AL820" s="278">
        <f>Table1[[#This Row],[WSP/Dealer]]/Table1[[#This Row],[OD Sq Inch]]</f>
        <v>1.0357142857142858</v>
      </c>
      <c r="AM820" s="274">
        <f>Table1[[#This Row],[OD Wdth]]*Table1[[#This Row],[OD Hgt]]</f>
        <v>140</v>
      </c>
      <c r="AN820" s="274">
        <f>Table1[[#This Row],[Min VO]]+Table1[[#This Row],[Max VO]]</f>
        <v>20</v>
      </c>
      <c r="AO820" s="84"/>
      <c r="AP820" s="84"/>
      <c r="AQ820" s="126"/>
      <c r="AR820" s="126"/>
      <c r="AS820" s="126"/>
      <c r="AT820" s="74"/>
      <c r="AU820" s="1357" t="str">
        <f t="shared" si="279"/>
        <v>-</v>
      </c>
    </row>
    <row r="821" spans="1:47" s="399" customFormat="1" x14ac:dyDescent="0.2">
      <c r="A821" s="101" t="s">
        <v>58</v>
      </c>
      <c r="B821" s="1064" t="s">
        <v>1013</v>
      </c>
      <c r="C821" s="100" t="s">
        <v>2104</v>
      </c>
      <c r="D821" s="168" t="s">
        <v>2105</v>
      </c>
      <c r="E821" s="115" t="s">
        <v>2106</v>
      </c>
      <c r="F821" s="115" t="s">
        <v>114</v>
      </c>
      <c r="G821" s="101" t="s">
        <v>2107</v>
      </c>
      <c r="H821" s="101" t="s">
        <v>2107</v>
      </c>
      <c r="I821" s="101" t="s">
        <v>52</v>
      </c>
      <c r="J821" s="101" t="s">
        <v>53</v>
      </c>
      <c r="K821" s="101" t="s">
        <v>54</v>
      </c>
      <c r="L821" s="101" t="s">
        <v>55</v>
      </c>
      <c r="M821" s="299">
        <v>400</v>
      </c>
      <c r="N821" s="114"/>
      <c r="O821" s="101" t="s">
        <v>64</v>
      </c>
      <c r="P821" s="101">
        <v>30</v>
      </c>
      <c r="Q821" s="101">
        <v>30</v>
      </c>
      <c r="R821" s="101">
        <v>30</v>
      </c>
      <c r="S821" s="697">
        <v>30</v>
      </c>
      <c r="T821" s="101">
        <v>30</v>
      </c>
      <c r="U821" s="101">
        <v>30</v>
      </c>
      <c r="V821" s="608">
        <f t="shared" si="277"/>
        <v>38</v>
      </c>
      <c r="W821" s="608">
        <f t="shared" si="278"/>
        <v>38</v>
      </c>
      <c r="X821" s="101">
        <v>40</v>
      </c>
      <c r="Y821" s="101">
        <v>38</v>
      </c>
      <c r="Z821" s="101">
        <v>38</v>
      </c>
      <c r="AA821" s="649">
        <f t="shared" ref="AA821:AA856" si="282">V821*W821/144</f>
        <v>10.027777777777779</v>
      </c>
      <c r="AB821" s="721">
        <f>AA821*Swiss1</f>
        <v>283.78611111111115</v>
      </c>
      <c r="AC821" s="606">
        <f>Table1[[#This Row],[Substrate SF]]*Canvas</f>
        <v>6.6183333333333341</v>
      </c>
      <c r="AD821" s="21">
        <f>Table1[[#This Row],[Substrate SF]]*Materials!C$37</f>
        <v>28.077777777777779</v>
      </c>
      <c r="AE821" s="104">
        <f>IF(Table1[[#This Row],[Work Center]]="SwissQ",Materials!G$37,IF(Table1[[#This Row],[Work Center]]="Inca",Materials!G$29,IF(Table1[[#This Row],[Work Center]]="Canon",Materials!G$49,Materials!G$45)))</f>
        <v>20</v>
      </c>
      <c r="AF821" s="102">
        <f>'Cali FPS'!C46</f>
        <v>80.27</v>
      </c>
      <c r="AG821" s="115"/>
      <c r="AH821" s="406">
        <f t="shared" ref="AH821:AH851" si="283">(M821*0.05)</f>
        <v>20</v>
      </c>
      <c r="AI821" s="406"/>
      <c r="AJ821" s="406">
        <f t="shared" si="281"/>
        <v>154.9661111111111</v>
      </c>
      <c r="AK821" s="1065">
        <f t="shared" si="280"/>
        <v>0.61258472222222227</v>
      </c>
      <c r="AL821" s="406">
        <f>Table1[[#This Row],[WSP/Dealer]]/Table1[[#This Row],[OD Sq Inch]]</f>
        <v>0.44444444444444442</v>
      </c>
      <c r="AM821" s="399">
        <f>Table1[[#This Row],[OD Wdth]]*Table1[[#This Row],[OD Hgt]]</f>
        <v>900</v>
      </c>
      <c r="AN821" s="400">
        <f>Table1[[#This Row],[Min VO]]+Table1[[#This Row],[Max VO]]</f>
        <v>60</v>
      </c>
      <c r="AO821" s="113"/>
      <c r="AP821" s="115"/>
      <c r="AQ821" s="121"/>
      <c r="AR821" s="121"/>
      <c r="AS821" s="121"/>
      <c r="AT821" s="104"/>
      <c r="AU821" s="1367" t="str">
        <f t="shared" si="279"/>
        <v>-</v>
      </c>
    </row>
    <row r="822" spans="1:47" s="170" customFormat="1" x14ac:dyDescent="0.2">
      <c r="A822" s="86" t="s">
        <v>58</v>
      </c>
      <c r="B822" s="279" t="s">
        <v>406</v>
      </c>
      <c r="C822" s="100" t="s">
        <v>2108</v>
      </c>
      <c r="D822" s="94" t="s">
        <v>2109</v>
      </c>
      <c r="E822" s="85" t="s">
        <v>2106</v>
      </c>
      <c r="F822" s="85" t="s">
        <v>114</v>
      </c>
      <c r="G822" s="86" t="s">
        <v>2107</v>
      </c>
      <c r="H822" s="86" t="s">
        <v>1608</v>
      </c>
      <c r="I822" s="86" t="s">
        <v>52</v>
      </c>
      <c r="J822" s="86" t="s">
        <v>283</v>
      </c>
      <c r="K822" s="86" t="s">
        <v>69</v>
      </c>
      <c r="L822" s="86" t="s">
        <v>73</v>
      </c>
      <c r="M822" s="87">
        <v>473</v>
      </c>
      <c r="N822" s="639">
        <v>520</v>
      </c>
      <c r="O822" s="145" t="s">
        <v>64</v>
      </c>
      <c r="P822" s="101">
        <v>30</v>
      </c>
      <c r="Q822" s="101">
        <v>30</v>
      </c>
      <c r="R822" s="60">
        <v>30</v>
      </c>
      <c r="S822" s="273">
        <v>30</v>
      </c>
      <c r="T822" s="101">
        <v>31</v>
      </c>
      <c r="U822" s="101" t="str">
        <f>RIGHT(H822,2)</f>
        <v>31</v>
      </c>
      <c r="V822" s="106">
        <f t="shared" si="277"/>
        <v>30</v>
      </c>
      <c r="W822" s="106">
        <f t="shared" si="278"/>
        <v>30</v>
      </c>
      <c r="X822" s="137" t="str">
        <f>J822</f>
        <v>MDF</v>
      </c>
      <c r="Y822" s="101"/>
      <c r="Z822" s="101"/>
      <c r="AA822" s="649">
        <f t="shared" si="282"/>
        <v>6.25</v>
      </c>
      <c r="AB822" s="184">
        <f>Table1[[#This Row],[Substrate SF]]*Swiss1</f>
        <v>176.875</v>
      </c>
      <c r="AC822" s="104">
        <f>MDFSHEET/3</f>
        <v>8.1166666666666671</v>
      </c>
      <c r="AD822" s="107">
        <f>Table1[[#This Row],[Substrate SF]]*Materials!C$37</f>
        <v>17.5</v>
      </c>
      <c r="AE822" s="104">
        <f>IF(Table1[[#This Row],[Work Center]]="SwissQ",Materials!G$37,IF(Table1[[#This Row],[Work Center]]="Inca",Materials!G$29,IF(Table1[[#This Row],[Work Center]]="Canon",Materials!G$49,Materials!G$45)))</f>
        <v>20</v>
      </c>
      <c r="AF822" s="74">
        <f>'Cali Frames'!D$525</f>
        <v>105.4</v>
      </c>
      <c r="AG822" s="115"/>
      <c r="AH822" s="112">
        <f t="shared" si="283"/>
        <v>23.650000000000002</v>
      </c>
      <c r="AI822" s="112"/>
      <c r="AJ822" s="104">
        <f t="shared" si="281"/>
        <v>174.66666666666669</v>
      </c>
      <c r="AK822" s="62">
        <f t="shared" si="280"/>
        <v>0.63072586328400282</v>
      </c>
      <c r="AL822" s="225">
        <f>Table1[[#This Row],[WSP/Dealer]]/Table1[[#This Row],[OD Sq Inch]]</f>
        <v>0.49219562955254942</v>
      </c>
      <c r="AM822" s="97">
        <f>Table1[[#This Row],[OD Wdth]]*Table1[[#This Row],[OD Hgt]]</f>
        <v>961</v>
      </c>
      <c r="AN822" s="216">
        <f>Table1[[#This Row],[Min VO]]+Table1[[#This Row],[Max VO]]</f>
        <v>60</v>
      </c>
      <c r="AO822" s="103"/>
      <c r="AP822" s="101"/>
      <c r="AQ822" s="104"/>
      <c r="AR822" s="104"/>
      <c r="AS822" s="104"/>
      <c r="AT822" s="104"/>
      <c r="AU822" s="108" t="str">
        <f t="shared" si="279"/>
        <v>-</v>
      </c>
    </row>
    <row r="823" spans="1:47" s="170" customFormat="1" x14ac:dyDescent="0.2">
      <c r="A823" s="86" t="s">
        <v>58</v>
      </c>
      <c r="B823" s="1061" t="s">
        <v>406</v>
      </c>
      <c r="C823" s="76" t="s">
        <v>2110</v>
      </c>
      <c r="D823" s="94" t="s">
        <v>2111</v>
      </c>
      <c r="E823" s="85" t="s">
        <v>2106</v>
      </c>
      <c r="F823" s="85" t="s">
        <v>114</v>
      </c>
      <c r="G823" s="86" t="s">
        <v>2107</v>
      </c>
      <c r="H823" s="86" t="s">
        <v>1608</v>
      </c>
      <c r="I823" s="86" t="s">
        <v>52</v>
      </c>
      <c r="J823" s="86" t="s">
        <v>53</v>
      </c>
      <c r="K823" s="86" t="s">
        <v>69</v>
      </c>
      <c r="L823" s="86" t="s">
        <v>73</v>
      </c>
      <c r="M823" s="87">
        <v>516</v>
      </c>
      <c r="N823" s="639">
        <v>520</v>
      </c>
      <c r="O823" s="145" t="s">
        <v>64</v>
      </c>
      <c r="P823" s="101">
        <v>30</v>
      </c>
      <c r="Q823" s="101">
        <v>30</v>
      </c>
      <c r="R823" s="60">
        <v>30</v>
      </c>
      <c r="S823" s="273">
        <v>30</v>
      </c>
      <c r="T823" s="101">
        <v>31</v>
      </c>
      <c r="U823" s="101">
        <v>31</v>
      </c>
      <c r="V823" s="106">
        <f t="shared" si="277"/>
        <v>38</v>
      </c>
      <c r="W823" s="106">
        <f t="shared" si="278"/>
        <v>38</v>
      </c>
      <c r="X823" s="157" t="s">
        <v>2112</v>
      </c>
      <c r="Y823" s="60">
        <v>38</v>
      </c>
      <c r="Z823" s="60">
        <v>76</v>
      </c>
      <c r="AA823" s="649">
        <f t="shared" si="282"/>
        <v>10.027777777777779</v>
      </c>
      <c r="AB823" s="389">
        <f>AA823*Swiss1</f>
        <v>283.78611111111115</v>
      </c>
      <c r="AC823" s="143">
        <f>Table1[[#This Row],[Substrate SF]]*Canvas</f>
        <v>6.6183333333333341</v>
      </c>
      <c r="AD823" s="21">
        <f>Table1[[#This Row],[Substrate SF]]*Materials!C$37</f>
        <v>28.077777777777779</v>
      </c>
      <c r="AE823" s="104">
        <f>IF(Table1[[#This Row],[Work Center]]="SwissQ",Materials!G$37,IF(Table1[[#This Row],[Work Center]]="Inca",Materials!G$29,IF(Table1[[#This Row],[Work Center]]="Canon",Materials!G$49,Materials!G$45)))</f>
        <v>20</v>
      </c>
      <c r="AF823" s="74">
        <f>'Cali Frames'!D$429</f>
        <v>105.8925</v>
      </c>
      <c r="AG823" s="115"/>
      <c r="AH823" s="498">
        <f t="shared" si="283"/>
        <v>25.8</v>
      </c>
      <c r="AI823" s="498"/>
      <c r="AJ823" s="104">
        <f t="shared" si="281"/>
        <v>186.38861111111112</v>
      </c>
      <c r="AK823" s="650">
        <f t="shared" si="280"/>
        <v>0.63878176141257537</v>
      </c>
      <c r="AL823" s="225">
        <f>Table1[[#This Row],[WSP/Dealer]]/Table1[[#This Row],[OD Sq Inch]]</f>
        <v>0.53694068678459939</v>
      </c>
      <c r="AM823" s="97">
        <f>Table1[[#This Row],[OD Wdth]]*Table1[[#This Row],[OD Hgt]]</f>
        <v>961</v>
      </c>
      <c r="AN823" s="216">
        <f>Table1[[#This Row],[Min VO]]+Table1[[#This Row],[Max VO]]</f>
        <v>60</v>
      </c>
      <c r="AO823" s="101"/>
      <c r="AP823" s="101"/>
      <c r="AQ823" s="104"/>
      <c r="AR823" s="104"/>
      <c r="AS823" s="104"/>
      <c r="AT823" s="104"/>
      <c r="AU823" s="830" t="str">
        <f t="shared" si="279"/>
        <v>-</v>
      </c>
    </row>
    <row r="824" spans="1:47" s="170" customFormat="1" x14ac:dyDescent="0.2">
      <c r="A824" s="101" t="s">
        <v>58</v>
      </c>
      <c r="B824" s="1067" t="s">
        <v>1013</v>
      </c>
      <c r="C824" s="100" t="s">
        <v>2113</v>
      </c>
      <c r="D824" s="168" t="s">
        <v>2114</v>
      </c>
      <c r="E824" s="115" t="s">
        <v>2115</v>
      </c>
      <c r="F824" s="115" t="s">
        <v>114</v>
      </c>
      <c r="G824" s="101" t="s">
        <v>2107</v>
      </c>
      <c r="H824" s="101" t="s">
        <v>2107</v>
      </c>
      <c r="I824" s="101" t="s">
        <v>52</v>
      </c>
      <c r="J824" s="101" t="s">
        <v>53</v>
      </c>
      <c r="K824" s="101" t="s">
        <v>54</v>
      </c>
      <c r="L824" s="101" t="s">
        <v>55</v>
      </c>
      <c r="M824" s="299">
        <v>400</v>
      </c>
      <c r="N824" s="114"/>
      <c r="O824" s="101" t="s">
        <v>64</v>
      </c>
      <c r="P824" s="101">
        <v>30</v>
      </c>
      <c r="Q824" s="101">
        <v>30</v>
      </c>
      <c r="R824" s="101">
        <v>30</v>
      </c>
      <c r="S824" s="697">
        <v>30</v>
      </c>
      <c r="T824" s="101">
        <v>30</v>
      </c>
      <c r="U824" s="101">
        <v>30</v>
      </c>
      <c r="V824" s="106">
        <f t="shared" si="277"/>
        <v>38</v>
      </c>
      <c r="W824" s="106">
        <f t="shared" si="278"/>
        <v>38</v>
      </c>
      <c r="X824" s="101">
        <v>40</v>
      </c>
      <c r="Y824" s="101">
        <v>38</v>
      </c>
      <c r="Z824" s="101">
        <v>38</v>
      </c>
      <c r="AA824" s="649">
        <f t="shared" si="282"/>
        <v>10.027777777777779</v>
      </c>
      <c r="AB824" s="721">
        <f>AA824*Swiss1</f>
        <v>283.78611111111115</v>
      </c>
      <c r="AC824" s="606">
        <f>Table1[[#This Row],[Substrate SF]]*Canvas</f>
        <v>6.6183333333333341</v>
      </c>
      <c r="AD824" s="21">
        <f>Table1[[#This Row],[Substrate SF]]*Materials!C$37</f>
        <v>28.077777777777779</v>
      </c>
      <c r="AE824" s="104">
        <f>IF(Table1[[#This Row],[Work Center]]="SwissQ",Materials!G$37,IF(Table1[[#This Row],[Work Center]]="Inca",Materials!G$29,IF(Table1[[#This Row],[Work Center]]="Canon",Materials!G$49,Materials!G$45)))</f>
        <v>20</v>
      </c>
      <c r="AF824" s="102">
        <f>'Cali FPS'!C46</f>
        <v>80.27</v>
      </c>
      <c r="AG824" s="115"/>
      <c r="AH824" s="405">
        <f t="shared" si="283"/>
        <v>20</v>
      </c>
      <c r="AI824" s="405"/>
      <c r="AJ824" s="406">
        <f t="shared" si="281"/>
        <v>154.9661111111111</v>
      </c>
      <c r="AK824" s="1068">
        <f t="shared" si="280"/>
        <v>0.61258472222222227</v>
      </c>
      <c r="AL824" s="406">
        <f>Table1[[#This Row],[WSP/Dealer]]/Table1[[#This Row],[OD Sq Inch]]</f>
        <v>0.44444444444444442</v>
      </c>
      <c r="AM824" s="399">
        <f>Table1[[#This Row],[OD Wdth]]*Table1[[#This Row],[OD Hgt]]</f>
        <v>900</v>
      </c>
      <c r="AN824" s="400">
        <f>Table1[[#This Row],[Min VO]]+Table1[[#This Row],[Max VO]]</f>
        <v>60</v>
      </c>
      <c r="AO824" s="113"/>
      <c r="AP824" s="115"/>
      <c r="AQ824" s="121"/>
      <c r="AR824" s="121"/>
      <c r="AS824" s="121"/>
      <c r="AT824" s="104"/>
      <c r="AU824" s="1367" t="str">
        <f t="shared" si="279"/>
        <v>-</v>
      </c>
    </row>
    <row r="825" spans="1:47" s="95" customFormat="1" x14ac:dyDescent="0.2">
      <c r="A825" s="86" t="s">
        <v>58</v>
      </c>
      <c r="B825" s="1061" t="s">
        <v>406</v>
      </c>
      <c r="C825" s="100" t="s">
        <v>2116</v>
      </c>
      <c r="D825" s="94" t="s">
        <v>2117</v>
      </c>
      <c r="E825" s="85" t="s">
        <v>2115</v>
      </c>
      <c r="F825" s="85" t="s">
        <v>114</v>
      </c>
      <c r="G825" s="86" t="s">
        <v>2107</v>
      </c>
      <c r="H825" s="86" t="s">
        <v>1608</v>
      </c>
      <c r="I825" s="86" t="s">
        <v>52</v>
      </c>
      <c r="J825" s="86" t="s">
        <v>283</v>
      </c>
      <c r="K825" s="86" t="s">
        <v>69</v>
      </c>
      <c r="L825" s="86" t="s">
        <v>73</v>
      </c>
      <c r="M825" s="87">
        <v>473</v>
      </c>
      <c r="N825" s="639">
        <v>520</v>
      </c>
      <c r="O825" s="145" t="s">
        <v>64</v>
      </c>
      <c r="P825" s="101">
        <v>30</v>
      </c>
      <c r="Q825" s="101">
        <v>30</v>
      </c>
      <c r="R825" s="60">
        <v>30</v>
      </c>
      <c r="S825" s="273">
        <v>30</v>
      </c>
      <c r="T825" s="101">
        <v>31</v>
      </c>
      <c r="U825" s="101" t="str">
        <f>RIGHT(H825,2)</f>
        <v>31</v>
      </c>
      <c r="V825" s="608">
        <f t="shared" si="277"/>
        <v>30</v>
      </c>
      <c r="W825" s="608">
        <f t="shared" si="278"/>
        <v>30</v>
      </c>
      <c r="X825" s="137" t="str">
        <f>J825</f>
        <v>MDF</v>
      </c>
      <c r="Y825" s="782"/>
      <c r="Z825" s="782"/>
      <c r="AA825" s="649">
        <f t="shared" si="282"/>
        <v>6.25</v>
      </c>
      <c r="AB825" s="184">
        <f>Table1[[#This Row],[Substrate SF]]*Swiss1</f>
        <v>176.875</v>
      </c>
      <c r="AC825" s="104">
        <f>MDFSHEET/3</f>
        <v>8.1166666666666671</v>
      </c>
      <c r="AD825" s="107">
        <f>Table1[[#This Row],[Substrate SF]]*Materials!C$37</f>
        <v>17.5</v>
      </c>
      <c r="AE825" s="104">
        <f>IF(Table1[[#This Row],[Work Center]]="SwissQ",Materials!G$37,IF(Table1[[#This Row],[Work Center]]="Inca",Materials!G$29,IF(Table1[[#This Row],[Work Center]]="Canon",Materials!G$49,Materials!G$45)))</f>
        <v>20</v>
      </c>
      <c r="AF825" s="74">
        <f>'Cali Frames'!D$525</f>
        <v>105.4</v>
      </c>
      <c r="AG825" s="115"/>
      <c r="AH825" s="112">
        <f t="shared" si="283"/>
        <v>23.650000000000002</v>
      </c>
      <c r="AI825" s="112"/>
      <c r="AJ825" s="104">
        <f t="shared" si="281"/>
        <v>174.66666666666669</v>
      </c>
      <c r="AK825" s="62">
        <f t="shared" si="280"/>
        <v>0.63072586328400282</v>
      </c>
      <c r="AL825" s="225">
        <f>Table1[[#This Row],[WSP/Dealer]]/Table1[[#This Row],[OD Sq Inch]]</f>
        <v>0.49219562955254942</v>
      </c>
      <c r="AM825" s="97">
        <f>Table1[[#This Row],[OD Wdth]]*Table1[[#This Row],[OD Hgt]]</f>
        <v>961</v>
      </c>
      <c r="AN825" s="216">
        <f>Table1[[#This Row],[Min VO]]+Table1[[#This Row],[Max VO]]</f>
        <v>60</v>
      </c>
      <c r="AO825" s="101"/>
      <c r="AP825" s="101"/>
      <c r="AQ825" s="104"/>
      <c r="AR825" s="104"/>
      <c r="AS825" s="104"/>
      <c r="AT825" s="104"/>
      <c r="AU825" s="830" t="str">
        <f t="shared" si="279"/>
        <v>-</v>
      </c>
    </row>
    <row r="826" spans="1:47" s="171" customFormat="1" x14ac:dyDescent="0.2">
      <c r="A826" s="86" t="s">
        <v>58</v>
      </c>
      <c r="B826" s="1061" t="s">
        <v>406</v>
      </c>
      <c r="C826" s="76" t="s">
        <v>2118</v>
      </c>
      <c r="D826" s="94" t="s">
        <v>2119</v>
      </c>
      <c r="E826" s="85" t="s">
        <v>2115</v>
      </c>
      <c r="F826" s="85" t="s">
        <v>114</v>
      </c>
      <c r="G826" s="86" t="s">
        <v>2107</v>
      </c>
      <c r="H826" s="86" t="s">
        <v>1608</v>
      </c>
      <c r="I826" s="86" t="s">
        <v>52</v>
      </c>
      <c r="J826" s="86" t="s">
        <v>53</v>
      </c>
      <c r="K826" s="86" t="s">
        <v>69</v>
      </c>
      <c r="L826" s="86" t="s">
        <v>73</v>
      </c>
      <c r="M826" s="87">
        <v>473</v>
      </c>
      <c r="N826" s="639">
        <v>520</v>
      </c>
      <c r="O826" s="145" t="s">
        <v>64</v>
      </c>
      <c r="P826" s="101">
        <v>30</v>
      </c>
      <c r="Q826" s="101">
        <v>30</v>
      </c>
      <c r="R826" s="60">
        <v>30</v>
      </c>
      <c r="S826" s="273">
        <v>30</v>
      </c>
      <c r="T826" s="101">
        <v>31</v>
      </c>
      <c r="U826" s="101">
        <v>31</v>
      </c>
      <c r="V826" s="106">
        <f t="shared" si="277"/>
        <v>38</v>
      </c>
      <c r="W826" s="106">
        <f t="shared" si="278"/>
        <v>38</v>
      </c>
      <c r="X826" s="157" t="s">
        <v>2112</v>
      </c>
      <c r="Y826" s="60">
        <v>38</v>
      </c>
      <c r="Z826" s="60">
        <v>76</v>
      </c>
      <c r="AA826" s="649">
        <f t="shared" si="282"/>
        <v>10.027777777777779</v>
      </c>
      <c r="AB826" s="389">
        <f>AA826*Swiss1</f>
        <v>283.78611111111115</v>
      </c>
      <c r="AC826" s="143">
        <f>Table1[[#This Row],[Substrate SF]]*Canvas</f>
        <v>6.6183333333333341</v>
      </c>
      <c r="AD826" s="21">
        <f>Table1[[#This Row],[Substrate SF]]*Materials!C$37</f>
        <v>28.077777777777779</v>
      </c>
      <c r="AE826" s="104">
        <f>IF(Table1[[#This Row],[Work Center]]="SwissQ",Materials!G$37,IF(Table1[[#This Row],[Work Center]]="Inca",Materials!G$29,IF(Table1[[#This Row],[Work Center]]="Canon",Materials!G$49,Materials!G$45)))</f>
        <v>20</v>
      </c>
      <c r="AF826" s="74">
        <f>'Cali Frames'!D$429</f>
        <v>105.8925</v>
      </c>
      <c r="AG826" s="115"/>
      <c r="AH826" s="112">
        <f t="shared" si="283"/>
        <v>23.650000000000002</v>
      </c>
      <c r="AI826" s="112"/>
      <c r="AJ826" s="104">
        <f t="shared" si="281"/>
        <v>184.23861111111111</v>
      </c>
      <c r="AK826" s="62">
        <f t="shared" si="280"/>
        <v>0.61048919426826398</v>
      </c>
      <c r="AL826" s="225">
        <f>Table1[[#This Row],[WSP/Dealer]]/Table1[[#This Row],[OD Sq Inch]]</f>
        <v>0.49219562955254942</v>
      </c>
      <c r="AM826" s="218">
        <f>Table1[[#This Row],[OD Wdth]]*Table1[[#This Row],[OD Hgt]]</f>
        <v>961</v>
      </c>
      <c r="AN826" s="216">
        <f>Table1[[#This Row],[Min VO]]+Table1[[#This Row],[Max VO]]</f>
        <v>60</v>
      </c>
      <c r="AO826" s="101"/>
      <c r="AP826" s="101"/>
      <c r="AQ826" s="104"/>
      <c r="AR826" s="104"/>
      <c r="AS826" s="104"/>
      <c r="AT826" s="104"/>
      <c r="AU826" s="830" t="str">
        <f t="shared" si="279"/>
        <v>-</v>
      </c>
    </row>
    <row r="827" spans="1:47" s="103" customFormat="1" x14ac:dyDescent="0.2">
      <c r="A827" s="101" t="s">
        <v>58</v>
      </c>
      <c r="B827" s="1064" t="s">
        <v>1013</v>
      </c>
      <c r="C827" s="100" t="s">
        <v>2120</v>
      </c>
      <c r="D827" s="168" t="s">
        <v>2121</v>
      </c>
      <c r="E827" s="115" t="s">
        <v>2122</v>
      </c>
      <c r="F827" s="115" t="s">
        <v>114</v>
      </c>
      <c r="G827" s="101" t="s">
        <v>2107</v>
      </c>
      <c r="H827" s="101" t="s">
        <v>2107</v>
      </c>
      <c r="I827" s="101" t="s">
        <v>52</v>
      </c>
      <c r="J827" s="101" t="s">
        <v>53</v>
      </c>
      <c r="K827" s="101" t="s">
        <v>54</v>
      </c>
      <c r="L827" s="101" t="s">
        <v>55</v>
      </c>
      <c r="M827" s="299">
        <v>400</v>
      </c>
      <c r="N827" s="114"/>
      <c r="O827" s="101" t="s">
        <v>64</v>
      </c>
      <c r="P827" s="101">
        <v>30</v>
      </c>
      <c r="Q827" s="101">
        <v>30</v>
      </c>
      <c r="R827" s="101">
        <v>30</v>
      </c>
      <c r="S827" s="697">
        <v>30</v>
      </c>
      <c r="T827" s="101">
        <v>30</v>
      </c>
      <c r="U827" s="101">
        <v>30</v>
      </c>
      <c r="V827" s="106">
        <f t="shared" si="277"/>
        <v>38</v>
      </c>
      <c r="W827" s="106">
        <f t="shared" si="278"/>
        <v>38</v>
      </c>
      <c r="X827" s="101">
        <v>40</v>
      </c>
      <c r="Y827" s="101">
        <v>38</v>
      </c>
      <c r="Z827" s="101">
        <v>38</v>
      </c>
      <c r="AA827" s="649">
        <f t="shared" si="282"/>
        <v>10.027777777777779</v>
      </c>
      <c r="AB827" s="721">
        <f>AA827*Swiss1</f>
        <v>283.78611111111115</v>
      </c>
      <c r="AC827" s="606">
        <f>Table1[[#This Row],[Substrate SF]]*Canvas</f>
        <v>6.6183333333333341</v>
      </c>
      <c r="AD827" s="21">
        <f>Table1[[#This Row],[Substrate SF]]*Materials!C$37</f>
        <v>28.077777777777779</v>
      </c>
      <c r="AE827" s="104">
        <f>IF(Table1[[#This Row],[Work Center]]="SwissQ",Materials!G$37,IF(Table1[[#This Row],[Work Center]]="Inca",Materials!G$29,IF(Table1[[#This Row],[Work Center]]="Canon",Materials!G$49,Materials!G$45)))</f>
        <v>20</v>
      </c>
      <c r="AF827" s="102">
        <f>'Cali FPS'!C46</f>
        <v>80.27</v>
      </c>
      <c r="AG827" s="115"/>
      <c r="AH827" s="406">
        <f t="shared" si="283"/>
        <v>20</v>
      </c>
      <c r="AI827" s="406"/>
      <c r="AJ827" s="406">
        <f t="shared" si="281"/>
        <v>154.9661111111111</v>
      </c>
      <c r="AK827" s="1065">
        <f t="shared" si="280"/>
        <v>0.61258472222222227</v>
      </c>
      <c r="AL827" s="406">
        <f>Table1[[#This Row],[WSP/Dealer]]/Table1[[#This Row],[OD Sq Inch]]</f>
        <v>0.44444444444444442</v>
      </c>
      <c r="AM827" s="399">
        <f>Table1[[#This Row],[OD Wdth]]*Table1[[#This Row],[OD Hgt]]</f>
        <v>900</v>
      </c>
      <c r="AN827" s="400">
        <f>Table1[[#This Row],[Min VO]]+Table1[[#This Row],[Max VO]]</f>
        <v>60</v>
      </c>
      <c r="AO827" s="115"/>
      <c r="AP827" s="115"/>
      <c r="AQ827" s="121"/>
      <c r="AR827" s="121"/>
      <c r="AS827" s="121"/>
      <c r="AT827" s="104"/>
      <c r="AU827" s="1359" t="str">
        <f t="shared" si="279"/>
        <v>-</v>
      </c>
    </row>
    <row r="828" spans="1:47" s="170" customFormat="1" x14ac:dyDescent="0.2">
      <c r="A828" s="86" t="s">
        <v>58</v>
      </c>
      <c r="B828" s="1061" t="s">
        <v>406</v>
      </c>
      <c r="C828" s="100" t="s">
        <v>2123</v>
      </c>
      <c r="D828" s="94" t="s">
        <v>2124</v>
      </c>
      <c r="E828" s="85" t="s">
        <v>2122</v>
      </c>
      <c r="F828" s="85" t="s">
        <v>114</v>
      </c>
      <c r="G828" s="86" t="s">
        <v>2107</v>
      </c>
      <c r="H828" s="86" t="s">
        <v>1608</v>
      </c>
      <c r="I828" s="86" t="s">
        <v>52</v>
      </c>
      <c r="J828" s="86" t="s">
        <v>283</v>
      </c>
      <c r="K828" s="86" t="s">
        <v>69</v>
      </c>
      <c r="L828" s="86" t="s">
        <v>73</v>
      </c>
      <c r="M828" s="87">
        <v>473</v>
      </c>
      <c r="N828" s="639">
        <v>520</v>
      </c>
      <c r="O828" s="145" t="s">
        <v>64</v>
      </c>
      <c r="P828" s="101">
        <v>30</v>
      </c>
      <c r="Q828" s="101">
        <v>30</v>
      </c>
      <c r="R828" s="60">
        <v>30</v>
      </c>
      <c r="S828" s="273">
        <v>30</v>
      </c>
      <c r="T828" s="101">
        <v>31</v>
      </c>
      <c r="U828" s="101" t="str">
        <f>RIGHT(H828,2)</f>
        <v>31</v>
      </c>
      <c r="V828" s="106">
        <f t="shared" si="277"/>
        <v>30</v>
      </c>
      <c r="W828" s="106">
        <f t="shared" si="278"/>
        <v>30</v>
      </c>
      <c r="X828" s="137" t="str">
        <f>J828</f>
        <v>MDF</v>
      </c>
      <c r="Y828" s="782"/>
      <c r="Z828" s="782"/>
      <c r="AA828" s="649">
        <f t="shared" si="282"/>
        <v>6.25</v>
      </c>
      <c r="AB828" s="184">
        <f>Table1[[#This Row],[Substrate SF]]*Swiss1</f>
        <v>176.875</v>
      </c>
      <c r="AC828" s="104">
        <f>MDFSHEET/3</f>
        <v>8.1166666666666671</v>
      </c>
      <c r="AD828" s="107">
        <f>Table1[[#This Row],[Substrate SF]]*Materials!C$37</f>
        <v>17.5</v>
      </c>
      <c r="AE828" s="104">
        <f>IF(Table1[[#This Row],[Work Center]]="SwissQ",Materials!G$37,IF(Table1[[#This Row],[Work Center]]="Inca",Materials!G$29,IF(Table1[[#This Row],[Work Center]]="Canon",Materials!G$49,Materials!G$45)))</f>
        <v>20</v>
      </c>
      <c r="AF828" s="74">
        <f>'Cali Frames'!D$525</f>
        <v>105.4</v>
      </c>
      <c r="AG828" s="115"/>
      <c r="AH828" s="112">
        <f t="shared" si="283"/>
        <v>23.650000000000002</v>
      </c>
      <c r="AI828" s="112"/>
      <c r="AJ828" s="107">
        <f t="shared" si="281"/>
        <v>174.66666666666669</v>
      </c>
      <c r="AK828" s="62">
        <f t="shared" si="280"/>
        <v>0.63072586328400282</v>
      </c>
      <c r="AL828" s="225">
        <f>Table1[[#This Row],[WSP/Dealer]]/Table1[[#This Row],[OD Sq Inch]]</f>
        <v>0.49219562955254942</v>
      </c>
      <c r="AM828" s="218">
        <f>Table1[[#This Row],[OD Wdth]]*Table1[[#This Row],[OD Hgt]]</f>
        <v>961</v>
      </c>
      <c r="AN828" s="216">
        <f>Table1[[#This Row],[Min VO]]+Table1[[#This Row],[Max VO]]</f>
        <v>60</v>
      </c>
      <c r="AO828" s="101"/>
      <c r="AP828" s="101"/>
      <c r="AQ828" s="104"/>
      <c r="AR828" s="104"/>
      <c r="AS828" s="104"/>
      <c r="AT828" s="104"/>
      <c r="AU828" s="830" t="str">
        <f t="shared" si="279"/>
        <v>-</v>
      </c>
    </row>
    <row r="829" spans="1:47" s="170" customFormat="1" x14ac:dyDescent="0.2">
      <c r="A829" s="86" t="s">
        <v>58</v>
      </c>
      <c r="B829" s="1061" t="s">
        <v>406</v>
      </c>
      <c r="C829" s="76" t="s">
        <v>2125</v>
      </c>
      <c r="D829" s="94" t="s">
        <v>2126</v>
      </c>
      <c r="E829" s="85" t="s">
        <v>2122</v>
      </c>
      <c r="F829" s="85" t="s">
        <v>114</v>
      </c>
      <c r="G829" s="86" t="s">
        <v>2107</v>
      </c>
      <c r="H829" s="86" t="s">
        <v>1608</v>
      </c>
      <c r="I829" s="86" t="s">
        <v>52</v>
      </c>
      <c r="J829" s="86" t="s">
        <v>53</v>
      </c>
      <c r="K829" s="86" t="s">
        <v>69</v>
      </c>
      <c r="L829" s="86" t="s">
        <v>73</v>
      </c>
      <c r="M829" s="87">
        <v>473</v>
      </c>
      <c r="N829" s="639">
        <v>520</v>
      </c>
      <c r="O829" s="145" t="s">
        <v>64</v>
      </c>
      <c r="P829" s="101">
        <v>30</v>
      </c>
      <c r="Q829" s="101">
        <v>30</v>
      </c>
      <c r="R829" s="60">
        <v>30</v>
      </c>
      <c r="S829" s="273">
        <v>30</v>
      </c>
      <c r="T829" s="101">
        <v>31</v>
      </c>
      <c r="U829" s="101">
        <v>31</v>
      </c>
      <c r="V829" s="106">
        <f t="shared" si="277"/>
        <v>38</v>
      </c>
      <c r="W829" s="106">
        <f t="shared" si="278"/>
        <v>38</v>
      </c>
      <c r="X829" s="157" t="s">
        <v>2112</v>
      </c>
      <c r="Y829" s="60">
        <v>38</v>
      </c>
      <c r="Z829" s="60">
        <v>76</v>
      </c>
      <c r="AA829" s="649">
        <f t="shared" si="282"/>
        <v>10.027777777777779</v>
      </c>
      <c r="AB829" s="389">
        <f>AA829*Swiss1</f>
        <v>283.78611111111115</v>
      </c>
      <c r="AC829" s="143">
        <f>Table1[[#This Row],[Substrate SF]]*Canvas</f>
        <v>6.6183333333333341</v>
      </c>
      <c r="AD829" s="21">
        <f>Table1[[#This Row],[Substrate SF]]*Materials!C$37</f>
        <v>28.077777777777779</v>
      </c>
      <c r="AE829" s="104">
        <f>IF(Table1[[#This Row],[Work Center]]="SwissQ",Materials!G$37,IF(Table1[[#This Row],[Work Center]]="Inca",Materials!G$29,IF(Table1[[#This Row],[Work Center]]="Canon",Materials!G$49,Materials!G$45)))</f>
        <v>20</v>
      </c>
      <c r="AF829" s="74">
        <f>'Cali Frames'!D$429</f>
        <v>105.8925</v>
      </c>
      <c r="AG829" s="115"/>
      <c r="AH829" s="112">
        <f t="shared" si="283"/>
        <v>23.650000000000002</v>
      </c>
      <c r="AI829" s="112"/>
      <c r="AJ829" s="107">
        <f t="shared" si="281"/>
        <v>184.23861111111111</v>
      </c>
      <c r="AK829" s="62">
        <f t="shared" si="280"/>
        <v>0.61048919426826398</v>
      </c>
      <c r="AL829" s="225">
        <f>Table1[[#This Row],[WSP/Dealer]]/Table1[[#This Row],[OD Sq Inch]]</f>
        <v>0.49219562955254942</v>
      </c>
      <c r="AM829" s="103">
        <f>Table1[[#This Row],[OD Wdth]]*Table1[[#This Row],[OD Hgt]]</f>
        <v>961</v>
      </c>
      <c r="AN829" s="216">
        <f>Table1[[#This Row],[Min VO]]+Table1[[#This Row],[Max VO]]</f>
        <v>60</v>
      </c>
      <c r="AO829" s="101"/>
      <c r="AP829" s="101"/>
      <c r="AQ829" s="104"/>
      <c r="AR829" s="104"/>
      <c r="AS829" s="104"/>
      <c r="AT829" s="104"/>
      <c r="AU829" s="830" t="str">
        <f t="shared" si="279"/>
        <v>-</v>
      </c>
    </row>
    <row r="830" spans="1:47" s="103" customFormat="1" x14ac:dyDescent="0.2">
      <c r="A830" s="101" t="s">
        <v>58</v>
      </c>
      <c r="B830" s="1067" t="s">
        <v>1013</v>
      </c>
      <c r="C830" s="100" t="s">
        <v>2127</v>
      </c>
      <c r="D830" s="168" t="s">
        <v>2128</v>
      </c>
      <c r="E830" s="115" t="s">
        <v>2129</v>
      </c>
      <c r="F830" s="115" t="s">
        <v>114</v>
      </c>
      <c r="G830" s="101" t="s">
        <v>2107</v>
      </c>
      <c r="H830" s="101" t="s">
        <v>2107</v>
      </c>
      <c r="I830" s="101" t="s">
        <v>52</v>
      </c>
      <c r="J830" s="101" t="s">
        <v>53</v>
      </c>
      <c r="K830" s="101" t="s">
        <v>54</v>
      </c>
      <c r="L830" s="101" t="s">
        <v>55</v>
      </c>
      <c r="M830" s="299">
        <v>400</v>
      </c>
      <c r="N830" s="114"/>
      <c r="O830" s="101" t="s">
        <v>64</v>
      </c>
      <c r="P830" s="101">
        <v>30</v>
      </c>
      <c r="Q830" s="101">
        <v>30</v>
      </c>
      <c r="R830" s="101">
        <v>30</v>
      </c>
      <c r="S830" s="697">
        <v>30</v>
      </c>
      <c r="T830" s="103">
        <v>30</v>
      </c>
      <c r="U830" s="103">
        <v>30</v>
      </c>
      <c r="V830" s="106">
        <f t="shared" si="277"/>
        <v>38</v>
      </c>
      <c r="W830" s="106">
        <f t="shared" si="278"/>
        <v>38</v>
      </c>
      <c r="X830" s="101">
        <v>40</v>
      </c>
      <c r="Y830" s="101">
        <v>38</v>
      </c>
      <c r="Z830" s="101">
        <v>38</v>
      </c>
      <c r="AA830" s="649">
        <f t="shared" si="282"/>
        <v>10.027777777777779</v>
      </c>
      <c r="AB830" s="721">
        <f>AA830*Swiss1</f>
        <v>283.78611111111115</v>
      </c>
      <c r="AC830" s="606">
        <f>Table1[[#This Row],[Substrate SF]]*Canvas</f>
        <v>6.6183333333333341</v>
      </c>
      <c r="AD830" s="21">
        <f>Table1[[#This Row],[Substrate SF]]*Materials!C$37</f>
        <v>28.077777777777779</v>
      </c>
      <c r="AE830" s="104">
        <f>IF(Table1[[#This Row],[Work Center]]="SwissQ",Materials!G$37,IF(Table1[[#This Row],[Work Center]]="Inca",Materials!G$29,IF(Table1[[#This Row],[Work Center]]="Canon",Materials!G$49,Materials!G$45)))</f>
        <v>20</v>
      </c>
      <c r="AF830" s="102">
        <f>'Cali FPS'!C46</f>
        <v>80.27</v>
      </c>
      <c r="AG830" s="115"/>
      <c r="AH830" s="405">
        <f t="shared" si="283"/>
        <v>20</v>
      </c>
      <c r="AI830" s="405"/>
      <c r="AJ830" s="405">
        <f t="shared" si="281"/>
        <v>154.9661111111111</v>
      </c>
      <c r="AK830" s="1068">
        <f t="shared" si="280"/>
        <v>0.61258472222222227</v>
      </c>
      <c r="AL830" s="406">
        <f>Table1[[#This Row],[WSP/Dealer]]/Table1[[#This Row],[OD Sq Inch]]</f>
        <v>0.44444444444444442</v>
      </c>
      <c r="AM830" s="399">
        <f>Table1[[#This Row],[OD Wdth]]*Table1[[#This Row],[OD Hgt]]</f>
        <v>900</v>
      </c>
      <c r="AN830" s="400">
        <f>Table1[[#This Row],[Min VO]]+Table1[[#This Row],[Max VO]]</f>
        <v>60</v>
      </c>
      <c r="AO830" s="113"/>
      <c r="AP830" s="115"/>
      <c r="AQ830" s="121"/>
      <c r="AR830" s="121"/>
      <c r="AS830" s="121"/>
      <c r="AT830" s="104"/>
      <c r="AU830" s="1367" t="str">
        <f t="shared" si="279"/>
        <v>-</v>
      </c>
    </row>
    <row r="831" spans="1:47" s="103" customFormat="1" x14ac:dyDescent="0.2">
      <c r="A831" s="86" t="s">
        <v>58</v>
      </c>
      <c r="B831" s="1061" t="s">
        <v>406</v>
      </c>
      <c r="C831" s="100" t="s">
        <v>2130</v>
      </c>
      <c r="D831" s="94" t="s">
        <v>2131</v>
      </c>
      <c r="E831" s="85" t="s">
        <v>2129</v>
      </c>
      <c r="F831" s="85" t="s">
        <v>114</v>
      </c>
      <c r="G831" s="86" t="s">
        <v>2107</v>
      </c>
      <c r="H831" s="86" t="s">
        <v>1608</v>
      </c>
      <c r="I831" s="86" t="s">
        <v>52</v>
      </c>
      <c r="J831" s="86" t="s">
        <v>283</v>
      </c>
      <c r="K831" s="86" t="s">
        <v>69</v>
      </c>
      <c r="L831" s="86" t="s">
        <v>73</v>
      </c>
      <c r="M831" s="87">
        <v>473</v>
      </c>
      <c r="N831" s="639">
        <v>520</v>
      </c>
      <c r="O831" s="145" t="s">
        <v>64</v>
      </c>
      <c r="P831" s="101">
        <v>30</v>
      </c>
      <c r="Q831" s="101">
        <v>30</v>
      </c>
      <c r="R831" s="60">
        <v>30</v>
      </c>
      <c r="S831" s="273">
        <v>30</v>
      </c>
      <c r="T831" s="101">
        <v>31</v>
      </c>
      <c r="U831" s="101" t="str">
        <f>RIGHT(H831,2)</f>
        <v>31</v>
      </c>
      <c r="V831" s="608">
        <f t="shared" si="277"/>
        <v>30</v>
      </c>
      <c r="W831" s="608">
        <f t="shared" si="278"/>
        <v>30</v>
      </c>
      <c r="X831" s="137" t="str">
        <f>J831</f>
        <v>MDF</v>
      </c>
      <c r="Y831" s="782"/>
      <c r="Z831" s="782"/>
      <c r="AA831" s="649">
        <f t="shared" si="282"/>
        <v>6.25</v>
      </c>
      <c r="AB831" s="184">
        <f>Table1[[#This Row],[Substrate SF]]*Swiss1</f>
        <v>176.875</v>
      </c>
      <c r="AC831" s="104">
        <f>MDFSHEET/3</f>
        <v>8.1166666666666671</v>
      </c>
      <c r="AD831" s="107">
        <f>Table1[[#This Row],[Substrate SF]]*Materials!C$37</f>
        <v>17.5</v>
      </c>
      <c r="AE831" s="104">
        <f>IF(Table1[[#This Row],[Work Center]]="SwissQ",Materials!G$37,IF(Table1[[#This Row],[Work Center]]="Inca",Materials!G$29,IF(Table1[[#This Row],[Work Center]]="Canon",Materials!G$49,Materials!G$45)))</f>
        <v>20</v>
      </c>
      <c r="AF831" s="74">
        <f>'Cali Frames'!D$525</f>
        <v>105.4</v>
      </c>
      <c r="AG831" s="115"/>
      <c r="AH831" s="112">
        <f t="shared" si="283"/>
        <v>23.650000000000002</v>
      </c>
      <c r="AI831" s="112"/>
      <c r="AJ831" s="104">
        <f t="shared" si="281"/>
        <v>174.66666666666669</v>
      </c>
      <c r="AK831" s="62">
        <f t="shared" si="280"/>
        <v>0.63072586328400282</v>
      </c>
      <c r="AL831" s="225">
        <f>Table1[[#This Row],[WSP/Dealer]]/Table1[[#This Row],[OD Sq Inch]]</f>
        <v>0.49219562955254942</v>
      </c>
      <c r="AM831" s="103">
        <f>Table1[[#This Row],[OD Wdth]]*Table1[[#This Row],[OD Hgt]]</f>
        <v>961</v>
      </c>
      <c r="AN831" s="216">
        <f>Table1[[#This Row],[Min VO]]+Table1[[#This Row],[Max VO]]</f>
        <v>60</v>
      </c>
      <c r="AO831" s="101"/>
      <c r="AP831" s="101"/>
      <c r="AQ831" s="104"/>
      <c r="AR831" s="104"/>
      <c r="AS831" s="104"/>
      <c r="AT831" s="104"/>
      <c r="AU831" s="830" t="str">
        <f t="shared" si="279"/>
        <v>-</v>
      </c>
    </row>
    <row r="832" spans="1:47" s="46" customFormat="1" x14ac:dyDescent="0.2">
      <c r="A832" s="86" t="s">
        <v>58</v>
      </c>
      <c r="B832" s="1061" t="s">
        <v>406</v>
      </c>
      <c r="C832" s="76" t="s">
        <v>2132</v>
      </c>
      <c r="D832" s="94" t="s">
        <v>2133</v>
      </c>
      <c r="E832" s="85" t="s">
        <v>2129</v>
      </c>
      <c r="F832" s="85" t="s">
        <v>114</v>
      </c>
      <c r="G832" s="86" t="s">
        <v>2107</v>
      </c>
      <c r="H832" s="86" t="s">
        <v>1608</v>
      </c>
      <c r="I832" s="86" t="s">
        <v>52</v>
      </c>
      <c r="J832" s="86" t="s">
        <v>53</v>
      </c>
      <c r="K832" s="86" t="s">
        <v>69</v>
      </c>
      <c r="L832" s="86" t="s">
        <v>73</v>
      </c>
      <c r="M832" s="87">
        <v>473</v>
      </c>
      <c r="N832" s="639">
        <v>520</v>
      </c>
      <c r="O832" s="145" t="s">
        <v>64</v>
      </c>
      <c r="P832" s="101">
        <v>30</v>
      </c>
      <c r="Q832" s="101">
        <v>30</v>
      </c>
      <c r="R832" s="60">
        <v>30</v>
      </c>
      <c r="S832" s="273">
        <v>30</v>
      </c>
      <c r="T832" s="101">
        <v>31</v>
      </c>
      <c r="U832" s="101">
        <v>31</v>
      </c>
      <c r="V832" s="608">
        <f t="shared" si="277"/>
        <v>38</v>
      </c>
      <c r="W832" s="608">
        <f t="shared" si="278"/>
        <v>38</v>
      </c>
      <c r="X832" s="157" t="s">
        <v>2112</v>
      </c>
      <c r="Y832" s="60">
        <v>38</v>
      </c>
      <c r="Z832" s="60">
        <v>76</v>
      </c>
      <c r="AA832" s="649">
        <f t="shared" si="282"/>
        <v>10.027777777777779</v>
      </c>
      <c r="AB832" s="389">
        <f>AA832*Swiss1</f>
        <v>283.78611111111115</v>
      </c>
      <c r="AC832" s="143">
        <f>Table1[[#This Row],[Substrate SF]]*Canvas</f>
        <v>6.6183333333333341</v>
      </c>
      <c r="AD832" s="21">
        <f>Table1[[#This Row],[Substrate SF]]*Materials!C$37</f>
        <v>28.077777777777779</v>
      </c>
      <c r="AE832" s="104">
        <f>IF(Table1[[#This Row],[Work Center]]="SwissQ",Materials!G$37,IF(Table1[[#This Row],[Work Center]]="Inca",Materials!G$29,IF(Table1[[#This Row],[Work Center]]="Canon",Materials!G$49,Materials!G$45)))</f>
        <v>20</v>
      </c>
      <c r="AF832" s="74">
        <f>'Cali Frames'!D$429</f>
        <v>105.8925</v>
      </c>
      <c r="AG832" s="115"/>
      <c r="AH832" s="498">
        <f t="shared" si="283"/>
        <v>23.650000000000002</v>
      </c>
      <c r="AI832" s="498"/>
      <c r="AJ832" s="107">
        <f t="shared" si="281"/>
        <v>184.23861111111111</v>
      </c>
      <c r="AK832" s="650">
        <f t="shared" si="280"/>
        <v>0.61048919426826398</v>
      </c>
      <c r="AL832" s="225">
        <f>Table1[[#This Row],[WSP/Dealer]]/Table1[[#This Row],[OD Sq Inch]]</f>
        <v>0.49219562955254942</v>
      </c>
      <c r="AM832" s="218">
        <f>Table1[[#This Row],[OD Wdth]]*Table1[[#This Row],[OD Hgt]]</f>
        <v>961</v>
      </c>
      <c r="AN832" s="216">
        <f>Table1[[#This Row],[Min VO]]+Table1[[#This Row],[Max VO]]</f>
        <v>60</v>
      </c>
      <c r="AO832" s="101"/>
      <c r="AP832" s="101"/>
      <c r="AQ832" s="104"/>
      <c r="AR832" s="104"/>
      <c r="AS832" s="104"/>
      <c r="AT832" s="104"/>
      <c r="AU832" s="830" t="str">
        <f t="shared" si="279"/>
        <v>-</v>
      </c>
    </row>
    <row r="833" spans="1:47" s="46" customFormat="1" hidden="1" x14ac:dyDescent="0.2">
      <c r="A833" s="374" t="s">
        <v>187</v>
      </c>
      <c r="B833" s="1061" t="s">
        <v>261</v>
      </c>
      <c r="C833" s="317" t="s">
        <v>2134</v>
      </c>
      <c r="D833" s="94"/>
      <c r="E833" s="375" t="s">
        <v>2135</v>
      </c>
      <c r="F833" s="375" t="s">
        <v>585</v>
      </c>
      <c r="G833" s="274" t="s">
        <v>586</v>
      </c>
      <c r="H833" s="274" t="s">
        <v>586</v>
      </c>
      <c r="I833" s="274" t="s">
        <v>52</v>
      </c>
      <c r="J833" s="344" t="s">
        <v>280</v>
      </c>
      <c r="K833" s="274" t="s">
        <v>281</v>
      </c>
      <c r="L833" s="274" t="s">
        <v>282</v>
      </c>
      <c r="M833" s="318">
        <v>1530</v>
      </c>
      <c r="N833" s="71"/>
      <c r="O833" s="274" t="s">
        <v>64</v>
      </c>
      <c r="P833" s="274">
        <v>24</v>
      </c>
      <c r="Q833" s="274">
        <v>30</v>
      </c>
      <c r="R833" s="274">
        <v>24</v>
      </c>
      <c r="S833" s="274">
        <v>30</v>
      </c>
      <c r="T833" s="274">
        <v>24</v>
      </c>
      <c r="U833" s="274">
        <v>30</v>
      </c>
      <c r="V833" s="277">
        <v>24</v>
      </c>
      <c r="W833" s="277">
        <v>30</v>
      </c>
      <c r="X833" s="343" t="s">
        <v>283</v>
      </c>
      <c r="Y833" s="274"/>
      <c r="Z833" s="274"/>
      <c r="AA833" s="727">
        <f t="shared" si="282"/>
        <v>5</v>
      </c>
      <c r="AB833" s="341">
        <f>AA833*Swiss1</f>
        <v>141.5</v>
      </c>
      <c r="AC833" s="278">
        <f>MDFSHEET*0.25</f>
        <v>6.0875000000000004</v>
      </c>
      <c r="AD833" s="263">
        <f>Table1[[#This Row],[Substrate SF]]*Materials!C$37</f>
        <v>14</v>
      </c>
      <c r="AE833" s="104">
        <f>IF(Table1[[#This Row],[Work Center]]="SwissQ",Materials!G$37,IF(Table1[[#This Row],[Work Center]]="Inca",Materials!G$29,IF(Table1[[#This Row],[Work Center]]="Canon",Materials!G$49,Materials!G$45)))</f>
        <v>20</v>
      </c>
      <c r="AF833" s="321">
        <f>'Cali Frames'!D540</f>
        <v>104.7375</v>
      </c>
      <c r="AG833" s="320"/>
      <c r="AH833" s="112">
        <f t="shared" si="283"/>
        <v>76.5</v>
      </c>
      <c r="AI833" s="112"/>
      <c r="AJ833" s="263">
        <f t="shared" si="281"/>
        <v>221.32499999999999</v>
      </c>
      <c r="AK833" s="62">
        <f t="shared" si="280"/>
        <v>0.85534313725490196</v>
      </c>
      <c r="AL833" s="225">
        <f>Table1[[#This Row],[WSP/Dealer]]/Table1[[#This Row],[OD Sq Inch]]</f>
        <v>2.125</v>
      </c>
      <c r="AM833" s="170">
        <f>Table1[[#This Row],[OD Wdth]]*Table1[[#This Row],[OD Hgt]]</f>
        <v>720</v>
      </c>
      <c r="AN833" s="238">
        <f>Table1[[#This Row],[Min VO]]+Table1[[#This Row],[Max VO]]</f>
        <v>54</v>
      </c>
      <c r="AO833" s="275"/>
      <c r="AP833" s="275"/>
      <c r="AQ833" s="320"/>
      <c r="AR833" s="320"/>
      <c r="AS833" s="320"/>
      <c r="AT833" s="278"/>
      <c r="AU833" s="1368" t="str">
        <f t="shared" si="279"/>
        <v>-</v>
      </c>
    </row>
    <row r="834" spans="1:47" s="46" customFormat="1" x14ac:dyDescent="0.2">
      <c r="A834" s="180" t="s">
        <v>58</v>
      </c>
      <c r="B834" s="1061" t="s">
        <v>587</v>
      </c>
      <c r="C834" s="281" t="s">
        <v>2136</v>
      </c>
      <c r="D834" s="94"/>
      <c r="E834" s="291" t="s">
        <v>2135</v>
      </c>
      <c r="F834" s="291" t="s">
        <v>585</v>
      </c>
      <c r="G834" s="180" t="s">
        <v>586</v>
      </c>
      <c r="H834" s="180" t="s">
        <v>586</v>
      </c>
      <c r="I834" s="180" t="s">
        <v>52</v>
      </c>
      <c r="J834" s="310" t="s">
        <v>280</v>
      </c>
      <c r="K834" s="180" t="s">
        <v>281</v>
      </c>
      <c r="L834" s="180" t="s">
        <v>282</v>
      </c>
      <c r="M834" s="292">
        <v>450</v>
      </c>
      <c r="N834" s="639">
        <v>450</v>
      </c>
      <c r="O834" s="180" t="s">
        <v>64</v>
      </c>
      <c r="P834" s="180">
        <v>24</v>
      </c>
      <c r="Q834" s="180">
        <v>30</v>
      </c>
      <c r="R834" s="180">
        <v>24</v>
      </c>
      <c r="S834" s="180">
        <v>30</v>
      </c>
      <c r="T834" s="180">
        <v>24</v>
      </c>
      <c r="U834" s="180">
        <v>30</v>
      </c>
      <c r="V834" s="947">
        <v>24</v>
      </c>
      <c r="W834" s="947">
        <v>30</v>
      </c>
      <c r="X834" s="289" t="s">
        <v>283</v>
      </c>
      <c r="Y834" s="180"/>
      <c r="Z834" s="180"/>
      <c r="AA834" s="678">
        <f t="shared" si="282"/>
        <v>5</v>
      </c>
      <c r="AB834" s="329">
        <f>AA834*Swiss1</f>
        <v>141.5</v>
      </c>
      <c r="AC834" s="176">
        <f>MDFSHEET*0.25</f>
        <v>6.0875000000000004</v>
      </c>
      <c r="AD834" s="176">
        <f>Table1[[#This Row],[Substrate SF]]*Materials!C$37</f>
        <v>14</v>
      </c>
      <c r="AE834" s="104">
        <f>IF(Table1[[#This Row],[Work Center]]="SwissQ",Materials!G$37,IF(Table1[[#This Row],[Work Center]]="Inca",Materials!G$29,IF(Table1[[#This Row],[Work Center]]="Canon",Materials!G$49,Materials!G$45)))</f>
        <v>20</v>
      </c>
      <c r="AF834" s="290">
        <f>'Cali Frames'!D539</f>
        <v>101.955</v>
      </c>
      <c r="AG834" s="296"/>
      <c r="AH834" s="112">
        <f t="shared" si="283"/>
        <v>22.5</v>
      </c>
      <c r="AI834" s="112"/>
      <c r="AJ834" s="176">
        <f t="shared" si="281"/>
        <v>164.54249999999999</v>
      </c>
      <c r="AK834" s="62">
        <f t="shared" si="280"/>
        <v>0.63434999999999997</v>
      </c>
      <c r="AL834" s="225">
        <f>Table1[[#This Row],[WSP/Dealer]]/Table1[[#This Row],[OD Sq Inch]]</f>
        <v>0.625</v>
      </c>
      <c r="AM834" s="180">
        <f>Table1[[#This Row],[OD Wdth]]*Table1[[#This Row],[OD Hgt]]</f>
        <v>720</v>
      </c>
      <c r="AN834" s="216">
        <f>Table1[[#This Row],[Min VO]]+Table1[[#This Row],[Max VO]]</f>
        <v>54</v>
      </c>
      <c r="AO834" s="284"/>
      <c r="AP834" s="284"/>
      <c r="AQ834" s="296"/>
      <c r="AR834" s="296"/>
      <c r="AS834" s="296"/>
      <c r="AT834" s="176"/>
      <c r="AU834" s="1358" t="str">
        <f t="shared" si="279"/>
        <v>-</v>
      </c>
    </row>
    <row r="835" spans="1:47" s="117" customFormat="1" x14ac:dyDescent="0.2">
      <c r="A835" s="60" t="s">
        <v>581</v>
      </c>
      <c r="B835" s="1061" t="s">
        <v>292</v>
      </c>
      <c r="C835" s="76" t="s">
        <v>2137</v>
      </c>
      <c r="D835" s="94"/>
      <c r="E835" s="83" t="s">
        <v>2135</v>
      </c>
      <c r="F835" s="83" t="s">
        <v>585</v>
      </c>
      <c r="G835" s="60" t="s">
        <v>354</v>
      </c>
      <c r="H835" s="60" t="s">
        <v>602</v>
      </c>
      <c r="I835" s="60" t="s">
        <v>52</v>
      </c>
      <c r="J835" s="59" t="s">
        <v>280</v>
      </c>
      <c r="K835" s="60" t="s">
        <v>82</v>
      </c>
      <c r="L835" s="60" t="s">
        <v>298</v>
      </c>
      <c r="M835" s="179">
        <v>450</v>
      </c>
      <c r="N835" s="124"/>
      <c r="O835" s="60" t="s">
        <v>64</v>
      </c>
      <c r="P835" s="60">
        <v>24</v>
      </c>
      <c r="Q835" s="60">
        <v>30</v>
      </c>
      <c r="R835" s="60">
        <v>24</v>
      </c>
      <c r="S835" s="273">
        <v>30</v>
      </c>
      <c r="T835" s="60">
        <v>25</v>
      </c>
      <c r="U835" s="60">
        <v>31</v>
      </c>
      <c r="V835" s="947">
        <v>24</v>
      </c>
      <c r="W835" s="947">
        <v>30</v>
      </c>
      <c r="X835" s="60" t="s">
        <v>283</v>
      </c>
      <c r="Y835" s="60"/>
      <c r="Z835" s="60"/>
      <c r="AA835" s="826">
        <f t="shared" si="282"/>
        <v>5</v>
      </c>
      <c r="AB835" s="125">
        <f>AA835*Swiss1</f>
        <v>141.5</v>
      </c>
      <c r="AC835" s="176">
        <f>MDFSHEET*0.25</f>
        <v>6.0875000000000004</v>
      </c>
      <c r="AD835" s="175">
        <f>Table1[[#This Row],[Substrate SF]]*Materials!C$37</f>
        <v>14</v>
      </c>
      <c r="AE835" s="69">
        <f>IF(Table1[[#This Row],[Work Center]]="SwissQ",Materials!G$37,IF(Table1[[#This Row],[Work Center]]="Inca",Materials!G$29,IF(Table1[[#This Row],[Work Center]]="Canon",Materials!G$49,Materials!G$45)))</f>
        <v>20</v>
      </c>
      <c r="AF835" s="72">
        <f>'Cali Frames'!D226</f>
        <v>107.065</v>
      </c>
      <c r="AG835" s="540"/>
      <c r="AH835" s="69">
        <f t="shared" si="283"/>
        <v>22.5</v>
      </c>
      <c r="AI835" s="69"/>
      <c r="AJ835" s="176">
        <f t="shared" si="281"/>
        <v>169.6525</v>
      </c>
      <c r="AK835" s="650">
        <f t="shared" si="280"/>
        <v>0.62299444444444441</v>
      </c>
      <c r="AL835" s="225">
        <f>Table1[[#This Row],[WSP/Dealer]]/Table1[[#This Row],[OD Sq Inch]]</f>
        <v>0.58064516129032262</v>
      </c>
      <c r="AM835" s="173">
        <f>Table1[[#This Row],[OD Wdth]]*Table1[[#This Row],[OD Hgt]]</f>
        <v>775</v>
      </c>
      <c r="AN835" s="216">
        <f>Table1[[#This Row],[Min VO]]+Table1[[#This Row],[Max VO]]</f>
        <v>54</v>
      </c>
      <c r="AO835" s="83"/>
      <c r="AP835" s="83"/>
      <c r="AQ835" s="540"/>
      <c r="AR835" s="540"/>
      <c r="AS835" s="540"/>
      <c r="AT835" s="69"/>
      <c r="AU835" s="1361" t="str">
        <f t="shared" si="279"/>
        <v>-</v>
      </c>
    </row>
    <row r="836" spans="1:47" s="117" customFormat="1" hidden="1" x14ac:dyDescent="0.2">
      <c r="A836" s="437" t="s">
        <v>187</v>
      </c>
      <c r="B836" s="1061" t="s">
        <v>261</v>
      </c>
      <c r="C836" s="436" t="s">
        <v>2138</v>
      </c>
      <c r="D836" s="94"/>
      <c r="E836" s="436" t="s">
        <v>2139</v>
      </c>
      <c r="F836" s="375" t="s">
        <v>585</v>
      </c>
      <c r="G836" s="258" t="s">
        <v>354</v>
      </c>
      <c r="H836" s="68" t="s">
        <v>354</v>
      </c>
      <c r="I836" s="274" t="s">
        <v>108</v>
      </c>
      <c r="J836" s="68" t="s">
        <v>197</v>
      </c>
      <c r="K836" s="274" t="s">
        <v>198</v>
      </c>
      <c r="L836" s="274" t="s">
        <v>199</v>
      </c>
      <c r="M836" s="455">
        <v>60</v>
      </c>
      <c r="N836" s="71"/>
      <c r="O836" s="274" t="s">
        <v>64</v>
      </c>
      <c r="P836" s="274">
        <v>24</v>
      </c>
      <c r="Q836" s="274">
        <v>30</v>
      </c>
      <c r="R836" s="274">
        <v>24</v>
      </c>
      <c r="S836" s="274">
        <v>30</v>
      </c>
      <c r="T836" s="274">
        <v>24</v>
      </c>
      <c r="U836" s="274">
        <v>30</v>
      </c>
      <c r="V836" s="686">
        <f>Table1[[#This Row],[VO Wdth]]+Materials!$C$7</f>
        <v>26</v>
      </c>
      <c r="W836" s="686">
        <f>Table1[[#This Row],[VO Hgt]]+Materials!$C$7</f>
        <v>32</v>
      </c>
      <c r="X836" s="343" t="s">
        <v>197</v>
      </c>
      <c r="Y836" s="68"/>
      <c r="Z836" s="68"/>
      <c r="AA836" s="699">
        <f t="shared" si="282"/>
        <v>5.7777777777777777</v>
      </c>
      <c r="AB836" s="341">
        <f>Table1[[#This Row],[Substrate SF]]*Materials!C36</f>
        <v>163.51111111111112</v>
      </c>
      <c r="AC836" s="74">
        <f>Table1[[#This Row],[Substrate SF]]*POster</f>
        <v>4.2986666666666666</v>
      </c>
      <c r="AD836" s="278">
        <f>Table1[[#This Row],[Substrate SF]]*SWISSRC</f>
        <v>1.2711111111111111</v>
      </c>
      <c r="AE836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836" s="73">
        <v>0</v>
      </c>
      <c r="AG836" s="126">
        <f>Materials!D$76</f>
        <v>10.82</v>
      </c>
      <c r="AH836" s="498">
        <f t="shared" si="283"/>
        <v>3</v>
      </c>
      <c r="AI836" s="498"/>
      <c r="AJ836" s="278">
        <f t="shared" si="281"/>
        <v>29.389777777777777</v>
      </c>
      <c r="AK836" s="650">
        <f t="shared" si="280"/>
        <v>0.51017037037037039</v>
      </c>
      <c r="AL836" s="225">
        <f>Table1[[#This Row],[WSP/Dealer]]/Table1[[#This Row],[OD Sq Inch]]</f>
        <v>8.3333333333333329E-2</v>
      </c>
      <c r="AM836" s="274">
        <f>Table1[[#This Row],[OD Wdth]]*Table1[[#This Row],[OD Hgt]]</f>
        <v>720</v>
      </c>
      <c r="AN836" s="84"/>
      <c r="AO836" s="84"/>
      <c r="AP836" s="84"/>
      <c r="AQ836" s="126"/>
      <c r="AR836" s="126"/>
      <c r="AS836" s="126"/>
      <c r="AT836" s="74"/>
      <c r="AU836" s="1357" t="str">
        <f t="shared" si="279"/>
        <v>-</v>
      </c>
    </row>
    <row r="837" spans="1:47" s="46" customFormat="1" x14ac:dyDescent="0.2">
      <c r="A837" s="68" t="s">
        <v>581</v>
      </c>
      <c r="B837" s="1061" t="s">
        <v>292</v>
      </c>
      <c r="C837" s="76" t="s">
        <v>2140</v>
      </c>
      <c r="D837" s="94"/>
      <c r="E837" s="84" t="s">
        <v>2141</v>
      </c>
      <c r="F837" s="84" t="s">
        <v>585</v>
      </c>
      <c r="G837" s="68" t="s">
        <v>132</v>
      </c>
      <c r="H837" s="68" t="s">
        <v>793</v>
      </c>
      <c r="I837" s="68" t="s">
        <v>52</v>
      </c>
      <c r="J837" s="140" t="s">
        <v>280</v>
      </c>
      <c r="K837" s="68" t="s">
        <v>82</v>
      </c>
      <c r="L837" s="68" t="s">
        <v>298</v>
      </c>
      <c r="M837" s="141">
        <v>825</v>
      </c>
      <c r="N837" s="93">
        <v>825</v>
      </c>
      <c r="O837" s="68" t="s">
        <v>64</v>
      </c>
      <c r="P837" s="68">
        <v>36</v>
      </c>
      <c r="Q837" s="68">
        <v>48</v>
      </c>
      <c r="R837" s="68">
        <v>36</v>
      </c>
      <c r="S837" s="623">
        <v>48</v>
      </c>
      <c r="T837" s="68">
        <v>37</v>
      </c>
      <c r="U837" s="68">
        <v>49</v>
      </c>
      <c r="V837" s="686">
        <f>IF(J837="Canvas",P837+BorderL,P837)</f>
        <v>36</v>
      </c>
      <c r="W837" s="686">
        <f>IF(J837="Canvas",Q837+BorderL,Q837)</f>
        <v>48</v>
      </c>
      <c r="X837" s="189"/>
      <c r="Y837" s="68"/>
      <c r="Z837" s="68"/>
      <c r="AA837" s="727">
        <f t="shared" si="282"/>
        <v>12</v>
      </c>
      <c r="AB837" s="297">
        <f>AA837*Swiss1</f>
        <v>339.6</v>
      </c>
      <c r="AC837" s="278">
        <f t="shared" ref="AC837:AC843" si="284">AA837*Canvas</f>
        <v>7.92</v>
      </c>
      <c r="AD837" s="278">
        <f>Table1[[#This Row],[Substrate SF]]*Materials!C$37</f>
        <v>33.599999999999994</v>
      </c>
      <c r="AE837" s="74">
        <f>IF(Table1[[#This Row],[Work Center]]="SwissQ",Materials!G$37,IF(Table1[[#This Row],[Work Center]]="Inca",Materials!G$29,IF(Table1[[#This Row],[Work Center]]="Canon",Materials!G$49,Materials!G$45)))</f>
        <v>20</v>
      </c>
      <c r="AF837" s="73"/>
      <c r="AG837" s="540"/>
      <c r="AH837" s="74">
        <f t="shared" si="283"/>
        <v>41.25</v>
      </c>
      <c r="AI837" s="74"/>
      <c r="AJ837" s="278">
        <f t="shared" si="281"/>
        <v>102.77</v>
      </c>
      <c r="AK837" s="1001">
        <f t="shared" si="280"/>
        <v>0.875430303030303</v>
      </c>
      <c r="AL837" s="240">
        <f>Table1[[#This Row],[WSP/Dealer]]/Table1[[#This Row],[OD Sq Inch]]</f>
        <v>0.45504688361831219</v>
      </c>
      <c r="AM837" s="274">
        <f>Table1[[#This Row],[OD Wdth]]*Table1[[#This Row],[OD Hgt]]</f>
        <v>1813</v>
      </c>
      <c r="AN837" s="274">
        <f>Table1[[#This Row],[Min VO]]+Table1[[#This Row],[Max VO]]</f>
        <v>84</v>
      </c>
      <c r="AO837" s="84"/>
      <c r="AP837" s="84"/>
      <c r="AQ837" s="126"/>
      <c r="AR837" s="126"/>
      <c r="AS837" s="126"/>
      <c r="AT837" s="74"/>
      <c r="AU837" s="1357" t="str">
        <f t="shared" si="279"/>
        <v>-</v>
      </c>
    </row>
    <row r="838" spans="1:47" s="46" customFormat="1" x14ac:dyDescent="0.2">
      <c r="A838" s="60" t="s">
        <v>2142</v>
      </c>
      <c r="B838" s="1071" t="s">
        <v>305</v>
      </c>
      <c r="C838" s="76" t="s">
        <v>2143</v>
      </c>
      <c r="D838" s="79"/>
      <c r="E838" s="83" t="s">
        <v>2144</v>
      </c>
      <c r="F838" s="83" t="s">
        <v>308</v>
      </c>
      <c r="G838" s="60" t="s">
        <v>132</v>
      </c>
      <c r="H838" s="60" t="s">
        <v>132</v>
      </c>
      <c r="I838" s="60" t="s">
        <v>52</v>
      </c>
      <c r="J838" s="59" t="s">
        <v>53</v>
      </c>
      <c r="K838" s="60" t="s">
        <v>54</v>
      </c>
      <c r="L838" s="60" t="s">
        <v>55</v>
      </c>
      <c r="M838" s="124">
        <v>675</v>
      </c>
      <c r="N838" s="124"/>
      <c r="O838" s="60" t="s">
        <v>56</v>
      </c>
      <c r="P838" s="60">
        <v>36</v>
      </c>
      <c r="Q838" s="60">
        <v>48</v>
      </c>
      <c r="R838" s="60">
        <v>36</v>
      </c>
      <c r="S838" s="60">
        <v>48</v>
      </c>
      <c r="T838" s="60">
        <v>36</v>
      </c>
      <c r="U838" s="60">
        <v>48</v>
      </c>
      <c r="V838" s="946">
        <f t="shared" ref="V838:V843" si="285">IF(J838="Canvas",P838+Border,P838)</f>
        <v>44</v>
      </c>
      <c r="W838" s="946">
        <f t="shared" ref="W838:W843" si="286">IF(J838="Canvas",Q838+Border,Q838)</f>
        <v>56</v>
      </c>
      <c r="X838" s="138">
        <v>59</v>
      </c>
      <c r="Y838" s="60">
        <v>44</v>
      </c>
      <c r="Z838" s="60">
        <v>56</v>
      </c>
      <c r="AA838" s="678">
        <f t="shared" si="282"/>
        <v>17.111111111111111</v>
      </c>
      <c r="AB838" s="125">
        <f>AA838*IncaG</f>
        <v>360.01777777777778</v>
      </c>
      <c r="AC838" s="69">
        <f t="shared" si="284"/>
        <v>11.293333333333333</v>
      </c>
      <c r="AD838" s="175">
        <f>Table1[[#This Row],[Substrate SF]]*IncaC</f>
        <v>28.801422222222222</v>
      </c>
      <c r="AE838" s="69">
        <f>IF(Table1[[#This Row],[Work Center]]="SwissQ",Materials!G$37,IF(Table1[[#This Row],[Work Center]]="Inca",Materials!G$29,IF(Table1[[#This Row],[Work Center]]="Canon",Materials!G$49,Materials!G$45)))</f>
        <v>8</v>
      </c>
      <c r="AF838" s="72">
        <f>'Cali FPS'!C71</f>
        <v>114.31</v>
      </c>
      <c r="AG838" s="540"/>
      <c r="AH838" s="69">
        <f t="shared" si="283"/>
        <v>33.75</v>
      </c>
      <c r="AI838" s="69"/>
      <c r="AJ838" s="176">
        <f t="shared" si="281"/>
        <v>196.15475555555554</v>
      </c>
      <c r="AK838" s="650">
        <f t="shared" si="280"/>
        <v>0.70940036213991775</v>
      </c>
      <c r="AL838" s="225">
        <f>Table1[[#This Row],[WSP/Dealer]]/Table1[[#This Row],[OD Sq Inch]]</f>
        <v>0.390625</v>
      </c>
      <c r="AM838" s="173">
        <f>Table1[[#This Row],[OD Wdth]]*Table1[[#This Row],[OD Hgt]]</f>
        <v>1728</v>
      </c>
      <c r="AN838" s="180">
        <f>Table1[[#This Row],[Min VO]]+Table1[[#This Row],[Max VO]]</f>
        <v>84</v>
      </c>
      <c r="AO838" s="83"/>
      <c r="AP838" s="83"/>
      <c r="AQ838" s="540"/>
      <c r="AR838" s="540"/>
      <c r="AS838" s="540"/>
      <c r="AT838" s="69"/>
      <c r="AU838" s="1361" t="str">
        <f t="shared" si="279"/>
        <v>-</v>
      </c>
    </row>
    <row r="839" spans="1:47" s="103" customFormat="1" x14ac:dyDescent="0.2">
      <c r="A839" s="68" t="s">
        <v>2142</v>
      </c>
      <c r="B839" s="1072" t="s">
        <v>305</v>
      </c>
      <c r="C839" s="78" t="s">
        <v>2145</v>
      </c>
      <c r="D839" s="94"/>
      <c r="E839" s="84" t="s">
        <v>2144</v>
      </c>
      <c r="F839" s="84" t="s">
        <v>308</v>
      </c>
      <c r="G839" s="68" t="s">
        <v>132</v>
      </c>
      <c r="H839" s="68" t="s">
        <v>133</v>
      </c>
      <c r="I839" s="68" t="s">
        <v>52</v>
      </c>
      <c r="J839" s="140" t="s">
        <v>53</v>
      </c>
      <c r="K839" s="68" t="s">
        <v>69</v>
      </c>
      <c r="L839" s="68" t="s">
        <v>70</v>
      </c>
      <c r="M839" s="93">
        <v>750</v>
      </c>
      <c r="N839" s="93"/>
      <c r="O839" s="68" t="s">
        <v>56</v>
      </c>
      <c r="P839" s="68">
        <v>36</v>
      </c>
      <c r="Q839" s="68">
        <v>48</v>
      </c>
      <c r="R839" s="68">
        <v>36</v>
      </c>
      <c r="S839" s="68">
        <v>48</v>
      </c>
      <c r="T839" s="68">
        <v>37</v>
      </c>
      <c r="U839" s="68">
        <v>49</v>
      </c>
      <c r="V839" s="917">
        <f t="shared" si="285"/>
        <v>44</v>
      </c>
      <c r="W839" s="917">
        <f t="shared" si="286"/>
        <v>56</v>
      </c>
      <c r="X839" s="189">
        <v>59</v>
      </c>
      <c r="Y839" s="68">
        <v>44</v>
      </c>
      <c r="Z839" s="68">
        <v>56</v>
      </c>
      <c r="AA839" s="727">
        <f t="shared" si="282"/>
        <v>17.111111111111111</v>
      </c>
      <c r="AB839" s="297">
        <f>AA839*IncaG</f>
        <v>360.01777777777778</v>
      </c>
      <c r="AC839" s="74">
        <f t="shared" si="284"/>
        <v>11.293333333333333</v>
      </c>
      <c r="AD839" s="263">
        <f>Table1[[#This Row],[Substrate SF]]*IncaC</f>
        <v>28.801422222222222</v>
      </c>
      <c r="AE839" s="74">
        <f>IF(Table1[[#This Row],[Work Center]]="SwissQ",Materials!G$37,IF(Table1[[#This Row],[Work Center]]="Inca",Materials!G$29,IF(Table1[[#This Row],[Work Center]]="Canon",Materials!G$49,Materials!G$45)))</f>
        <v>8</v>
      </c>
      <c r="AF839" s="73">
        <f>'Cali Frames'!D300</f>
        <v>164.8</v>
      </c>
      <c r="AG839" s="126"/>
      <c r="AH839" s="74">
        <f t="shared" si="283"/>
        <v>37.5</v>
      </c>
      <c r="AI839" s="74"/>
      <c r="AJ839" s="278">
        <f t="shared" si="281"/>
        <v>250.39475555555555</v>
      </c>
      <c r="AK839" s="1001">
        <f t="shared" si="280"/>
        <v>0.66614032592592598</v>
      </c>
      <c r="AL839" s="240">
        <f>Table1[[#This Row],[WSP/Dealer]]/Table1[[#This Row],[OD Sq Inch]]</f>
        <v>0.41367898510755652</v>
      </c>
      <c r="AM839" s="170">
        <f>Table1[[#This Row],[OD Wdth]]*Table1[[#This Row],[OD Hgt]]</f>
        <v>1813</v>
      </c>
      <c r="AN839" s="274">
        <f>Table1[[#This Row],[Min VO]]+Table1[[#This Row],[Max VO]]</f>
        <v>84</v>
      </c>
      <c r="AO839" s="84"/>
      <c r="AP839" s="84"/>
      <c r="AQ839" s="126"/>
      <c r="AR839" s="126"/>
      <c r="AS839" s="126"/>
      <c r="AT839" s="74"/>
      <c r="AU839" s="1357" t="str">
        <f t="shared" si="279"/>
        <v>-</v>
      </c>
    </row>
    <row r="840" spans="1:47" s="103" customFormat="1" hidden="1" x14ac:dyDescent="0.2">
      <c r="A840" s="521" t="s">
        <v>318</v>
      </c>
      <c r="B840" s="1061" t="s">
        <v>96</v>
      </c>
      <c r="C840" s="659" t="s">
        <v>2146</v>
      </c>
      <c r="D840" s="94">
        <v>176240</v>
      </c>
      <c r="E840" s="522" t="s">
        <v>2147</v>
      </c>
      <c r="F840" s="522" t="s">
        <v>567</v>
      </c>
      <c r="G840" s="110" t="s">
        <v>2148</v>
      </c>
      <c r="H840" s="110" t="s">
        <v>133</v>
      </c>
      <c r="I840" s="110" t="s">
        <v>52</v>
      </c>
      <c r="J840" s="846" t="s">
        <v>53</v>
      </c>
      <c r="K840" s="110" t="s">
        <v>69</v>
      </c>
      <c r="L840" s="110" t="s">
        <v>70</v>
      </c>
      <c r="M840" s="544">
        <v>410</v>
      </c>
      <c r="N840" s="786">
        <v>975</v>
      </c>
      <c r="O840" s="110" t="s">
        <v>56</v>
      </c>
      <c r="P840" s="110">
        <v>36</v>
      </c>
      <c r="Q840" s="110">
        <v>48</v>
      </c>
      <c r="R840" s="110">
        <v>36</v>
      </c>
      <c r="S840" s="110">
        <v>48</v>
      </c>
      <c r="T840" s="110">
        <v>37</v>
      </c>
      <c r="U840" s="110">
        <v>49</v>
      </c>
      <c r="V840" s="98">
        <f t="shared" si="285"/>
        <v>44</v>
      </c>
      <c r="W840" s="98">
        <f t="shared" si="286"/>
        <v>56</v>
      </c>
      <c r="X840" s="847">
        <v>59</v>
      </c>
      <c r="Y840" s="110">
        <v>44</v>
      </c>
      <c r="Z840" s="110">
        <v>56</v>
      </c>
      <c r="AA840" s="827">
        <f t="shared" si="282"/>
        <v>17.111111111111111</v>
      </c>
      <c r="AB840" s="701">
        <f>AA840*IncaG</f>
        <v>360.01777777777778</v>
      </c>
      <c r="AC840" s="498">
        <f t="shared" si="284"/>
        <v>11.293333333333333</v>
      </c>
      <c r="AD840" s="523">
        <f>Table1[[#This Row],[Substrate SF]]*IncaC</f>
        <v>28.801422222222222</v>
      </c>
      <c r="AE840" s="498">
        <f>IF(Table1[[#This Row],[Work Center]]="SwissQ",Materials!G$37,IF(Table1[[#This Row],[Work Center]]="Inca",Materials!G$29,IF(Table1[[#This Row],[Work Center]]="Canon",Materials!G$49,Materials!G$45)))</f>
        <v>8</v>
      </c>
      <c r="AF840" s="828">
        <f>'Cali Frames'!D300</f>
        <v>164.8</v>
      </c>
      <c r="AG840" s="663"/>
      <c r="AH840" s="112">
        <f t="shared" si="283"/>
        <v>20.5</v>
      </c>
      <c r="AI840" s="112"/>
      <c r="AJ840" s="828">
        <f t="shared" si="281"/>
        <v>233.39475555555555</v>
      </c>
      <c r="AK840" s="62">
        <f t="shared" si="280"/>
        <v>0.43074449864498648</v>
      </c>
      <c r="AL840" s="225">
        <f>Table1[[#This Row],[WSP/Dealer]]/Table1[[#This Row],[OD Sq Inch]]</f>
        <v>0.22614451185879758</v>
      </c>
      <c r="AM840" s="524">
        <f>Table1[[#This Row],[OD Wdth]]*Table1[[#This Row],[OD Hgt]]</f>
        <v>1813</v>
      </c>
      <c r="AN840" s="915" t="str">
        <f>Table1[[#This Row],[Color]]</f>
        <v>BF</v>
      </c>
      <c r="AO840" s="522" t="str">
        <f>Table1[[#This Row],[Print Type]]</f>
        <v>Synograph</v>
      </c>
      <c r="AP840" s="121"/>
      <c r="AQ840" s="121"/>
      <c r="AR840" s="121"/>
      <c r="AS840" s="121"/>
      <c r="AT840" s="104"/>
      <c r="AU840" s="1492" t="str">
        <f t="shared" si="279"/>
        <v>-</v>
      </c>
    </row>
    <row r="841" spans="1:47" s="103" customFormat="1" hidden="1" x14ac:dyDescent="0.2">
      <c r="A841" s="521" t="s">
        <v>318</v>
      </c>
      <c r="B841" s="1061" t="s">
        <v>96</v>
      </c>
      <c r="C841" s="659" t="s">
        <v>2149</v>
      </c>
      <c r="D841" s="94">
        <v>176264</v>
      </c>
      <c r="E841" s="522" t="s">
        <v>2150</v>
      </c>
      <c r="F841" s="522" t="s">
        <v>567</v>
      </c>
      <c r="G841" s="110" t="s">
        <v>2148</v>
      </c>
      <c r="H841" s="947" t="s">
        <v>133</v>
      </c>
      <c r="I841" s="110" t="s">
        <v>52</v>
      </c>
      <c r="J841" s="846" t="s">
        <v>53</v>
      </c>
      <c r="K841" s="110" t="s">
        <v>69</v>
      </c>
      <c r="L841" s="110" t="s">
        <v>70</v>
      </c>
      <c r="M841" s="544">
        <v>410</v>
      </c>
      <c r="N841" s="786">
        <v>975</v>
      </c>
      <c r="O841" s="110" t="s">
        <v>56</v>
      </c>
      <c r="P841" s="110">
        <v>36</v>
      </c>
      <c r="Q841" s="110">
        <v>48</v>
      </c>
      <c r="R841" s="110">
        <v>36</v>
      </c>
      <c r="S841" s="110">
        <v>48</v>
      </c>
      <c r="T841" s="110">
        <v>37</v>
      </c>
      <c r="U841" s="110">
        <v>49</v>
      </c>
      <c r="V841" s="1487">
        <f t="shared" si="285"/>
        <v>44</v>
      </c>
      <c r="W841" s="1487">
        <f t="shared" si="286"/>
        <v>56</v>
      </c>
      <c r="X841" s="847">
        <v>59</v>
      </c>
      <c r="Y841" s="110">
        <v>44</v>
      </c>
      <c r="Z841" s="110">
        <v>56</v>
      </c>
      <c r="AA841" s="827">
        <f t="shared" si="282"/>
        <v>17.111111111111111</v>
      </c>
      <c r="AB841" s="701">
        <f>AA841*IncaG</f>
        <v>360.01777777777778</v>
      </c>
      <c r="AC841" s="498">
        <f t="shared" si="284"/>
        <v>11.293333333333333</v>
      </c>
      <c r="AD841" s="523">
        <f>Table1[[#This Row],[Substrate SF]]*IncaC</f>
        <v>28.801422222222222</v>
      </c>
      <c r="AE841" s="498">
        <f>IF(Table1[[#This Row],[Work Center]]="SwissQ",Materials!G$37,IF(Table1[[#This Row],[Work Center]]="Inca",Materials!G$29,IF(Table1[[#This Row],[Work Center]]="Canon",Materials!G$49,Materials!G$45)))</f>
        <v>8</v>
      </c>
      <c r="AF841" s="828">
        <f>'Cali Frames'!D300</f>
        <v>164.8</v>
      </c>
      <c r="AG841" s="663"/>
      <c r="AH841" s="498">
        <f t="shared" si="283"/>
        <v>20.5</v>
      </c>
      <c r="AI841" s="498"/>
      <c r="AJ841" s="828">
        <f t="shared" si="281"/>
        <v>233.39475555555555</v>
      </c>
      <c r="AK841" s="650">
        <f t="shared" si="280"/>
        <v>0.43074449864498648</v>
      </c>
      <c r="AL841" s="225">
        <f>Table1[[#This Row],[WSP/Dealer]]/Table1[[#This Row],[OD Sq Inch]]</f>
        <v>0.22614451185879758</v>
      </c>
      <c r="AM841" s="524">
        <f>Table1[[#This Row],[OD Wdth]]*Table1[[#This Row],[OD Hgt]]</f>
        <v>1813</v>
      </c>
      <c r="AN841" s="915" t="str">
        <f>Table1[[#This Row],[Color]]</f>
        <v>BF</v>
      </c>
      <c r="AO841" s="522" t="str">
        <f>Table1[[#This Row],[Print Type]]</f>
        <v>Synograph</v>
      </c>
      <c r="AP841" s="121"/>
      <c r="AQ841" s="121"/>
      <c r="AR841" s="121"/>
      <c r="AS841" s="121"/>
      <c r="AT841" s="104"/>
      <c r="AU841" s="1492" t="str">
        <f t="shared" si="279"/>
        <v>-</v>
      </c>
    </row>
    <row r="842" spans="1:47" s="103" customFormat="1" hidden="1" x14ac:dyDescent="0.2">
      <c r="A842" s="400" t="s">
        <v>110</v>
      </c>
      <c r="B842" s="1062" t="s">
        <v>96</v>
      </c>
      <c r="C842" s="168" t="s">
        <v>2151</v>
      </c>
      <c r="D842" s="168"/>
      <c r="E842" s="115" t="s">
        <v>2152</v>
      </c>
      <c r="F842" s="115" t="s">
        <v>131</v>
      </c>
      <c r="G842" s="101" t="s">
        <v>323</v>
      </c>
      <c r="H842" s="101" t="s">
        <v>323</v>
      </c>
      <c r="I842" s="101" t="s">
        <v>108</v>
      </c>
      <c r="J842" s="487" t="s">
        <v>53</v>
      </c>
      <c r="K842" s="101" t="s">
        <v>54</v>
      </c>
      <c r="L842" s="101" t="s">
        <v>55</v>
      </c>
      <c r="M842" s="299">
        <v>275</v>
      </c>
      <c r="N842" s="102"/>
      <c r="O842" s="101" t="s">
        <v>109</v>
      </c>
      <c r="P842" s="101">
        <v>36</v>
      </c>
      <c r="Q842" s="101">
        <v>24</v>
      </c>
      <c r="R842" s="101">
        <v>24</v>
      </c>
      <c r="S842" s="101">
        <v>36</v>
      </c>
      <c r="T842" s="101">
        <v>36</v>
      </c>
      <c r="U842" s="101">
        <v>24</v>
      </c>
      <c r="V842" s="608">
        <f t="shared" si="285"/>
        <v>44</v>
      </c>
      <c r="W842" s="608">
        <f t="shared" si="286"/>
        <v>32</v>
      </c>
      <c r="X842" s="137">
        <v>40</v>
      </c>
      <c r="Y842" s="101">
        <v>44</v>
      </c>
      <c r="Z842" s="101">
        <v>32</v>
      </c>
      <c r="AA842" s="649">
        <f t="shared" si="282"/>
        <v>9.7777777777777786</v>
      </c>
      <c r="AB842" s="184">
        <f>AA842*EPSONML</f>
        <v>44</v>
      </c>
      <c r="AC842" s="104">
        <f t="shared" si="284"/>
        <v>6.453333333333334</v>
      </c>
      <c r="AD842" s="405">
        <f>Table1[[#This Row],[Substrate SF]]*EPSONC</f>
        <v>2.1511111111111112</v>
      </c>
      <c r="AE842" s="104">
        <f>IF(Table1[[#This Row],[Work Center]]="SwissQ",Materials!G$37,IF(Table1[[#This Row],[Work Center]]="Inca",Materials!G$29,IF(Table1[[#This Row],[Work Center]]="Canon",Materials!G$49,Materials!G$45)))</f>
        <v>5</v>
      </c>
      <c r="AF842" s="102">
        <f>'Cali FPS'!C37</f>
        <v>75.162500000000009</v>
      </c>
      <c r="AG842" s="121"/>
      <c r="AH842" s="107">
        <f t="shared" si="283"/>
        <v>13.75</v>
      </c>
      <c r="AI842" s="405">
        <f>IF(A842="Codarus",(M842*0.13))</f>
        <v>35.75</v>
      </c>
      <c r="AJ842" s="104">
        <f>SUM(AC842:AI842)</f>
        <v>138.26694444444445</v>
      </c>
      <c r="AK842" s="108">
        <f t="shared" si="280"/>
        <v>0.4972111111111111</v>
      </c>
      <c r="AL842" s="660">
        <f>Table1[[#This Row],[WSP/Dealer]]/Table1[[#This Row],[OD Sq Inch]]</f>
        <v>0.31828703703703703</v>
      </c>
      <c r="AM842" s="229">
        <f>Table1[[#This Row],[OD Wdth]]*Table1[[#This Row],[OD Hgt]]</f>
        <v>864</v>
      </c>
      <c r="AN842" s="266">
        <f>Table1[[#This Row],[Min VO]]+Table1[[#This Row],[Max VO]]</f>
        <v>60</v>
      </c>
      <c r="AO842" s="115"/>
      <c r="AP842" s="1307">
        <f>(M842*2)</f>
        <v>550</v>
      </c>
      <c r="AQ842" s="121">
        <f>(Table1[[#This Row],[Desgnr/Retail P]]*0.05)</f>
        <v>27.5</v>
      </c>
      <c r="AR842" s="121">
        <f>IF(A842="Codarus",(AP842*0.13))</f>
        <v>71.5</v>
      </c>
      <c r="AS842" s="121">
        <f>SUM(Table1[[#This Row],[Substrate $]:[GP FINISH]])+Table1[[#This Row],[Retail Royalty]]+Table1[[#This Row],[Retail$Comm]]</f>
        <v>187.76694444444445</v>
      </c>
      <c r="AT842" s="830">
        <f>IF(AP842=0,"-",(AP842-AS842)/AP842)</f>
        <v>0.65860555555555556</v>
      </c>
      <c r="AU842" s="1359">
        <f t="shared" si="279"/>
        <v>0.97605070707070707</v>
      </c>
    </row>
    <row r="843" spans="1:47" s="103" customFormat="1" hidden="1" x14ac:dyDescent="0.2">
      <c r="A843" s="400" t="s">
        <v>996</v>
      </c>
      <c r="B843" s="1062" t="s">
        <v>96</v>
      </c>
      <c r="C843" s="168" t="s">
        <v>2153</v>
      </c>
      <c r="D843" s="168"/>
      <c r="E843" s="115" t="s">
        <v>2152</v>
      </c>
      <c r="F843" s="115" t="s">
        <v>131</v>
      </c>
      <c r="G843" s="101" t="s">
        <v>323</v>
      </c>
      <c r="H843" s="608" t="s">
        <v>325</v>
      </c>
      <c r="I843" s="101" t="s">
        <v>52</v>
      </c>
      <c r="J843" s="487" t="s">
        <v>53</v>
      </c>
      <c r="K843" s="101" t="s">
        <v>69</v>
      </c>
      <c r="L843" s="101" t="s">
        <v>70</v>
      </c>
      <c r="M843" s="299">
        <v>520</v>
      </c>
      <c r="N843" s="102"/>
      <c r="O843" s="101" t="s">
        <v>64</v>
      </c>
      <c r="P843" s="101">
        <v>36</v>
      </c>
      <c r="Q843" s="101">
        <v>24</v>
      </c>
      <c r="R843" s="101">
        <v>24</v>
      </c>
      <c r="S843" s="101">
        <v>36</v>
      </c>
      <c r="T843" s="101">
        <v>37</v>
      </c>
      <c r="U843" s="101">
        <v>25</v>
      </c>
      <c r="V843" s="106">
        <f t="shared" si="285"/>
        <v>44</v>
      </c>
      <c r="W843" s="106">
        <f t="shared" si="286"/>
        <v>32</v>
      </c>
      <c r="X843" s="1010">
        <v>40</v>
      </c>
      <c r="Y843" s="101">
        <v>44</v>
      </c>
      <c r="Z843" s="101">
        <v>32</v>
      </c>
      <c r="AA843" s="649">
        <f t="shared" si="282"/>
        <v>9.7777777777777786</v>
      </c>
      <c r="AB843" s="184">
        <f>AA843*Swiss1</f>
        <v>276.71111111111117</v>
      </c>
      <c r="AC843" s="104">
        <f t="shared" si="284"/>
        <v>6.453333333333334</v>
      </c>
      <c r="AD843" s="107">
        <f>Table1[[#This Row],[Substrate SF]]*Materials!C$37</f>
        <v>27.37777777777778</v>
      </c>
      <c r="AE843" s="104">
        <f>IF(Table1[[#This Row],[Work Center]]="SwissQ",Materials!G$37,IF(Table1[[#This Row],[Work Center]]="Inca",Materials!G$29,IF(Table1[[#This Row],[Work Center]]="Canon",Materials!G$49,Materials!G$45)))</f>
        <v>20</v>
      </c>
      <c r="AF843" s="102">
        <f>'Cali Frames'!D282</f>
        <v>112.66500000000001</v>
      </c>
      <c r="AG843" s="121"/>
      <c r="AH843" s="107">
        <f t="shared" si="283"/>
        <v>26</v>
      </c>
      <c r="AI843" s="107"/>
      <c r="AJ843" s="104">
        <f t="shared" ref="AJ843:AJ856" si="287">SUM(AC843:AH843)</f>
        <v>192.49611111111113</v>
      </c>
      <c r="AK843" s="108">
        <f t="shared" si="280"/>
        <v>0.62981517094017092</v>
      </c>
      <c r="AL843" s="660">
        <f>Table1[[#This Row],[WSP/Dealer]]/Table1[[#This Row],[OD Sq Inch]]</f>
        <v>0.56216216216216219</v>
      </c>
      <c r="AM843" s="229">
        <f>Table1[[#This Row],[OD Wdth]]*Table1[[#This Row],[OD Hgt]]</f>
        <v>925</v>
      </c>
      <c r="AN843" s="266">
        <f>Table1[[#This Row],[Min VO]]+Table1[[#This Row],[Max VO]]</f>
        <v>60</v>
      </c>
      <c r="AO843" s="115"/>
      <c r="AP843" s="121"/>
      <c r="AQ843" s="121"/>
      <c r="AR843" s="121"/>
      <c r="AS843" s="121"/>
      <c r="AT843" s="104"/>
      <c r="AU843" s="1359" t="str">
        <f t="shared" si="279"/>
        <v>-</v>
      </c>
    </row>
    <row r="844" spans="1:47" s="103" customFormat="1" hidden="1" x14ac:dyDescent="0.2">
      <c r="A844" s="101" t="s">
        <v>110</v>
      </c>
      <c r="B844" s="1062" t="s">
        <v>250</v>
      </c>
      <c r="C844" s="100" t="s">
        <v>2154</v>
      </c>
      <c r="D844" s="168"/>
      <c r="E844" s="100" t="s">
        <v>2155</v>
      </c>
      <c r="F844" s="115" t="s">
        <v>301</v>
      </c>
      <c r="G844" s="101" t="s">
        <v>302</v>
      </c>
      <c r="H844" s="101" t="s">
        <v>2156</v>
      </c>
      <c r="I844" s="101" t="s">
        <v>256</v>
      </c>
      <c r="J844" s="101" t="s">
        <v>257</v>
      </c>
      <c r="K844" s="101" t="s">
        <v>258</v>
      </c>
      <c r="L844" s="101" t="s">
        <v>259</v>
      </c>
      <c r="M844" s="102">
        <v>300</v>
      </c>
      <c r="N844" s="102"/>
      <c r="O844" s="101" t="s">
        <v>260</v>
      </c>
      <c r="P844" s="101">
        <v>24</v>
      </c>
      <c r="Q844" s="101">
        <v>32</v>
      </c>
      <c r="R844" s="101">
        <v>24</v>
      </c>
      <c r="S844" s="697">
        <v>32</v>
      </c>
      <c r="T844" s="101">
        <v>26</v>
      </c>
      <c r="U844" s="101">
        <v>34</v>
      </c>
      <c r="V844" s="608">
        <f t="shared" ref="V844:V851" si="288">IF(J844="Canvas",P844+BorderGW,P844)</f>
        <v>24</v>
      </c>
      <c r="W844" s="608">
        <f t="shared" ref="W844:W851" si="289">IF(J844="Canvas",Q844+BorderGW,Q844)</f>
        <v>32</v>
      </c>
      <c r="X844" s="137">
        <v>44</v>
      </c>
      <c r="Y844" s="101">
        <v>26</v>
      </c>
      <c r="Z844" s="101">
        <v>34</v>
      </c>
      <c r="AA844" s="649">
        <f t="shared" si="282"/>
        <v>5.333333333333333</v>
      </c>
      <c r="AB844" s="184">
        <f>AA844*canonML</f>
        <v>25.599999999999998</v>
      </c>
      <c r="AC844" s="104">
        <f>AA844*paper44</f>
        <v>1.44</v>
      </c>
      <c r="AD844" s="107">
        <f>AA844*CanonC</f>
        <v>1.44</v>
      </c>
      <c r="AE844" s="104">
        <f>IF(Table1[[#This Row],[Work Center]]="SwissQ",Materials!G$37,IF(Table1[[#This Row],[Work Center]]="Inca",Materials!G$29,IF(Table1[[#This Row],[Work Center]]="Canon",Materials!G$49,Materials!G$45)))</f>
        <v>7</v>
      </c>
      <c r="AF844" s="104">
        <f>'Cali Frames'!D36</f>
        <v>114.08</v>
      </c>
      <c r="AG844" s="115"/>
      <c r="AH844" s="104">
        <f t="shared" si="283"/>
        <v>15</v>
      </c>
      <c r="AI844" s="104"/>
      <c r="AJ844" s="104">
        <f t="shared" si="287"/>
        <v>138.95999999999998</v>
      </c>
      <c r="AK844" s="830">
        <f t="shared" si="280"/>
        <v>0.53680000000000005</v>
      </c>
      <c r="AL844" s="660">
        <f>Table1[[#This Row],[WSP/Dealer]]/Table1[[#This Row],[OD Sq Inch]]</f>
        <v>0.33936651583710409</v>
      </c>
      <c r="AM844" s="103">
        <f>Table1[[#This Row],[OD Wdth]]*Table1[[#This Row],[OD Hgt]]</f>
        <v>884</v>
      </c>
      <c r="AN844" s="266">
        <f>Table1[[#This Row],[Min VO]]+Table1[[#This Row],[Max VO]]</f>
        <v>56</v>
      </c>
      <c r="AO844" s="101"/>
      <c r="AP844" s="121">
        <v>600</v>
      </c>
      <c r="AQ844" s="121">
        <f>(Table1[[#This Row],[Desgnr/Retail P]]*0.05)</f>
        <v>30</v>
      </c>
      <c r="AR844" s="121">
        <f>IF(A844="Codarus",(AP844*0.13))</f>
        <v>78</v>
      </c>
      <c r="AS844" s="121">
        <f>SUM(Table1[[#This Row],[Substrate $]:[GP FINISH]])+Table1[[#This Row],[Retail Royalty]]+Table1[[#This Row],[Retail$Comm]]</f>
        <v>231.95999999999998</v>
      </c>
      <c r="AT844" s="830">
        <f>IF(AP844=0,"-",(AP844-AS844)/AP844)</f>
        <v>0.61340000000000006</v>
      </c>
      <c r="AU844" s="1359">
        <f t="shared" ref="AU844:AU875" si="290">IF(AQ844=0,"-",(AQ844-AT844)/AQ844)</f>
        <v>0.97955333333333339</v>
      </c>
    </row>
    <row r="845" spans="1:47" s="103" customFormat="1" hidden="1" x14ac:dyDescent="0.2">
      <c r="A845" s="101" t="s">
        <v>110</v>
      </c>
      <c r="B845" s="1062" t="s">
        <v>134</v>
      </c>
      <c r="C845" s="168" t="s">
        <v>2157</v>
      </c>
      <c r="D845" s="168"/>
      <c r="E845" s="115" t="s">
        <v>2158</v>
      </c>
      <c r="F845" s="115" t="s">
        <v>289</v>
      </c>
      <c r="G845" s="101" t="s">
        <v>191</v>
      </c>
      <c r="H845" s="101" t="s">
        <v>607</v>
      </c>
      <c r="I845" s="101" t="s">
        <v>108</v>
      </c>
      <c r="J845" s="101" t="s">
        <v>257</v>
      </c>
      <c r="K845" s="101" t="s">
        <v>2159</v>
      </c>
      <c r="L845" s="101" t="s">
        <v>259</v>
      </c>
      <c r="M845" s="299">
        <v>1500</v>
      </c>
      <c r="N845" s="829"/>
      <c r="O845" s="101" t="s">
        <v>260</v>
      </c>
      <c r="P845" s="101">
        <v>48</v>
      </c>
      <c r="Q845" s="101">
        <v>60</v>
      </c>
      <c r="R845" s="101">
        <v>48</v>
      </c>
      <c r="S845" s="101">
        <v>60</v>
      </c>
      <c r="T845" s="101">
        <v>50</v>
      </c>
      <c r="U845" s="101">
        <v>62</v>
      </c>
      <c r="V845" s="106">
        <f t="shared" si="288"/>
        <v>48</v>
      </c>
      <c r="W845" s="106">
        <f t="shared" si="289"/>
        <v>60</v>
      </c>
      <c r="X845" s="137">
        <v>60</v>
      </c>
      <c r="Y845" s="101">
        <v>48</v>
      </c>
      <c r="Z845" s="101">
        <v>60</v>
      </c>
      <c r="AA845" s="649">
        <f t="shared" si="282"/>
        <v>20</v>
      </c>
      <c r="AB845" s="184">
        <f>AA845*canonML</f>
        <v>96</v>
      </c>
      <c r="AC845" s="606">
        <f>Table1[[#This Row],[Substrate SF]]*Paper</f>
        <v>27.06</v>
      </c>
      <c r="AD845" s="107">
        <f>Table1[[#This Row],[Ink g/mL]]*CanonC</f>
        <v>25.92</v>
      </c>
      <c r="AE845" s="104">
        <f>IF(Table1[[#This Row],[Work Center]]="SwissQ",Materials!G$37,IF(Table1[[#This Row],[Work Center]]="Inca",Materials!G$29,IF(Table1[[#This Row],[Work Center]]="Canon",Materials!G$49,Materials!G$45)))</f>
        <v>7</v>
      </c>
      <c r="AF845" s="102">
        <f>'Cali Frames'!D584</f>
        <v>616</v>
      </c>
      <c r="AG845" s="121"/>
      <c r="AH845" s="107">
        <f t="shared" si="283"/>
        <v>75</v>
      </c>
      <c r="AI845" s="405">
        <f>IF(A845="Codarus",(M845*0.13))</f>
        <v>195</v>
      </c>
      <c r="AJ845" s="107">
        <f t="shared" si="287"/>
        <v>750.98</v>
      </c>
      <c r="AK845" s="108">
        <f t="shared" si="280"/>
        <v>0.49934666666666666</v>
      </c>
      <c r="AL845" s="660">
        <f>Table1[[#This Row],[WSP/Dealer]]/Table1[[#This Row],[OD Sq Inch]]</f>
        <v>0.4838709677419355</v>
      </c>
      <c r="AM845" s="229">
        <f>Table1[[#This Row],[OD Wdth]]*Table1[[#This Row],[OD Hgt]]</f>
        <v>3100</v>
      </c>
      <c r="AN845" s="266">
        <f>Table1[[#This Row],[Min VO]]+Table1[[#This Row],[Max VO]]</f>
        <v>108</v>
      </c>
      <c r="AO845" s="115"/>
      <c r="AP845" s="121">
        <v>3000</v>
      </c>
      <c r="AQ845" s="121">
        <f>(Table1[[#This Row],[Desgnr/Retail P]]*0.05)</f>
        <v>150</v>
      </c>
      <c r="AR845" s="121">
        <f>IF(A845="Codarus",(AP845*0.13))</f>
        <v>390</v>
      </c>
      <c r="AS845" s="121">
        <f>SUM(Table1[[#This Row],[Substrate $]:[GP FINISH]])+Table1[[#This Row],[Retail Royalty]]+Table1[[#This Row],[Retail$Comm]]</f>
        <v>1215.98</v>
      </c>
      <c r="AT845" s="830">
        <f>IF(AP845=0,"-",(AP845-AS845)/AP845)</f>
        <v>0.59467333333333328</v>
      </c>
      <c r="AU845" s="1359">
        <f t="shared" si="290"/>
        <v>0.9960355111111111</v>
      </c>
    </row>
    <row r="846" spans="1:47" s="63" customFormat="1" x14ac:dyDescent="0.2">
      <c r="A846" s="60" t="s">
        <v>58</v>
      </c>
      <c r="B846" s="1061" t="s">
        <v>445</v>
      </c>
      <c r="C846" s="79" t="s">
        <v>2157</v>
      </c>
      <c r="D846" s="94"/>
      <c r="E846" s="83" t="s">
        <v>2158</v>
      </c>
      <c r="F846" s="83" t="s">
        <v>289</v>
      </c>
      <c r="G846" s="60" t="s">
        <v>191</v>
      </c>
      <c r="H846" s="60" t="s">
        <v>607</v>
      </c>
      <c r="I846" s="60" t="s">
        <v>108</v>
      </c>
      <c r="J846" s="60" t="s">
        <v>257</v>
      </c>
      <c r="K846" s="60" t="s">
        <v>2159</v>
      </c>
      <c r="L846" s="60" t="s">
        <v>259</v>
      </c>
      <c r="M846" s="822">
        <v>1500</v>
      </c>
      <c r="N846" s="639">
        <v>1210</v>
      </c>
      <c r="O846" s="60" t="s">
        <v>260</v>
      </c>
      <c r="P846" s="60">
        <v>48</v>
      </c>
      <c r="Q846" s="60">
        <v>60</v>
      </c>
      <c r="R846" s="60">
        <v>48</v>
      </c>
      <c r="S846" s="60">
        <v>60</v>
      </c>
      <c r="T846" s="60">
        <v>50</v>
      </c>
      <c r="U846" s="60">
        <v>62</v>
      </c>
      <c r="V846" s="946">
        <f t="shared" si="288"/>
        <v>48</v>
      </c>
      <c r="W846" s="946">
        <f t="shared" si="289"/>
        <v>60</v>
      </c>
      <c r="X846" s="138">
        <v>60</v>
      </c>
      <c r="Y846" s="60">
        <v>48</v>
      </c>
      <c r="Z846" s="60">
        <v>60</v>
      </c>
      <c r="AA846" s="717">
        <f t="shared" si="282"/>
        <v>20</v>
      </c>
      <c r="AB846" s="125">
        <f>AA846*canonML</f>
        <v>96</v>
      </c>
      <c r="AC846" s="143">
        <f>Table1[[#This Row],[Substrate SF]]*Paper</f>
        <v>27.06</v>
      </c>
      <c r="AD846" s="48">
        <f>Table1[[#This Row],[Ink g/mL]]*CanonC</f>
        <v>25.92</v>
      </c>
      <c r="AE846" s="69">
        <f>IF(Table1[[#This Row],[Work Center]]="SwissQ",Materials!G$37,IF(Table1[[#This Row],[Work Center]]="Inca",Materials!G$29,IF(Table1[[#This Row],[Work Center]]="Canon",Materials!G$49,Materials!G$45)))</f>
        <v>7</v>
      </c>
      <c r="AF846" s="72">
        <f>'Cali Frames'!D584</f>
        <v>616</v>
      </c>
      <c r="AG846" s="540"/>
      <c r="AH846" s="498">
        <f t="shared" si="283"/>
        <v>75</v>
      </c>
      <c r="AI846" s="498"/>
      <c r="AJ846" s="69">
        <f t="shared" si="287"/>
        <v>750.98</v>
      </c>
      <c r="AK846" s="650">
        <f t="shared" ref="AK846:AK877" si="291">(M846-AJ846)/M846</f>
        <v>0.49934666666666666</v>
      </c>
      <c r="AL846" s="225">
        <f>Table1[[#This Row],[WSP/Dealer]]/Table1[[#This Row],[OD Sq Inch]]</f>
        <v>0.4838709677419355</v>
      </c>
      <c r="AM846" s="218">
        <f>Table1[[#This Row],[OD Wdth]]*Table1[[#This Row],[OD Hgt]]</f>
        <v>3100</v>
      </c>
      <c r="AN846" s="216">
        <f>Table1[[#This Row],[Min VO]]+Table1[[#This Row],[Max VO]]</f>
        <v>108</v>
      </c>
      <c r="AO846" s="83"/>
      <c r="AP846" s="540"/>
      <c r="AQ846" s="540"/>
      <c r="AR846" s="278"/>
      <c r="AS846" s="1146"/>
      <c r="AT846" s="1147"/>
      <c r="AU846" s="1361" t="str">
        <f t="shared" si="290"/>
        <v>-</v>
      </c>
    </row>
    <row r="847" spans="1:47" s="63" customFormat="1" x14ac:dyDescent="0.2">
      <c r="A847" s="60" t="s">
        <v>58</v>
      </c>
      <c r="B847" s="279" t="s">
        <v>445</v>
      </c>
      <c r="C847" s="79" t="s">
        <v>2160</v>
      </c>
      <c r="D847" s="94"/>
      <c r="E847" s="83" t="s">
        <v>2161</v>
      </c>
      <c r="F847" s="83" t="s">
        <v>289</v>
      </c>
      <c r="G847" s="60" t="s">
        <v>191</v>
      </c>
      <c r="H847" s="60" t="s">
        <v>607</v>
      </c>
      <c r="I847" s="60" t="s">
        <v>108</v>
      </c>
      <c r="J847" s="60" t="s">
        <v>257</v>
      </c>
      <c r="K847" s="60" t="s">
        <v>2159</v>
      </c>
      <c r="L847" s="60" t="s">
        <v>259</v>
      </c>
      <c r="M847" s="822">
        <v>1500</v>
      </c>
      <c r="N847" s="639">
        <v>1210</v>
      </c>
      <c r="O847" s="60" t="s">
        <v>260</v>
      </c>
      <c r="P847" s="60">
        <v>48</v>
      </c>
      <c r="Q847" s="60">
        <v>60</v>
      </c>
      <c r="R847" s="60">
        <v>48</v>
      </c>
      <c r="S847" s="60">
        <v>60</v>
      </c>
      <c r="T847" s="60">
        <v>50</v>
      </c>
      <c r="U847" s="60">
        <v>62</v>
      </c>
      <c r="V847" s="946">
        <f t="shared" si="288"/>
        <v>48</v>
      </c>
      <c r="W847" s="946">
        <f t="shared" si="289"/>
        <v>60</v>
      </c>
      <c r="X847" s="138">
        <v>60</v>
      </c>
      <c r="Y847" s="60">
        <v>48</v>
      </c>
      <c r="Z847" s="60">
        <v>60</v>
      </c>
      <c r="AA847" s="717">
        <f t="shared" si="282"/>
        <v>20</v>
      </c>
      <c r="AB847" s="125">
        <f>AA847*canonML</f>
        <v>96</v>
      </c>
      <c r="AC847" s="143">
        <f>Table1[[#This Row],[Substrate SF]]*Paper</f>
        <v>27.06</v>
      </c>
      <c r="AD847" s="69">
        <f>Table1[[#This Row],[Ink g/mL]]*CanonC</f>
        <v>25.92</v>
      </c>
      <c r="AE847" s="69">
        <f>IF(Table1[[#This Row],[Work Center]]="SwissQ",Materials!G$37,IF(Table1[[#This Row],[Work Center]]="Inca",Materials!G$29,IF(Table1[[#This Row],[Work Center]]="Canon",Materials!G$49,Materials!G$45)))</f>
        <v>7</v>
      </c>
      <c r="AF847" s="72">
        <f>'Cali Frames'!D584</f>
        <v>616</v>
      </c>
      <c r="AG847" s="540"/>
      <c r="AH847" s="498">
        <f t="shared" si="283"/>
        <v>75</v>
      </c>
      <c r="AI847" s="498"/>
      <c r="AJ847" s="69">
        <f t="shared" si="287"/>
        <v>750.98</v>
      </c>
      <c r="AK847" s="650">
        <f t="shared" si="291"/>
        <v>0.49934666666666666</v>
      </c>
      <c r="AL847" s="225">
        <f>Table1[[#This Row],[WSP/Dealer]]/Table1[[#This Row],[OD Sq Inch]]</f>
        <v>0.4838709677419355</v>
      </c>
      <c r="AM847" s="216">
        <f>Table1[[#This Row],[OD Wdth]]*Table1[[#This Row],[OD Hgt]]</f>
        <v>3100</v>
      </c>
      <c r="AN847" s="216">
        <f>Table1[[#This Row],[Min VO]]+Table1[[#This Row],[Max VO]]</f>
        <v>108</v>
      </c>
      <c r="AO847" s="83"/>
      <c r="AP847" s="83"/>
      <c r="AQ847" s="540"/>
      <c r="AR847" s="540"/>
      <c r="AS847" s="540"/>
      <c r="AT847" s="69"/>
      <c r="AU847" s="1361" t="str">
        <f t="shared" si="290"/>
        <v>-</v>
      </c>
    </row>
    <row r="848" spans="1:47" s="103" customFormat="1" x14ac:dyDescent="0.2">
      <c r="A848" s="759" t="s">
        <v>58</v>
      </c>
      <c r="B848" s="1061" t="s">
        <v>445</v>
      </c>
      <c r="C848" s="1255" t="s">
        <v>2162</v>
      </c>
      <c r="D848" s="94"/>
      <c r="E848" s="760" t="s">
        <v>2163</v>
      </c>
      <c r="F848" s="760" t="s">
        <v>289</v>
      </c>
      <c r="G848" s="759" t="s">
        <v>191</v>
      </c>
      <c r="H848" s="759" t="s">
        <v>607</v>
      </c>
      <c r="I848" s="759" t="s">
        <v>108</v>
      </c>
      <c r="J848" s="759" t="s">
        <v>257</v>
      </c>
      <c r="K848" s="759" t="s">
        <v>2159</v>
      </c>
      <c r="L848" s="759" t="s">
        <v>259</v>
      </c>
      <c r="M848" s="822">
        <v>1500</v>
      </c>
      <c r="N848" s="761">
        <v>1210</v>
      </c>
      <c r="O848" s="759" t="s">
        <v>260</v>
      </c>
      <c r="P848" s="759">
        <v>48</v>
      </c>
      <c r="Q848" s="759">
        <v>60</v>
      </c>
      <c r="R848" s="759">
        <v>48</v>
      </c>
      <c r="S848" s="759">
        <v>60</v>
      </c>
      <c r="T848" s="759">
        <v>50</v>
      </c>
      <c r="U848" s="759">
        <v>62</v>
      </c>
      <c r="V848" s="1788">
        <f t="shared" si="288"/>
        <v>48</v>
      </c>
      <c r="W848" s="1788">
        <f t="shared" si="289"/>
        <v>60</v>
      </c>
      <c r="X848" s="759">
        <v>60</v>
      </c>
      <c r="Y848" s="759">
        <v>48</v>
      </c>
      <c r="Z848" s="759">
        <v>60</v>
      </c>
      <c r="AA848" s="1349">
        <f t="shared" si="282"/>
        <v>20</v>
      </c>
      <c r="AB848" s="1350">
        <f>AA848*canonML</f>
        <v>96</v>
      </c>
      <c r="AC848" s="1460">
        <f>Table1[[#This Row],[Substrate SF]]*Paper</f>
        <v>27.06</v>
      </c>
      <c r="AD848" s="1179">
        <f>Table1[[#This Row],[Ink g/mL]]*CanonC</f>
        <v>25.92</v>
      </c>
      <c r="AE848" s="762">
        <f>IF(Table1[[#This Row],[Work Center]]="SwissQ",Materials!G$37,IF(Table1[[#This Row],[Work Center]]="Inca",Materials!G$29,IF(Table1[[#This Row],[Work Center]]="Canon",Materials!G$49,Materials!G$45)))</f>
        <v>7</v>
      </c>
      <c r="AF848" s="1351">
        <f>'Cali Frames'!D585</f>
        <v>621.41</v>
      </c>
      <c r="AG848" s="1142"/>
      <c r="AH848" s="1546">
        <f t="shared" si="283"/>
        <v>75</v>
      </c>
      <c r="AI848" s="1546"/>
      <c r="AJ848" s="762">
        <f t="shared" si="287"/>
        <v>756.39</v>
      </c>
      <c r="AK848" s="1807">
        <f t="shared" si="291"/>
        <v>0.49574000000000001</v>
      </c>
      <c r="AL848" s="763">
        <f>Table1[[#This Row],[WSP/Dealer]]/Table1[[#This Row],[OD Sq Inch]]</f>
        <v>0.4838709677419355</v>
      </c>
      <c r="AM848" s="1547">
        <f>Table1[[#This Row],[OD Wdth]]*Table1[[#This Row],[OD Hgt]]</f>
        <v>3100</v>
      </c>
      <c r="AN848" s="1206">
        <f>Table1[[#This Row],[Min VO]]+Table1[[#This Row],[Max VO]]</f>
        <v>108</v>
      </c>
      <c r="AO848" s="760"/>
      <c r="AP848" s="760"/>
      <c r="AQ848" s="1142"/>
      <c r="AR848" s="1142"/>
      <c r="AS848" s="1142"/>
      <c r="AT848" s="762"/>
      <c r="AU848" s="1827" t="str">
        <f t="shared" si="290"/>
        <v>-</v>
      </c>
    </row>
    <row r="849" spans="1:47" s="46" customFormat="1" hidden="1" x14ac:dyDescent="0.2">
      <c r="A849" s="101" t="s">
        <v>110</v>
      </c>
      <c r="B849" s="1064" t="s">
        <v>134</v>
      </c>
      <c r="C849" s="168" t="s">
        <v>2164</v>
      </c>
      <c r="D849" s="168"/>
      <c r="E849" s="115" t="s">
        <v>2165</v>
      </c>
      <c r="F849" s="115" t="s">
        <v>448</v>
      </c>
      <c r="G849" s="101" t="s">
        <v>2166</v>
      </c>
      <c r="H849" s="101" t="s">
        <v>2167</v>
      </c>
      <c r="I849" s="101" t="s">
        <v>52</v>
      </c>
      <c r="J849" s="487" t="s">
        <v>53</v>
      </c>
      <c r="K849" s="101" t="s">
        <v>69</v>
      </c>
      <c r="L849" s="101" t="s">
        <v>70</v>
      </c>
      <c r="M849" s="114">
        <v>425</v>
      </c>
      <c r="N849" s="114"/>
      <c r="O849" s="101" t="s">
        <v>56</v>
      </c>
      <c r="P849" s="101">
        <v>23</v>
      </c>
      <c r="Q849" s="101">
        <v>28</v>
      </c>
      <c r="R849" s="101">
        <v>23</v>
      </c>
      <c r="S849" s="101">
        <v>28</v>
      </c>
      <c r="T849" s="101">
        <v>23</v>
      </c>
      <c r="U849" s="101">
        <v>28</v>
      </c>
      <c r="V849" s="1693">
        <f t="shared" si="288"/>
        <v>31</v>
      </c>
      <c r="W849" s="1693">
        <f t="shared" si="289"/>
        <v>36</v>
      </c>
      <c r="X849" s="101">
        <v>40</v>
      </c>
      <c r="Y849" s="101">
        <v>31</v>
      </c>
      <c r="Z849" s="101">
        <v>36</v>
      </c>
      <c r="AA849" s="724">
        <f t="shared" si="282"/>
        <v>7.75</v>
      </c>
      <c r="AB849" s="184">
        <f>AA849*IncaG</f>
        <v>163.06</v>
      </c>
      <c r="AC849" s="104">
        <f>AA849*Canvas</f>
        <v>5.1150000000000002</v>
      </c>
      <c r="AD849" s="405">
        <f>Table1[[#This Row],[Substrate SF]]*IncaC</f>
        <v>13.0448</v>
      </c>
      <c r="AE849" s="104">
        <f>IF(Table1[[#This Row],[Work Center]]="SwissQ",Materials!G$37,IF(Table1[[#This Row],[Work Center]]="Inca",Materials!G$29,IF(Table1[[#This Row],[Work Center]]="Canon",Materials!G$49,Materials!G$45)))</f>
        <v>8</v>
      </c>
      <c r="AF849" s="102">
        <f>'Cali Frames'!D277</f>
        <v>105</v>
      </c>
      <c r="AG849" s="121"/>
      <c r="AH849" s="104">
        <f t="shared" si="283"/>
        <v>21.25</v>
      </c>
      <c r="AI849" s="405">
        <f>IF(A849="Codarus",(M849*0.13))</f>
        <v>55.25</v>
      </c>
      <c r="AJ849" s="104">
        <f t="shared" si="287"/>
        <v>152.40979999999999</v>
      </c>
      <c r="AK849" s="830">
        <f t="shared" si="291"/>
        <v>0.64138870588235286</v>
      </c>
      <c r="AL849" s="660">
        <f>Table1[[#This Row],[WSP/Dealer]]/Table1[[#This Row],[OD Sq Inch]]</f>
        <v>0.65993788819875776</v>
      </c>
      <c r="AM849" s="266">
        <f>Table1[[#This Row],[OD Wdth]]*Table1[[#This Row],[OD Hgt]]</f>
        <v>644</v>
      </c>
      <c r="AN849" s="266">
        <f>Table1[[#This Row],[Min VO]]+Table1[[#This Row],[Max VO]]</f>
        <v>51</v>
      </c>
      <c r="AO849" s="115"/>
      <c r="AP849" s="121">
        <v>850</v>
      </c>
      <c r="AQ849" s="121">
        <f>(Table1[[#This Row],[Desgnr/Retail P]]*0.05)</f>
        <v>42.5</v>
      </c>
      <c r="AR849" s="121">
        <f>IF(A849="Codarus",(AP849*0.13))</f>
        <v>110.5</v>
      </c>
      <c r="AS849" s="121">
        <f>SUM(Table1[[#This Row],[Substrate $]:[GP FINISH]])+Table1[[#This Row],[Retail Royalty]]+Table1[[#This Row],[Retail$Comm]]</f>
        <v>284.15980000000002</v>
      </c>
      <c r="AT849" s="830">
        <f>IF(AP849=0,"-",(AP849-AS849)/AP849)</f>
        <v>0.6656943529411764</v>
      </c>
      <c r="AU849" s="1359">
        <f t="shared" si="290"/>
        <v>0.98433660346020768</v>
      </c>
    </row>
    <row r="850" spans="1:47" s="46" customFormat="1" hidden="1" x14ac:dyDescent="0.2">
      <c r="A850" s="60" t="s">
        <v>110</v>
      </c>
      <c r="B850" s="1106" t="s">
        <v>250</v>
      </c>
      <c r="C850" s="79" t="s">
        <v>2168</v>
      </c>
      <c r="D850" s="79"/>
      <c r="E850" s="83" t="s">
        <v>2169</v>
      </c>
      <c r="F850" s="83" t="s">
        <v>448</v>
      </c>
      <c r="G850" s="60" t="s">
        <v>2170</v>
      </c>
      <c r="H850" s="60" t="s">
        <v>2171</v>
      </c>
      <c r="I850" s="60" t="s">
        <v>52</v>
      </c>
      <c r="J850" s="59" t="s">
        <v>53</v>
      </c>
      <c r="K850" s="60" t="s">
        <v>82</v>
      </c>
      <c r="L850" s="60" t="s">
        <v>83</v>
      </c>
      <c r="M850" s="124">
        <v>400</v>
      </c>
      <c r="N850" s="124"/>
      <c r="O850" s="60" t="s">
        <v>64</v>
      </c>
      <c r="P850" s="60">
        <v>11</v>
      </c>
      <c r="Q850" s="60">
        <v>13</v>
      </c>
      <c r="R850" s="60">
        <v>11</v>
      </c>
      <c r="S850" s="60">
        <v>13</v>
      </c>
      <c r="T850" s="60">
        <v>13</v>
      </c>
      <c r="U850" s="60">
        <v>15</v>
      </c>
      <c r="V850" s="946">
        <f t="shared" si="288"/>
        <v>19</v>
      </c>
      <c r="W850" s="946">
        <f t="shared" si="289"/>
        <v>21</v>
      </c>
      <c r="X850" s="60">
        <v>40</v>
      </c>
      <c r="Y850" s="60">
        <v>19</v>
      </c>
      <c r="Z850" s="60">
        <v>21</v>
      </c>
      <c r="AA850" s="717">
        <f t="shared" si="282"/>
        <v>2.7708333333333335</v>
      </c>
      <c r="AB850" s="125">
        <f>AA850*Swiss1</f>
        <v>78.41458333333334</v>
      </c>
      <c r="AC850" s="69">
        <f>AA850*Canvas</f>
        <v>1.8287500000000001</v>
      </c>
      <c r="AD850" s="48">
        <f>Table1[[#This Row],[Substrate SF]]*Materials!C$37</f>
        <v>7.7583333333333329</v>
      </c>
      <c r="AE850" s="69">
        <f>IF(Table1[[#This Row],[Work Center]]="SwissQ",Materials!G$37,IF(Table1[[#This Row],[Work Center]]="Inca",Materials!G$29,IF(Table1[[#This Row],[Work Center]]="Canon",Materials!G$49,Materials!G$45)))</f>
        <v>20</v>
      </c>
      <c r="AF850" s="72">
        <f>'Cali Frames'!D10</f>
        <v>83.44</v>
      </c>
      <c r="AG850" s="540"/>
      <c r="AH850" s="69">
        <f t="shared" si="283"/>
        <v>20</v>
      </c>
      <c r="AI850" s="176"/>
      <c r="AJ850" s="69">
        <f t="shared" si="287"/>
        <v>133.02708333333334</v>
      </c>
      <c r="AK850" s="650">
        <f t="shared" si="291"/>
        <v>0.66743229166666662</v>
      </c>
      <c r="AL850" s="225">
        <f>Table1[[#This Row],[WSP/Dealer]]/Table1[[#This Row],[OD Sq Inch]]</f>
        <v>2.0512820512820511</v>
      </c>
      <c r="AM850" s="216">
        <f>Table1[[#This Row],[OD Wdth]]*Table1[[#This Row],[OD Hgt]]</f>
        <v>195</v>
      </c>
      <c r="AN850" s="216">
        <f>Table1[[#This Row],[Min VO]]+Table1[[#This Row],[Max VO]]</f>
        <v>24</v>
      </c>
      <c r="AO850" s="83"/>
      <c r="AP850" s="540"/>
      <c r="AQ850" s="540">
        <f>(Table1[[#This Row],[Desgnr/Retail P]]*0.05)</f>
        <v>0</v>
      </c>
      <c r="AR850" s="540">
        <f>IF(A850="Codarus",(AP850*0.13))</f>
        <v>0</v>
      </c>
      <c r="AS850" s="540" t="e" cm="1">
        <f t="array" ref="AS850">SUM(AC850:AG850+AQ+AR)</f>
        <v>#NAME?</v>
      </c>
      <c r="AT850" s="69" t="e">
        <f>(AP850-AS850)/AP850</f>
        <v>#NAME?</v>
      </c>
      <c r="AU850" s="1361" t="str">
        <f t="shared" si="290"/>
        <v>-</v>
      </c>
    </row>
    <row r="851" spans="1:47" s="97" customFormat="1" hidden="1" x14ac:dyDescent="0.2">
      <c r="A851" s="60" t="s">
        <v>110</v>
      </c>
      <c r="B851" s="1071" t="s">
        <v>250</v>
      </c>
      <c r="C851" s="79" t="s">
        <v>2172</v>
      </c>
      <c r="D851" s="79"/>
      <c r="E851" s="83" t="s">
        <v>2173</v>
      </c>
      <c r="F851" s="83" t="s">
        <v>448</v>
      </c>
      <c r="G851" s="60" t="s">
        <v>2170</v>
      </c>
      <c r="H851" s="60" t="s">
        <v>2171</v>
      </c>
      <c r="I851" s="60" t="s">
        <v>52</v>
      </c>
      <c r="J851" s="59" t="s">
        <v>53</v>
      </c>
      <c r="K851" s="60" t="s">
        <v>82</v>
      </c>
      <c r="L851" s="60" t="s">
        <v>83</v>
      </c>
      <c r="M851" s="124">
        <v>400</v>
      </c>
      <c r="N851" s="124"/>
      <c r="O851" s="60" t="s">
        <v>64</v>
      </c>
      <c r="P851" s="60">
        <v>11</v>
      </c>
      <c r="Q851" s="60">
        <v>13</v>
      </c>
      <c r="R851" s="60">
        <v>11</v>
      </c>
      <c r="S851" s="60">
        <v>13</v>
      </c>
      <c r="T851" s="60">
        <v>13</v>
      </c>
      <c r="U851" s="60">
        <v>15</v>
      </c>
      <c r="V851" s="946">
        <f t="shared" si="288"/>
        <v>19</v>
      </c>
      <c r="W851" s="946">
        <f t="shared" si="289"/>
        <v>21</v>
      </c>
      <c r="X851" s="60">
        <v>40</v>
      </c>
      <c r="Y851" s="60">
        <v>19</v>
      </c>
      <c r="Z851" s="60">
        <v>21</v>
      </c>
      <c r="AA851" s="717">
        <f t="shared" si="282"/>
        <v>2.7708333333333335</v>
      </c>
      <c r="AB851" s="125">
        <f>AA851*Swiss1</f>
        <v>78.41458333333334</v>
      </c>
      <c r="AC851" s="69">
        <f>AA851*Canvas</f>
        <v>1.8287500000000001</v>
      </c>
      <c r="AD851" s="48">
        <f>Table1[[#This Row],[Substrate SF]]*Materials!C$37</f>
        <v>7.7583333333333329</v>
      </c>
      <c r="AE851" s="69">
        <f>IF(Table1[[#This Row],[Work Center]]="SwissQ",Materials!G$37,IF(Table1[[#This Row],[Work Center]]="Inca",Materials!G$29,IF(Table1[[#This Row],[Work Center]]="Canon",Materials!G$49,Materials!G$45)))</f>
        <v>20</v>
      </c>
      <c r="AF851" s="72">
        <f>'Cali Frames'!D10</f>
        <v>83.44</v>
      </c>
      <c r="AG851" s="540"/>
      <c r="AH851" s="69">
        <f t="shared" si="283"/>
        <v>20</v>
      </c>
      <c r="AI851" s="176"/>
      <c r="AJ851" s="69">
        <f t="shared" si="287"/>
        <v>133.02708333333334</v>
      </c>
      <c r="AK851" s="650">
        <f t="shared" si="291"/>
        <v>0.66743229166666662</v>
      </c>
      <c r="AL851" s="225">
        <f>Table1[[#This Row],[WSP/Dealer]]/Table1[[#This Row],[OD Sq Inch]]</f>
        <v>2.0512820512820511</v>
      </c>
      <c r="AM851" s="218">
        <f>Table1[[#This Row],[OD Wdth]]*Table1[[#This Row],[OD Hgt]]</f>
        <v>195</v>
      </c>
      <c r="AN851" s="216">
        <f>Table1[[#This Row],[Min VO]]+Table1[[#This Row],[Max VO]]</f>
        <v>24</v>
      </c>
      <c r="AO851" s="83"/>
      <c r="AP851" s="540"/>
      <c r="AQ851" s="540">
        <f>(Table1[[#This Row],[Desgnr/Retail P]]*0.05)</f>
        <v>0</v>
      </c>
      <c r="AR851" s="540">
        <f>IF(A851="Codarus",(AP851*0.13))</f>
        <v>0</v>
      </c>
      <c r="AS851" s="540" t="e" cm="1">
        <f t="array" ref="AS851">SUM(AC851:AG851+AQ+AR)</f>
        <v>#NAME?</v>
      </c>
      <c r="AT851" s="69" t="e">
        <f>(AP851-AS851)/AP851</f>
        <v>#NAME?</v>
      </c>
      <c r="AU851" s="1361" t="str">
        <f t="shared" si="290"/>
        <v>-</v>
      </c>
    </row>
    <row r="852" spans="1:47" s="103" customFormat="1" hidden="1" x14ac:dyDescent="0.2">
      <c r="A852" s="101" t="s">
        <v>1287</v>
      </c>
      <c r="B852" s="1067" t="s">
        <v>801</v>
      </c>
      <c r="C852" s="168" t="s">
        <v>2174</v>
      </c>
      <c r="D852" s="94"/>
      <c r="E852" s="1266" t="s">
        <v>2175</v>
      </c>
      <c r="F852" s="115" t="s">
        <v>105</v>
      </c>
      <c r="G852" s="101" t="s">
        <v>519</v>
      </c>
      <c r="H852" s="101" t="s">
        <v>688</v>
      </c>
      <c r="I852" s="101" t="s">
        <v>108</v>
      </c>
      <c r="J852" s="487" t="s">
        <v>257</v>
      </c>
      <c r="K852" s="101" t="s">
        <v>1444</v>
      </c>
      <c r="L852" s="101" t="s">
        <v>506</v>
      </c>
      <c r="M852" s="114">
        <v>200</v>
      </c>
      <c r="N852" s="114"/>
      <c r="O852" s="101" t="s">
        <v>260</v>
      </c>
      <c r="P852" s="101">
        <v>16</v>
      </c>
      <c r="Q852" s="101">
        <v>20</v>
      </c>
      <c r="R852" s="101">
        <v>16</v>
      </c>
      <c r="S852" s="101">
        <v>20</v>
      </c>
      <c r="T852" s="101">
        <v>17</v>
      </c>
      <c r="U852" s="101">
        <v>21</v>
      </c>
      <c r="V852" s="106">
        <f>IF(J852="Canvas",P852+Border,P852)</f>
        <v>16</v>
      </c>
      <c r="W852" s="106">
        <f>IF(J852="Canvas",Q852+Border,Q852)</f>
        <v>20</v>
      </c>
      <c r="X852" s="101" t="s">
        <v>257</v>
      </c>
      <c r="Y852" s="101">
        <v>16</v>
      </c>
      <c r="Z852" s="101">
        <v>20</v>
      </c>
      <c r="AA852" s="1019">
        <f t="shared" si="282"/>
        <v>2.2222222222222223</v>
      </c>
      <c r="AB852" s="1020">
        <f>AA852*canonML</f>
        <v>10.666666666666666</v>
      </c>
      <c r="AC852" s="1354">
        <f>Table1[[#This Row],[Substrate SF]]*Paper</f>
        <v>3.0066666666666668</v>
      </c>
      <c r="AD852" s="1021">
        <f>Table1[[#This Row],[Ink g/mL]]*CanonC</f>
        <v>2.88</v>
      </c>
      <c r="AE852" s="1022">
        <f>IF(Table1[[#This Row],[Work Center]]="SwissQ",Materials!G$37,IF(Table1[[#This Row],[Work Center]]="Inca",Materials!G$29,IF(Table1[[#This Row],[Work Center]]="Canon",Materials!G$49,Materials!G$45)))</f>
        <v>7</v>
      </c>
      <c r="AF852" s="102">
        <f>'Cali Frames'!D251</f>
        <v>10</v>
      </c>
      <c r="AG852" s="121"/>
      <c r="AH852" s="107">
        <v>0</v>
      </c>
      <c r="AI852" s="107"/>
      <c r="AJ852" s="406">
        <f t="shared" si="287"/>
        <v>22.886666666666667</v>
      </c>
      <c r="AK852" s="830">
        <f t="shared" si="291"/>
        <v>0.88556666666666672</v>
      </c>
      <c r="AL852" s="660">
        <f>Table1[[#This Row],[WSP/Dealer]]/Table1[[#This Row],[OD Sq Inch]]</f>
        <v>0.56022408963585435</v>
      </c>
      <c r="AM852" s="399">
        <f>Table1[[#This Row],[OD Wdth]]*Table1[[#This Row],[OD Hgt]]</f>
        <v>357</v>
      </c>
      <c r="AN852" s="400" t="str">
        <f>Table1[[#This Row],[Color]]</f>
        <v>WA</v>
      </c>
      <c r="AO852" s="115"/>
      <c r="AP852" s="115"/>
      <c r="AQ852" s="121"/>
      <c r="AR852" s="121"/>
      <c r="AS852" s="121"/>
      <c r="AT852" s="104"/>
      <c r="AU852" s="1359" t="str">
        <f t="shared" si="290"/>
        <v>-</v>
      </c>
    </row>
    <row r="853" spans="1:47" s="97" customFormat="1" hidden="1" x14ac:dyDescent="0.2">
      <c r="A853" s="101" t="s">
        <v>110</v>
      </c>
      <c r="B853" s="1067" t="s">
        <v>250</v>
      </c>
      <c r="C853" s="168" t="s">
        <v>2176</v>
      </c>
      <c r="D853" s="168"/>
      <c r="E853" s="115" t="s">
        <v>2177</v>
      </c>
      <c r="F853" s="115" t="s">
        <v>789</v>
      </c>
      <c r="G853" s="101" t="s">
        <v>139</v>
      </c>
      <c r="H853" s="101" t="s">
        <v>1067</v>
      </c>
      <c r="I853" s="101" t="s">
        <v>52</v>
      </c>
      <c r="J853" s="487" t="s">
        <v>53</v>
      </c>
      <c r="K853" s="101" t="s">
        <v>69</v>
      </c>
      <c r="L853" s="101" t="s">
        <v>70</v>
      </c>
      <c r="M853" s="114">
        <v>350</v>
      </c>
      <c r="N853" s="114"/>
      <c r="O853" s="101" t="s">
        <v>56</v>
      </c>
      <c r="P853" s="101">
        <v>24</v>
      </c>
      <c r="Q853" s="101">
        <v>24</v>
      </c>
      <c r="R853" s="101">
        <v>24</v>
      </c>
      <c r="S853" s="101">
        <v>24</v>
      </c>
      <c r="T853" s="101">
        <v>25</v>
      </c>
      <c r="U853" s="101">
        <v>25</v>
      </c>
      <c r="V853" s="106">
        <f>IF(J853="Canvas",P853+Border,P853)</f>
        <v>32</v>
      </c>
      <c r="W853" s="106">
        <f>IF(J853="Canvas",Q853+Border,Q853)</f>
        <v>32</v>
      </c>
      <c r="X853" s="101">
        <v>40</v>
      </c>
      <c r="Y853" s="101">
        <v>32</v>
      </c>
      <c r="Z853" s="101">
        <v>32</v>
      </c>
      <c r="AA853" s="649">
        <f t="shared" si="282"/>
        <v>7.1111111111111107</v>
      </c>
      <c r="AB853" s="184">
        <f>AA853*canonML</f>
        <v>34.133333333333333</v>
      </c>
      <c r="AC853" s="104">
        <f>AA853*paper44</f>
        <v>1.92</v>
      </c>
      <c r="AD853" s="107">
        <f>AA853*IncaC</f>
        <v>11.969422222222223</v>
      </c>
      <c r="AE853" s="104">
        <f>IF(Table1[[#This Row],[Work Center]]="SwissQ",Materials!G$37,IF(Table1[[#This Row],[Work Center]]="Inca",Materials!G$29,IF(Table1[[#This Row],[Work Center]]="Canon",Materials!G$49,Materials!G$45)))</f>
        <v>8</v>
      </c>
      <c r="AF853" s="102">
        <f>'Cali Frames'!D278</f>
        <v>93.42</v>
      </c>
      <c r="AG853" s="121"/>
      <c r="AH853" s="104">
        <f>(M853*0.05)</f>
        <v>17.5</v>
      </c>
      <c r="AI853" s="406">
        <f>IF(A853="Codarus",(M853*0.13))</f>
        <v>45.5</v>
      </c>
      <c r="AJ853" s="104">
        <f t="shared" si="287"/>
        <v>132.80942222222222</v>
      </c>
      <c r="AK853" s="830">
        <f t="shared" si="291"/>
        <v>0.62054450793650795</v>
      </c>
      <c r="AL853" s="660">
        <f>Table1[[#This Row],[WSP/Dealer]]/Table1[[#This Row],[OD Sq Inch]]</f>
        <v>0.56000000000000005</v>
      </c>
      <c r="AM853" s="229">
        <f>Table1[[#This Row],[OD Wdth]]*Table1[[#This Row],[OD Hgt]]</f>
        <v>625</v>
      </c>
      <c r="AN853" s="266">
        <f>Table1[[#This Row],[Min VO]]+Table1[[#This Row],[Max VO]]</f>
        <v>48</v>
      </c>
      <c r="AO853" s="115"/>
      <c r="AP853" s="121">
        <v>700</v>
      </c>
      <c r="AQ853" s="121">
        <f>(Table1[[#This Row],[Desgnr/Retail P]]*0.05)</f>
        <v>35</v>
      </c>
      <c r="AR853" s="121">
        <f>IF(A853="Codarus",(AP853*0.13))</f>
        <v>91</v>
      </c>
      <c r="AS853" s="121">
        <f>SUM(Table1[[#This Row],[Substrate $]:[GP FINISH]])+Table1[[#This Row],[Retail Royalty]]+Table1[[#This Row],[Retail$Comm]]</f>
        <v>241.30942222222222</v>
      </c>
      <c r="AT853" s="830">
        <f>IF(AP853=0,"-",(AP853-AS853)/AP853)</f>
        <v>0.65527225396825395</v>
      </c>
      <c r="AU853" s="1359">
        <f t="shared" si="290"/>
        <v>0.98127793560090693</v>
      </c>
    </row>
    <row r="854" spans="1:47" s="63" customFormat="1" hidden="1" x14ac:dyDescent="0.2">
      <c r="A854" s="521" t="s">
        <v>318</v>
      </c>
      <c r="B854" s="1061" t="s">
        <v>96</v>
      </c>
      <c r="C854" s="659" t="s">
        <v>2178</v>
      </c>
      <c r="D854" s="94">
        <v>195216</v>
      </c>
      <c r="E854" s="522" t="s">
        <v>2179</v>
      </c>
      <c r="F854" s="522" t="s">
        <v>571</v>
      </c>
      <c r="G854" s="110" t="s">
        <v>637</v>
      </c>
      <c r="H854" s="110" t="s">
        <v>1119</v>
      </c>
      <c r="I854" s="60" t="s">
        <v>574</v>
      </c>
      <c r="J854" s="110" t="s">
        <v>53</v>
      </c>
      <c r="K854" s="110" t="s">
        <v>69</v>
      </c>
      <c r="L854" s="110" t="s">
        <v>70</v>
      </c>
      <c r="M854" s="544">
        <v>575</v>
      </c>
      <c r="N854" s="786">
        <v>1300</v>
      </c>
      <c r="O854" s="145" t="s">
        <v>575</v>
      </c>
      <c r="P854" s="110">
        <v>60</v>
      </c>
      <c r="Q854" s="110">
        <v>48</v>
      </c>
      <c r="R854" s="110">
        <v>48</v>
      </c>
      <c r="S854" s="110">
        <v>60</v>
      </c>
      <c r="T854" s="110">
        <v>61</v>
      </c>
      <c r="U854" s="110">
        <v>49</v>
      </c>
      <c r="V854" s="98">
        <f>IF(J854="Canvas",P854+Border,P854)</f>
        <v>68</v>
      </c>
      <c r="W854" s="98">
        <f>IF(J854="Canvas",Q854+Border,Q854)</f>
        <v>56</v>
      </c>
      <c r="X854" s="847">
        <v>69</v>
      </c>
      <c r="Y854" s="110">
        <v>68</v>
      </c>
      <c r="Z854" s="110">
        <v>56</v>
      </c>
      <c r="AA854" s="827">
        <f t="shared" si="282"/>
        <v>26.444444444444443</v>
      </c>
      <c r="AB854" s="125">
        <f>Table1[[#This Row],[Substrate SF]]*SWISSMLR*3</f>
        <v>158.66666666666666</v>
      </c>
      <c r="AC854" s="828">
        <f>AA854*Canvas</f>
        <v>17.453333333333333</v>
      </c>
      <c r="AD854" s="175">
        <f>Table1[[#This Row],[Substrate SF]]*SWISSCR*3</f>
        <v>17.453333333333333</v>
      </c>
      <c r="AE854" s="498">
        <f>Materials!I$41</f>
        <v>8</v>
      </c>
      <c r="AF854" s="111">
        <f>'Cali Frames'!D335</f>
        <v>258.27999999999997</v>
      </c>
      <c r="AG854" s="663"/>
      <c r="AH854" s="112">
        <f>(M854*0.05)</f>
        <v>28.75</v>
      </c>
      <c r="AI854" s="112"/>
      <c r="AJ854" s="523">
        <f t="shared" si="287"/>
        <v>329.93666666666661</v>
      </c>
      <c r="AK854" s="62">
        <f t="shared" si="291"/>
        <v>0.42619710144927547</v>
      </c>
      <c r="AL854" s="225">
        <f>Table1[[#This Row],[WSP/Dealer]]/Table1[[#This Row],[OD Sq Inch]]</f>
        <v>0.19237203077952492</v>
      </c>
      <c r="AM854" s="524">
        <f>Table1[[#This Row],[OD Wdth]]*Table1[[#This Row],[OD Hgt]]</f>
        <v>2989</v>
      </c>
      <c r="AN854" s="915" t="str">
        <f>Table1[[#This Row],[Color]]</f>
        <v>BF</v>
      </c>
      <c r="AO854" s="522" t="str">
        <f>Table1[[#This Row],[Print Type]]</f>
        <v>Reductive+</v>
      </c>
      <c r="AP854" s="522"/>
      <c r="AQ854" s="663"/>
      <c r="AR854" s="663"/>
      <c r="AS854" s="663"/>
      <c r="AT854" s="498"/>
      <c r="AU854" s="1492" t="str">
        <f t="shared" si="290"/>
        <v>-</v>
      </c>
    </row>
    <row r="855" spans="1:47" s="46" customFormat="1" x14ac:dyDescent="0.2">
      <c r="A855" s="68" t="s">
        <v>58</v>
      </c>
      <c r="B855" s="1061"/>
      <c r="C855" s="78" t="s">
        <v>2180</v>
      </c>
      <c r="D855" s="94"/>
      <c r="E855" s="84" t="s">
        <v>2181</v>
      </c>
      <c r="F855" s="84" t="s">
        <v>571</v>
      </c>
      <c r="G855" s="68" t="s">
        <v>2182</v>
      </c>
      <c r="H855" s="68" t="s">
        <v>2182</v>
      </c>
      <c r="I855" s="68" t="s">
        <v>52</v>
      </c>
      <c r="J855" s="140" t="s">
        <v>53</v>
      </c>
      <c r="K855" s="68" t="s">
        <v>54</v>
      </c>
      <c r="L855" s="68" t="s">
        <v>55</v>
      </c>
      <c r="M855" s="141">
        <v>1300</v>
      </c>
      <c r="N855" s="639">
        <v>1300</v>
      </c>
      <c r="O855" s="974" t="s">
        <v>56</v>
      </c>
      <c r="P855" s="68">
        <v>72</v>
      </c>
      <c r="Q855" s="68">
        <v>60</v>
      </c>
      <c r="R855" s="68">
        <v>72</v>
      </c>
      <c r="S855" s="65">
        <v>60</v>
      </c>
      <c r="T855" s="63">
        <v>72</v>
      </c>
      <c r="U855" s="63">
        <v>60</v>
      </c>
      <c r="V855" s="917">
        <v>79</v>
      </c>
      <c r="W855" s="917">
        <v>67</v>
      </c>
      <c r="X855" s="189">
        <v>82</v>
      </c>
      <c r="Y855" s="68"/>
      <c r="Z855" s="68"/>
      <c r="AA855" s="699">
        <f t="shared" si="282"/>
        <v>36.756944444444443</v>
      </c>
      <c r="AB855" s="297">
        <f>AA855*canonML</f>
        <v>176.43333333333331</v>
      </c>
      <c r="AC855" s="74">
        <f>AA855*paper44</f>
        <v>9.9243749999999995</v>
      </c>
      <c r="AD855" s="67">
        <f>AA855*IncaC</f>
        <v>61.869288888888889</v>
      </c>
      <c r="AE855" s="104">
        <f>IF(Table1[[#This Row],[Work Center]]="SwissQ",Materials!G$37,IF(Table1[[#This Row],[Work Center]]="Inca",Materials!G$29,IF(Table1[[#This Row],[Work Center]]="Canon",Materials!G$49,Materials!G$45)))</f>
        <v>8</v>
      </c>
      <c r="AF855" s="74">
        <f>'Cali FPS'!C160</f>
        <v>253.32999999999998</v>
      </c>
      <c r="AG855" s="115"/>
      <c r="AH855" s="112">
        <f>(M855*0.05)</f>
        <v>65</v>
      </c>
      <c r="AI855" s="112"/>
      <c r="AJ855" s="74">
        <f t="shared" si="287"/>
        <v>398.12366388888887</v>
      </c>
      <c r="AK855" s="62">
        <f t="shared" si="291"/>
        <v>0.69375102777777786</v>
      </c>
      <c r="AL855" s="225">
        <f>Table1[[#This Row],[WSP/Dealer]]/Table1[[#This Row],[OD Sq Inch]]</f>
        <v>0.30092592592592593</v>
      </c>
      <c r="AM855" s="218">
        <f>Table1[[#This Row],[OD Wdth]]*Table1[[#This Row],[OD Hgt]]</f>
        <v>4320</v>
      </c>
      <c r="AN855" s="216">
        <f>Table1[[#This Row],[Min VO]]+Table1[[#This Row],[Max VO]]</f>
        <v>132</v>
      </c>
      <c r="AO855" s="119"/>
      <c r="AP855" s="84"/>
      <c r="AQ855" s="126"/>
      <c r="AR855" s="126"/>
      <c r="AS855" s="126"/>
      <c r="AT855" s="74"/>
      <c r="AU855" s="1356" t="str">
        <f t="shared" si="290"/>
        <v>-</v>
      </c>
    </row>
    <row r="856" spans="1:47" s="97" customFormat="1" x14ac:dyDescent="0.2">
      <c r="A856" s="86" t="s">
        <v>58</v>
      </c>
      <c r="B856" s="1061" t="s">
        <v>1457</v>
      </c>
      <c r="C856" s="77" t="s">
        <v>2183</v>
      </c>
      <c r="D856" s="94" t="s">
        <v>2184</v>
      </c>
      <c r="E856" s="85" t="s">
        <v>2185</v>
      </c>
      <c r="F856" s="85" t="s">
        <v>289</v>
      </c>
      <c r="G856" s="86" t="s">
        <v>1342</v>
      </c>
      <c r="H856" s="86" t="s">
        <v>1342</v>
      </c>
      <c r="I856" s="86" t="s">
        <v>52</v>
      </c>
      <c r="J856" s="86" t="s">
        <v>53</v>
      </c>
      <c r="K856" s="60" t="s">
        <v>54</v>
      </c>
      <c r="L856" s="60" t="s">
        <v>55</v>
      </c>
      <c r="M856" s="87">
        <v>650</v>
      </c>
      <c r="N856" s="639">
        <v>720</v>
      </c>
      <c r="O856" s="101" t="s">
        <v>56</v>
      </c>
      <c r="P856" s="273">
        <v>48</v>
      </c>
      <c r="Q856" s="273">
        <v>36</v>
      </c>
      <c r="R856" s="60">
        <v>36</v>
      </c>
      <c r="S856" s="61">
        <v>48</v>
      </c>
      <c r="T856" s="61">
        <f>Table1[[#This Row],[VO Wdth]]</f>
        <v>48</v>
      </c>
      <c r="U856" s="61">
        <f>Table1[[#This Row],[VO Hgt]]</f>
        <v>36</v>
      </c>
      <c r="V856" s="106">
        <f>IF(J856="Canvas",P856+BorderGW,P856)</f>
        <v>56</v>
      </c>
      <c r="W856" s="106">
        <f>IF(J856="Canvas",Q856+BorderGW,Q856)</f>
        <v>44</v>
      </c>
      <c r="X856" s="137">
        <v>59</v>
      </c>
      <c r="Y856" s="101"/>
      <c r="Z856" s="101"/>
      <c r="AA856" s="649">
        <f t="shared" si="282"/>
        <v>17.111111111111111</v>
      </c>
      <c r="AB856" s="184">
        <f>AA856*IncaG</f>
        <v>360.01777777777778</v>
      </c>
      <c r="AC856" s="104">
        <f>AA856*Canvas</f>
        <v>11.293333333333333</v>
      </c>
      <c r="AD856" s="107">
        <f>AA856*IncaC</f>
        <v>28.801422222222222</v>
      </c>
      <c r="AE856" s="104">
        <f>IF(Table1[[#This Row],[Work Center]]="SwissQ",Materials!G$37,IF(Table1[[#This Row],[Work Center]]="Inca",Materials!G$29,IF(Table1[[#This Row],[Work Center]]="Canon",Materials!G$49,Materials!G$45)))</f>
        <v>8</v>
      </c>
      <c r="AF856" s="69">
        <f>'Cali FPS'!C$71</f>
        <v>114.31</v>
      </c>
      <c r="AG856" s="115"/>
      <c r="AH856" s="112">
        <f>(M856*0.05)</f>
        <v>32.5</v>
      </c>
      <c r="AI856" s="112"/>
      <c r="AJ856" s="104">
        <f t="shared" si="287"/>
        <v>194.90475555555554</v>
      </c>
      <c r="AK856" s="62">
        <f t="shared" si="291"/>
        <v>0.70014652991452997</v>
      </c>
      <c r="AL856" s="225">
        <f>Table1[[#This Row],[WSP/Dealer]]/Table1[[#This Row],[OD Sq Inch]]</f>
        <v>0.37615740740740738</v>
      </c>
      <c r="AM856" s="97">
        <f>Table1[[#This Row],[OD Wdth]]*Table1[[#This Row],[OD Hgt]]</f>
        <v>1728</v>
      </c>
      <c r="AN856" s="216">
        <f>Table1[[#This Row],[Min VO]]+Table1[[#This Row],[Max VO]]</f>
        <v>84</v>
      </c>
      <c r="AO856" s="103"/>
      <c r="AP856" s="101"/>
      <c r="AQ856" s="104"/>
      <c r="AR856" s="104"/>
      <c r="AS856" s="104"/>
      <c r="AT856" s="104"/>
      <c r="AU856" s="108" t="str">
        <f t="shared" si="290"/>
        <v>-</v>
      </c>
    </row>
    <row r="857" spans="1:47" s="63" customFormat="1" hidden="1" x14ac:dyDescent="0.2">
      <c r="A857" s="1291" t="s">
        <v>2186</v>
      </c>
      <c r="B857" s="1303" t="s">
        <v>2187</v>
      </c>
      <c r="C857" s="1291" t="s">
        <v>2188</v>
      </c>
      <c r="D857" s="1292"/>
      <c r="E857" s="1293" t="s">
        <v>2189</v>
      </c>
      <c r="F857" s="1293"/>
      <c r="G857" s="1291"/>
      <c r="H857" s="1291"/>
      <c r="I857" s="1291" t="s">
        <v>108</v>
      </c>
      <c r="J857" s="1294"/>
      <c r="K857" s="1291"/>
      <c r="L857" s="1291"/>
      <c r="M857" s="1483">
        <v>10</v>
      </c>
      <c r="N857" s="1308"/>
      <c r="O857" s="1291"/>
      <c r="P857" s="1295"/>
      <c r="Q857" s="1295"/>
      <c r="R857" s="1291"/>
      <c r="S857" s="1295"/>
      <c r="T857" s="1295"/>
      <c r="U857" s="1295"/>
      <c r="V857" s="1291"/>
      <c r="W857" s="1291"/>
      <c r="X857" s="1291"/>
      <c r="Y857" s="1291"/>
      <c r="Z857" s="1291"/>
      <c r="AA857" s="1296"/>
      <c r="AB857" s="1291"/>
      <c r="AC857" s="1291"/>
      <c r="AD857" s="1293"/>
      <c r="AE857" s="1293"/>
      <c r="AF857" s="1308"/>
      <c r="AG857" s="1293"/>
      <c r="AH857" s="1293"/>
      <c r="AI857" s="1461"/>
      <c r="AJ857" s="1293">
        <v>4.75</v>
      </c>
      <c r="AK857" s="1462">
        <v>0.52500000000000002</v>
      </c>
      <c r="AL857" s="1293"/>
      <c r="AM857" s="1293"/>
      <c r="AN857" s="1293"/>
      <c r="AO857" s="1293"/>
      <c r="AP857" s="1341"/>
      <c r="AQ857" s="1342"/>
      <c r="AR857" s="1342"/>
      <c r="AS857" s="1342"/>
      <c r="AT857" s="1343"/>
      <c r="AU857" s="1378" t="str">
        <f t="shared" si="290"/>
        <v>-</v>
      </c>
    </row>
    <row r="858" spans="1:47" s="764" customFormat="1" hidden="1" x14ac:dyDescent="0.2">
      <c r="A858" s="1291" t="s">
        <v>2186</v>
      </c>
      <c r="B858" s="1291" t="s">
        <v>2187</v>
      </c>
      <c r="C858" s="1291" t="s">
        <v>2190</v>
      </c>
      <c r="D858" s="1292"/>
      <c r="E858" s="1293" t="s">
        <v>2191</v>
      </c>
      <c r="F858" s="1293"/>
      <c r="G858" s="1291"/>
      <c r="H858" s="1291"/>
      <c r="I858" s="1291" t="s">
        <v>108</v>
      </c>
      <c r="J858" s="1294"/>
      <c r="K858" s="1291"/>
      <c r="L858" s="1291"/>
      <c r="M858" s="1483">
        <v>50</v>
      </c>
      <c r="N858" s="1308"/>
      <c r="O858" s="1291"/>
      <c r="P858" s="1295"/>
      <c r="Q858" s="1295"/>
      <c r="R858" s="1291"/>
      <c r="S858" s="1295"/>
      <c r="T858" s="1295"/>
      <c r="U858" s="1295"/>
      <c r="V858" s="1291"/>
      <c r="W858" s="1291"/>
      <c r="X858" s="1291"/>
      <c r="Y858" s="1291"/>
      <c r="Z858" s="1291"/>
      <c r="AA858" s="1296"/>
      <c r="AB858" s="1291"/>
      <c r="AC858" s="1291"/>
      <c r="AD858" s="1297"/>
      <c r="AE858" s="1293"/>
      <c r="AF858" s="1308"/>
      <c r="AG858" s="1293"/>
      <c r="AH858" s="1293"/>
      <c r="AI858" s="1461"/>
      <c r="AJ858" s="1301">
        <v>18.440000000000001</v>
      </c>
      <c r="AK858" s="1462">
        <v>0.63119999999999998</v>
      </c>
      <c r="AL858" s="1293"/>
      <c r="AM858" s="1293"/>
      <c r="AN858" s="1293"/>
      <c r="AO858" s="1293"/>
      <c r="AP858" s="1341"/>
      <c r="AQ858" s="1342"/>
      <c r="AR858" s="1342"/>
      <c r="AS858" s="1342"/>
      <c r="AT858" s="1343"/>
      <c r="AU858" s="1378" t="str">
        <f t="shared" si="290"/>
        <v>-</v>
      </c>
    </row>
    <row r="859" spans="1:47" s="103" customFormat="1" hidden="1" x14ac:dyDescent="0.2">
      <c r="A859" s="68"/>
      <c r="B859" s="279"/>
      <c r="C859" s="94" t="s">
        <v>2192</v>
      </c>
      <c r="D859" s="94"/>
      <c r="E859" s="84" t="s">
        <v>2193</v>
      </c>
      <c r="F859" s="84" t="s">
        <v>131</v>
      </c>
      <c r="G859" s="68" t="s">
        <v>2194</v>
      </c>
      <c r="H859" s="68"/>
      <c r="I859" s="68" t="s">
        <v>52</v>
      </c>
      <c r="J859" s="68" t="s">
        <v>53</v>
      </c>
      <c r="K859" s="68" t="s">
        <v>54</v>
      </c>
      <c r="L859" s="68" t="s">
        <v>55</v>
      </c>
      <c r="M859" s="93"/>
      <c r="N859" s="71"/>
      <c r="O859" s="68"/>
      <c r="P859" s="68"/>
      <c r="Q859" s="68"/>
      <c r="R859" s="68"/>
      <c r="S859" s="68"/>
      <c r="T859" s="68"/>
      <c r="U859" s="68"/>
      <c r="V859" s="66"/>
      <c r="W859" s="66"/>
      <c r="X859" s="189"/>
      <c r="Y859" s="68"/>
      <c r="Z859" s="68"/>
      <c r="AA859" s="699"/>
      <c r="AB859" s="297"/>
      <c r="AC859" s="74"/>
      <c r="AD859" s="118"/>
      <c r="AE859" s="126"/>
      <c r="AF859" s="73"/>
      <c r="AG859" s="126"/>
      <c r="AH859" s="498">
        <f t="shared" ref="AH859:AH866" si="292">(M859*0.05)</f>
        <v>0</v>
      </c>
      <c r="AI859" s="498"/>
      <c r="AJ859" s="126"/>
      <c r="AK859" s="650" t="e">
        <f t="shared" ref="AK859:AK901" si="293">(M859-AJ859)/M859</f>
        <v>#DIV/0!</v>
      </c>
      <c r="AL859" s="225" t="e">
        <f>Table1[[#This Row],[WSP/Dealer]]/Table1[[#This Row],[OD Sq Inch]]</f>
        <v>#DIV/0!</v>
      </c>
      <c r="AM859" s="119"/>
      <c r="AN859" s="216">
        <f>Table1[[#This Row],[Min VO]]+Table1[[#This Row],[Max VO]]</f>
        <v>0</v>
      </c>
      <c r="AO859" s="84"/>
      <c r="AP859" s="84"/>
      <c r="AQ859" s="126"/>
      <c r="AR859" s="126"/>
      <c r="AS859" s="126"/>
      <c r="AT859" s="74"/>
      <c r="AU859" s="1357" t="str">
        <f t="shared" si="290"/>
        <v>-</v>
      </c>
    </row>
    <row r="860" spans="1:47" s="103" customFormat="1" hidden="1" x14ac:dyDescent="0.2">
      <c r="A860" s="216" t="s">
        <v>2195</v>
      </c>
      <c r="B860" s="279" t="s">
        <v>273</v>
      </c>
      <c r="C860" s="232" t="s">
        <v>2196</v>
      </c>
      <c r="D860" s="94"/>
      <c r="E860" s="217" t="s">
        <v>2197</v>
      </c>
      <c r="F860" s="217" t="s">
        <v>131</v>
      </c>
      <c r="G860" s="216" t="s">
        <v>2194</v>
      </c>
      <c r="H860" s="216" t="s">
        <v>2194</v>
      </c>
      <c r="I860" s="216" t="s">
        <v>52</v>
      </c>
      <c r="J860" s="216" t="s">
        <v>53</v>
      </c>
      <c r="K860" s="216" t="s">
        <v>54</v>
      </c>
      <c r="L860" s="216" t="s">
        <v>55</v>
      </c>
      <c r="M860" s="219">
        <v>225</v>
      </c>
      <c r="N860" s="219"/>
      <c r="O860" s="216" t="s">
        <v>56</v>
      </c>
      <c r="P860" s="216">
        <v>22</v>
      </c>
      <c r="Q860" s="216">
        <v>30</v>
      </c>
      <c r="R860" s="216">
        <v>22</v>
      </c>
      <c r="S860" s="626">
        <v>30</v>
      </c>
      <c r="T860" s="216">
        <f t="shared" ref="T860:U862" si="294">P860</f>
        <v>22</v>
      </c>
      <c r="U860" s="216">
        <f t="shared" si="294"/>
        <v>30</v>
      </c>
      <c r="V860" s="222">
        <f>IF(J860="Canvas",P860+BorderGW,P860)</f>
        <v>30</v>
      </c>
      <c r="W860" s="222">
        <f>IF(J860="Canvas",Q860+BorderGW,Q860)</f>
        <v>38</v>
      </c>
      <c r="X860" s="223" t="s">
        <v>1070</v>
      </c>
      <c r="Y860" s="216">
        <v>38</v>
      </c>
      <c r="Z860" s="216">
        <v>90</v>
      </c>
      <c r="AA860" s="718">
        <f t="shared" ref="AA860:AA880" si="295">V860*W860/144</f>
        <v>7.916666666666667</v>
      </c>
      <c r="AB860" s="233">
        <f>AA860*IncaG</f>
        <v>166.56666666666666</v>
      </c>
      <c r="AC860" s="69">
        <f t="shared" ref="AC860:AC880" si="296">AA860*Canvas</f>
        <v>5.2250000000000005</v>
      </c>
      <c r="AD860" s="206">
        <f>Table1[[#This Row],[Ink g/mL]]*Materials!$C$29</f>
        <v>13.325333333333333</v>
      </c>
      <c r="AE860" s="104">
        <f>IF(Table1[[#This Row],[Work Center]]="SwissQ",Materials!G$37,IF(Table1[[#This Row],[Work Center]]="Inca",Materials!G$29,IF(Table1[[#This Row],[Work Center]]="Canon",Materials!G$49,Materials!G$45)))</f>
        <v>8</v>
      </c>
      <c r="AF860" s="225"/>
      <c r="AG860" s="115"/>
      <c r="AH860" s="498">
        <f t="shared" si="292"/>
        <v>11.25</v>
      </c>
      <c r="AI860" s="498"/>
      <c r="AJ860" s="225">
        <f t="shared" ref="AJ860:AJ866" si="297">SUM(AC860:AH860)</f>
        <v>37.800333333333334</v>
      </c>
      <c r="AK860" s="650">
        <f t="shared" si="293"/>
        <v>0.83199851851851858</v>
      </c>
      <c r="AL860" s="225">
        <f>Table1[[#This Row],[WSP/Dealer]]/Table1[[#This Row],[OD Sq Inch]]</f>
        <v>0.34090909090909088</v>
      </c>
      <c r="AM860" s="97">
        <f>Table1[[#This Row],[OD Wdth]]*Table1[[#This Row],[OD Hgt]]</f>
        <v>660</v>
      </c>
      <c r="AN860" s="216">
        <f>Table1[[#This Row],[Min VO]]+Table1[[#This Row],[Max VO]]</f>
        <v>52</v>
      </c>
      <c r="AO860" s="216" t="s">
        <v>2198</v>
      </c>
      <c r="AP860" s="226"/>
      <c r="AQ860" s="226"/>
      <c r="AR860" s="226"/>
      <c r="AS860" s="226"/>
      <c r="AT860" s="226"/>
      <c r="AU860" s="1363" t="str">
        <f t="shared" si="290"/>
        <v>-</v>
      </c>
    </row>
    <row r="861" spans="1:47" s="63" customFormat="1" hidden="1" x14ac:dyDescent="0.2">
      <c r="A861" s="216" t="s">
        <v>272</v>
      </c>
      <c r="B861" s="1061" t="s">
        <v>273</v>
      </c>
      <c r="C861" s="232" t="s">
        <v>2199</v>
      </c>
      <c r="D861" s="94"/>
      <c r="E861" s="217" t="s">
        <v>2200</v>
      </c>
      <c r="F861" s="217" t="s">
        <v>131</v>
      </c>
      <c r="G861" s="216" t="s">
        <v>2194</v>
      </c>
      <c r="H861" s="216" t="s">
        <v>2194</v>
      </c>
      <c r="I861" s="216" t="s">
        <v>698</v>
      </c>
      <c r="J861" s="216" t="s">
        <v>53</v>
      </c>
      <c r="K861" s="216" t="s">
        <v>54</v>
      </c>
      <c r="L861" s="216" t="s">
        <v>55</v>
      </c>
      <c r="M861" s="219">
        <v>195</v>
      </c>
      <c r="N861" s="219"/>
      <c r="O861" s="216" t="s">
        <v>56</v>
      </c>
      <c r="P861" s="216">
        <v>22</v>
      </c>
      <c r="Q861" s="216">
        <v>30</v>
      </c>
      <c r="R861" s="216">
        <v>22</v>
      </c>
      <c r="S861" s="626">
        <v>30</v>
      </c>
      <c r="T861" s="216">
        <f t="shared" si="294"/>
        <v>22</v>
      </c>
      <c r="U861" s="216">
        <f t="shared" si="294"/>
        <v>30</v>
      </c>
      <c r="V861" s="907">
        <f>IF(J861="Canvas",P861+BorderGW,P861)</f>
        <v>30</v>
      </c>
      <c r="W861" s="907">
        <f>IF(J861="Canvas",Q861+BorderGW,Q861)</f>
        <v>38</v>
      </c>
      <c r="X861" s="223" t="s">
        <v>1070</v>
      </c>
      <c r="Y861" s="216">
        <v>38</v>
      </c>
      <c r="Z861" s="216">
        <v>90</v>
      </c>
      <c r="AA861" s="718">
        <f t="shared" si="295"/>
        <v>7.916666666666667</v>
      </c>
      <c r="AB861" s="233">
        <f>AA861*IncaG</f>
        <v>166.56666666666666</v>
      </c>
      <c r="AC861" s="225">
        <f t="shared" si="296"/>
        <v>5.2250000000000005</v>
      </c>
      <c r="AD861" s="206">
        <f>Table1[[#This Row],[Ink g/mL]]*Materials!$C$29</f>
        <v>13.325333333333333</v>
      </c>
      <c r="AE861" s="104">
        <f>IF(Table1[[#This Row],[Work Center]]="SwissQ",Materials!G$37,IF(Table1[[#This Row],[Work Center]]="Inca",Materials!G$29,IF(Table1[[#This Row],[Work Center]]="Canon",Materials!G$49,Materials!G$45)))</f>
        <v>8</v>
      </c>
      <c r="AF861" s="226">
        <f>'CALI_SONDER '!H$6</f>
        <v>55.2</v>
      </c>
      <c r="AG861" s="225"/>
      <c r="AH861" s="498">
        <f t="shared" si="292"/>
        <v>9.75</v>
      </c>
      <c r="AI861" s="498"/>
      <c r="AJ861" s="225">
        <f t="shared" si="297"/>
        <v>91.500333333333344</v>
      </c>
      <c r="AK861" s="650">
        <f t="shared" si="293"/>
        <v>0.53076752136752126</v>
      </c>
      <c r="AL861" s="225">
        <f>Table1[[#This Row],[WSP/Dealer]]/Table1[[#This Row],[OD Sq Inch]]</f>
        <v>0.29545454545454547</v>
      </c>
      <c r="AM861" s="103">
        <f>Table1[[#This Row],[OD Wdth]]*Table1[[#This Row],[OD Hgt]]</f>
        <v>660</v>
      </c>
      <c r="AN861" s="216">
        <f>Table1[[#This Row],[Min VO]]+Table1[[#This Row],[Max VO]]</f>
        <v>52</v>
      </c>
      <c r="AO861" s="216" t="s">
        <v>2198</v>
      </c>
      <c r="AP861" s="226"/>
      <c r="AQ861" s="226"/>
      <c r="AR861" s="226"/>
      <c r="AS861" s="226"/>
      <c r="AT861" s="226"/>
      <c r="AU861" s="1363" t="str">
        <f t="shared" si="290"/>
        <v>-</v>
      </c>
    </row>
    <row r="862" spans="1:47" s="103" customFormat="1" hidden="1" x14ac:dyDescent="0.2">
      <c r="A862" s="216" t="s">
        <v>272</v>
      </c>
      <c r="B862" s="1061" t="s">
        <v>273</v>
      </c>
      <c r="C862" s="232" t="s">
        <v>2201</v>
      </c>
      <c r="D862" s="94"/>
      <c r="E862" s="217" t="s">
        <v>2202</v>
      </c>
      <c r="F862" s="217" t="s">
        <v>131</v>
      </c>
      <c r="G862" s="216" t="s">
        <v>2194</v>
      </c>
      <c r="H862" s="216" t="s">
        <v>2194</v>
      </c>
      <c r="I862" s="216" t="s">
        <v>108</v>
      </c>
      <c r="J862" s="216" t="s">
        <v>53</v>
      </c>
      <c r="K862" s="216" t="s">
        <v>54</v>
      </c>
      <c r="L862" s="216" t="s">
        <v>55</v>
      </c>
      <c r="M862" s="219">
        <v>175</v>
      </c>
      <c r="N862" s="219"/>
      <c r="O862" s="216" t="s">
        <v>109</v>
      </c>
      <c r="P862" s="216">
        <v>22</v>
      </c>
      <c r="Q862" s="216">
        <v>30</v>
      </c>
      <c r="R862" s="216">
        <v>22</v>
      </c>
      <c r="S862" s="626">
        <v>30</v>
      </c>
      <c r="T862" s="216">
        <f t="shared" si="294"/>
        <v>22</v>
      </c>
      <c r="U862" s="216">
        <f t="shared" si="294"/>
        <v>30</v>
      </c>
      <c r="V862" s="907">
        <f>IF(J862="Canvas",P862+BorderGW,P862)</f>
        <v>30</v>
      </c>
      <c r="W862" s="907">
        <f>IF(J862="Canvas",Q862+BorderGW,Q862)</f>
        <v>38</v>
      </c>
      <c r="X862" s="223">
        <v>40</v>
      </c>
      <c r="Y862" s="216"/>
      <c r="Z862" s="216"/>
      <c r="AA862" s="718">
        <f t="shared" si="295"/>
        <v>7.916666666666667</v>
      </c>
      <c r="AB862" s="233">
        <f>AA862*EPSONM</f>
        <v>35.625</v>
      </c>
      <c r="AC862" s="225">
        <f t="shared" si="296"/>
        <v>5.2250000000000005</v>
      </c>
      <c r="AD862" s="207">
        <f>Table1[[#This Row],[Ink g/mL]]*EPSONC</f>
        <v>7.8375000000000004</v>
      </c>
      <c r="AE862" s="104">
        <f>IF(Table1[[#This Row],[Work Center]]="SwissQ",Materials!G$37,IF(Table1[[#This Row],[Work Center]]="Inca",Materials!G$29,IF(Table1[[#This Row],[Work Center]]="Canon",Materials!G$49,Materials!G$45)))</f>
        <v>5</v>
      </c>
      <c r="AF862" s="226">
        <f>'CALI_SONDER '!H$6</f>
        <v>55.2</v>
      </c>
      <c r="AG862" s="225"/>
      <c r="AH862" s="498">
        <f t="shared" si="292"/>
        <v>8.75</v>
      </c>
      <c r="AI862" s="498"/>
      <c r="AJ862" s="225">
        <f t="shared" si="297"/>
        <v>82.012500000000003</v>
      </c>
      <c r="AK862" s="650">
        <f t="shared" si="293"/>
        <v>0.53135714285714286</v>
      </c>
      <c r="AL862" s="225">
        <f>Table1[[#This Row],[WSP/Dealer]]/Table1[[#This Row],[OD Sq Inch]]</f>
        <v>0.26515151515151514</v>
      </c>
      <c r="AM862" s="216">
        <f>Table1[[#This Row],[OD Wdth]]*Table1[[#This Row],[OD Hgt]]</f>
        <v>660</v>
      </c>
      <c r="AN862" s="216">
        <f>Table1[[#This Row],[Min VO]]+Table1[[#This Row],[Max VO]]</f>
        <v>52</v>
      </c>
      <c r="AO862" s="216" t="s">
        <v>2198</v>
      </c>
      <c r="AP862" s="226"/>
      <c r="AQ862" s="226"/>
      <c r="AR862" s="226"/>
      <c r="AS862" s="226"/>
      <c r="AT862" s="226"/>
      <c r="AU862" s="1363" t="str">
        <f t="shared" si="290"/>
        <v>-</v>
      </c>
    </row>
    <row r="863" spans="1:47" s="63" customFormat="1" x14ac:dyDescent="0.2">
      <c r="A863" s="60" t="s">
        <v>58</v>
      </c>
      <c r="B863" s="1071" t="s">
        <v>59</v>
      </c>
      <c r="C863" s="76" t="s">
        <v>2203</v>
      </c>
      <c r="D863" s="79"/>
      <c r="E863" s="83" t="s">
        <v>2204</v>
      </c>
      <c r="F863" s="83" t="s">
        <v>144</v>
      </c>
      <c r="G863" s="60" t="s">
        <v>1493</v>
      </c>
      <c r="H863" s="60" t="s">
        <v>1493</v>
      </c>
      <c r="I863" s="60" t="s">
        <v>52</v>
      </c>
      <c r="J863" s="59" t="s">
        <v>53</v>
      </c>
      <c r="K863" s="60" t="s">
        <v>54</v>
      </c>
      <c r="L863" s="60" t="s">
        <v>55</v>
      </c>
      <c r="M863" s="124">
        <v>1200</v>
      </c>
      <c r="N863" s="124"/>
      <c r="O863" s="60" t="s">
        <v>56</v>
      </c>
      <c r="P863" s="60">
        <v>70</v>
      </c>
      <c r="Q863" s="60">
        <v>56</v>
      </c>
      <c r="R863" s="60">
        <v>56</v>
      </c>
      <c r="S863" s="273">
        <v>70</v>
      </c>
      <c r="T863" s="60">
        <v>70</v>
      </c>
      <c r="U863" s="60">
        <v>56</v>
      </c>
      <c r="V863" s="946">
        <f t="shared" ref="V863:V868" si="298">IF(J863="Canvas",P863+Border,P863)</f>
        <v>78</v>
      </c>
      <c r="W863" s="946">
        <f t="shared" ref="W863:W868" si="299">IF(J863="Canvas",Q863+Border,Q863)</f>
        <v>64</v>
      </c>
      <c r="X863" s="60">
        <v>82</v>
      </c>
      <c r="Y863" s="60">
        <v>78</v>
      </c>
      <c r="Z863" s="60">
        <v>64</v>
      </c>
      <c r="AA863" s="678">
        <f t="shared" si="295"/>
        <v>34.666666666666664</v>
      </c>
      <c r="AB863" s="329">
        <f>AA863*IncaG</f>
        <v>729.38666666666654</v>
      </c>
      <c r="AC863" s="176">
        <f t="shared" si="296"/>
        <v>22.88</v>
      </c>
      <c r="AD863" s="1041">
        <f>Table1[[#This Row],[Ink g/mL]]*Materials!$C$29</f>
        <v>58.350933333333323</v>
      </c>
      <c r="AE863" s="176">
        <f>IF(Table1[[#This Row],[Work Center]]="SwissQ",Materials!G$37,IF(Table1[[#This Row],[Work Center]]="Inca",Materials!G$29,IF(Table1[[#This Row],[Work Center]]="Canon",Materials!G$49,Materials!G$45)))</f>
        <v>8</v>
      </c>
      <c r="AF863" s="72">
        <f>'Cali FPS'!C149</f>
        <v>231.14000000000001</v>
      </c>
      <c r="AG863" s="540"/>
      <c r="AH863" s="176">
        <f t="shared" si="292"/>
        <v>60</v>
      </c>
      <c r="AI863" s="176"/>
      <c r="AJ863" s="176">
        <f t="shared" si="297"/>
        <v>380.37093333333337</v>
      </c>
      <c r="AK863" s="1201">
        <f t="shared" si="293"/>
        <v>0.68302422222222214</v>
      </c>
      <c r="AL863" s="176">
        <f>Table1[[#This Row],[WSP/Dealer]]/Table1[[#This Row],[OD Sq Inch]]</f>
        <v>0.30612244897959184</v>
      </c>
      <c r="AM863" s="180">
        <f>Table1[[#This Row],[OD Wdth]]*Table1[[#This Row],[OD Hgt]]</f>
        <v>3920</v>
      </c>
      <c r="AN863" s="180">
        <f>Table1[[#This Row],[Min VO]]+Table1[[#This Row],[Max VO]]</f>
        <v>126</v>
      </c>
      <c r="AO863" s="180"/>
      <c r="AP863" s="821"/>
      <c r="AQ863" s="72"/>
      <c r="AR863" s="72"/>
      <c r="AS863" s="72"/>
      <c r="AT863" s="72"/>
      <c r="AU863" s="1361" t="str">
        <f t="shared" si="290"/>
        <v>-</v>
      </c>
    </row>
    <row r="864" spans="1:47" s="63" customFormat="1" x14ac:dyDescent="0.2">
      <c r="A864" s="68" t="s">
        <v>58</v>
      </c>
      <c r="B864" s="1072" t="s">
        <v>310</v>
      </c>
      <c r="C864" s="78" t="s">
        <v>2205</v>
      </c>
      <c r="D864" s="94"/>
      <c r="E864" s="84" t="s">
        <v>2204</v>
      </c>
      <c r="F864" s="84" t="s">
        <v>144</v>
      </c>
      <c r="G864" s="68" t="s">
        <v>1493</v>
      </c>
      <c r="H864" s="68" t="s">
        <v>2206</v>
      </c>
      <c r="I864" s="68" t="s">
        <v>52</v>
      </c>
      <c r="J864" s="140" t="s">
        <v>53</v>
      </c>
      <c r="K864" s="68" t="s">
        <v>82</v>
      </c>
      <c r="L864" s="68" t="s">
        <v>298</v>
      </c>
      <c r="M864" s="93">
        <v>1400</v>
      </c>
      <c r="N864" s="93"/>
      <c r="O864" s="68" t="s">
        <v>56</v>
      </c>
      <c r="P864" s="68">
        <v>70</v>
      </c>
      <c r="Q864" s="68">
        <v>56</v>
      </c>
      <c r="R864" s="68">
        <v>56</v>
      </c>
      <c r="S864" s="623">
        <v>70</v>
      </c>
      <c r="T864" s="68">
        <v>72</v>
      </c>
      <c r="U864" s="68">
        <v>58</v>
      </c>
      <c r="V864" s="917">
        <f t="shared" si="298"/>
        <v>78</v>
      </c>
      <c r="W864" s="917">
        <f t="shared" si="299"/>
        <v>64</v>
      </c>
      <c r="X864" s="68">
        <v>82</v>
      </c>
      <c r="Y864" s="68">
        <v>78</v>
      </c>
      <c r="Z864" s="68">
        <v>64</v>
      </c>
      <c r="AA864" s="699">
        <f t="shared" si="295"/>
        <v>34.666666666666664</v>
      </c>
      <c r="AB864" s="297">
        <f>AA864*IncaG</f>
        <v>729.38666666666654</v>
      </c>
      <c r="AC864" s="74">
        <f t="shared" si="296"/>
        <v>22.88</v>
      </c>
      <c r="AD864" s="126">
        <f>Table1[[#This Row],[Ink g/mL]]*Materials!$C$29</f>
        <v>58.350933333333323</v>
      </c>
      <c r="AE864" s="74">
        <f>IF(Table1[[#This Row],[Work Center]]="SwissQ",Materials!G$37,IF(Table1[[#This Row],[Work Center]]="Inca",Materials!G$29,IF(Table1[[#This Row],[Work Center]]="Canon",Materials!G$49,Materials!G$45)))</f>
        <v>8</v>
      </c>
      <c r="AF864" s="73">
        <f>'Cali Frames'!D241</f>
        <v>329</v>
      </c>
      <c r="AG864" s="126"/>
      <c r="AH864" s="74">
        <f t="shared" si="292"/>
        <v>70</v>
      </c>
      <c r="AI864" s="74"/>
      <c r="AJ864" s="74">
        <f t="shared" si="297"/>
        <v>488.23093333333333</v>
      </c>
      <c r="AK864" s="1001">
        <f t="shared" si="293"/>
        <v>0.65126361904761909</v>
      </c>
      <c r="AL864" s="74">
        <f>Table1[[#This Row],[WSP/Dealer]]/Table1[[#This Row],[OD Sq Inch]]</f>
        <v>0.33524904214559387</v>
      </c>
      <c r="AM864" s="68">
        <f>Table1[[#This Row],[OD Wdth]]*Table1[[#This Row],[OD Hgt]]</f>
        <v>4176</v>
      </c>
      <c r="AN864" s="68">
        <f>Table1[[#This Row],[Min VO]]+Table1[[#This Row],[Max VO]]</f>
        <v>126</v>
      </c>
      <c r="AO864" s="84"/>
      <c r="AP864" s="535"/>
      <c r="AQ864" s="73">
        <f>(Table1[[#This Row],[Desgnr/Retail P]]*0.05)</f>
        <v>0</v>
      </c>
      <c r="AR864" s="73" t="b">
        <f>IF(A864="Codarus",(AP864*0.13))</f>
        <v>0</v>
      </c>
      <c r="AS864" s="73" t="e" cm="1">
        <f t="array" ref="AS864">SUM(AC864:AG864+AQ+AR)</f>
        <v>#NAME?</v>
      </c>
      <c r="AT864" s="73" t="e">
        <f>(AP864-AS864)/AP864</f>
        <v>#NAME?</v>
      </c>
      <c r="AU864" s="1357" t="str">
        <f t="shared" si="290"/>
        <v>-</v>
      </c>
    </row>
    <row r="865" spans="1:47" s="63" customFormat="1" x14ac:dyDescent="0.2">
      <c r="A865" s="68" t="s">
        <v>58</v>
      </c>
      <c r="B865" s="1072" t="s">
        <v>310</v>
      </c>
      <c r="C865" s="78" t="s">
        <v>2207</v>
      </c>
      <c r="D865" s="94"/>
      <c r="E865" s="84" t="s">
        <v>2204</v>
      </c>
      <c r="F865" s="84" t="s">
        <v>144</v>
      </c>
      <c r="G865" s="68" t="s">
        <v>1493</v>
      </c>
      <c r="H865" s="68" t="s">
        <v>2206</v>
      </c>
      <c r="I865" s="68" t="s">
        <v>52</v>
      </c>
      <c r="J865" s="140" t="s">
        <v>53</v>
      </c>
      <c r="K865" s="68" t="s">
        <v>82</v>
      </c>
      <c r="L865" s="68" t="s">
        <v>83</v>
      </c>
      <c r="M865" s="93">
        <v>1400</v>
      </c>
      <c r="N865" s="93"/>
      <c r="O865" s="68" t="s">
        <v>56</v>
      </c>
      <c r="P865" s="68">
        <v>70</v>
      </c>
      <c r="Q865" s="68">
        <v>56</v>
      </c>
      <c r="R865" s="68">
        <v>56</v>
      </c>
      <c r="S865" s="623">
        <v>70</v>
      </c>
      <c r="T865" s="68">
        <v>72</v>
      </c>
      <c r="U865" s="68">
        <v>58</v>
      </c>
      <c r="V865" s="917">
        <f t="shared" si="298"/>
        <v>78</v>
      </c>
      <c r="W865" s="917">
        <f t="shared" si="299"/>
        <v>64</v>
      </c>
      <c r="X865" s="68">
        <v>82</v>
      </c>
      <c r="Y865" s="68">
        <v>78</v>
      </c>
      <c r="Z865" s="68">
        <v>64</v>
      </c>
      <c r="AA865" s="699">
        <f t="shared" si="295"/>
        <v>34.666666666666664</v>
      </c>
      <c r="AB865" s="297">
        <f>AA865*IncaG</f>
        <v>729.38666666666654</v>
      </c>
      <c r="AC865" s="74">
        <f t="shared" si="296"/>
        <v>22.88</v>
      </c>
      <c r="AD865" s="118">
        <f>Table1[[#This Row],[Ink g/mL]]*Materials!$C$29</f>
        <v>58.350933333333323</v>
      </c>
      <c r="AE865" s="74">
        <f>IF(Table1[[#This Row],[Work Center]]="SwissQ",Materials!G$37,IF(Table1[[#This Row],[Work Center]]="Inca",Materials!G$29,IF(Table1[[#This Row],[Work Center]]="Canon",Materials!G$49,Materials!G$45)))</f>
        <v>8</v>
      </c>
      <c r="AF865" s="73">
        <f>'Cali Frames'!D165</f>
        <v>350</v>
      </c>
      <c r="AG865" s="126"/>
      <c r="AH865" s="74">
        <f t="shared" si="292"/>
        <v>70</v>
      </c>
      <c r="AI865" s="74"/>
      <c r="AJ865" s="74">
        <f t="shared" si="297"/>
        <v>509.23093333333333</v>
      </c>
      <c r="AK865" s="1001">
        <f t="shared" si="293"/>
        <v>0.63626361904761908</v>
      </c>
      <c r="AL865" s="74">
        <f>Table1[[#This Row],[WSP/Dealer]]/Table1[[#This Row],[OD Sq Inch]]</f>
        <v>0.33524904214559387</v>
      </c>
      <c r="AM865" s="68">
        <f>Table1[[#This Row],[OD Wdth]]*Table1[[#This Row],[OD Hgt]]</f>
        <v>4176</v>
      </c>
      <c r="AN865" s="68">
        <f>Table1[[#This Row],[Min VO]]+Table1[[#This Row],[Max VO]]</f>
        <v>126</v>
      </c>
      <c r="AO865" s="84"/>
      <c r="AP865" s="535"/>
      <c r="AQ865" s="73">
        <f>(Table1[[#This Row],[Desgnr/Retail P]]*0.05)</f>
        <v>0</v>
      </c>
      <c r="AR865" s="73" t="b">
        <f>IF(A865="Codarus",(AP865*0.13))</f>
        <v>0</v>
      </c>
      <c r="AS865" s="73" t="e" cm="1">
        <f t="array" ref="AS865">SUM(AC865:AG865+AQ+AR)</f>
        <v>#NAME?</v>
      </c>
      <c r="AT865" s="73" t="e">
        <f>(AP865-AS865)/AP865</f>
        <v>#NAME?</v>
      </c>
      <c r="AU865" s="1357" t="str">
        <f t="shared" si="290"/>
        <v>-</v>
      </c>
    </row>
    <row r="866" spans="1:47" s="103" customFormat="1" x14ac:dyDescent="0.2">
      <c r="A866" s="68" t="s">
        <v>58</v>
      </c>
      <c r="B866" s="1072" t="s">
        <v>310</v>
      </c>
      <c r="C866" s="78" t="s">
        <v>2208</v>
      </c>
      <c r="D866" s="94"/>
      <c r="E866" s="84" t="s">
        <v>2204</v>
      </c>
      <c r="F866" s="84" t="s">
        <v>144</v>
      </c>
      <c r="G866" s="68" t="s">
        <v>1493</v>
      </c>
      <c r="H866" s="68" t="s">
        <v>2206</v>
      </c>
      <c r="I866" s="68" t="s">
        <v>52</v>
      </c>
      <c r="J866" s="140" t="s">
        <v>53</v>
      </c>
      <c r="K866" s="68" t="s">
        <v>82</v>
      </c>
      <c r="L866" s="68" t="s">
        <v>1263</v>
      </c>
      <c r="M866" s="93">
        <v>1400</v>
      </c>
      <c r="N866" s="93"/>
      <c r="O866" s="68" t="s">
        <v>56</v>
      </c>
      <c r="P866" s="68">
        <v>70</v>
      </c>
      <c r="Q866" s="68">
        <v>56</v>
      </c>
      <c r="R866" s="68">
        <v>56</v>
      </c>
      <c r="S866" s="623">
        <v>70</v>
      </c>
      <c r="T866" s="68">
        <v>72</v>
      </c>
      <c r="U866" s="68">
        <v>58</v>
      </c>
      <c r="V866" s="66">
        <f t="shared" si="298"/>
        <v>78</v>
      </c>
      <c r="W866" s="66">
        <f t="shared" si="299"/>
        <v>64</v>
      </c>
      <c r="X866" s="68">
        <v>82</v>
      </c>
      <c r="Y866" s="68">
        <v>78</v>
      </c>
      <c r="Z866" s="68">
        <v>64</v>
      </c>
      <c r="AA866" s="699">
        <f t="shared" si="295"/>
        <v>34.666666666666664</v>
      </c>
      <c r="AB866" s="297">
        <f>AA866*IncaG</f>
        <v>729.38666666666654</v>
      </c>
      <c r="AC866" s="74">
        <f t="shared" si="296"/>
        <v>22.88</v>
      </c>
      <c r="AD866" s="118">
        <f>Table1[[#This Row],[Ink g/mL]]*Materials!$C$29</f>
        <v>58.350933333333323</v>
      </c>
      <c r="AE866" s="74">
        <f>IF(Table1[[#This Row],[Work Center]]="SwissQ",Materials!G$37,IF(Table1[[#This Row],[Work Center]]="Inca",Materials!G$29,IF(Table1[[#This Row],[Work Center]]="Canon",Materials!G$49,Materials!G$45)))</f>
        <v>8</v>
      </c>
      <c r="AF866" s="73">
        <f>'Cali Frames'!D248</f>
        <v>350.44</v>
      </c>
      <c r="AG866" s="126"/>
      <c r="AH866" s="74">
        <f t="shared" si="292"/>
        <v>70</v>
      </c>
      <c r="AI866" s="74"/>
      <c r="AJ866" s="74">
        <f t="shared" si="297"/>
        <v>509.67093333333332</v>
      </c>
      <c r="AK866" s="1001">
        <f t="shared" si="293"/>
        <v>0.63594933333333337</v>
      </c>
      <c r="AL866" s="74">
        <f>Table1[[#This Row],[WSP/Dealer]]/Table1[[#This Row],[OD Sq Inch]]</f>
        <v>0.33524904214559387</v>
      </c>
      <c r="AM866" s="63">
        <f>Table1[[#This Row],[OD Wdth]]*Table1[[#This Row],[OD Hgt]]</f>
        <v>4176</v>
      </c>
      <c r="AN866" s="68">
        <f>Table1[[#This Row],[Min VO]]+Table1[[#This Row],[Max VO]]</f>
        <v>126</v>
      </c>
      <c r="AO866" s="84"/>
      <c r="AP866" s="535"/>
      <c r="AQ866" s="73">
        <f>(Table1[[#This Row],[Desgnr/Retail P]]*0.05)</f>
        <v>0</v>
      </c>
      <c r="AR866" s="73" t="b">
        <f>IF(A866="Codarus",(AP866*0.13))</f>
        <v>0</v>
      </c>
      <c r="AS866" s="73" t="e" cm="1">
        <f t="array" ref="AS866">SUM(AC866:AG866+AQ+AR)</f>
        <v>#NAME?</v>
      </c>
      <c r="AT866" s="73" t="e">
        <f>(AP866-AS866)/AP866</f>
        <v>#NAME?</v>
      </c>
      <c r="AU866" s="1357" t="str">
        <f t="shared" si="290"/>
        <v>-</v>
      </c>
    </row>
    <row r="867" spans="1:47" s="103" customFormat="1" hidden="1" x14ac:dyDescent="0.2">
      <c r="A867" s="101" t="s">
        <v>110</v>
      </c>
      <c r="B867" s="1062" t="s">
        <v>250</v>
      </c>
      <c r="C867" s="100" t="s">
        <v>2209</v>
      </c>
      <c r="D867" s="168"/>
      <c r="E867" s="115" t="s">
        <v>2210</v>
      </c>
      <c r="F867" s="115" t="s">
        <v>105</v>
      </c>
      <c r="G867" s="101" t="s">
        <v>731</v>
      </c>
      <c r="H867" s="101" t="s">
        <v>731</v>
      </c>
      <c r="I867" s="101" t="s">
        <v>52</v>
      </c>
      <c r="J867" s="487" t="s">
        <v>53</v>
      </c>
      <c r="K867" s="101" t="s">
        <v>119</v>
      </c>
      <c r="L867" s="101" t="s">
        <v>120</v>
      </c>
      <c r="M867" s="299">
        <v>350</v>
      </c>
      <c r="N867" s="1391">
        <v>775</v>
      </c>
      <c r="O867" s="101" t="s">
        <v>575</v>
      </c>
      <c r="P867" s="101">
        <v>30</v>
      </c>
      <c r="Q867" s="101">
        <v>20</v>
      </c>
      <c r="R867" s="101">
        <v>20</v>
      </c>
      <c r="S867" s="697">
        <v>30</v>
      </c>
      <c r="T867" s="101">
        <v>30</v>
      </c>
      <c r="U867" s="101">
        <v>20</v>
      </c>
      <c r="V867" s="106">
        <f t="shared" si="298"/>
        <v>38</v>
      </c>
      <c r="W867" s="106">
        <f t="shared" si="299"/>
        <v>28</v>
      </c>
      <c r="X867" s="137">
        <v>40</v>
      </c>
      <c r="Y867" s="101">
        <v>38</v>
      </c>
      <c r="Z867" s="101">
        <v>28</v>
      </c>
      <c r="AA867" s="724">
        <f t="shared" si="295"/>
        <v>7.3888888888888893</v>
      </c>
      <c r="AB867" s="184">
        <f>AA867*Swiss1</f>
        <v>209.10555555555558</v>
      </c>
      <c r="AC867" s="104">
        <f t="shared" si="296"/>
        <v>4.8766666666666669</v>
      </c>
      <c r="AD867" s="107">
        <f>Table1[[#This Row],[Substrate SF]]*SWISSC1</f>
        <v>20.68888888888889</v>
      </c>
      <c r="AE867" s="104">
        <f>IF(Table1[[#This Row],[Work Center]]="SwissQ",Materials!G$37,IF(Table1[[#This Row],[Work Center]]="Inca",Materials!G$29,IF(Table1[[#This Row],[Work Center]]="Canon",Materials!G$49,Materials!G$45)))</f>
        <v>5</v>
      </c>
      <c r="AF867" s="102">
        <f>'Cali FPS'!C191</f>
        <v>78.89</v>
      </c>
      <c r="AG867" s="121"/>
      <c r="AH867" s="104">
        <v>0</v>
      </c>
      <c r="AI867" s="406">
        <f>IF(A867="Codarus",(M867*0.13))</f>
        <v>45.5</v>
      </c>
      <c r="AJ867" s="107">
        <f>SUM(AC867:AI867)</f>
        <v>154.95555555555555</v>
      </c>
      <c r="AK867" s="830">
        <f t="shared" si="293"/>
        <v>0.55726984126984125</v>
      </c>
      <c r="AL867" s="660">
        <f>Table1[[#This Row],[WSP/Dealer]]/Table1[[#This Row],[OD Sq Inch]]</f>
        <v>0.58333333333333337</v>
      </c>
      <c r="AM867" s="399">
        <f>Table1[[#This Row],[OD Wdth]]*Table1[[#This Row],[OD Hgt]]</f>
        <v>600</v>
      </c>
      <c r="AN867" s="400" t="str">
        <f>Table1[[#This Row],[Color]]</f>
        <v>GT</v>
      </c>
      <c r="AO867" s="115" t="str">
        <f>Table1[[#This Row],[Print Type]]</f>
        <v>Synograph</v>
      </c>
      <c r="AP867" s="1307">
        <v>775</v>
      </c>
      <c r="AQ867" s="121">
        <f>(Table1[[#This Row],[Desgnr/Retail P]]*0.05)</f>
        <v>38.75</v>
      </c>
      <c r="AR867" s="121">
        <f>IF(A867="Codarus",(AP867*0.13))</f>
        <v>100.75</v>
      </c>
      <c r="AS867" s="121">
        <f>SUM(Table1[[#This Row],[Substrate $]:[GP FINISH]])+Table1[[#This Row],[Retail Royalty]]+Table1[[#This Row],[Retail$Comm]]</f>
        <v>248.95555555555555</v>
      </c>
      <c r="AT867" s="830">
        <f>IF(AP867=0,"-",(AP867-AS867)/AP867)</f>
        <v>0.67876702508960574</v>
      </c>
      <c r="AU867" s="1359">
        <f t="shared" si="290"/>
        <v>0.98248343161059082</v>
      </c>
    </row>
    <row r="868" spans="1:47" s="97" customFormat="1" hidden="1" x14ac:dyDescent="0.2">
      <c r="A868" s="521" t="s">
        <v>318</v>
      </c>
      <c r="B868" s="1061" t="s">
        <v>96</v>
      </c>
      <c r="C868" s="109" t="s">
        <v>2209</v>
      </c>
      <c r="D868" s="94">
        <v>176282</v>
      </c>
      <c r="E868" s="522" t="s">
        <v>2210</v>
      </c>
      <c r="F868" s="83" t="s">
        <v>105</v>
      </c>
      <c r="G868" s="110" t="s">
        <v>731</v>
      </c>
      <c r="H868" s="110" t="s">
        <v>2211</v>
      </c>
      <c r="I868" s="110" t="s">
        <v>52</v>
      </c>
      <c r="J868" s="846" t="s">
        <v>53</v>
      </c>
      <c r="K868" s="110" t="s">
        <v>119</v>
      </c>
      <c r="L868" s="110" t="s">
        <v>120</v>
      </c>
      <c r="M868" s="544">
        <v>310</v>
      </c>
      <c r="N868" s="786">
        <v>775</v>
      </c>
      <c r="O868" s="60" t="s">
        <v>575</v>
      </c>
      <c r="P868" s="110">
        <v>30</v>
      </c>
      <c r="Q868" s="110">
        <v>20</v>
      </c>
      <c r="R868" s="110">
        <v>20</v>
      </c>
      <c r="S868" s="1097">
        <v>30</v>
      </c>
      <c r="T868" s="110">
        <v>32</v>
      </c>
      <c r="U868" s="110">
        <v>22</v>
      </c>
      <c r="V868" s="1487">
        <f t="shared" si="298"/>
        <v>38</v>
      </c>
      <c r="W868" s="1487">
        <f t="shared" si="299"/>
        <v>28</v>
      </c>
      <c r="X868" s="847">
        <v>40</v>
      </c>
      <c r="Y868" s="110">
        <v>38</v>
      </c>
      <c r="Z868" s="110">
        <v>28</v>
      </c>
      <c r="AA868" s="827">
        <f t="shared" si="295"/>
        <v>7.3888888888888893</v>
      </c>
      <c r="AB868" s="701">
        <f>AA868*Swiss1</f>
        <v>209.10555555555558</v>
      </c>
      <c r="AC868" s="104">
        <f t="shared" si="296"/>
        <v>4.8766666666666669</v>
      </c>
      <c r="AD868" s="523">
        <f>Table1[[#This Row],[Substrate SF]]*SWISSC1</f>
        <v>20.68888888888889</v>
      </c>
      <c r="AE868" s="498">
        <f>IF(Table1[[#This Row],[Work Center]]="SwissQ",Materials!G$37,IF(Table1[[#This Row],[Work Center]]="Inca",Materials!G$29,IF(Table1[[#This Row],[Work Center]]="Canon",Materials!G$49,Materials!G$45)))</f>
        <v>5</v>
      </c>
      <c r="AF868" s="111">
        <f>'Cali FPS'!C190</f>
        <v>98.98</v>
      </c>
      <c r="AG868" s="663"/>
      <c r="AH868" s="498">
        <v>0</v>
      </c>
      <c r="AI868" s="498"/>
      <c r="AJ868" s="1640">
        <f t="shared" ref="AJ868:AJ880" si="300">SUM(AC868:AH868)</f>
        <v>129.54555555555555</v>
      </c>
      <c r="AK868" s="650">
        <f t="shared" si="293"/>
        <v>0.58211111111111113</v>
      </c>
      <c r="AL868" s="225">
        <f>Table1[[#This Row],[WSP/Dealer]]/Table1[[#This Row],[OD Sq Inch]]</f>
        <v>0.44034090909090912</v>
      </c>
      <c r="AM868" s="524">
        <f>Table1[[#This Row],[OD Wdth]]*Table1[[#This Row],[OD Hgt]]</f>
        <v>704</v>
      </c>
      <c r="AN868" s="915" t="str">
        <f>Table1[[#This Row],[Color]]</f>
        <v>GT</v>
      </c>
      <c r="AO868" s="522" t="str">
        <f>Table1[[#This Row],[Print Type]]</f>
        <v>Synograph</v>
      </c>
      <c r="AP868" s="121"/>
      <c r="AQ868" s="121"/>
      <c r="AR868" s="121"/>
      <c r="AS868" s="121"/>
      <c r="AT868" s="104"/>
      <c r="AU868" s="1492" t="str">
        <f t="shared" si="290"/>
        <v>-</v>
      </c>
    </row>
    <row r="869" spans="1:47" s="63" customFormat="1" hidden="1" x14ac:dyDescent="0.2">
      <c r="A869" s="86"/>
      <c r="B869" s="170"/>
      <c r="C869" s="75" t="s">
        <v>2212</v>
      </c>
      <c r="D869" s="94"/>
      <c r="E869" s="85" t="s">
        <v>2213</v>
      </c>
      <c r="F869" s="85" t="s">
        <v>634</v>
      </c>
      <c r="G869" s="86" t="s">
        <v>647</v>
      </c>
      <c r="H869" s="86" t="s">
        <v>647</v>
      </c>
      <c r="I869" s="86" t="s">
        <v>52</v>
      </c>
      <c r="J869" s="86" t="s">
        <v>53</v>
      </c>
      <c r="K869" s="86" t="s">
        <v>54</v>
      </c>
      <c r="L869" s="86" t="s">
        <v>55</v>
      </c>
      <c r="M869" s="87">
        <v>250</v>
      </c>
      <c r="N869" s="71"/>
      <c r="O869" s="101" t="s">
        <v>56</v>
      </c>
      <c r="P869" s="273">
        <v>20</v>
      </c>
      <c r="Q869" s="273">
        <v>24</v>
      </c>
      <c r="R869" s="60">
        <v>20</v>
      </c>
      <c r="S869" s="273">
        <v>24</v>
      </c>
      <c r="T869" s="273">
        <v>20</v>
      </c>
      <c r="U869" s="273">
        <v>24</v>
      </c>
      <c r="V869" s="608">
        <f t="shared" ref="V869:V880" si="301">IF(J869="Canvas",P869+BorderGW,P869)</f>
        <v>28</v>
      </c>
      <c r="W869" s="608">
        <f t="shared" ref="W869:W880" si="302">IF(J869="Canvas",Q869+BorderGW,Q869)</f>
        <v>32</v>
      </c>
      <c r="X869" s="157" t="s">
        <v>1070</v>
      </c>
      <c r="Y869" s="60">
        <v>32</v>
      </c>
      <c r="Z869" s="60">
        <f>Table1[[#This Row],[Print Wth]]*3</f>
        <v>84</v>
      </c>
      <c r="AA869" s="649">
        <f t="shared" si="295"/>
        <v>6.2222222222222223</v>
      </c>
      <c r="AB869" s="184">
        <f>AA869*IncaG</f>
        <v>130.91555555555556</v>
      </c>
      <c r="AC869" s="104">
        <f t="shared" si="296"/>
        <v>4.1066666666666674</v>
      </c>
      <c r="AD869" s="107">
        <f>AA869*IncaC</f>
        <v>10.473244444444445</v>
      </c>
      <c r="AE869" s="104">
        <f>IF(Table1[[#This Row],[Work Center]]="SwissQ",Materials!G$37,IF(Table1[[#This Row],[Work Center]]="Inca",Materials!G$29,IF(Table1[[#This Row],[Work Center]]="Canon",Materials!G$49,Materials!G$45)))</f>
        <v>8</v>
      </c>
      <c r="AF869" s="74">
        <f>'Cali FPS'!C26</f>
        <v>62.16</v>
      </c>
      <c r="AG869" s="115"/>
      <c r="AH869" s="498">
        <f t="shared" ref="AH869:AH900" si="303">(M869*0.05)</f>
        <v>12.5</v>
      </c>
      <c r="AI869" s="498"/>
      <c r="AJ869" s="104">
        <f t="shared" si="300"/>
        <v>97.239911111111113</v>
      </c>
      <c r="AK869" s="650">
        <f t="shared" si="293"/>
        <v>0.61104035555555558</v>
      </c>
      <c r="AL869" s="225">
        <f>Table1[[#This Row],[WSP/Dealer]]/Table1[[#This Row],[OD Sq Inch]]</f>
        <v>0.52083333333333337</v>
      </c>
      <c r="AM869" s="218">
        <f>Table1[[#This Row],[OD Wdth]]*Table1[[#This Row],[OD Hgt]]</f>
        <v>480</v>
      </c>
      <c r="AN869" s="216">
        <f>Table1[[#This Row],[Min VO]]+Table1[[#This Row],[Max VO]]</f>
        <v>44</v>
      </c>
      <c r="AO869" s="101"/>
      <c r="AP869" s="101"/>
      <c r="AQ869" s="104"/>
      <c r="AR869" s="104"/>
      <c r="AS869" s="104"/>
      <c r="AT869" s="104"/>
      <c r="AU869" s="830" t="str">
        <f t="shared" si="290"/>
        <v>-</v>
      </c>
    </row>
    <row r="870" spans="1:47" s="46" customFormat="1" hidden="1" x14ac:dyDescent="0.2">
      <c r="A870" s="86"/>
      <c r="B870" s="274"/>
      <c r="C870" s="75" t="s">
        <v>2214</v>
      </c>
      <c r="D870" s="94"/>
      <c r="E870" s="85" t="s">
        <v>2215</v>
      </c>
      <c r="F870" s="85" t="s">
        <v>634</v>
      </c>
      <c r="G870" s="86" t="s">
        <v>647</v>
      </c>
      <c r="H870" s="86" t="s">
        <v>647</v>
      </c>
      <c r="I870" s="86" t="s">
        <v>52</v>
      </c>
      <c r="J870" s="86" t="s">
        <v>53</v>
      </c>
      <c r="K870" s="86" t="s">
        <v>54</v>
      </c>
      <c r="L870" s="86" t="s">
        <v>55</v>
      </c>
      <c r="M870" s="87">
        <v>250</v>
      </c>
      <c r="N870" s="71"/>
      <c r="O870" s="101" t="s">
        <v>56</v>
      </c>
      <c r="P870" s="273">
        <v>20</v>
      </c>
      <c r="Q870" s="273">
        <v>24</v>
      </c>
      <c r="R870" s="60">
        <v>20</v>
      </c>
      <c r="S870" s="273">
        <v>24</v>
      </c>
      <c r="T870" s="273">
        <v>20</v>
      </c>
      <c r="U870" s="273">
        <v>24</v>
      </c>
      <c r="V870" s="106">
        <f t="shared" si="301"/>
        <v>28</v>
      </c>
      <c r="W870" s="106">
        <f t="shared" si="302"/>
        <v>32</v>
      </c>
      <c r="X870" s="157" t="s">
        <v>1070</v>
      </c>
      <c r="Y870" s="60">
        <v>32</v>
      </c>
      <c r="Z870" s="60">
        <f>Table1[[#This Row],[Print Wth]]*3</f>
        <v>84</v>
      </c>
      <c r="AA870" s="649">
        <f t="shared" si="295"/>
        <v>6.2222222222222223</v>
      </c>
      <c r="AB870" s="184">
        <f>AA870*IncaG</f>
        <v>130.91555555555556</v>
      </c>
      <c r="AC870" s="104">
        <f t="shared" si="296"/>
        <v>4.1066666666666674</v>
      </c>
      <c r="AD870" s="107">
        <f>AA870*IncaC</f>
        <v>10.473244444444445</v>
      </c>
      <c r="AE870" s="104">
        <f>IF(Table1[[#This Row],[Work Center]]="SwissQ",Materials!G$37,IF(Table1[[#This Row],[Work Center]]="Inca",Materials!G$29,IF(Table1[[#This Row],[Work Center]]="Canon",Materials!G$49,Materials!G$45)))</f>
        <v>8</v>
      </c>
      <c r="AF870" s="69">
        <f>'Cali FPS'!C26</f>
        <v>62.16</v>
      </c>
      <c r="AG870" s="115"/>
      <c r="AH870" s="498">
        <f t="shared" si="303"/>
        <v>12.5</v>
      </c>
      <c r="AI870" s="498"/>
      <c r="AJ870" s="104">
        <f t="shared" si="300"/>
        <v>97.239911111111113</v>
      </c>
      <c r="AK870" s="650">
        <f t="shared" si="293"/>
        <v>0.61104035555555558</v>
      </c>
      <c r="AL870" s="225">
        <f>Table1[[#This Row],[WSP/Dealer]]/Table1[[#This Row],[OD Sq Inch]]</f>
        <v>0.52083333333333337</v>
      </c>
      <c r="AM870" s="218">
        <f>Table1[[#This Row],[OD Wdth]]*Table1[[#This Row],[OD Hgt]]</f>
        <v>480</v>
      </c>
      <c r="AN870" s="216">
        <f>Table1[[#This Row],[Min VO]]+Table1[[#This Row],[Max VO]]</f>
        <v>44</v>
      </c>
      <c r="AO870" s="101"/>
      <c r="AP870" s="101"/>
      <c r="AQ870" s="104"/>
      <c r="AR870" s="104"/>
      <c r="AS870" s="104"/>
      <c r="AT870" s="104"/>
      <c r="AU870" s="830" t="str">
        <f t="shared" si="290"/>
        <v>-</v>
      </c>
    </row>
    <row r="871" spans="1:47" s="103" customFormat="1" x14ac:dyDescent="0.2">
      <c r="A871" s="180" t="s">
        <v>58</v>
      </c>
      <c r="B871" s="279" t="s">
        <v>445</v>
      </c>
      <c r="C871" s="281" t="s">
        <v>2216</v>
      </c>
      <c r="D871" s="94"/>
      <c r="E871" s="291" t="s">
        <v>2217</v>
      </c>
      <c r="F871" s="291" t="s">
        <v>289</v>
      </c>
      <c r="G871" s="180" t="s">
        <v>1937</v>
      </c>
      <c r="H871" s="180" t="s">
        <v>1937</v>
      </c>
      <c r="I871" s="180" t="s">
        <v>52</v>
      </c>
      <c r="J871" s="310" t="s">
        <v>53</v>
      </c>
      <c r="K871" s="180" t="s">
        <v>54</v>
      </c>
      <c r="L871" s="180" t="s">
        <v>55</v>
      </c>
      <c r="M871" s="292">
        <v>225</v>
      </c>
      <c r="N871" s="639">
        <v>240</v>
      </c>
      <c r="O871" s="180" t="s">
        <v>64</v>
      </c>
      <c r="P871" s="813">
        <v>16</v>
      </c>
      <c r="Q871" s="813">
        <v>16</v>
      </c>
      <c r="R871" s="813">
        <v>16</v>
      </c>
      <c r="S871" s="813">
        <v>16</v>
      </c>
      <c r="T871" s="813">
        <v>16</v>
      </c>
      <c r="U871" s="813">
        <v>16</v>
      </c>
      <c r="V871" s="947">
        <f t="shared" si="301"/>
        <v>24</v>
      </c>
      <c r="W871" s="947">
        <f t="shared" si="302"/>
        <v>24</v>
      </c>
      <c r="X871" s="289">
        <v>53</v>
      </c>
      <c r="Y871" s="180">
        <v>24</v>
      </c>
      <c r="Z871" s="180">
        <v>24</v>
      </c>
      <c r="AA871" s="678">
        <f t="shared" si="295"/>
        <v>4</v>
      </c>
      <c r="AB871" s="329">
        <f>Table1[[#This Row],[Substrate SF]]*Swiss1</f>
        <v>113.2</v>
      </c>
      <c r="AC871" s="176">
        <f t="shared" si="296"/>
        <v>2.64</v>
      </c>
      <c r="AD871" s="175">
        <f>Table1[[#This Row],[Substrate SF]]*Materials!C$37</f>
        <v>11.2</v>
      </c>
      <c r="AE871" s="176">
        <f>IF(Table1[[#This Row],[Work Center]]="SwissQ",Materials!G$37,IF(Table1[[#This Row],[Work Center]]="Inca",Materials!G$29,IF(Table1[[#This Row],[Work Center]]="Canon",Materials!G$49,Materials!G$45)))</f>
        <v>20</v>
      </c>
      <c r="AF871" s="290">
        <f>'Cali FPS'!C16</f>
        <v>56.350000000000009</v>
      </c>
      <c r="AG871" s="284"/>
      <c r="AH871" s="112">
        <f t="shared" si="303"/>
        <v>11.25</v>
      </c>
      <c r="AI871" s="112"/>
      <c r="AJ871" s="176">
        <f t="shared" si="300"/>
        <v>101.44000000000001</v>
      </c>
      <c r="AK871" s="62">
        <f t="shared" si="293"/>
        <v>0.54915555555555551</v>
      </c>
      <c r="AL871" s="225">
        <f>Table1[[#This Row],[WSP/Dealer]]/Table1[[#This Row],[OD Sq Inch]]</f>
        <v>0.87890625</v>
      </c>
      <c r="AM871" s="173">
        <f>Table1[[#This Row],[OD Wdth]]*Table1[[#This Row],[OD Hgt]]</f>
        <v>256</v>
      </c>
      <c r="AN871" s="180">
        <f>Table1[[#This Row],[Min VO]]+Table1[[#This Row],[Max VO]]</f>
        <v>32</v>
      </c>
      <c r="AO871" s="284"/>
      <c r="AP871" s="284"/>
      <c r="AQ871" s="296"/>
      <c r="AR871" s="296"/>
      <c r="AS871" s="296"/>
      <c r="AT871" s="176"/>
      <c r="AU871" s="1358" t="str">
        <f t="shared" si="290"/>
        <v>-</v>
      </c>
    </row>
    <row r="872" spans="1:47" s="63" customFormat="1" x14ac:dyDescent="0.2">
      <c r="A872" s="180" t="s">
        <v>58</v>
      </c>
      <c r="B872" s="279" t="s">
        <v>445</v>
      </c>
      <c r="C872" s="281" t="s">
        <v>2218</v>
      </c>
      <c r="D872" s="94"/>
      <c r="E872" s="291" t="s">
        <v>2219</v>
      </c>
      <c r="F872" s="291" t="s">
        <v>289</v>
      </c>
      <c r="G872" s="180" t="s">
        <v>1937</v>
      </c>
      <c r="H872" s="180" t="s">
        <v>1937</v>
      </c>
      <c r="I872" s="180" t="s">
        <v>52</v>
      </c>
      <c r="J872" s="310" t="s">
        <v>53</v>
      </c>
      <c r="K872" s="180" t="s">
        <v>54</v>
      </c>
      <c r="L872" s="180" t="s">
        <v>55</v>
      </c>
      <c r="M872" s="292">
        <v>225</v>
      </c>
      <c r="N872" s="639">
        <v>240</v>
      </c>
      <c r="O872" s="180" t="s">
        <v>64</v>
      </c>
      <c r="P872" s="813">
        <v>16</v>
      </c>
      <c r="Q872" s="813">
        <v>16</v>
      </c>
      <c r="R872" s="813">
        <v>16</v>
      </c>
      <c r="S872" s="813">
        <v>16</v>
      </c>
      <c r="T872" s="813">
        <v>16</v>
      </c>
      <c r="U872" s="813">
        <v>16</v>
      </c>
      <c r="V872" s="174">
        <f t="shared" si="301"/>
        <v>24</v>
      </c>
      <c r="W872" s="174">
        <f t="shared" si="302"/>
        <v>24</v>
      </c>
      <c r="X872" s="289">
        <v>53</v>
      </c>
      <c r="Y872" s="180">
        <v>24</v>
      </c>
      <c r="Z872" s="180">
        <v>24</v>
      </c>
      <c r="AA872" s="678">
        <f t="shared" si="295"/>
        <v>4</v>
      </c>
      <c r="AB872" s="329">
        <f>Table1[[#This Row],[Substrate SF]]*Swiss1</f>
        <v>113.2</v>
      </c>
      <c r="AC872" s="175">
        <f t="shared" si="296"/>
        <v>2.64</v>
      </c>
      <c r="AD872" s="175">
        <f>Table1[[#This Row],[Substrate SF]]*Materials!C$37</f>
        <v>11.2</v>
      </c>
      <c r="AE872" s="176">
        <f>IF(Table1[[#This Row],[Work Center]]="SwissQ",Materials!G$37,IF(Table1[[#This Row],[Work Center]]="Inca",Materials!G$29,IF(Table1[[#This Row],[Work Center]]="Canon",Materials!G$49,Materials!G$45)))</f>
        <v>20</v>
      </c>
      <c r="AF872" s="290">
        <f>'Cali FPS'!C16</f>
        <v>56.350000000000009</v>
      </c>
      <c r="AG872" s="284"/>
      <c r="AH872" s="498">
        <f t="shared" si="303"/>
        <v>11.25</v>
      </c>
      <c r="AI872" s="498"/>
      <c r="AJ872" s="176">
        <f t="shared" si="300"/>
        <v>101.44000000000001</v>
      </c>
      <c r="AK872" s="650">
        <f t="shared" si="293"/>
        <v>0.54915555555555551</v>
      </c>
      <c r="AL872" s="225">
        <f>Table1[[#This Row],[WSP/Dealer]]/Table1[[#This Row],[OD Sq Inch]]</f>
        <v>0.87890625</v>
      </c>
      <c r="AM872" s="173">
        <f>Table1[[#This Row],[OD Wdth]]*Table1[[#This Row],[OD Hgt]]</f>
        <v>256</v>
      </c>
      <c r="AN872" s="180">
        <f>Table1[[#This Row],[Min VO]]+Table1[[#This Row],[Max VO]]</f>
        <v>32</v>
      </c>
      <c r="AO872" s="284"/>
      <c r="AP872" s="284"/>
      <c r="AQ872" s="296"/>
      <c r="AR872" s="296"/>
      <c r="AS872" s="296"/>
      <c r="AT872" s="176"/>
      <c r="AU872" s="1358" t="str">
        <f t="shared" si="290"/>
        <v>-</v>
      </c>
    </row>
    <row r="873" spans="1:47" s="63" customFormat="1" x14ac:dyDescent="0.2">
      <c r="A873" s="180" t="s">
        <v>58</v>
      </c>
      <c r="B873" s="279" t="s">
        <v>445</v>
      </c>
      <c r="C873" s="281" t="s">
        <v>2220</v>
      </c>
      <c r="D873" s="94"/>
      <c r="E873" s="291" t="s">
        <v>2221</v>
      </c>
      <c r="F873" s="291" t="s">
        <v>289</v>
      </c>
      <c r="G873" s="180" t="s">
        <v>1937</v>
      </c>
      <c r="H873" s="180" t="s">
        <v>1937</v>
      </c>
      <c r="I873" s="180" t="s">
        <v>52</v>
      </c>
      <c r="J873" s="310" t="s">
        <v>53</v>
      </c>
      <c r="K873" s="180" t="s">
        <v>54</v>
      </c>
      <c r="L873" s="180" t="s">
        <v>55</v>
      </c>
      <c r="M873" s="292">
        <v>225</v>
      </c>
      <c r="N873" s="639">
        <v>240</v>
      </c>
      <c r="O873" s="180" t="s">
        <v>64</v>
      </c>
      <c r="P873" s="813">
        <v>16</v>
      </c>
      <c r="Q873" s="813">
        <v>16</v>
      </c>
      <c r="R873" s="813">
        <v>16</v>
      </c>
      <c r="S873" s="813">
        <v>16</v>
      </c>
      <c r="T873" s="813">
        <v>16</v>
      </c>
      <c r="U873" s="813">
        <v>16</v>
      </c>
      <c r="V873" s="174">
        <f t="shared" si="301"/>
        <v>24</v>
      </c>
      <c r="W873" s="174">
        <f t="shared" si="302"/>
        <v>24</v>
      </c>
      <c r="X873" s="289">
        <v>53</v>
      </c>
      <c r="Y873" s="173">
        <v>24</v>
      </c>
      <c r="Z873" s="173">
        <v>24</v>
      </c>
      <c r="AA873" s="678">
        <f t="shared" si="295"/>
        <v>4</v>
      </c>
      <c r="AB873" s="329">
        <f>Table1[[#This Row],[Substrate SF]]*Swiss1</f>
        <v>113.2</v>
      </c>
      <c r="AC873" s="176">
        <f t="shared" si="296"/>
        <v>2.64</v>
      </c>
      <c r="AD873" s="175">
        <f>Table1[[#This Row],[Substrate SF]]*Materials!C$37</f>
        <v>11.2</v>
      </c>
      <c r="AE873" s="176">
        <f>IF(Table1[[#This Row],[Work Center]]="SwissQ",Materials!G$37,IF(Table1[[#This Row],[Work Center]]="Inca",Materials!G$29,IF(Table1[[#This Row],[Work Center]]="Canon",Materials!G$49,Materials!G$45)))</f>
        <v>20</v>
      </c>
      <c r="AF873" s="290">
        <f>'Cali FPS'!C16</f>
        <v>56.350000000000009</v>
      </c>
      <c r="AG873" s="284"/>
      <c r="AH873" s="498">
        <f t="shared" si="303"/>
        <v>11.25</v>
      </c>
      <c r="AI873" s="498"/>
      <c r="AJ873" s="175">
        <f t="shared" si="300"/>
        <v>101.44000000000001</v>
      </c>
      <c r="AK873" s="650">
        <f t="shared" si="293"/>
        <v>0.54915555555555551</v>
      </c>
      <c r="AL873" s="225">
        <f>Table1[[#This Row],[WSP/Dealer]]/Table1[[#This Row],[OD Sq Inch]]</f>
        <v>0.87890625</v>
      </c>
      <c r="AM873" s="173">
        <f>Table1[[#This Row],[OD Wdth]]*Table1[[#This Row],[OD Hgt]]</f>
        <v>256</v>
      </c>
      <c r="AN873" s="180">
        <f>Table1[[#This Row],[Min VO]]+Table1[[#This Row],[Max VO]]</f>
        <v>32</v>
      </c>
      <c r="AO873" s="284"/>
      <c r="AP873" s="284"/>
      <c r="AQ873" s="296"/>
      <c r="AR873" s="296"/>
      <c r="AS873" s="296"/>
      <c r="AT873" s="176"/>
      <c r="AU873" s="1358" t="str">
        <f t="shared" si="290"/>
        <v>-</v>
      </c>
    </row>
    <row r="874" spans="1:47" s="46" customFormat="1" x14ac:dyDescent="0.2">
      <c r="A874" s="180" t="s">
        <v>58</v>
      </c>
      <c r="B874" s="1061" t="s">
        <v>445</v>
      </c>
      <c r="C874" s="281" t="s">
        <v>2222</v>
      </c>
      <c r="D874" s="94"/>
      <c r="E874" s="291" t="s">
        <v>2223</v>
      </c>
      <c r="F874" s="291" t="s">
        <v>289</v>
      </c>
      <c r="G874" s="180" t="s">
        <v>1937</v>
      </c>
      <c r="H874" s="180" t="s">
        <v>1937</v>
      </c>
      <c r="I874" s="180" t="s">
        <v>52</v>
      </c>
      <c r="J874" s="310" t="s">
        <v>53</v>
      </c>
      <c r="K874" s="180" t="s">
        <v>54</v>
      </c>
      <c r="L874" s="180" t="s">
        <v>55</v>
      </c>
      <c r="M874" s="292">
        <v>225</v>
      </c>
      <c r="N874" s="639">
        <v>240</v>
      </c>
      <c r="O874" s="180" t="s">
        <v>64</v>
      </c>
      <c r="P874" s="813">
        <v>16</v>
      </c>
      <c r="Q874" s="813">
        <v>16</v>
      </c>
      <c r="R874" s="813">
        <v>16</v>
      </c>
      <c r="S874" s="813">
        <v>16</v>
      </c>
      <c r="T874" s="813">
        <v>16</v>
      </c>
      <c r="U874" s="813">
        <v>16</v>
      </c>
      <c r="V874" s="174">
        <f t="shared" si="301"/>
        <v>24</v>
      </c>
      <c r="W874" s="174">
        <f t="shared" si="302"/>
        <v>24</v>
      </c>
      <c r="X874" s="289">
        <v>53</v>
      </c>
      <c r="Y874" s="180">
        <v>24</v>
      </c>
      <c r="Z874" s="180">
        <v>24</v>
      </c>
      <c r="AA874" s="678">
        <f t="shared" si="295"/>
        <v>4</v>
      </c>
      <c r="AB874" s="329">
        <f>Table1[[#This Row],[Substrate SF]]*Swiss1</f>
        <v>113.2</v>
      </c>
      <c r="AC874" s="176">
        <f t="shared" si="296"/>
        <v>2.64</v>
      </c>
      <c r="AD874" s="175">
        <f>Table1[[#This Row],[Substrate SF]]*Materials!C$37</f>
        <v>11.2</v>
      </c>
      <c r="AE874" s="176">
        <f>IF(Table1[[#This Row],[Work Center]]="SwissQ",Materials!G$37,IF(Table1[[#This Row],[Work Center]]="Inca",Materials!G$29,IF(Table1[[#This Row],[Work Center]]="Canon",Materials!G$49,Materials!G$45)))</f>
        <v>20</v>
      </c>
      <c r="AF874" s="290">
        <f>'Cali FPS'!C16</f>
        <v>56.350000000000009</v>
      </c>
      <c r="AG874" s="284"/>
      <c r="AH874" s="112">
        <f t="shared" si="303"/>
        <v>11.25</v>
      </c>
      <c r="AI874" s="112"/>
      <c r="AJ874" s="176">
        <f t="shared" si="300"/>
        <v>101.44000000000001</v>
      </c>
      <c r="AK874" s="62">
        <f t="shared" si="293"/>
        <v>0.54915555555555551</v>
      </c>
      <c r="AL874" s="225">
        <f>Table1[[#This Row],[WSP/Dealer]]/Table1[[#This Row],[OD Sq Inch]]</f>
        <v>0.87890625</v>
      </c>
      <c r="AM874" s="173">
        <f>Table1[[#This Row],[OD Wdth]]*Table1[[#This Row],[OD Hgt]]</f>
        <v>256</v>
      </c>
      <c r="AN874" s="180">
        <f>Table1[[#This Row],[Min VO]]+Table1[[#This Row],[Max VO]]</f>
        <v>32</v>
      </c>
      <c r="AO874" s="284"/>
      <c r="AP874" s="284"/>
      <c r="AQ874" s="296"/>
      <c r="AR874" s="296"/>
      <c r="AS874" s="296"/>
      <c r="AT874" s="176"/>
      <c r="AU874" s="1358" t="str">
        <f t="shared" si="290"/>
        <v>-</v>
      </c>
    </row>
    <row r="875" spans="1:47" s="46" customFormat="1" x14ac:dyDescent="0.2">
      <c r="A875" s="180" t="s">
        <v>58</v>
      </c>
      <c r="B875" s="1061" t="s">
        <v>445</v>
      </c>
      <c r="C875" s="281" t="s">
        <v>2224</v>
      </c>
      <c r="D875" s="94"/>
      <c r="E875" s="281" t="s">
        <v>2225</v>
      </c>
      <c r="F875" s="291" t="s">
        <v>289</v>
      </c>
      <c r="G875" s="180" t="s">
        <v>449</v>
      </c>
      <c r="H875" s="180" t="s">
        <v>449</v>
      </c>
      <c r="I875" s="180" t="s">
        <v>52</v>
      </c>
      <c r="J875" s="180" t="s">
        <v>53</v>
      </c>
      <c r="K875" s="180" t="s">
        <v>54</v>
      </c>
      <c r="L875" s="180" t="s">
        <v>55</v>
      </c>
      <c r="M875" s="182">
        <v>525</v>
      </c>
      <c r="N875" s="639">
        <v>580</v>
      </c>
      <c r="O875" s="180" t="s">
        <v>64</v>
      </c>
      <c r="P875" s="813">
        <v>36</v>
      </c>
      <c r="Q875" s="813">
        <v>36</v>
      </c>
      <c r="R875" s="180">
        <v>36</v>
      </c>
      <c r="S875" s="813">
        <v>36</v>
      </c>
      <c r="T875" s="813">
        <f>Table1[[#This Row],[VO Wdth]]</f>
        <v>36</v>
      </c>
      <c r="U875" s="813">
        <f>Table1[[#This Row],[VO Hgt]]</f>
        <v>36</v>
      </c>
      <c r="V875" s="174">
        <f t="shared" si="301"/>
        <v>44</v>
      </c>
      <c r="W875" s="174">
        <f t="shared" si="302"/>
        <v>44</v>
      </c>
      <c r="X875" s="289">
        <v>53</v>
      </c>
      <c r="Y875" s="180">
        <v>44</v>
      </c>
      <c r="Z875" s="180">
        <v>44</v>
      </c>
      <c r="AA875" s="678">
        <f t="shared" si="295"/>
        <v>13.444444444444445</v>
      </c>
      <c r="AB875" s="329">
        <f>Table1[[#This Row],[Substrate SF]]*Swiss1</f>
        <v>380.47777777777782</v>
      </c>
      <c r="AC875" s="176">
        <f t="shared" si="296"/>
        <v>8.8733333333333331</v>
      </c>
      <c r="AD875" s="175">
        <f>Table1[[#This Row],[Substrate SF]]*Materials!C$37</f>
        <v>37.644444444444446</v>
      </c>
      <c r="AE875" s="176">
        <f>IF(Table1[[#This Row],[Work Center]]="SwissQ",Materials!G$37,IF(Table1[[#This Row],[Work Center]]="Inca",Materials!G$29,IF(Table1[[#This Row],[Work Center]]="Canon",Materials!G$49,Materials!G$45)))</f>
        <v>20</v>
      </c>
      <c r="AF875" s="176">
        <f>'Cali FPS'!C67</f>
        <v>83.46</v>
      </c>
      <c r="AG875" s="284"/>
      <c r="AH875" s="112">
        <f t="shared" si="303"/>
        <v>26.25</v>
      </c>
      <c r="AI875" s="112"/>
      <c r="AJ875" s="176">
        <f t="shared" si="300"/>
        <v>176.22777777777776</v>
      </c>
      <c r="AK875" s="62">
        <f t="shared" si="293"/>
        <v>0.66432804232804232</v>
      </c>
      <c r="AL875" s="225">
        <f>Table1[[#This Row],[WSP/Dealer]]/Table1[[#This Row],[OD Sq Inch]]</f>
        <v>0.40509259259259262</v>
      </c>
      <c r="AM875" s="173">
        <f>Table1[[#This Row],[OD Wdth]]*Table1[[#This Row],[OD Hgt]]</f>
        <v>1296</v>
      </c>
      <c r="AN875" s="180">
        <f>Table1[[#This Row],[Min VO]]+Table1[[#This Row],[Max VO]]</f>
        <v>72</v>
      </c>
      <c r="AO875" s="180"/>
      <c r="AP875" s="180"/>
      <c r="AQ875" s="176"/>
      <c r="AR875" s="176"/>
      <c r="AS875" s="176"/>
      <c r="AT875" s="176"/>
      <c r="AU875" s="1201" t="str">
        <f t="shared" si="290"/>
        <v>-</v>
      </c>
    </row>
    <row r="876" spans="1:47" s="46" customFormat="1" x14ac:dyDescent="0.2">
      <c r="A876" s="180" t="s">
        <v>58</v>
      </c>
      <c r="B876" s="1061" t="s">
        <v>445</v>
      </c>
      <c r="C876" s="281" t="s">
        <v>2226</v>
      </c>
      <c r="D876" s="94"/>
      <c r="E876" s="291" t="s">
        <v>2227</v>
      </c>
      <c r="F876" s="291" t="s">
        <v>289</v>
      </c>
      <c r="G876" s="180" t="s">
        <v>449</v>
      </c>
      <c r="H876" s="180" t="s">
        <v>449</v>
      </c>
      <c r="I876" s="180" t="s">
        <v>52</v>
      </c>
      <c r="J876" s="310" t="s">
        <v>53</v>
      </c>
      <c r="K876" s="180" t="s">
        <v>54</v>
      </c>
      <c r="L876" s="180" t="s">
        <v>55</v>
      </c>
      <c r="M876" s="292">
        <v>525</v>
      </c>
      <c r="N876" s="639">
        <v>580</v>
      </c>
      <c r="O876" s="180" t="s">
        <v>64</v>
      </c>
      <c r="P876" s="813">
        <v>36</v>
      </c>
      <c r="Q876" s="813">
        <v>36</v>
      </c>
      <c r="R876" s="180">
        <v>36</v>
      </c>
      <c r="S876" s="813">
        <v>36</v>
      </c>
      <c r="T876" s="813">
        <f>Table1[[#This Row],[VO Wdth]]</f>
        <v>36</v>
      </c>
      <c r="U876" s="813">
        <f>Table1[[#This Row],[VO Hgt]]</f>
        <v>36</v>
      </c>
      <c r="V876" s="174">
        <f t="shared" si="301"/>
        <v>44</v>
      </c>
      <c r="W876" s="174">
        <f t="shared" si="302"/>
        <v>44</v>
      </c>
      <c r="X876" s="289">
        <v>53</v>
      </c>
      <c r="Y876" s="180">
        <v>44</v>
      </c>
      <c r="Z876" s="180">
        <v>44</v>
      </c>
      <c r="AA876" s="678">
        <f t="shared" si="295"/>
        <v>13.444444444444445</v>
      </c>
      <c r="AB876" s="329">
        <f>Table1[[#This Row],[Substrate SF]]*Swiss1</f>
        <v>380.47777777777782</v>
      </c>
      <c r="AC876" s="176">
        <f t="shared" si="296"/>
        <v>8.8733333333333331</v>
      </c>
      <c r="AD876" s="175">
        <f>Table1[[#This Row],[Substrate SF]]*Materials!C$37</f>
        <v>37.644444444444446</v>
      </c>
      <c r="AE876" s="176">
        <f>IF(Table1[[#This Row],[Work Center]]="SwissQ",Materials!G$37,IF(Table1[[#This Row],[Work Center]]="Inca",Materials!G$29,IF(Table1[[#This Row],[Work Center]]="Canon",Materials!G$49,Materials!G$45)))</f>
        <v>20</v>
      </c>
      <c r="AF876" s="176">
        <f>'Cali FPS'!C67</f>
        <v>83.46</v>
      </c>
      <c r="AG876" s="284"/>
      <c r="AH876" s="112">
        <f t="shared" si="303"/>
        <v>26.25</v>
      </c>
      <c r="AI876" s="112"/>
      <c r="AJ876" s="176">
        <f t="shared" si="300"/>
        <v>176.22777777777776</v>
      </c>
      <c r="AK876" s="62">
        <f t="shared" si="293"/>
        <v>0.66432804232804232</v>
      </c>
      <c r="AL876" s="225">
        <f>Table1[[#This Row],[WSP/Dealer]]/Table1[[#This Row],[OD Sq Inch]]</f>
        <v>0.40509259259259262</v>
      </c>
      <c r="AM876" s="173">
        <f>Table1[[#This Row],[OD Wdth]]*Table1[[#This Row],[OD Hgt]]</f>
        <v>1296</v>
      </c>
      <c r="AN876" s="180">
        <f>Table1[[#This Row],[Min VO]]+Table1[[#This Row],[Max VO]]</f>
        <v>72</v>
      </c>
      <c r="AO876" s="284"/>
      <c r="AP876" s="284"/>
      <c r="AQ876" s="296"/>
      <c r="AR876" s="296"/>
      <c r="AS876" s="296"/>
      <c r="AT876" s="176"/>
      <c r="AU876" s="1358" t="str">
        <f t="shared" ref="AU876:AU907" si="304">IF(AQ876=0,"-",(AQ876-AT876)/AQ876)</f>
        <v>-</v>
      </c>
    </row>
    <row r="877" spans="1:47" s="46" customFormat="1" x14ac:dyDescent="0.2">
      <c r="A877" s="180" t="s">
        <v>58</v>
      </c>
      <c r="B877" s="1061" t="s">
        <v>445</v>
      </c>
      <c r="C877" s="281" t="s">
        <v>2228</v>
      </c>
      <c r="D877" s="94"/>
      <c r="E877" s="281" t="s">
        <v>2229</v>
      </c>
      <c r="F877" s="291" t="s">
        <v>289</v>
      </c>
      <c r="G877" s="180" t="s">
        <v>449</v>
      </c>
      <c r="H877" s="180" t="s">
        <v>449</v>
      </c>
      <c r="I877" s="180" t="s">
        <v>52</v>
      </c>
      <c r="J877" s="180" t="s">
        <v>53</v>
      </c>
      <c r="K877" s="180" t="s">
        <v>54</v>
      </c>
      <c r="L877" s="180" t="s">
        <v>55</v>
      </c>
      <c r="M877" s="182">
        <v>525</v>
      </c>
      <c r="N877" s="639">
        <v>580</v>
      </c>
      <c r="O877" s="180" t="s">
        <v>64</v>
      </c>
      <c r="P877" s="813">
        <v>36</v>
      </c>
      <c r="Q877" s="813">
        <v>36</v>
      </c>
      <c r="R877" s="180">
        <v>36</v>
      </c>
      <c r="S877" s="813">
        <v>36</v>
      </c>
      <c r="T877" s="813">
        <f>Table1[[#This Row],[VO Wdth]]</f>
        <v>36</v>
      </c>
      <c r="U877" s="813">
        <f>Table1[[#This Row],[VO Hgt]]</f>
        <v>36</v>
      </c>
      <c r="V877" s="947">
        <f t="shared" si="301"/>
        <v>44</v>
      </c>
      <c r="W877" s="947">
        <f t="shared" si="302"/>
        <v>44</v>
      </c>
      <c r="X877" s="289">
        <v>53</v>
      </c>
      <c r="Y877" s="180">
        <v>44</v>
      </c>
      <c r="Z877" s="180">
        <v>44</v>
      </c>
      <c r="AA877" s="678">
        <f t="shared" si="295"/>
        <v>13.444444444444445</v>
      </c>
      <c r="AB877" s="329">
        <f>Table1[[#This Row],[Substrate SF]]*Swiss1</f>
        <v>380.47777777777782</v>
      </c>
      <c r="AC877" s="176">
        <f t="shared" si="296"/>
        <v>8.8733333333333331</v>
      </c>
      <c r="AD877" s="175">
        <f>Table1[[#This Row],[Substrate SF]]*Materials!C$37</f>
        <v>37.644444444444446</v>
      </c>
      <c r="AE877" s="176">
        <f>IF(Table1[[#This Row],[Work Center]]="SwissQ",Materials!G$37,IF(Table1[[#This Row],[Work Center]]="Inca",Materials!G$29,IF(Table1[[#This Row],[Work Center]]="Canon",Materials!G$49,Materials!G$45)))</f>
        <v>20</v>
      </c>
      <c r="AF877" s="176">
        <f>'Cali FPS'!C$67</f>
        <v>83.46</v>
      </c>
      <c r="AG877" s="284"/>
      <c r="AH877" s="498">
        <f t="shared" si="303"/>
        <v>26.25</v>
      </c>
      <c r="AI877" s="498"/>
      <c r="AJ877" s="176">
        <f t="shared" si="300"/>
        <v>176.22777777777776</v>
      </c>
      <c r="AK877" s="650">
        <f t="shared" si="293"/>
        <v>0.66432804232804232</v>
      </c>
      <c r="AL877" s="225">
        <f>Table1[[#This Row],[WSP/Dealer]]/Table1[[#This Row],[OD Sq Inch]]</f>
        <v>0.40509259259259262</v>
      </c>
      <c r="AM877" s="173">
        <f>Table1[[#This Row],[OD Wdth]]*Table1[[#This Row],[OD Hgt]]</f>
        <v>1296</v>
      </c>
      <c r="AN877" s="180">
        <f>Table1[[#This Row],[Min VO]]+Table1[[#This Row],[Max VO]]</f>
        <v>72</v>
      </c>
      <c r="AO877" s="180"/>
      <c r="AP877" s="180"/>
      <c r="AQ877" s="176"/>
      <c r="AR877" s="176"/>
      <c r="AS877" s="176"/>
      <c r="AT877" s="176"/>
      <c r="AU877" s="1201" t="str">
        <f t="shared" si="304"/>
        <v>-</v>
      </c>
    </row>
    <row r="878" spans="1:47" s="63" customFormat="1" x14ac:dyDescent="0.2">
      <c r="A878" s="180" t="s">
        <v>58</v>
      </c>
      <c r="B878" s="1061" t="s">
        <v>445</v>
      </c>
      <c r="C878" s="281" t="s">
        <v>2230</v>
      </c>
      <c r="D878" s="94"/>
      <c r="E878" s="281" t="s">
        <v>2231</v>
      </c>
      <c r="F878" s="291" t="s">
        <v>289</v>
      </c>
      <c r="G878" s="180" t="s">
        <v>449</v>
      </c>
      <c r="H878" s="180" t="s">
        <v>449</v>
      </c>
      <c r="I878" s="180" t="s">
        <v>52</v>
      </c>
      <c r="J878" s="180" t="s">
        <v>53</v>
      </c>
      <c r="K878" s="180" t="s">
        <v>54</v>
      </c>
      <c r="L878" s="180" t="s">
        <v>55</v>
      </c>
      <c r="M878" s="182">
        <v>525</v>
      </c>
      <c r="N878" s="639">
        <v>580</v>
      </c>
      <c r="O878" s="180" t="s">
        <v>64</v>
      </c>
      <c r="P878" s="813">
        <v>36</v>
      </c>
      <c r="Q878" s="813">
        <v>36</v>
      </c>
      <c r="R878" s="180">
        <v>36</v>
      </c>
      <c r="S878" s="813">
        <v>36</v>
      </c>
      <c r="T878" s="813">
        <f>Table1[[#This Row],[VO Wdth]]</f>
        <v>36</v>
      </c>
      <c r="U878" s="813">
        <f>Table1[[#This Row],[VO Hgt]]</f>
        <v>36</v>
      </c>
      <c r="V878" s="947">
        <f t="shared" si="301"/>
        <v>44</v>
      </c>
      <c r="W878" s="947">
        <f t="shared" si="302"/>
        <v>44</v>
      </c>
      <c r="X878" s="289">
        <v>53</v>
      </c>
      <c r="Y878" s="180">
        <v>44</v>
      </c>
      <c r="Z878" s="180">
        <v>44</v>
      </c>
      <c r="AA878" s="678">
        <f t="shared" si="295"/>
        <v>13.444444444444445</v>
      </c>
      <c r="AB878" s="329">
        <f>Table1[[#This Row],[Substrate SF]]*Swiss1</f>
        <v>380.47777777777782</v>
      </c>
      <c r="AC878" s="176">
        <f t="shared" si="296"/>
        <v>8.8733333333333331</v>
      </c>
      <c r="AD878" s="175">
        <f>Table1[[#This Row],[Substrate SF]]*Materials!C$37</f>
        <v>37.644444444444446</v>
      </c>
      <c r="AE878" s="176">
        <f>IF(Table1[[#This Row],[Work Center]]="SwissQ",Materials!G$37,IF(Table1[[#This Row],[Work Center]]="Inca",Materials!G$29,IF(Table1[[#This Row],[Work Center]]="Canon",Materials!G$49,Materials!G$45)))</f>
        <v>20</v>
      </c>
      <c r="AF878" s="176">
        <f>'Cali FPS'!C$67</f>
        <v>83.46</v>
      </c>
      <c r="AG878" s="284"/>
      <c r="AH878" s="498">
        <f t="shared" si="303"/>
        <v>26.25</v>
      </c>
      <c r="AI878" s="498"/>
      <c r="AJ878" s="176">
        <f t="shared" si="300"/>
        <v>176.22777777777776</v>
      </c>
      <c r="AK878" s="650">
        <f t="shared" si="293"/>
        <v>0.66432804232804232</v>
      </c>
      <c r="AL878" s="225">
        <f>Table1[[#This Row],[WSP/Dealer]]/Table1[[#This Row],[OD Sq Inch]]</f>
        <v>0.40509259259259262</v>
      </c>
      <c r="AM878" s="173">
        <f>Table1[[#This Row],[OD Wdth]]*Table1[[#This Row],[OD Hgt]]</f>
        <v>1296</v>
      </c>
      <c r="AN878" s="180">
        <f>Table1[[#This Row],[Min VO]]+Table1[[#This Row],[Max VO]]</f>
        <v>72</v>
      </c>
      <c r="AO878" s="180"/>
      <c r="AP878" s="180"/>
      <c r="AQ878" s="176"/>
      <c r="AR878" s="176"/>
      <c r="AS878" s="176"/>
      <c r="AT878" s="176"/>
      <c r="AU878" s="1201" t="str">
        <f t="shared" si="304"/>
        <v>-</v>
      </c>
    </row>
    <row r="879" spans="1:47" s="46" customFormat="1" x14ac:dyDescent="0.2">
      <c r="A879" s="86" t="s">
        <v>58</v>
      </c>
      <c r="B879" s="170"/>
      <c r="C879" s="75" t="s">
        <v>2232</v>
      </c>
      <c r="D879" s="94" t="s">
        <v>2233</v>
      </c>
      <c r="E879" s="85" t="s">
        <v>2234</v>
      </c>
      <c r="F879" s="85" t="s">
        <v>634</v>
      </c>
      <c r="G879" s="86" t="s">
        <v>2235</v>
      </c>
      <c r="H879" s="86" t="s">
        <v>2235</v>
      </c>
      <c r="I879" s="86" t="s">
        <v>52</v>
      </c>
      <c r="J879" s="86" t="s">
        <v>53</v>
      </c>
      <c r="K879" s="86" t="s">
        <v>54</v>
      </c>
      <c r="L879" s="86" t="s">
        <v>55</v>
      </c>
      <c r="M879" s="87">
        <v>900</v>
      </c>
      <c r="N879" s="639">
        <v>990.00000000000011</v>
      </c>
      <c r="O879" s="101" t="s">
        <v>56</v>
      </c>
      <c r="P879" s="61">
        <v>54</v>
      </c>
      <c r="Q879" s="61">
        <v>54</v>
      </c>
      <c r="R879" s="60">
        <v>54</v>
      </c>
      <c r="S879" s="61">
        <v>54</v>
      </c>
      <c r="T879" s="61">
        <f>Table1[[#This Row],[VO Wdth]]</f>
        <v>54</v>
      </c>
      <c r="U879" s="61">
        <f>Table1[[#This Row],[VO Hgt]]</f>
        <v>54</v>
      </c>
      <c r="V879" s="608">
        <f t="shared" si="301"/>
        <v>62</v>
      </c>
      <c r="W879" s="608">
        <f t="shared" si="302"/>
        <v>62</v>
      </c>
      <c r="X879" s="137">
        <v>62</v>
      </c>
      <c r="Y879" s="101"/>
      <c r="Z879" s="101"/>
      <c r="AA879" s="649">
        <f t="shared" si="295"/>
        <v>26.694444444444443</v>
      </c>
      <c r="AB879" s="184">
        <f>AA879*IncaG</f>
        <v>561.65111111111105</v>
      </c>
      <c r="AC879" s="104">
        <f t="shared" si="296"/>
        <v>17.618333333333332</v>
      </c>
      <c r="AD879" s="107">
        <f>AA879*IncaC</f>
        <v>44.932088888888885</v>
      </c>
      <c r="AE879" s="104">
        <f>IF(Table1[[#This Row],[Work Center]]="SwissQ",Materials!G$37,IF(Table1[[#This Row],[Work Center]]="Inca",Materials!G$29,IF(Table1[[#This Row],[Work Center]]="Canon",Materials!G$49,Materials!G$45)))</f>
        <v>8</v>
      </c>
      <c r="AF879" s="74">
        <f>'Cali FPS'!C$142</f>
        <v>178.465</v>
      </c>
      <c r="AG879" s="115"/>
      <c r="AH879" s="498">
        <f t="shared" si="303"/>
        <v>45</v>
      </c>
      <c r="AI879" s="498"/>
      <c r="AJ879" s="104">
        <f t="shared" si="300"/>
        <v>294.01542222222224</v>
      </c>
      <c r="AK879" s="650">
        <f t="shared" si="293"/>
        <v>0.67331619753086414</v>
      </c>
      <c r="AL879" s="225">
        <f>Table1[[#This Row],[WSP/Dealer]]/Table1[[#This Row],[OD Sq Inch]]</f>
        <v>0.30864197530864196</v>
      </c>
      <c r="AM879" s="103">
        <f>Table1[[#This Row],[OD Wdth]]*Table1[[#This Row],[OD Hgt]]</f>
        <v>2916</v>
      </c>
      <c r="AN879" s="216">
        <f>Table1[[#This Row],[Min VO]]+Table1[[#This Row],[Max VO]]</f>
        <v>108</v>
      </c>
      <c r="AO879" s="101"/>
      <c r="AP879" s="101"/>
      <c r="AQ879" s="104"/>
      <c r="AR879" s="104"/>
      <c r="AS879" s="104"/>
      <c r="AT879" s="104"/>
      <c r="AU879" s="830" t="str">
        <f t="shared" si="304"/>
        <v>-</v>
      </c>
    </row>
    <row r="880" spans="1:47" s="173" customFormat="1" x14ac:dyDescent="0.2">
      <c r="A880" s="86" t="s">
        <v>58</v>
      </c>
      <c r="B880" s="170"/>
      <c r="C880" s="75" t="s">
        <v>2236</v>
      </c>
      <c r="D880" s="94"/>
      <c r="E880" s="85" t="s">
        <v>2237</v>
      </c>
      <c r="F880" s="85" t="s">
        <v>634</v>
      </c>
      <c r="G880" s="86" t="s">
        <v>2235</v>
      </c>
      <c r="H880" s="86" t="s">
        <v>2235</v>
      </c>
      <c r="I880" s="86" t="s">
        <v>52</v>
      </c>
      <c r="J880" s="86" t="s">
        <v>53</v>
      </c>
      <c r="K880" s="86" t="s">
        <v>54</v>
      </c>
      <c r="L880" s="86" t="s">
        <v>55</v>
      </c>
      <c r="M880" s="87">
        <v>900</v>
      </c>
      <c r="N880" s="639">
        <v>990.00000000000011</v>
      </c>
      <c r="O880" s="101" t="s">
        <v>56</v>
      </c>
      <c r="P880" s="273">
        <v>54</v>
      </c>
      <c r="Q880" s="273">
        <v>54</v>
      </c>
      <c r="R880" s="60">
        <v>54</v>
      </c>
      <c r="S880" s="273">
        <v>54</v>
      </c>
      <c r="T880" s="273">
        <f>Table1[[#This Row],[VO Wdth]]</f>
        <v>54</v>
      </c>
      <c r="U880" s="273">
        <f>Table1[[#This Row],[VO Hgt]]</f>
        <v>54</v>
      </c>
      <c r="V880" s="608">
        <f t="shared" si="301"/>
        <v>62</v>
      </c>
      <c r="W880" s="608">
        <f t="shared" si="302"/>
        <v>62</v>
      </c>
      <c r="X880" s="137">
        <v>122</v>
      </c>
      <c r="Y880" s="101"/>
      <c r="Z880" s="101"/>
      <c r="AA880" s="649">
        <f t="shared" si="295"/>
        <v>26.694444444444443</v>
      </c>
      <c r="AB880" s="184">
        <f>AA880*IncaG</f>
        <v>561.65111111111105</v>
      </c>
      <c r="AC880" s="104">
        <f t="shared" si="296"/>
        <v>17.618333333333332</v>
      </c>
      <c r="AD880" s="107">
        <f>AA880*IncaC</f>
        <v>44.932088888888885</v>
      </c>
      <c r="AE880" s="104">
        <f>IF(Table1[[#This Row],[Work Center]]="SwissQ",Materials!G$37,IF(Table1[[#This Row],[Work Center]]="Inca",Materials!G$29,IF(Table1[[#This Row],[Work Center]]="Canon",Materials!G$49,Materials!G$45)))</f>
        <v>8</v>
      </c>
      <c r="AF880" s="74">
        <f>'Cali FPS'!C$142</f>
        <v>178.465</v>
      </c>
      <c r="AG880" s="115"/>
      <c r="AH880" s="498">
        <f t="shared" si="303"/>
        <v>45</v>
      </c>
      <c r="AI880" s="498"/>
      <c r="AJ880" s="104">
        <f t="shared" si="300"/>
        <v>294.01542222222224</v>
      </c>
      <c r="AK880" s="650">
        <f t="shared" si="293"/>
        <v>0.67331619753086414</v>
      </c>
      <c r="AL880" s="225">
        <f>Table1[[#This Row],[WSP/Dealer]]/Table1[[#This Row],[OD Sq Inch]]</f>
        <v>0.30864197530864196</v>
      </c>
      <c r="AM880" s="103">
        <f>Table1[[#This Row],[OD Wdth]]*Table1[[#This Row],[OD Hgt]]</f>
        <v>2916</v>
      </c>
      <c r="AN880" s="216">
        <f>Table1[[#This Row],[Min VO]]+Table1[[#This Row],[Max VO]]</f>
        <v>108</v>
      </c>
      <c r="AO880" s="101"/>
      <c r="AP880" s="101"/>
      <c r="AQ880" s="104"/>
      <c r="AR880" s="104"/>
      <c r="AS880" s="104"/>
      <c r="AT880" s="104"/>
      <c r="AU880" s="830" t="str">
        <f t="shared" si="304"/>
        <v>-</v>
      </c>
    </row>
    <row r="881" spans="1:47" s="173" customFormat="1" hidden="1" x14ac:dyDescent="0.2">
      <c r="A881" s="68"/>
      <c r="B881" s="1061"/>
      <c r="C881" s="94" t="s">
        <v>2238</v>
      </c>
      <c r="D881" s="94"/>
      <c r="E881" s="84" t="s">
        <v>2239</v>
      </c>
      <c r="F881" s="84" t="s">
        <v>737</v>
      </c>
      <c r="G881" s="68" t="s">
        <v>845</v>
      </c>
      <c r="H881" s="68"/>
      <c r="I881" s="68" t="s">
        <v>52</v>
      </c>
      <c r="J881" s="68" t="s">
        <v>53</v>
      </c>
      <c r="K881" s="68" t="s">
        <v>54</v>
      </c>
      <c r="L881" s="68" t="s">
        <v>55</v>
      </c>
      <c r="M881" s="93"/>
      <c r="N881" s="71"/>
      <c r="O881" s="68"/>
      <c r="P881" s="68"/>
      <c r="Q881" s="68"/>
      <c r="R881" s="68"/>
      <c r="S881" s="68"/>
      <c r="T881" s="68"/>
      <c r="U881" s="68"/>
      <c r="V881" s="66"/>
      <c r="W881" s="66"/>
      <c r="X881" s="189"/>
      <c r="Y881" s="68"/>
      <c r="Z881" s="68"/>
      <c r="AA881" s="699"/>
      <c r="AB881" s="297"/>
      <c r="AC881" s="74"/>
      <c r="AD881" s="118"/>
      <c r="AE881" s="126"/>
      <c r="AF881" s="73"/>
      <c r="AG881" s="126"/>
      <c r="AH881" s="112">
        <f t="shared" si="303"/>
        <v>0</v>
      </c>
      <c r="AI881" s="112"/>
      <c r="AJ881" s="126"/>
      <c r="AK881" s="62" t="e">
        <f t="shared" si="293"/>
        <v>#DIV/0!</v>
      </c>
      <c r="AL881" s="225" t="e">
        <f>Table1[[#This Row],[WSP/Dealer]]/Table1[[#This Row],[OD Sq Inch]]</f>
        <v>#DIV/0!</v>
      </c>
      <c r="AM881" s="119"/>
      <c r="AN881" s="216">
        <f>Table1[[#This Row],[Min VO]]+Table1[[#This Row],[Max VO]]</f>
        <v>0</v>
      </c>
      <c r="AO881" s="84"/>
      <c r="AP881" s="84"/>
      <c r="AQ881" s="126"/>
      <c r="AR881" s="126"/>
      <c r="AS881" s="126"/>
      <c r="AT881" s="74"/>
      <c r="AU881" s="1357" t="str">
        <f t="shared" si="304"/>
        <v>-</v>
      </c>
    </row>
    <row r="882" spans="1:47" s="173" customFormat="1" hidden="1" x14ac:dyDescent="0.2">
      <c r="A882" s="373" t="s">
        <v>187</v>
      </c>
      <c r="B882" s="1061" t="s">
        <v>261</v>
      </c>
      <c r="C882" s="436" t="s">
        <v>2240</v>
      </c>
      <c r="D882" s="94"/>
      <c r="E882" s="436" t="s">
        <v>2241</v>
      </c>
      <c r="F882" s="84" t="s">
        <v>737</v>
      </c>
      <c r="G882" s="258" t="s">
        <v>191</v>
      </c>
      <c r="H882" s="68" t="s">
        <v>191</v>
      </c>
      <c r="I882" s="274" t="s">
        <v>108</v>
      </c>
      <c r="J882" s="140" t="s">
        <v>53</v>
      </c>
      <c r="K882" s="258" t="s">
        <v>281</v>
      </c>
      <c r="L882" s="68" t="s">
        <v>55</v>
      </c>
      <c r="M882" s="420">
        <v>2550</v>
      </c>
      <c r="N882" s="71"/>
      <c r="O882" s="68" t="s">
        <v>109</v>
      </c>
      <c r="P882" s="68">
        <v>48</v>
      </c>
      <c r="Q882" s="68">
        <v>60</v>
      </c>
      <c r="R882" s="68">
        <v>48</v>
      </c>
      <c r="S882" s="63">
        <v>60</v>
      </c>
      <c r="T882" s="68">
        <v>48</v>
      </c>
      <c r="U882" s="68">
        <v>60</v>
      </c>
      <c r="V882" s="66">
        <f>IF(J882="Canvas",P882+BorderGW,P882)</f>
        <v>56</v>
      </c>
      <c r="W882" s="66">
        <f>IF(J882="Canvas",Q882+BorderGW,Q882)</f>
        <v>68</v>
      </c>
      <c r="X882" s="189">
        <v>59</v>
      </c>
      <c r="Y882" s="68"/>
      <c r="Z882" s="68"/>
      <c r="AA882" s="699">
        <f t="shared" ref="AA882:AA892" si="305">V882*W882/144</f>
        <v>26.444444444444443</v>
      </c>
      <c r="AB882" s="341">
        <f>AA882*EPSONC</f>
        <v>5.8177777777777777</v>
      </c>
      <c r="AC882" s="74">
        <f>AA882*Canvas</f>
        <v>17.453333333333333</v>
      </c>
      <c r="AD882" s="263">
        <f>Table1[[#This Row],[Substrate SF]]*EPSONC</f>
        <v>5.8177777777777777</v>
      </c>
      <c r="AE882" s="74">
        <f>IF(Table1[[#This Row],[Work Center]]="SwissQ",Materials!G$37,IF(Table1[[#This Row],[Work Center]]="Inca",Materials!G$29,IF(Table1[[#This Row],[Work Center]]="Canon",Materials!G$49,Materials!G$45)))</f>
        <v>5</v>
      </c>
      <c r="AF882" s="73">
        <f>'Cali FPS'!C121</f>
        <v>188.18</v>
      </c>
      <c r="AG882" s="126"/>
      <c r="AH882" s="112">
        <f t="shared" si="303"/>
        <v>127.5</v>
      </c>
      <c r="AI882" s="112"/>
      <c r="AJ882" s="263">
        <f t="shared" ref="AJ882:AJ901" si="306">SUM(AC882:AH882)</f>
        <v>343.95111111111112</v>
      </c>
      <c r="AK882" s="62">
        <f t="shared" si="293"/>
        <v>0.86511721132897612</v>
      </c>
      <c r="AL882" s="225">
        <f>Table1[[#This Row],[WSP/Dealer]]/Table1[[#This Row],[OD Sq Inch]]</f>
        <v>0.88541666666666663</v>
      </c>
      <c r="AM882" s="170">
        <f>Table1[[#This Row],[OD Wdth]]*Table1[[#This Row],[OD Hgt]]</f>
        <v>2880</v>
      </c>
      <c r="AN882" s="84"/>
      <c r="AO882" s="84"/>
      <c r="AP882" s="84"/>
      <c r="AQ882" s="126"/>
      <c r="AR882" s="126"/>
      <c r="AS882" s="126"/>
      <c r="AT882" s="74"/>
      <c r="AU882" s="1357" t="str">
        <f t="shared" si="304"/>
        <v>-</v>
      </c>
    </row>
    <row r="883" spans="1:47" s="173" customFormat="1" hidden="1" x14ac:dyDescent="0.2">
      <c r="A883" s="373" t="s">
        <v>187</v>
      </c>
      <c r="B883" s="1061" t="s">
        <v>261</v>
      </c>
      <c r="C883" s="436" t="s">
        <v>2242</v>
      </c>
      <c r="D883" s="94"/>
      <c r="E883" s="436" t="s">
        <v>2241</v>
      </c>
      <c r="F883" s="84" t="s">
        <v>737</v>
      </c>
      <c r="G883" s="258" t="s">
        <v>191</v>
      </c>
      <c r="H883" s="68" t="s">
        <v>193</v>
      </c>
      <c r="I883" s="274" t="s">
        <v>108</v>
      </c>
      <c r="J883" s="140" t="s">
        <v>53</v>
      </c>
      <c r="K883" s="258" t="s">
        <v>1410</v>
      </c>
      <c r="L883" s="68" t="s">
        <v>70</v>
      </c>
      <c r="M883" s="420">
        <v>2950</v>
      </c>
      <c r="N883" s="71"/>
      <c r="O883" s="68" t="s">
        <v>109</v>
      </c>
      <c r="P883" s="63">
        <v>48</v>
      </c>
      <c r="Q883" s="63">
        <v>60</v>
      </c>
      <c r="R883" s="68">
        <v>48</v>
      </c>
      <c r="S883" s="63">
        <v>60</v>
      </c>
      <c r="T883" s="63">
        <v>50</v>
      </c>
      <c r="U883" s="63">
        <v>62</v>
      </c>
      <c r="V883" s="66">
        <f>IF(J883="Canvas",P883+BorderGW,P883)</f>
        <v>56</v>
      </c>
      <c r="W883" s="66">
        <f>IF(J883="Canvas",Q883+BorderGW,Q883)</f>
        <v>68</v>
      </c>
      <c r="X883" s="189">
        <v>59</v>
      </c>
      <c r="Y883" s="63"/>
      <c r="Z883" s="63"/>
      <c r="AA883" s="699">
        <f t="shared" si="305"/>
        <v>26.444444444444443</v>
      </c>
      <c r="AB883" s="341">
        <f>AA883*EPSONC</f>
        <v>5.8177777777777777</v>
      </c>
      <c r="AC883" s="74">
        <f>AA883*Canvas</f>
        <v>17.453333333333333</v>
      </c>
      <c r="AD883" s="263">
        <f>Table1[[#This Row],[Substrate SF]]*EPSONC</f>
        <v>5.8177777777777777</v>
      </c>
      <c r="AE883" s="74">
        <f>IF(Table1[[#This Row],[Work Center]]="SwissQ",Materials!G$37,IF(Table1[[#This Row],[Work Center]]="Inca",Materials!G$29,IF(Table1[[#This Row],[Work Center]]="Canon",Materials!G$49,Materials!G$45)))</f>
        <v>5</v>
      </c>
      <c r="AF883" s="73">
        <f>'Cali Frames'!D335</f>
        <v>258.27999999999997</v>
      </c>
      <c r="AG883" s="126"/>
      <c r="AH883" s="112">
        <f t="shared" si="303"/>
        <v>147.5</v>
      </c>
      <c r="AI883" s="112"/>
      <c r="AJ883" s="263">
        <f t="shared" si="306"/>
        <v>434.05111111111108</v>
      </c>
      <c r="AK883" s="62">
        <f t="shared" si="293"/>
        <v>0.85286403013182677</v>
      </c>
      <c r="AL883" s="225">
        <f>Table1[[#This Row],[WSP/Dealer]]/Table1[[#This Row],[OD Sq Inch]]</f>
        <v>0.95161290322580649</v>
      </c>
      <c r="AM883" s="170">
        <f>Table1[[#This Row],[OD Wdth]]*Table1[[#This Row],[OD Hgt]]</f>
        <v>3100</v>
      </c>
      <c r="AN883" s="84"/>
      <c r="AO883" s="119"/>
      <c r="AP883" s="84"/>
      <c r="AQ883" s="126"/>
      <c r="AR883" s="126"/>
      <c r="AS883" s="126"/>
      <c r="AT883" s="74"/>
      <c r="AU883" s="1356" t="str">
        <f t="shared" si="304"/>
        <v>-</v>
      </c>
    </row>
    <row r="884" spans="1:47" s="173" customFormat="1" hidden="1" x14ac:dyDescent="0.2">
      <c r="A884" s="373" t="s">
        <v>187</v>
      </c>
      <c r="B884" s="1061" t="s">
        <v>261</v>
      </c>
      <c r="C884" s="436" t="s">
        <v>2243</v>
      </c>
      <c r="D884" s="94"/>
      <c r="E884" s="436" t="s">
        <v>2244</v>
      </c>
      <c r="F884" s="84" t="s">
        <v>737</v>
      </c>
      <c r="G884" s="258" t="s">
        <v>191</v>
      </c>
      <c r="H884" s="68" t="s">
        <v>193</v>
      </c>
      <c r="I884" s="274" t="s">
        <v>108</v>
      </c>
      <c r="J884" s="140" t="s">
        <v>53</v>
      </c>
      <c r="K884" s="258" t="s">
        <v>1412</v>
      </c>
      <c r="L884" s="68" t="s">
        <v>73</v>
      </c>
      <c r="M884" s="420">
        <v>2950</v>
      </c>
      <c r="N884" s="71"/>
      <c r="O884" s="68" t="s">
        <v>109</v>
      </c>
      <c r="P884" s="68">
        <v>48</v>
      </c>
      <c r="Q884" s="68">
        <v>60</v>
      </c>
      <c r="R884" s="68">
        <v>48</v>
      </c>
      <c r="S884" s="68">
        <v>60</v>
      </c>
      <c r="T884" s="68">
        <v>50</v>
      </c>
      <c r="U884" s="68">
        <v>62</v>
      </c>
      <c r="V884" s="66">
        <f>IF(J884="Canvas",P884+BorderGW,P884)</f>
        <v>56</v>
      </c>
      <c r="W884" s="66">
        <f>IF(J884="Canvas",Q884+BorderGW,Q884)</f>
        <v>68</v>
      </c>
      <c r="X884" s="189">
        <v>59</v>
      </c>
      <c r="Y884" s="68"/>
      <c r="Z884" s="68"/>
      <c r="AA884" s="699">
        <f t="shared" si="305"/>
        <v>26.444444444444443</v>
      </c>
      <c r="AB884" s="341">
        <f>AA884*EPSONC</f>
        <v>5.8177777777777777</v>
      </c>
      <c r="AC884" s="74">
        <f>AA884*Canvas</f>
        <v>17.453333333333333</v>
      </c>
      <c r="AD884" s="263">
        <f>Table1[[#This Row],[Substrate SF]]*EPSONC</f>
        <v>5.8177777777777777</v>
      </c>
      <c r="AE884" s="74">
        <f>IF(Table1[[#This Row],[Work Center]]="SwissQ",Materials!G$37,IF(Table1[[#This Row],[Work Center]]="Inca",Materials!G$29,IF(Table1[[#This Row],[Work Center]]="Canon",Materials!G$49,Materials!G$45)))</f>
        <v>5</v>
      </c>
      <c r="AF884" s="73">
        <f>'Cali Frames'!D470</f>
        <v>263.70999999999998</v>
      </c>
      <c r="AG884" s="126"/>
      <c r="AH884" s="498">
        <f t="shared" si="303"/>
        <v>147.5</v>
      </c>
      <c r="AI884" s="498"/>
      <c r="AJ884" s="278">
        <f t="shared" si="306"/>
        <v>439.48111111111109</v>
      </c>
      <c r="AK884" s="650">
        <f t="shared" si="293"/>
        <v>0.851023352165725</v>
      </c>
      <c r="AL884" s="225">
        <f>Table1[[#This Row],[WSP/Dealer]]/Table1[[#This Row],[OD Sq Inch]]</f>
        <v>0.95161290322580649</v>
      </c>
      <c r="AM884" s="170">
        <f>Table1[[#This Row],[OD Wdth]]*Table1[[#This Row],[OD Hgt]]</f>
        <v>3100</v>
      </c>
      <c r="AN884" s="84"/>
      <c r="AO884" s="84"/>
      <c r="AP884" s="84"/>
      <c r="AQ884" s="126"/>
      <c r="AR884" s="126"/>
      <c r="AS884" s="126"/>
      <c r="AT884" s="74"/>
      <c r="AU884" s="1357" t="str">
        <f t="shared" si="304"/>
        <v>-</v>
      </c>
    </row>
    <row r="885" spans="1:47" s="173" customFormat="1" hidden="1" x14ac:dyDescent="0.2">
      <c r="A885" s="373" t="s">
        <v>187</v>
      </c>
      <c r="B885" s="1061" t="s">
        <v>261</v>
      </c>
      <c r="C885" s="436" t="s">
        <v>2245</v>
      </c>
      <c r="D885" s="94"/>
      <c r="E885" s="436" t="s">
        <v>2246</v>
      </c>
      <c r="F885" s="84" t="s">
        <v>737</v>
      </c>
      <c r="G885" s="258" t="s">
        <v>191</v>
      </c>
      <c r="H885" s="68" t="s">
        <v>191</v>
      </c>
      <c r="I885" s="274" t="s">
        <v>108</v>
      </c>
      <c r="J885" s="68" t="s">
        <v>197</v>
      </c>
      <c r="K885" s="274" t="s">
        <v>198</v>
      </c>
      <c r="L885" s="274" t="s">
        <v>199</v>
      </c>
      <c r="M885" s="695">
        <v>120</v>
      </c>
      <c r="N885" s="71"/>
      <c r="O885" s="68" t="s">
        <v>109</v>
      </c>
      <c r="P885" s="68">
        <v>48</v>
      </c>
      <c r="Q885" s="68">
        <v>60</v>
      </c>
      <c r="R885" s="68">
        <v>48</v>
      </c>
      <c r="S885" s="68">
        <v>60</v>
      </c>
      <c r="T885" s="68">
        <v>48</v>
      </c>
      <c r="U885" s="68">
        <v>60</v>
      </c>
      <c r="V885" s="277">
        <f>Table1[[#This Row],[VO Wdth]]+Materials!$C$7</f>
        <v>50</v>
      </c>
      <c r="W885" s="277">
        <f>Table1[[#This Row],[VO Hgt]]+Materials!$C$7</f>
        <v>62</v>
      </c>
      <c r="X885" s="343" t="s">
        <v>197</v>
      </c>
      <c r="Y885" s="68"/>
      <c r="Z885" s="68"/>
      <c r="AA885" s="699">
        <f t="shared" si="305"/>
        <v>21.527777777777779</v>
      </c>
      <c r="AB885" s="783">
        <v>12</v>
      </c>
      <c r="AC885" s="74">
        <f>Table1[[#This Row],[Substrate SF]]*POster</f>
        <v>16.016666666666666</v>
      </c>
      <c r="AD885" s="208">
        <f>Table1[[#This Row],[Ink g/mL]]*EPSONC</f>
        <v>2.64</v>
      </c>
      <c r="AE885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885" s="73">
        <v>0</v>
      </c>
      <c r="AG885" s="126">
        <f>Materials!D$76</f>
        <v>10.82</v>
      </c>
      <c r="AH885" s="498">
        <f t="shared" si="303"/>
        <v>6</v>
      </c>
      <c r="AI885" s="498"/>
      <c r="AJ885" s="278">
        <f t="shared" si="306"/>
        <v>45.476666666666667</v>
      </c>
      <c r="AK885" s="650">
        <f t="shared" si="293"/>
        <v>0.62102777777777785</v>
      </c>
      <c r="AL885" s="225">
        <f>Table1[[#This Row],[WSP/Dealer]]/Table1[[#This Row],[OD Sq Inch]]</f>
        <v>4.1666666666666664E-2</v>
      </c>
      <c r="AM885" s="170">
        <f>Table1[[#This Row],[OD Wdth]]*Table1[[#This Row],[OD Hgt]]</f>
        <v>2880</v>
      </c>
      <c r="AN885" s="84"/>
      <c r="AO885" s="84"/>
      <c r="AP885" s="84"/>
      <c r="AQ885" s="126"/>
      <c r="AR885" s="126"/>
      <c r="AS885" s="126"/>
      <c r="AT885" s="74"/>
      <c r="AU885" s="1357" t="str">
        <f t="shared" si="304"/>
        <v>-</v>
      </c>
    </row>
    <row r="886" spans="1:47" s="173" customFormat="1" x14ac:dyDescent="0.2">
      <c r="A886" s="60" t="s">
        <v>58</v>
      </c>
      <c r="B886" s="1071" t="s">
        <v>1436</v>
      </c>
      <c r="C886" s="434" t="s">
        <v>2247</v>
      </c>
      <c r="D886" s="79"/>
      <c r="E886" s="99" t="s">
        <v>2248</v>
      </c>
      <c r="F886" s="83" t="s">
        <v>308</v>
      </c>
      <c r="G886" s="605" t="s">
        <v>115</v>
      </c>
      <c r="H886" s="605" t="s">
        <v>115</v>
      </c>
      <c r="I886" s="60" t="s">
        <v>52</v>
      </c>
      <c r="J886" s="59" t="s">
        <v>53</v>
      </c>
      <c r="K886" s="60" t="s">
        <v>54</v>
      </c>
      <c r="L886" s="60" t="s">
        <v>55</v>
      </c>
      <c r="M886" s="179">
        <v>750</v>
      </c>
      <c r="N886" s="124"/>
      <c r="O886" s="60" t="s">
        <v>64</v>
      </c>
      <c r="P886" s="60">
        <v>48</v>
      </c>
      <c r="Q886" s="60">
        <v>48</v>
      </c>
      <c r="R886" s="60">
        <v>48</v>
      </c>
      <c r="S886" s="60">
        <v>48</v>
      </c>
      <c r="T886" s="60">
        <v>48</v>
      </c>
      <c r="U886" s="60">
        <v>48</v>
      </c>
      <c r="V886" s="47">
        <f>IF(J886="Canvas",P886+Border,P886)</f>
        <v>56</v>
      </c>
      <c r="W886" s="47">
        <f>IF(J886="Canvas",Q886+Border,Q886)</f>
        <v>56</v>
      </c>
      <c r="X886" s="60">
        <v>59</v>
      </c>
      <c r="Y886" s="60">
        <v>56</v>
      </c>
      <c r="Z886" s="60">
        <v>56</v>
      </c>
      <c r="AA886" s="717">
        <f t="shared" si="305"/>
        <v>21.777777777777779</v>
      </c>
      <c r="AB886" s="125">
        <f>Table1[[#This Row],[Substrate SF]]*Swiss1</f>
        <v>616.31111111111113</v>
      </c>
      <c r="AC886" s="69">
        <f t="shared" ref="AC886:AC892" si="307">AA886*Canvas</f>
        <v>14.373333333333335</v>
      </c>
      <c r="AD886" s="48">
        <f>Table1[[#This Row],[Substrate SF]]*Materials!C$37</f>
        <v>60.977777777777774</v>
      </c>
      <c r="AE886" s="69">
        <f>IF(Table1[[#This Row],[Work Center]]="SwissQ",Materials!G$37,IF(Table1[[#This Row],[Work Center]]="Inca",Materials!G$29,IF(Table1[[#This Row],[Work Center]]="Canon",Materials!G$49,Materials!G$45)))</f>
        <v>20</v>
      </c>
      <c r="AF886" s="72">
        <f>'Cali FPS'!C117</f>
        <v>119.7</v>
      </c>
      <c r="AG886" s="540"/>
      <c r="AH886" s="48">
        <f t="shared" si="303"/>
        <v>37.5</v>
      </c>
      <c r="AI886" s="48"/>
      <c r="AJ886" s="69">
        <f t="shared" si="306"/>
        <v>252.55111111111111</v>
      </c>
      <c r="AK886" s="62">
        <f t="shared" si="293"/>
        <v>0.66326518518518518</v>
      </c>
      <c r="AL886" s="69">
        <f>Table1[[#This Row],[WSP/Dealer]]/Table1[[#This Row],[OD Sq Inch]]</f>
        <v>0.32552083333333331</v>
      </c>
      <c r="AM886" s="46">
        <f>Table1[[#This Row],[OD Wdth]]*Table1[[#This Row],[OD Hgt]]</f>
        <v>2304</v>
      </c>
      <c r="AN886" s="60">
        <f>Table1[[#This Row],[Min VO]]+Table1[[#This Row],[Max VO]]</f>
        <v>96</v>
      </c>
      <c r="AO886" s="83"/>
      <c r="AP886" s="83"/>
      <c r="AQ886" s="540"/>
      <c r="AR886" s="540"/>
      <c r="AS886" s="540"/>
      <c r="AT886" s="69"/>
      <c r="AU886" s="1361" t="str">
        <f t="shared" si="304"/>
        <v>-</v>
      </c>
    </row>
    <row r="887" spans="1:47" s="173" customFormat="1" x14ac:dyDescent="0.2">
      <c r="A887" s="68" t="s">
        <v>58</v>
      </c>
      <c r="B887" s="1072" t="s">
        <v>1436</v>
      </c>
      <c r="C887" s="627" t="s">
        <v>2249</v>
      </c>
      <c r="D887" s="94"/>
      <c r="E887" s="172" t="s">
        <v>2248</v>
      </c>
      <c r="F887" s="84" t="s">
        <v>308</v>
      </c>
      <c r="G887" s="363" t="s">
        <v>115</v>
      </c>
      <c r="H887" s="363" t="s">
        <v>145</v>
      </c>
      <c r="I887" s="68" t="s">
        <v>52</v>
      </c>
      <c r="J887" s="140" t="s">
        <v>53</v>
      </c>
      <c r="K887" s="68" t="s">
        <v>69</v>
      </c>
      <c r="L887" s="68" t="s">
        <v>70</v>
      </c>
      <c r="M887" s="93">
        <v>800</v>
      </c>
      <c r="N887" s="93"/>
      <c r="O887" s="68" t="s">
        <v>64</v>
      </c>
      <c r="P887" s="68">
        <v>48</v>
      </c>
      <c r="Q887" s="68">
        <v>48</v>
      </c>
      <c r="R887" s="68">
        <v>48</v>
      </c>
      <c r="S887" s="68">
        <v>48</v>
      </c>
      <c r="T887" s="68">
        <v>49</v>
      </c>
      <c r="U887" s="68">
        <v>49</v>
      </c>
      <c r="V887" s="66">
        <f>IF(J887="Canvas",P887+Border,P887)</f>
        <v>56</v>
      </c>
      <c r="W887" s="66">
        <f>IF(J887="Canvas",Q887+Border,Q887)</f>
        <v>56</v>
      </c>
      <c r="X887" s="68">
        <v>59</v>
      </c>
      <c r="Y887" s="68">
        <v>56</v>
      </c>
      <c r="Z887" s="68">
        <v>56</v>
      </c>
      <c r="AA887" s="699">
        <f t="shared" si="305"/>
        <v>21.777777777777779</v>
      </c>
      <c r="AB887" s="297">
        <f>Table1[[#This Row],[Substrate SF]]*Swiss1</f>
        <v>616.31111111111113</v>
      </c>
      <c r="AC887" s="74">
        <f t="shared" si="307"/>
        <v>14.373333333333335</v>
      </c>
      <c r="AD887" s="67">
        <f>Table1[[#This Row],[Substrate SF]]*Materials!C$37</f>
        <v>60.977777777777774</v>
      </c>
      <c r="AE887" s="74">
        <f>IF(Table1[[#This Row],[Work Center]]="SwissQ",Materials!G$37,IF(Table1[[#This Row],[Work Center]]="Inca",Materials!G$29,IF(Table1[[#This Row],[Work Center]]="Canon",Materials!G$49,Materials!G$45)))</f>
        <v>20</v>
      </c>
      <c r="AF887" s="73">
        <f>'Cali Frames'!D331</f>
        <v>171.26</v>
      </c>
      <c r="AG887" s="126"/>
      <c r="AH887" s="74">
        <f t="shared" si="303"/>
        <v>40</v>
      </c>
      <c r="AI887" s="74"/>
      <c r="AJ887" s="74">
        <f t="shared" si="306"/>
        <v>306.61111111111109</v>
      </c>
      <c r="AK887" s="1001">
        <f t="shared" si="293"/>
        <v>0.61673611111111115</v>
      </c>
      <c r="AL887" s="74">
        <f>Table1[[#This Row],[WSP/Dealer]]/Table1[[#This Row],[OD Sq Inch]]</f>
        <v>0.33319450229071218</v>
      </c>
      <c r="AM887" s="63">
        <f>Table1[[#This Row],[OD Wdth]]*Table1[[#This Row],[OD Hgt]]</f>
        <v>2401</v>
      </c>
      <c r="AN887" s="68">
        <f>Table1[[#This Row],[Min VO]]+Table1[[#This Row],[Max VO]]</f>
        <v>96</v>
      </c>
      <c r="AO887" s="84"/>
      <c r="AP887" s="84"/>
      <c r="AQ887" s="126">
        <f>(Table1[[#This Row],[Desgnr/Retail P]]*0.05)</f>
        <v>0</v>
      </c>
      <c r="AR887" s="126" t="b">
        <f>IF(A887="Codarus",(AP887*0.13))</f>
        <v>0</v>
      </c>
      <c r="AS887" s="126" t="e" cm="1">
        <f t="array" ref="AS887">SUM(AC887:AG887+AQ+AR)</f>
        <v>#NAME?</v>
      </c>
      <c r="AT887" s="74" t="e">
        <f>(AP887-AS887)/AP887</f>
        <v>#NAME?</v>
      </c>
      <c r="AU887" s="1357" t="str">
        <f t="shared" si="304"/>
        <v>-</v>
      </c>
    </row>
    <row r="888" spans="1:47" s="330" customFormat="1" x14ac:dyDescent="0.2">
      <c r="A888" s="60" t="s">
        <v>58</v>
      </c>
      <c r="B888" s="1071" t="s">
        <v>1436</v>
      </c>
      <c r="C888" s="434" t="s">
        <v>2250</v>
      </c>
      <c r="D888" s="79"/>
      <c r="E888" s="99" t="s">
        <v>2251</v>
      </c>
      <c r="F888" s="83" t="s">
        <v>308</v>
      </c>
      <c r="G888" s="605" t="s">
        <v>395</v>
      </c>
      <c r="H888" s="605" t="s">
        <v>395</v>
      </c>
      <c r="I888" s="60" t="s">
        <v>52</v>
      </c>
      <c r="J888" s="59" t="s">
        <v>53</v>
      </c>
      <c r="K888" s="60" t="s">
        <v>54</v>
      </c>
      <c r="L888" s="60" t="s">
        <v>55</v>
      </c>
      <c r="M888" s="179">
        <v>1175</v>
      </c>
      <c r="N888" s="124"/>
      <c r="O888" s="60" t="s">
        <v>64</v>
      </c>
      <c r="P888" s="60">
        <v>60</v>
      </c>
      <c r="Q888" s="60">
        <v>60</v>
      </c>
      <c r="R888" s="60">
        <v>60</v>
      </c>
      <c r="S888" s="60">
        <v>60</v>
      </c>
      <c r="T888" s="60">
        <v>60</v>
      </c>
      <c r="U888" s="68">
        <v>60</v>
      </c>
      <c r="V888" s="946">
        <f>IF(J888="Canvas",P888+Border,P888)</f>
        <v>68</v>
      </c>
      <c r="W888" s="946">
        <f>IF(J888="Canvas",Q888+Border,Q888)</f>
        <v>68</v>
      </c>
      <c r="X888" s="60">
        <v>69</v>
      </c>
      <c r="Y888" s="60">
        <v>68</v>
      </c>
      <c r="Z888" s="60">
        <v>68</v>
      </c>
      <c r="AA888" s="717">
        <f t="shared" si="305"/>
        <v>32.111111111111114</v>
      </c>
      <c r="AB888" s="125">
        <f>Table1[[#This Row],[Substrate SF]]*Swiss1</f>
        <v>908.74444444444453</v>
      </c>
      <c r="AC888" s="69">
        <f t="shared" si="307"/>
        <v>21.193333333333335</v>
      </c>
      <c r="AD888" s="69">
        <f>Table1[[#This Row],[Substrate SF]]*Materials!C$37</f>
        <v>89.911111111111111</v>
      </c>
      <c r="AE888" s="69">
        <f>IF(Table1[[#This Row],[Work Center]]="SwissQ",Materials!G$37,IF(Table1[[#This Row],[Work Center]]="Inca",Materials!G$29,IF(Table1[[#This Row],[Work Center]]="Canon",Materials!G$49,Materials!G$45)))</f>
        <v>20</v>
      </c>
      <c r="AF888" s="72">
        <f>'Cali FPS'!C158</f>
        <v>196.875</v>
      </c>
      <c r="AG888" s="540"/>
      <c r="AH888" s="175">
        <f t="shared" si="303"/>
        <v>58.75</v>
      </c>
      <c r="AI888" s="175"/>
      <c r="AJ888" s="176">
        <f t="shared" si="306"/>
        <v>386.72944444444443</v>
      </c>
      <c r="AK888" s="676">
        <f t="shared" si="293"/>
        <v>0.67086855791962174</v>
      </c>
      <c r="AL888" s="176">
        <f>Table1[[#This Row],[WSP/Dealer]]/Table1[[#This Row],[OD Sq Inch]]</f>
        <v>0.3263888888888889</v>
      </c>
      <c r="AM888" s="180">
        <f>Table1[[#This Row],[OD Wdth]]*Table1[[#This Row],[OD Hgt]]</f>
        <v>3600</v>
      </c>
      <c r="AN888" s="180">
        <f>Table1[[#This Row],[Min VO]]+Table1[[#This Row],[Max VO]]</f>
        <v>120</v>
      </c>
      <c r="AO888" s="83"/>
      <c r="AP888" s="83"/>
      <c r="AQ888" s="540"/>
      <c r="AR888" s="540"/>
      <c r="AS888" s="540"/>
      <c r="AT888" s="69"/>
      <c r="AU888" s="1361" t="str">
        <f t="shared" si="304"/>
        <v>-</v>
      </c>
    </row>
    <row r="889" spans="1:47" s="63" customFormat="1" x14ac:dyDescent="0.2">
      <c r="A889" s="60" t="s">
        <v>58</v>
      </c>
      <c r="B889" s="1071" t="s">
        <v>1436</v>
      </c>
      <c r="C889" s="434" t="s">
        <v>2252</v>
      </c>
      <c r="D889" s="79"/>
      <c r="E889" s="99" t="s">
        <v>2253</v>
      </c>
      <c r="F889" s="83" t="s">
        <v>308</v>
      </c>
      <c r="G889" s="605" t="s">
        <v>115</v>
      </c>
      <c r="H889" s="605" t="s">
        <v>115</v>
      </c>
      <c r="I889" s="60" t="s">
        <v>52</v>
      </c>
      <c r="J889" s="59" t="s">
        <v>53</v>
      </c>
      <c r="K889" s="60" t="s">
        <v>54</v>
      </c>
      <c r="L889" s="60" t="s">
        <v>55</v>
      </c>
      <c r="M889" s="179">
        <v>750</v>
      </c>
      <c r="N889" s="124"/>
      <c r="O889" s="60" t="s">
        <v>64</v>
      </c>
      <c r="P889" s="60">
        <v>48</v>
      </c>
      <c r="Q889" s="60">
        <v>48</v>
      </c>
      <c r="R889" s="60">
        <v>48</v>
      </c>
      <c r="S889" s="60">
        <v>48</v>
      </c>
      <c r="T889" s="60">
        <v>48</v>
      </c>
      <c r="U889" s="60">
        <v>48</v>
      </c>
      <c r="V889" s="946">
        <f>IF(J889="Canvas",P889+Border,P889)</f>
        <v>56</v>
      </c>
      <c r="W889" s="946">
        <f>IF(J889="Canvas",Q889+Border,Q889)</f>
        <v>56</v>
      </c>
      <c r="X889" s="60">
        <v>59</v>
      </c>
      <c r="Y889" s="60">
        <v>56</v>
      </c>
      <c r="Z889" s="60">
        <v>56</v>
      </c>
      <c r="AA889" s="717">
        <f t="shared" si="305"/>
        <v>21.777777777777779</v>
      </c>
      <c r="AB889" s="125">
        <f>Table1[[#This Row],[Substrate SF]]*Swiss1</f>
        <v>616.31111111111113</v>
      </c>
      <c r="AC889" s="69">
        <f t="shared" si="307"/>
        <v>14.373333333333335</v>
      </c>
      <c r="AD889" s="48">
        <f>Table1[[#This Row],[Substrate SF]]*Materials!C$37</f>
        <v>60.977777777777774</v>
      </c>
      <c r="AE889" s="69">
        <f>IF(Table1[[#This Row],[Work Center]]="SwissQ",Materials!G$37,IF(Table1[[#This Row],[Work Center]]="Inca",Materials!G$29,IF(Table1[[#This Row],[Work Center]]="Canon",Materials!G$49,Materials!G$45)))</f>
        <v>20</v>
      </c>
      <c r="AF889" s="72">
        <f>'Cali FPS'!C117</f>
        <v>119.7</v>
      </c>
      <c r="AG889" s="540"/>
      <c r="AH889" s="69">
        <f t="shared" si="303"/>
        <v>37.5</v>
      </c>
      <c r="AI889" s="69"/>
      <c r="AJ889" s="69">
        <f t="shared" si="306"/>
        <v>252.55111111111111</v>
      </c>
      <c r="AK889" s="650">
        <f t="shared" si="293"/>
        <v>0.66326518518518518</v>
      </c>
      <c r="AL889" s="69">
        <f>Table1[[#This Row],[WSP/Dealer]]/Table1[[#This Row],[OD Sq Inch]]</f>
        <v>0.32552083333333331</v>
      </c>
      <c r="AM889" s="46">
        <f>Table1[[#This Row],[OD Wdth]]*Table1[[#This Row],[OD Hgt]]</f>
        <v>2304</v>
      </c>
      <c r="AN889" s="60">
        <f>Table1[[#This Row],[Min VO]]+Table1[[#This Row],[Max VO]]</f>
        <v>96</v>
      </c>
      <c r="AO889" s="83"/>
      <c r="AP889" s="83"/>
      <c r="AQ889" s="540"/>
      <c r="AR889" s="540"/>
      <c r="AS889" s="540"/>
      <c r="AT889" s="69"/>
      <c r="AU889" s="1361" t="str">
        <f t="shared" si="304"/>
        <v>-</v>
      </c>
    </row>
    <row r="890" spans="1:47" s="46" customFormat="1" x14ac:dyDescent="0.2">
      <c r="A890" s="60" t="s">
        <v>58</v>
      </c>
      <c r="B890" s="1071" t="s">
        <v>1436</v>
      </c>
      <c r="C890" s="434" t="s">
        <v>2254</v>
      </c>
      <c r="D890" s="79"/>
      <c r="E890" s="99" t="s">
        <v>2255</v>
      </c>
      <c r="F890" s="83" t="s">
        <v>308</v>
      </c>
      <c r="G890" s="605" t="s">
        <v>395</v>
      </c>
      <c r="H890" s="605" t="s">
        <v>395</v>
      </c>
      <c r="I890" s="60" t="s">
        <v>52</v>
      </c>
      <c r="J890" s="59" t="s">
        <v>53</v>
      </c>
      <c r="K890" s="60" t="s">
        <v>54</v>
      </c>
      <c r="L890" s="60" t="s">
        <v>55</v>
      </c>
      <c r="M890" s="179">
        <v>1175</v>
      </c>
      <c r="N890" s="124"/>
      <c r="O890" s="60" t="s">
        <v>64</v>
      </c>
      <c r="P890" s="60">
        <v>60</v>
      </c>
      <c r="Q890" s="60">
        <v>60</v>
      </c>
      <c r="R890" s="60">
        <v>60</v>
      </c>
      <c r="S890" s="60">
        <v>60</v>
      </c>
      <c r="T890" s="60">
        <v>60</v>
      </c>
      <c r="U890" s="60">
        <v>60</v>
      </c>
      <c r="V890" s="47">
        <f>IF(J890="Canvas",P890+Border,P890)</f>
        <v>68</v>
      </c>
      <c r="W890" s="47">
        <f>IF(J890="Canvas",Q890+Border,Q890)</f>
        <v>68</v>
      </c>
      <c r="X890" s="60">
        <v>69</v>
      </c>
      <c r="Y890" s="60">
        <v>68</v>
      </c>
      <c r="Z890" s="60">
        <v>68</v>
      </c>
      <c r="AA890" s="717">
        <f t="shared" si="305"/>
        <v>32.111111111111114</v>
      </c>
      <c r="AB890" s="125">
        <f>Table1[[#This Row],[Substrate SF]]*Swiss1</f>
        <v>908.74444444444453</v>
      </c>
      <c r="AC890" s="69">
        <f t="shared" si="307"/>
        <v>21.193333333333335</v>
      </c>
      <c r="AD890" s="48">
        <f>Table1[[#This Row],[Substrate SF]]*Materials!C$37</f>
        <v>89.911111111111111</v>
      </c>
      <c r="AE890" s="69">
        <f>IF(Table1[[#This Row],[Work Center]]="SwissQ",Materials!G$37,IF(Table1[[#This Row],[Work Center]]="Inca",Materials!G$29,IF(Table1[[#This Row],[Work Center]]="Canon",Materials!G$49,Materials!G$45)))</f>
        <v>20</v>
      </c>
      <c r="AF890" s="72">
        <f>'Cali FPS'!C158</f>
        <v>196.875</v>
      </c>
      <c r="AG890" s="540"/>
      <c r="AH890" s="176">
        <f t="shared" si="303"/>
        <v>58.75</v>
      </c>
      <c r="AI890" s="176"/>
      <c r="AJ890" s="176">
        <f t="shared" si="306"/>
        <v>386.72944444444443</v>
      </c>
      <c r="AK890" s="1201">
        <f t="shared" si="293"/>
        <v>0.67086855791962174</v>
      </c>
      <c r="AL890" s="176">
        <f>Table1[[#This Row],[WSP/Dealer]]/Table1[[#This Row],[OD Sq Inch]]</f>
        <v>0.3263888888888889</v>
      </c>
      <c r="AM890" s="180">
        <f>Table1[[#This Row],[OD Wdth]]*Table1[[#This Row],[OD Hgt]]</f>
        <v>3600</v>
      </c>
      <c r="AN890" s="180">
        <f>Table1[[#This Row],[Min VO]]+Table1[[#This Row],[Max VO]]</f>
        <v>120</v>
      </c>
      <c r="AO890" s="83"/>
      <c r="AP890" s="83"/>
      <c r="AQ890" s="540"/>
      <c r="AR890" s="540"/>
      <c r="AS890" s="540"/>
      <c r="AT890" s="69"/>
      <c r="AU890" s="1361" t="str">
        <f t="shared" si="304"/>
        <v>-</v>
      </c>
    </row>
    <row r="891" spans="1:47" s="63" customFormat="1" x14ac:dyDescent="0.2">
      <c r="A891" s="86" t="s">
        <v>58</v>
      </c>
      <c r="B891" s="279" t="s">
        <v>591</v>
      </c>
      <c r="C891" s="75" t="s">
        <v>2256</v>
      </c>
      <c r="D891" s="94" t="s">
        <v>2257</v>
      </c>
      <c r="E891" s="85" t="s">
        <v>2258</v>
      </c>
      <c r="F891" s="85" t="s">
        <v>1834</v>
      </c>
      <c r="G891" s="86" t="s">
        <v>1700</v>
      </c>
      <c r="H891" s="86" t="s">
        <v>1700</v>
      </c>
      <c r="I891" s="86" t="s">
        <v>52</v>
      </c>
      <c r="J891" s="86" t="s">
        <v>53</v>
      </c>
      <c r="K891" s="86" t="s">
        <v>54</v>
      </c>
      <c r="L891" s="86" t="s">
        <v>55</v>
      </c>
      <c r="M891" s="87">
        <v>750</v>
      </c>
      <c r="N891" s="639">
        <v>815</v>
      </c>
      <c r="O891" s="68" t="s">
        <v>56</v>
      </c>
      <c r="P891" s="273">
        <v>48</v>
      </c>
      <c r="Q891" s="273">
        <v>40</v>
      </c>
      <c r="R891" s="60">
        <v>40</v>
      </c>
      <c r="S891" s="273">
        <v>48</v>
      </c>
      <c r="T891" s="273">
        <f>Table1[[#This Row],[VO Wdth]]</f>
        <v>48</v>
      </c>
      <c r="U891" s="273">
        <f>Table1[[#This Row],[VO Hgt]]</f>
        <v>40</v>
      </c>
      <c r="V891" s="106">
        <f>IF(J891="Canvas",P891+BorderGW,P891)</f>
        <v>56</v>
      </c>
      <c r="W891" s="106">
        <f>IF(J891="Canvas",Q891+BorderGW,Q891)</f>
        <v>48</v>
      </c>
      <c r="X891" s="137">
        <v>122</v>
      </c>
      <c r="Y891" s="101"/>
      <c r="Z891" s="101"/>
      <c r="AA891" s="649">
        <f t="shared" si="305"/>
        <v>18.666666666666668</v>
      </c>
      <c r="AB891" s="184">
        <f>AA891*IncaG</f>
        <v>392.74666666666667</v>
      </c>
      <c r="AC891" s="104">
        <f t="shared" si="307"/>
        <v>12.320000000000002</v>
      </c>
      <c r="AD891" s="107">
        <f>AA891*IncaC</f>
        <v>31.419733333333337</v>
      </c>
      <c r="AE891" s="104">
        <f>IF(Table1[[#This Row],[Work Center]]="SwissQ",Materials!G$37,IF(Table1[[#This Row],[Work Center]]="Inca",Materials!G$29,IF(Table1[[#This Row],[Work Center]]="Canon",Materials!G$49,Materials!G$45)))</f>
        <v>8</v>
      </c>
      <c r="AF891" s="74">
        <f>'Cali FPS'!C121</f>
        <v>188.18</v>
      </c>
      <c r="AG891" s="115"/>
      <c r="AH891" s="112">
        <f t="shared" si="303"/>
        <v>37.5</v>
      </c>
      <c r="AI891" s="112"/>
      <c r="AJ891" s="104">
        <f t="shared" si="306"/>
        <v>277.41973333333334</v>
      </c>
      <c r="AK891" s="62">
        <f t="shared" si="293"/>
        <v>0.63010702222222226</v>
      </c>
      <c r="AL891" s="225">
        <f>Table1[[#This Row],[WSP/Dealer]]/Table1[[#This Row],[OD Sq Inch]]</f>
        <v>0.390625</v>
      </c>
      <c r="AM891" s="216">
        <f>Table1[[#This Row],[OD Wdth]]*Table1[[#This Row],[OD Hgt]]</f>
        <v>1920</v>
      </c>
      <c r="AN891" s="216">
        <f>Table1[[#This Row],[Min VO]]+Table1[[#This Row],[Max VO]]</f>
        <v>88</v>
      </c>
      <c r="AO891" s="101"/>
      <c r="AP891" s="101"/>
      <c r="AQ891" s="104"/>
      <c r="AR891" s="104"/>
      <c r="AS891" s="104"/>
      <c r="AT891" s="104"/>
      <c r="AU891" s="830" t="str">
        <f t="shared" si="304"/>
        <v>-</v>
      </c>
    </row>
    <row r="892" spans="1:47" s="46" customFormat="1" hidden="1" x14ac:dyDescent="0.2">
      <c r="A892" s="373"/>
      <c r="B892" s="1061"/>
      <c r="C892" s="257" t="s">
        <v>2259</v>
      </c>
      <c r="D892" s="94"/>
      <c r="E892" s="84" t="s">
        <v>2260</v>
      </c>
      <c r="F892" s="84" t="s">
        <v>571</v>
      </c>
      <c r="G892" s="68" t="s">
        <v>643</v>
      </c>
      <c r="H892" s="68" t="s">
        <v>806</v>
      </c>
      <c r="I892" s="68" t="s">
        <v>108</v>
      </c>
      <c r="J892" s="140" t="s">
        <v>53</v>
      </c>
      <c r="K892" s="68" t="s">
        <v>69</v>
      </c>
      <c r="L892" s="68" t="s">
        <v>73</v>
      </c>
      <c r="M892" s="141">
        <v>225</v>
      </c>
      <c r="N892" s="71"/>
      <c r="O892" s="68" t="s">
        <v>56</v>
      </c>
      <c r="P892" s="623">
        <v>20</v>
      </c>
      <c r="Q892" s="623">
        <v>16</v>
      </c>
      <c r="R892" s="68">
        <v>16</v>
      </c>
      <c r="S892" s="623">
        <v>20</v>
      </c>
      <c r="T892" s="623">
        <v>21</v>
      </c>
      <c r="U892" s="623">
        <v>17</v>
      </c>
      <c r="V892" s="917">
        <f t="shared" ref="V892:V899" si="308">IF(J892="Canvas",P892+Border,P892)</f>
        <v>28</v>
      </c>
      <c r="W892" s="917">
        <f t="shared" ref="W892:W899" si="309">IF(J892="Canvas",Q892+Border,Q892)</f>
        <v>24</v>
      </c>
      <c r="X892" s="189"/>
      <c r="Y892" s="68">
        <v>28</v>
      </c>
      <c r="Z892" s="68">
        <v>24</v>
      </c>
      <c r="AA892" s="727">
        <f t="shared" si="305"/>
        <v>4.666666666666667</v>
      </c>
      <c r="AB892" s="297">
        <f>AA892*IncaGR</f>
        <v>4.7600000000000007</v>
      </c>
      <c r="AC892" s="278">
        <f t="shared" si="307"/>
        <v>3.0800000000000005</v>
      </c>
      <c r="AD892" s="278">
        <f>Table1[[#This Row],[Substrate SF]]*IncaCR</f>
        <v>0.37333333333333335</v>
      </c>
      <c r="AE892" s="104">
        <f>IF(Table1[[#This Row],[Work Center]]="SwissQ",Materials!G$37,IF(Table1[[#This Row],[Work Center]]="Inca",Materials!G$29,IF(Table1[[#This Row],[Work Center]]="Canon",Materials!G$49,Materials!G$45)))</f>
        <v>8</v>
      </c>
      <c r="AF892" s="278">
        <f>'Cali Frames'!D419</f>
        <v>83.685000000000002</v>
      </c>
      <c r="AG892" s="115"/>
      <c r="AH892" s="112">
        <f t="shared" si="303"/>
        <v>11.25</v>
      </c>
      <c r="AI892" s="112"/>
      <c r="AJ892" s="278">
        <f t="shared" si="306"/>
        <v>106.38833333333334</v>
      </c>
      <c r="AK892" s="62">
        <f t="shared" si="293"/>
        <v>0.52716296296296294</v>
      </c>
      <c r="AL892" s="225">
        <f>Table1[[#This Row],[WSP/Dealer]]/Table1[[#This Row],[OD Sq Inch]]</f>
        <v>0.63025210084033612</v>
      </c>
      <c r="AM892" s="274">
        <f>Table1[[#This Row],[OD Wdth]]*Table1[[#This Row],[OD Hgt]]</f>
        <v>357</v>
      </c>
      <c r="AN892" s="274" t="str">
        <f>Table1[[#This Row],[Color]]</f>
        <v>NF</v>
      </c>
      <c r="AO892" s="84" t="str">
        <f>Table1[[#This Row],[Print Type]]</f>
        <v>Reductive</v>
      </c>
      <c r="AP892" s="84"/>
      <c r="AQ892" s="126"/>
      <c r="AR892" s="126"/>
      <c r="AS892" s="126"/>
      <c r="AT892" s="74"/>
      <c r="AU892" s="1357" t="str">
        <f t="shared" si="304"/>
        <v>-</v>
      </c>
    </row>
    <row r="893" spans="1:47" s="46" customFormat="1" hidden="1" x14ac:dyDescent="0.2">
      <c r="A893" s="68" t="s">
        <v>101</v>
      </c>
      <c r="B893" s="1152" t="s">
        <v>65</v>
      </c>
      <c r="C893" s="257" t="s">
        <v>2261</v>
      </c>
      <c r="D893" s="94"/>
      <c r="E893" s="84" t="s">
        <v>2262</v>
      </c>
      <c r="F893" s="84" t="s">
        <v>571</v>
      </c>
      <c r="G893" s="68" t="s">
        <v>2263</v>
      </c>
      <c r="H893" s="68" t="s">
        <v>2263</v>
      </c>
      <c r="I893" s="68" t="s">
        <v>52</v>
      </c>
      <c r="J893" s="140" t="s">
        <v>53</v>
      </c>
      <c r="K893" s="68" t="s">
        <v>54</v>
      </c>
      <c r="L893" s="68" t="s">
        <v>55</v>
      </c>
      <c r="M893" s="141">
        <v>210</v>
      </c>
      <c r="N893" s="93"/>
      <c r="O893" s="68" t="s">
        <v>575</v>
      </c>
      <c r="P893" s="623">
        <v>30</v>
      </c>
      <c r="Q893" s="623">
        <v>24</v>
      </c>
      <c r="R893" s="68">
        <v>24</v>
      </c>
      <c r="S893" s="623">
        <v>30</v>
      </c>
      <c r="T893" s="623">
        <v>30</v>
      </c>
      <c r="U893" s="623">
        <v>24</v>
      </c>
      <c r="V893" s="917">
        <f t="shared" si="308"/>
        <v>38</v>
      </c>
      <c r="W893" s="917">
        <f t="shared" si="309"/>
        <v>32</v>
      </c>
      <c r="X893" s="68">
        <v>40</v>
      </c>
      <c r="Y893" s="917">
        <f>Table1[[#This Row],[Print Wth]]</f>
        <v>38</v>
      </c>
      <c r="Z893" s="917">
        <f>Table1[[#This Row],[Print Ht]]</f>
        <v>32</v>
      </c>
      <c r="AA893" s="952">
        <f>Table1[[#This Row],[Cut Width]]*Table1[[#This Row],[Cut Height]]/144</f>
        <v>8.4444444444444446</v>
      </c>
      <c r="AB893" s="1130">
        <f>(Table1[[#This Row],[Print Wth]]*Table1[[#This Row],[Print Ht]])/144*SWISSMLR</f>
        <v>16.888888888888889</v>
      </c>
      <c r="AC893" s="67">
        <f>(Table1[[#This Row],[Cut Width]]*Table1[[#This Row],[Cut Height]])/144*Canvas</f>
        <v>5.5733333333333341</v>
      </c>
      <c r="AD893" s="263">
        <f>(Table1[[#This Row],[Print Wth]]*Table1[[#This Row],[Print Ht]])/144*Materials!$C$42</f>
        <v>2.7022222222222223</v>
      </c>
      <c r="AE893" s="74">
        <v>10</v>
      </c>
      <c r="AF893" s="73">
        <f>'Cali FPS'!C35</f>
        <v>74.2</v>
      </c>
      <c r="AG893" s="84"/>
      <c r="AH893" s="67">
        <f t="shared" si="303"/>
        <v>10.5</v>
      </c>
      <c r="AI893" s="67"/>
      <c r="AJ893" s="278">
        <f t="shared" si="306"/>
        <v>102.97555555555556</v>
      </c>
      <c r="AK893" s="661">
        <f t="shared" si="293"/>
        <v>0.50964021164021167</v>
      </c>
      <c r="AL893" s="240">
        <f>Table1[[#This Row],[WSP/Dealer]]/Table1[[#This Row],[OD Sq Inch]]</f>
        <v>0.29166666666666669</v>
      </c>
      <c r="AM893" s="274">
        <f>Table1[[#This Row],[OD Wdth]]*Table1[[#This Row],[OD Hgt]]</f>
        <v>720</v>
      </c>
      <c r="AN893" s="274" t="str">
        <f>Table1[[#This Row],[Color]]</f>
        <v>GW</v>
      </c>
      <c r="AO893" s="84"/>
      <c r="AP893" s="84"/>
      <c r="AQ893" s="126"/>
      <c r="AR893" s="126"/>
      <c r="AS893" s="126"/>
      <c r="AT893" s="74"/>
      <c r="AU893" s="1357" t="str">
        <f t="shared" si="304"/>
        <v>-</v>
      </c>
    </row>
    <row r="894" spans="1:47" s="46" customFormat="1" x14ac:dyDescent="0.2">
      <c r="A894" s="101" t="s">
        <v>58</v>
      </c>
      <c r="B894" s="1067" t="s">
        <v>121</v>
      </c>
      <c r="C894" s="168" t="s">
        <v>2264</v>
      </c>
      <c r="D894" s="94"/>
      <c r="E894" s="625" t="s">
        <v>2265</v>
      </c>
      <c r="F894" s="625" t="s">
        <v>124</v>
      </c>
      <c r="G894" s="101" t="s">
        <v>819</v>
      </c>
      <c r="H894" s="101" t="s">
        <v>819</v>
      </c>
      <c r="I894" s="101" t="s">
        <v>52</v>
      </c>
      <c r="J894" s="487" t="s">
        <v>53</v>
      </c>
      <c r="K894" s="101" t="s">
        <v>54</v>
      </c>
      <c r="L894" s="101" t="s">
        <v>55</v>
      </c>
      <c r="M894" s="299">
        <v>575</v>
      </c>
      <c r="N894" s="114"/>
      <c r="O894" s="400" t="s">
        <v>56</v>
      </c>
      <c r="P894" s="400">
        <v>32</v>
      </c>
      <c r="Q894" s="400">
        <v>40</v>
      </c>
      <c r="R894" s="400">
        <v>32</v>
      </c>
      <c r="S894" s="400">
        <v>40</v>
      </c>
      <c r="T894" s="400">
        <v>32</v>
      </c>
      <c r="U894" s="400">
        <v>40</v>
      </c>
      <c r="V894" s="608">
        <f t="shared" si="308"/>
        <v>40</v>
      </c>
      <c r="W894" s="608">
        <f t="shared" si="309"/>
        <v>48</v>
      </c>
      <c r="X894" s="137">
        <v>40</v>
      </c>
      <c r="Y894" s="101">
        <v>40</v>
      </c>
      <c r="Z894" s="101">
        <v>48</v>
      </c>
      <c r="AA894" s="1069">
        <f t="shared" ref="AA894:AA900" si="310">V894*W894/144</f>
        <v>13.333333333333334</v>
      </c>
      <c r="AB894" s="184">
        <f>AA894*IncaG</f>
        <v>280.53333333333336</v>
      </c>
      <c r="AC894" s="104">
        <f>AA894*Canvas</f>
        <v>8.8000000000000007</v>
      </c>
      <c r="AD894" s="107">
        <f>AA894*IncaC</f>
        <v>22.442666666666668</v>
      </c>
      <c r="AE894" s="104">
        <f>IF(Table1[[#This Row],[Work Center]]="SwissQ",Materials!G$37,IF(Table1[[#This Row],[Work Center]]="Inca",Materials!G$29,IF(Table1[[#This Row],[Work Center]]="Canon",Materials!G$49,Materials!G$45)))</f>
        <v>8</v>
      </c>
      <c r="AF894" s="102">
        <f>'Cali FPS'!C58</f>
        <v>83.3</v>
      </c>
      <c r="AG894" s="115"/>
      <c r="AH894" s="406">
        <f t="shared" si="303"/>
        <v>28.75</v>
      </c>
      <c r="AI894" s="406"/>
      <c r="AJ894" s="406">
        <f t="shared" si="306"/>
        <v>151.29266666666666</v>
      </c>
      <c r="AK894" s="1065">
        <f t="shared" si="293"/>
        <v>0.73688231884057975</v>
      </c>
      <c r="AL894" s="406">
        <f>Table1[[#This Row],[WSP/Dealer]]/Table1[[#This Row],[OD Sq Inch]]</f>
        <v>0.44921875</v>
      </c>
      <c r="AM894" s="400">
        <f>Table1[[#This Row],[OD Wdth]]*Table1[[#This Row],[OD Hgt]]</f>
        <v>1280</v>
      </c>
      <c r="AN894" s="400">
        <f>Table1[[#This Row],[Min VO]]+Table1[[#This Row],[Max VO]]</f>
        <v>72</v>
      </c>
      <c r="AO894" s="115"/>
      <c r="AP894" s="115"/>
      <c r="AQ894" s="121"/>
      <c r="AR894" s="121"/>
      <c r="AS894" s="121"/>
      <c r="AT894" s="104"/>
      <c r="AU894" s="1359" t="str">
        <f t="shared" si="304"/>
        <v>-</v>
      </c>
    </row>
    <row r="895" spans="1:47" s="63" customFormat="1" x14ac:dyDescent="0.2">
      <c r="A895" s="60" t="s">
        <v>58</v>
      </c>
      <c r="B895" s="1071" t="s">
        <v>310</v>
      </c>
      <c r="C895" s="75" t="s">
        <v>2266</v>
      </c>
      <c r="D895" s="79"/>
      <c r="E895" s="83" t="s">
        <v>2267</v>
      </c>
      <c r="F895" s="83" t="s">
        <v>289</v>
      </c>
      <c r="G895" s="60" t="s">
        <v>2268</v>
      </c>
      <c r="H895" s="60" t="s">
        <v>2268</v>
      </c>
      <c r="I895" s="60" t="s">
        <v>108</v>
      </c>
      <c r="J895" s="59" t="s">
        <v>53</v>
      </c>
      <c r="K895" s="60" t="s">
        <v>2269</v>
      </c>
      <c r="L895" s="60"/>
      <c r="M895" s="124">
        <v>375</v>
      </c>
      <c r="N895" s="124"/>
      <c r="O895" s="60" t="s">
        <v>64</v>
      </c>
      <c r="P895" s="60">
        <v>100</v>
      </c>
      <c r="Q895" s="60">
        <v>65</v>
      </c>
      <c r="R895" s="60">
        <v>65</v>
      </c>
      <c r="S895" s="273">
        <v>100</v>
      </c>
      <c r="T895" s="60">
        <v>100</v>
      </c>
      <c r="U895" s="60">
        <v>65</v>
      </c>
      <c r="V895" s="913">
        <f t="shared" si="308"/>
        <v>108</v>
      </c>
      <c r="W895" s="913">
        <f t="shared" si="309"/>
        <v>73</v>
      </c>
      <c r="X895" s="60">
        <v>122</v>
      </c>
      <c r="Y895" s="60">
        <v>108</v>
      </c>
      <c r="Z895" s="60">
        <v>73</v>
      </c>
      <c r="AA895" s="678">
        <f t="shared" si="310"/>
        <v>54.75</v>
      </c>
      <c r="AB895" s="125">
        <f>AA895*SwissLow</f>
        <v>878.38785046728958</v>
      </c>
      <c r="AC895" s="176">
        <f>AA895*Canvas</f>
        <v>36.135000000000005</v>
      </c>
      <c r="AD895" s="175">
        <f>Table1[[#This Row],[Substrate SF]]*Materials!C$41</f>
        <v>12.045</v>
      </c>
      <c r="AE895" s="176">
        <f>IF(Table1[[#This Row],[Work Center]]="SwissQ",Materials!G$37,IF(Table1[[#This Row],[Work Center]]="Inca",Materials!G$29,IF(Table1[[#This Row],[Work Center]]="Canon",Materials!G$49,Materials!G$45)))</f>
        <v>20</v>
      </c>
      <c r="AF895" s="72"/>
      <c r="AG895" s="540"/>
      <c r="AH895" s="69">
        <f t="shared" si="303"/>
        <v>18.75</v>
      </c>
      <c r="AI895" s="69"/>
      <c r="AJ895" s="176">
        <f t="shared" si="306"/>
        <v>86.93</v>
      </c>
      <c r="AK895" s="650">
        <f t="shared" si="293"/>
        <v>0.76818666666666668</v>
      </c>
      <c r="AL895" s="225">
        <f>Table1[[#This Row],[WSP/Dealer]]/Table1[[#This Row],[OD Sq Inch]]</f>
        <v>5.7692307692307696E-2</v>
      </c>
      <c r="AM895" s="173">
        <f>Table1[[#This Row],[OD Wdth]]*Table1[[#This Row],[OD Hgt]]</f>
        <v>6500</v>
      </c>
      <c r="AN895" s="180">
        <f>Table1[[#This Row],[Min VO]]+Table1[[#This Row],[Max VO]]</f>
        <v>165</v>
      </c>
      <c r="AO895" s="83"/>
      <c r="AP895" s="83"/>
      <c r="AQ895" s="540">
        <f>(Table1[[#This Row],[Desgnr/Retail P]]*0.05)</f>
        <v>0</v>
      </c>
      <c r="AR895" s="540" t="b">
        <f>IF(A895="Codarus",(AP895*0.13))</f>
        <v>0</v>
      </c>
      <c r="AS895" s="540" t="e" cm="1">
        <f t="array" ref="AS895">SUM(AC895:AG895+AQ+AR)</f>
        <v>#NAME?</v>
      </c>
      <c r="AT895" s="69" t="e">
        <f>(AP895-AS895)/AP895</f>
        <v>#NAME?</v>
      </c>
      <c r="AU895" s="1361" t="str">
        <f t="shared" si="304"/>
        <v>-</v>
      </c>
    </row>
    <row r="896" spans="1:47" s="46" customFormat="1" x14ac:dyDescent="0.2">
      <c r="A896" s="101" t="s">
        <v>581</v>
      </c>
      <c r="B896" s="1061" t="s">
        <v>292</v>
      </c>
      <c r="C896" s="719" t="s">
        <v>2270</v>
      </c>
      <c r="D896" s="94" t="s">
        <v>2271</v>
      </c>
      <c r="E896" s="115" t="s">
        <v>2272</v>
      </c>
      <c r="F896" s="84" t="s">
        <v>289</v>
      </c>
      <c r="G896" s="68" t="s">
        <v>296</v>
      </c>
      <c r="H896" s="68" t="s">
        <v>2273</v>
      </c>
      <c r="I896" s="68" t="s">
        <v>52</v>
      </c>
      <c r="J896" s="140" t="s">
        <v>53</v>
      </c>
      <c r="K896" s="68" t="s">
        <v>82</v>
      </c>
      <c r="L896" s="68" t="s">
        <v>298</v>
      </c>
      <c r="M896" s="299">
        <v>1600</v>
      </c>
      <c r="N896" s="114">
        <v>1600</v>
      </c>
      <c r="O896" s="1327" t="s">
        <v>64</v>
      </c>
      <c r="P896" s="697">
        <v>80</v>
      </c>
      <c r="Q896" s="697">
        <v>64</v>
      </c>
      <c r="R896" s="101">
        <v>64</v>
      </c>
      <c r="S896" s="697">
        <v>80</v>
      </c>
      <c r="T896" s="697">
        <v>81</v>
      </c>
      <c r="U896" s="697">
        <v>65</v>
      </c>
      <c r="V896" s="106">
        <f t="shared" si="308"/>
        <v>88</v>
      </c>
      <c r="W896" s="106">
        <f t="shared" si="309"/>
        <v>72</v>
      </c>
      <c r="X896" s="137">
        <v>82</v>
      </c>
      <c r="Y896" s="101">
        <v>88</v>
      </c>
      <c r="Z896" s="101">
        <v>72</v>
      </c>
      <c r="AA896" s="724">
        <f t="shared" si="310"/>
        <v>44</v>
      </c>
      <c r="AB896" s="184">
        <f>AA896*Swiss1</f>
        <v>1245.2</v>
      </c>
      <c r="AC896" s="406">
        <f>AA896*Canvas</f>
        <v>29.040000000000003</v>
      </c>
      <c r="AD896" s="405">
        <f>Table1[[#This Row],[Substrate SF]]*Materials!C$37</f>
        <v>123.19999999999999</v>
      </c>
      <c r="AE896" s="406">
        <f>IF(Table1[[#This Row],[Work Center]]="SwissQ",Materials!G$37,IF(Table1[[#This Row],[Work Center]]="Inca",Materials!G$29,IF(Table1[[#This Row],[Work Center]]="Canon",Materials!G$49,Materials!G$45)))</f>
        <v>20</v>
      </c>
      <c r="AF896" s="102">
        <f>'Cali Frames'!D244</f>
        <v>380</v>
      </c>
      <c r="AG896" s="540"/>
      <c r="AH896" s="107">
        <f t="shared" si="303"/>
        <v>80</v>
      </c>
      <c r="AI896" s="107"/>
      <c r="AJ896" s="405">
        <f t="shared" si="306"/>
        <v>632.24</v>
      </c>
      <c r="AK896" s="108">
        <f t="shared" si="293"/>
        <v>0.60485</v>
      </c>
      <c r="AL896" s="660">
        <f>Table1[[#This Row],[WSP/Dealer]]/Table1[[#This Row],[OD Sq Inch]]</f>
        <v>0.30389363722697055</v>
      </c>
      <c r="AM896" s="400">
        <f>Table1[[#This Row],[OD Wdth]]*Table1[[#This Row],[OD Hgt]]</f>
        <v>5265</v>
      </c>
      <c r="AN896" s="400">
        <f>Table1[[#This Row],[Min VO]]+Table1[[#This Row],[Max VO]]</f>
        <v>144</v>
      </c>
      <c r="AO896" s="115"/>
      <c r="AP896" s="115"/>
      <c r="AQ896" s="121"/>
      <c r="AR896" s="121"/>
      <c r="AS896" s="121"/>
      <c r="AT896" s="104"/>
      <c r="AU896" s="1359" t="str">
        <f t="shared" si="304"/>
        <v>-</v>
      </c>
    </row>
    <row r="897" spans="1:47" s="63" customFormat="1" x14ac:dyDescent="0.2">
      <c r="A897" s="60" t="s">
        <v>58</v>
      </c>
      <c r="B897" s="1071" t="s">
        <v>250</v>
      </c>
      <c r="C897" s="75" t="s">
        <v>2274</v>
      </c>
      <c r="D897" s="79"/>
      <c r="E897" s="83" t="s">
        <v>2275</v>
      </c>
      <c r="F897" s="83" t="s">
        <v>289</v>
      </c>
      <c r="G897" s="60" t="s">
        <v>2276</v>
      </c>
      <c r="H897" s="60" t="s">
        <v>2277</v>
      </c>
      <c r="I897" s="60" t="s">
        <v>52</v>
      </c>
      <c r="J897" s="59" t="s">
        <v>53</v>
      </c>
      <c r="K897" s="60" t="s">
        <v>69</v>
      </c>
      <c r="L897" s="60" t="s">
        <v>73</v>
      </c>
      <c r="M897" s="179">
        <v>1900</v>
      </c>
      <c r="N897" s="124"/>
      <c r="O897" s="60" t="s">
        <v>64</v>
      </c>
      <c r="P897" s="273">
        <v>90</v>
      </c>
      <c r="Q897" s="273">
        <v>65</v>
      </c>
      <c r="R897" s="60">
        <v>65</v>
      </c>
      <c r="S897" s="273">
        <v>90</v>
      </c>
      <c r="T897" s="273">
        <v>91</v>
      </c>
      <c r="U897" s="273">
        <v>66</v>
      </c>
      <c r="V897" s="946">
        <f t="shared" si="308"/>
        <v>98</v>
      </c>
      <c r="W897" s="946">
        <f t="shared" si="309"/>
        <v>73</v>
      </c>
      <c r="X897" s="60">
        <v>122</v>
      </c>
      <c r="Y897" s="60">
        <v>98</v>
      </c>
      <c r="Z897" s="60">
        <v>73</v>
      </c>
      <c r="AA897" s="678">
        <f t="shared" si="310"/>
        <v>49.680555555555557</v>
      </c>
      <c r="AB897" s="125">
        <f>AA897*Swiss1</f>
        <v>1405.9597222222224</v>
      </c>
      <c r="AC897" s="176">
        <f>AA897*Canvas</f>
        <v>32.789166666666667</v>
      </c>
      <c r="AD897" s="175">
        <f>Table1[[#This Row],[Substrate SF]]*Materials!C$37</f>
        <v>139.10555555555555</v>
      </c>
      <c r="AE897" s="176">
        <f>IF(Table1[[#This Row],[Work Center]]="SwissQ",Materials!G$37,IF(Table1[[#This Row],[Work Center]]="Inca",Materials!G$29,IF(Table1[[#This Row],[Work Center]]="Canon",Materials!G$49,Materials!G$45)))</f>
        <v>20</v>
      </c>
      <c r="AF897" s="72">
        <f>'Cali Frames'!D486</f>
        <v>364.93</v>
      </c>
      <c r="AG897" s="540"/>
      <c r="AH897" s="69">
        <f t="shared" si="303"/>
        <v>95</v>
      </c>
      <c r="AI897" s="69"/>
      <c r="AJ897" s="176">
        <f t="shared" si="306"/>
        <v>651.82472222222225</v>
      </c>
      <c r="AK897" s="650">
        <f t="shared" si="293"/>
        <v>0.65693435672514622</v>
      </c>
      <c r="AL897" s="225">
        <f>Table1[[#This Row],[WSP/Dealer]]/Table1[[#This Row],[OD Sq Inch]]</f>
        <v>0.31635031635031635</v>
      </c>
      <c r="AM897" s="173">
        <f>Table1[[#This Row],[OD Wdth]]*Table1[[#This Row],[OD Hgt]]</f>
        <v>6006</v>
      </c>
      <c r="AN897" s="180">
        <f>Table1[[#This Row],[Min VO]]+Table1[[#This Row],[Max VO]]</f>
        <v>155</v>
      </c>
      <c r="AO897" s="83"/>
      <c r="AP897" s="83"/>
      <c r="AQ897" s="540"/>
      <c r="AR897" s="540"/>
      <c r="AS897" s="540"/>
      <c r="AT897" s="69"/>
      <c r="AU897" s="1361"/>
    </row>
    <row r="898" spans="1:47" s="63" customFormat="1" x14ac:dyDescent="0.2">
      <c r="A898" s="274" t="s">
        <v>58</v>
      </c>
      <c r="B898" s="1061"/>
      <c r="C898" s="323" t="s">
        <v>2278</v>
      </c>
      <c r="D898" s="317" t="s">
        <v>2279</v>
      </c>
      <c r="E898" s="275" t="s">
        <v>2280</v>
      </c>
      <c r="F898" s="275" t="s">
        <v>634</v>
      </c>
      <c r="G898" s="274" t="s">
        <v>1789</v>
      </c>
      <c r="H898" s="274" t="s">
        <v>1790</v>
      </c>
      <c r="I898" s="274" t="s">
        <v>52</v>
      </c>
      <c r="J898" s="344" t="s">
        <v>53</v>
      </c>
      <c r="K898" s="274" t="s">
        <v>69</v>
      </c>
      <c r="L898" s="274" t="s">
        <v>70</v>
      </c>
      <c r="M898" s="318">
        <v>750</v>
      </c>
      <c r="N898" s="318"/>
      <c r="O898" s="274" t="s">
        <v>56</v>
      </c>
      <c r="P898" s="68">
        <v>43</v>
      </c>
      <c r="Q898" s="68">
        <v>43</v>
      </c>
      <c r="R898" s="68">
        <v>43</v>
      </c>
      <c r="S898" s="68">
        <v>43</v>
      </c>
      <c r="T898" s="68">
        <v>44</v>
      </c>
      <c r="U898" s="68" t="str">
        <f>RIGHT(H898,2)</f>
        <v>44</v>
      </c>
      <c r="V898" s="917">
        <f t="shared" si="308"/>
        <v>51</v>
      </c>
      <c r="W898" s="917">
        <f t="shared" si="309"/>
        <v>51</v>
      </c>
      <c r="X898" s="274">
        <v>53</v>
      </c>
      <c r="Y898" s="274">
        <v>51</v>
      </c>
      <c r="Z898" s="274">
        <v>51</v>
      </c>
      <c r="AA898" s="727">
        <f t="shared" si="310"/>
        <v>18.0625</v>
      </c>
      <c r="AB898" s="341">
        <f>AA898*IncaG</f>
        <v>380.03499999999997</v>
      </c>
      <c r="AC898" s="278">
        <f>AA898*Canvas</f>
        <v>11.921250000000001</v>
      </c>
      <c r="AD898" s="67">
        <f>AA898*IncaC</f>
        <v>30.402799999999999</v>
      </c>
      <c r="AE898" s="278">
        <f>IF(Table1[[#This Row],[Work Center]]="SwissQ",Materials!G$37,IF(Table1[[#This Row],[Work Center]]="Inca",Materials!G$29,IF(Table1[[#This Row],[Work Center]]="Canon",Materials!G$49,Materials!G$45)))</f>
        <v>8</v>
      </c>
      <c r="AF898" s="321">
        <f>'Cali Frames'!D322</f>
        <v>165.69</v>
      </c>
      <c r="AG898" s="275"/>
      <c r="AH898" s="74">
        <f t="shared" si="303"/>
        <v>37.5</v>
      </c>
      <c r="AI898" s="74"/>
      <c r="AJ898" s="278">
        <f t="shared" si="306"/>
        <v>253.51405</v>
      </c>
      <c r="AK898" s="1001">
        <f t="shared" si="293"/>
        <v>0.66198126666666668</v>
      </c>
      <c r="AL898" s="240">
        <f>Table1[[#This Row],[WSP/Dealer]]/Table1[[#This Row],[OD Sq Inch]]</f>
        <v>0.38739669421487605</v>
      </c>
      <c r="AM898" s="170">
        <f>Table1[[#This Row],[OD Wdth]]*Table1[[#This Row],[OD Hgt]]</f>
        <v>1936</v>
      </c>
      <c r="AN898" s="274">
        <f>Table1[[#This Row],[Min VO]]+Table1[[#This Row],[Max VO]]</f>
        <v>86</v>
      </c>
      <c r="AO898" s="275"/>
      <c r="AP898" s="275"/>
      <c r="AQ898" s="278"/>
      <c r="AR898" s="278"/>
      <c r="AS898" s="278"/>
      <c r="AT898" s="278"/>
      <c r="AU898" s="1368" t="str">
        <f t="shared" ref="AU898:AU929" si="311">IF(AQ898=0,"-",(AQ898-AT898)/AQ898)</f>
        <v>-</v>
      </c>
    </row>
    <row r="899" spans="1:47" s="170" customFormat="1" x14ac:dyDescent="0.2">
      <c r="A899" s="86" t="s">
        <v>58</v>
      </c>
      <c r="B899" s="1061" t="s">
        <v>88</v>
      </c>
      <c r="C899" s="100" t="s">
        <v>2278</v>
      </c>
      <c r="D899" s="94" t="s">
        <v>2279</v>
      </c>
      <c r="E899" s="85" t="s">
        <v>2280</v>
      </c>
      <c r="F899" s="85" t="s">
        <v>634</v>
      </c>
      <c r="G899" s="86" t="s">
        <v>1789</v>
      </c>
      <c r="H899" s="86" t="s">
        <v>1790</v>
      </c>
      <c r="I899" s="86" t="s">
        <v>794</v>
      </c>
      <c r="J899" s="86" t="s">
        <v>53</v>
      </c>
      <c r="K899" s="86" t="s">
        <v>69</v>
      </c>
      <c r="L899" s="86" t="s">
        <v>70</v>
      </c>
      <c r="M899" s="87">
        <v>682</v>
      </c>
      <c r="N899" s="639">
        <v>750.2</v>
      </c>
      <c r="O899" s="551" t="s">
        <v>795</v>
      </c>
      <c r="P899" s="101">
        <v>43</v>
      </c>
      <c r="Q899" s="101">
        <v>43</v>
      </c>
      <c r="R899" s="101">
        <v>43</v>
      </c>
      <c r="S899" s="101">
        <v>43</v>
      </c>
      <c r="T899" s="101">
        <v>44</v>
      </c>
      <c r="U899" s="101" t="str">
        <f>RIGHT(H899,2)</f>
        <v>44</v>
      </c>
      <c r="V899" s="608">
        <f t="shared" si="308"/>
        <v>51</v>
      </c>
      <c r="W899" s="608">
        <f t="shared" si="309"/>
        <v>51</v>
      </c>
      <c r="X899" s="137" t="s">
        <v>796</v>
      </c>
      <c r="Y899" s="101"/>
      <c r="Z899" s="101"/>
      <c r="AA899" s="649">
        <f t="shared" si="310"/>
        <v>18.0625</v>
      </c>
      <c r="AB899" s="184">
        <v>0</v>
      </c>
      <c r="AC899" s="104">
        <f>TX!H15</f>
        <v>177.86</v>
      </c>
      <c r="AD899" s="107">
        <f>AA899*IncaC</f>
        <v>30.402799999999999</v>
      </c>
      <c r="AE899" s="104">
        <v>0</v>
      </c>
      <c r="AF899" s="104">
        <f>'Cali Frames'!D$322</f>
        <v>165.69</v>
      </c>
      <c r="AG899" s="115"/>
      <c r="AH899" s="498">
        <f t="shared" si="303"/>
        <v>34.1</v>
      </c>
      <c r="AI899" s="498"/>
      <c r="AJ899" s="104">
        <f t="shared" si="306"/>
        <v>408.05280000000005</v>
      </c>
      <c r="AK899" s="650">
        <f t="shared" si="293"/>
        <v>0.4016821114369501</v>
      </c>
      <c r="AL899" s="225">
        <f>Table1[[#This Row],[WSP/Dealer]]/Table1[[#This Row],[OD Sq Inch]]</f>
        <v>0.35227272727272729</v>
      </c>
      <c r="AM899" s="103">
        <f>Table1[[#This Row],[OD Wdth]]*Table1[[#This Row],[OD Hgt]]</f>
        <v>1936</v>
      </c>
      <c r="AN899" s="216">
        <f>Table1[[#This Row],[Min VO]]+Table1[[#This Row],[Max VO]]</f>
        <v>86</v>
      </c>
      <c r="AO899" s="101"/>
      <c r="AP899" s="101"/>
      <c r="AQ899" s="104"/>
      <c r="AR899" s="104"/>
      <c r="AS899" s="104"/>
      <c r="AT899" s="104"/>
      <c r="AU899" s="830" t="str">
        <f t="shared" si="311"/>
        <v>-</v>
      </c>
    </row>
    <row r="900" spans="1:47" s="170" customFormat="1" hidden="1" x14ac:dyDescent="0.2">
      <c r="A900" s="68" t="s">
        <v>1560</v>
      </c>
      <c r="B900" s="1061" t="s">
        <v>1021</v>
      </c>
      <c r="C900" s="76" t="s">
        <v>2281</v>
      </c>
      <c r="D900" s="94"/>
      <c r="E900" s="84" t="s">
        <v>2282</v>
      </c>
      <c r="F900" s="84" t="s">
        <v>301</v>
      </c>
      <c r="G900" s="68" t="s">
        <v>1069</v>
      </c>
      <c r="H900" s="68" t="s">
        <v>1069</v>
      </c>
      <c r="I900" s="68" t="s">
        <v>52</v>
      </c>
      <c r="J900" s="140" t="s">
        <v>53</v>
      </c>
      <c r="K900" s="68" t="s">
        <v>54</v>
      </c>
      <c r="L900" s="68" t="s">
        <v>55</v>
      </c>
      <c r="M900" s="141">
        <v>275</v>
      </c>
      <c r="N900" s="93"/>
      <c r="O900" s="68" t="s">
        <v>56</v>
      </c>
      <c r="P900" s="68">
        <v>24</v>
      </c>
      <c r="Q900" s="68">
        <v>24</v>
      </c>
      <c r="R900" s="68">
        <v>24</v>
      </c>
      <c r="S900" s="68">
        <v>24</v>
      </c>
      <c r="T900" s="68">
        <v>24</v>
      </c>
      <c r="U900" s="68">
        <v>24</v>
      </c>
      <c r="V900" s="686">
        <f>IF(J900="Canvas",P900+BorderL,P900)</f>
        <v>35</v>
      </c>
      <c r="W900" s="686">
        <f>IF(J900="Canvas",Q900+BorderL,Q900)</f>
        <v>35</v>
      </c>
      <c r="X900" s="189">
        <v>40</v>
      </c>
      <c r="Y900" s="68">
        <v>35</v>
      </c>
      <c r="Z900" s="68">
        <v>35</v>
      </c>
      <c r="AA900" s="727">
        <f t="shared" si="310"/>
        <v>8.5069444444444446</v>
      </c>
      <c r="AB900" s="341">
        <f>AA900*IncaG</f>
        <v>178.98611111111111</v>
      </c>
      <c r="AC900" s="278">
        <f>AA900*Canvas</f>
        <v>5.6145833333333339</v>
      </c>
      <c r="AD900" s="74">
        <f>AA900*IncaC</f>
        <v>14.318888888888889</v>
      </c>
      <c r="AE900" s="278">
        <f>IF(Table1[[#This Row],[Work Center]]="SwissQ",Materials!G$37,IF(Table1[[#This Row],[Work Center]]="Inca",Materials!G$29,IF(Table1[[#This Row],[Work Center]]="Canon",Materials!G$49,Materials!G$45)))</f>
        <v>8</v>
      </c>
      <c r="AF900" s="73">
        <f>'Cali FPS'!C32</f>
        <v>63.47</v>
      </c>
      <c r="AG900" s="84"/>
      <c r="AH900" s="67">
        <f t="shared" si="303"/>
        <v>13.75</v>
      </c>
      <c r="AI900" s="67"/>
      <c r="AJ900" s="278">
        <f t="shared" si="306"/>
        <v>105.15347222222222</v>
      </c>
      <c r="AK900" s="661">
        <f t="shared" si="293"/>
        <v>0.61762373737373744</v>
      </c>
      <c r="AL900" s="240">
        <f>Table1[[#This Row],[WSP/Dealer]]/Table1[[#This Row],[OD Sq Inch]]</f>
        <v>0.47743055555555558</v>
      </c>
      <c r="AM900" s="274">
        <f>Table1[[#This Row],[OD Wdth]]*Table1[[#This Row],[OD Hgt]]</f>
        <v>576</v>
      </c>
      <c r="AN900" s="274">
        <f>Table1[[#This Row],[Min VO]]+Table1[[#This Row],[Max VO]]</f>
        <v>48</v>
      </c>
      <c r="AO900" s="84"/>
      <c r="AP900" s="84"/>
      <c r="AQ900" s="126"/>
      <c r="AR900" s="126"/>
      <c r="AS900" s="126"/>
      <c r="AT900" s="74"/>
      <c r="AU900" s="1357" t="str">
        <f t="shared" si="311"/>
        <v>-</v>
      </c>
    </row>
    <row r="901" spans="1:47" s="399" customFormat="1" hidden="1" x14ac:dyDescent="0.2">
      <c r="A901" s="68" t="s">
        <v>101</v>
      </c>
      <c r="B901" s="1072" t="s">
        <v>102</v>
      </c>
      <c r="C901" s="78" t="s">
        <v>2283</v>
      </c>
      <c r="D901" s="94"/>
      <c r="E901" s="84" t="s">
        <v>2284</v>
      </c>
      <c r="F901" s="84" t="s">
        <v>105</v>
      </c>
      <c r="G901" s="68" t="s">
        <v>2285</v>
      </c>
      <c r="H901" s="68" t="s">
        <v>2286</v>
      </c>
      <c r="I901" s="68" t="s">
        <v>256</v>
      </c>
      <c r="J901" s="140" t="s">
        <v>257</v>
      </c>
      <c r="K901" s="68" t="s">
        <v>258</v>
      </c>
      <c r="L901" s="68" t="s">
        <v>259</v>
      </c>
      <c r="M901" s="141">
        <v>137</v>
      </c>
      <c r="N901" s="93"/>
      <c r="O901" s="68" t="s">
        <v>260</v>
      </c>
      <c r="P901" s="68">
        <v>6</v>
      </c>
      <c r="Q901" s="68">
        <v>15</v>
      </c>
      <c r="R901" s="68">
        <v>6</v>
      </c>
      <c r="S901" s="68">
        <v>15</v>
      </c>
      <c r="T901" s="68">
        <v>8</v>
      </c>
      <c r="U901" s="68">
        <v>17</v>
      </c>
      <c r="V901" s="917">
        <f>IF(J901="Canvas",P901+Border,P901)</f>
        <v>6</v>
      </c>
      <c r="W901" s="917">
        <f>IF(J901="Canvas",Q901+Border,Q901)</f>
        <v>15</v>
      </c>
      <c r="X901" s="68" t="s">
        <v>257</v>
      </c>
      <c r="Y901" s="1347">
        <f>Table1[[#This Row],[Print Wth]]+Materials!$C$7</f>
        <v>8</v>
      </c>
      <c r="Z901" s="1347">
        <f>Table1[[#This Row],[Print Ht]]+Materials!$C$7</f>
        <v>17</v>
      </c>
      <c r="AA901" s="1027">
        <f>(Table1[[#This Row],[Cut Width]]*Table1[[#This Row],[Cut Height]])/144</f>
        <v>0.94444444444444442</v>
      </c>
      <c r="AB901" s="297">
        <f>(Table1[[#This Row],[Print Wth]]*Table1[[#This Row],[Print Ht]])/144*canonML</f>
        <v>3</v>
      </c>
      <c r="AC901" s="74">
        <f>Table1[[#This Row],[Substrate SF]]*Paper</f>
        <v>1.2778333333333334</v>
      </c>
      <c r="AD901" s="74">
        <f>(Table1[[#This Row],[Print Wth]]*Table1[[#This Row],[Print Ht]])/144*CanonC</f>
        <v>0.16875000000000001</v>
      </c>
      <c r="AE901" s="74">
        <f>IF(Table1[[#This Row],[Work Center]]="SwissQ",Materials!G$37,IF(Table1[[#This Row],[Work Center]]="Inca",Materials!G$29,IF(Table1[[#This Row],[Work Center]]="Canon",Materials!G$49,Materials!G$45)))</f>
        <v>7</v>
      </c>
      <c r="AF901" s="73">
        <f>'Cali Frames'!D3</f>
        <v>68.55</v>
      </c>
      <c r="AG901" s="84"/>
      <c r="AH901" s="67">
        <v>0</v>
      </c>
      <c r="AI901" s="67"/>
      <c r="AJ901" s="278">
        <f t="shared" si="306"/>
        <v>76.996583333333334</v>
      </c>
      <c r="AK901" s="661">
        <f t="shared" si="293"/>
        <v>0.43798114355231144</v>
      </c>
      <c r="AL901" s="240">
        <f>Table1[[#This Row],[WSP/Dealer]]/Table1[[#This Row],[OD Sq Inch]]</f>
        <v>1.0073529411764706</v>
      </c>
      <c r="AM901" s="274">
        <f>Table1[[#This Row],[OD Wdth]]*Table1[[#This Row],[OD Hgt]]</f>
        <v>136</v>
      </c>
      <c r="AN901" s="274">
        <f>Table1[[#This Row],[Min VO]]+Table1[[#This Row],[Max VO]]</f>
        <v>21</v>
      </c>
      <c r="AO901" s="84"/>
      <c r="AP901" s="84"/>
      <c r="AQ901" s="126"/>
      <c r="AR901" s="126"/>
      <c r="AS901" s="126"/>
      <c r="AT901" s="74"/>
      <c r="AU901" s="1357" t="str">
        <f t="shared" si="311"/>
        <v>-</v>
      </c>
    </row>
    <row r="902" spans="1:47" s="170" customFormat="1" x14ac:dyDescent="0.2">
      <c r="A902" s="274" t="s">
        <v>58</v>
      </c>
      <c r="B902" s="1061" t="s">
        <v>599</v>
      </c>
      <c r="C902" s="323" t="s">
        <v>2287</v>
      </c>
      <c r="D902" s="317"/>
      <c r="E902" s="275" t="s">
        <v>2288</v>
      </c>
      <c r="F902" s="275"/>
      <c r="G902" s="274"/>
      <c r="H902" s="274"/>
      <c r="I902" s="274"/>
      <c r="J902" s="344"/>
      <c r="K902" s="274"/>
      <c r="L902" s="274"/>
      <c r="M902" s="318"/>
      <c r="N902" s="318"/>
      <c r="O902" s="274"/>
      <c r="P902" s="274"/>
      <c r="Q902" s="274"/>
      <c r="R902" s="274"/>
      <c r="S902" s="274"/>
      <c r="T902" s="274"/>
      <c r="U902" s="274"/>
      <c r="V902" s="686"/>
      <c r="W902" s="686"/>
      <c r="X902" s="274"/>
      <c r="Y902" s="274"/>
      <c r="Z902" s="274"/>
      <c r="AA902" s="727"/>
      <c r="AB902" s="341"/>
      <c r="AC902" s="278"/>
      <c r="AD902" s="320"/>
      <c r="AE902" s="320"/>
      <c r="AF902" s="321"/>
      <c r="AG902" s="275"/>
      <c r="AH902" s="319"/>
      <c r="AI902" s="319"/>
      <c r="AJ902" s="320"/>
      <c r="AK902" s="688"/>
      <c r="AL902" s="320"/>
      <c r="AM902" s="275"/>
      <c r="AN902" s="275"/>
      <c r="AO902" s="275"/>
      <c r="AP902" s="275"/>
      <c r="AQ902" s="320"/>
      <c r="AR902" s="320"/>
      <c r="AS902" s="320"/>
      <c r="AT902" s="278"/>
      <c r="AU902" s="1368" t="str">
        <f t="shared" si="311"/>
        <v>-</v>
      </c>
    </row>
    <row r="903" spans="1:47" s="170" customFormat="1" x14ac:dyDescent="0.2">
      <c r="A903" s="274" t="s">
        <v>58</v>
      </c>
      <c r="B903" s="1061" t="s">
        <v>599</v>
      </c>
      <c r="C903" s="323" t="s">
        <v>2289</v>
      </c>
      <c r="D903" s="317"/>
      <c r="E903" s="275" t="s">
        <v>2290</v>
      </c>
      <c r="F903" s="275"/>
      <c r="G903" s="274"/>
      <c r="H903" s="274"/>
      <c r="I903" s="274"/>
      <c r="J903" s="344"/>
      <c r="K903" s="274"/>
      <c r="L903" s="274"/>
      <c r="M903" s="318"/>
      <c r="N903" s="318"/>
      <c r="O903" s="274"/>
      <c r="P903" s="274"/>
      <c r="Q903" s="274"/>
      <c r="R903" s="274"/>
      <c r="S903" s="274"/>
      <c r="T903" s="274"/>
      <c r="U903" s="274"/>
      <c r="V903" s="686"/>
      <c r="W903" s="686"/>
      <c r="X903" s="274"/>
      <c r="Y903" s="274"/>
      <c r="Z903" s="274"/>
      <c r="AA903" s="727"/>
      <c r="AB903" s="341"/>
      <c r="AC903" s="278"/>
      <c r="AD903" s="320"/>
      <c r="AE903" s="320"/>
      <c r="AF903" s="321"/>
      <c r="AG903" s="275"/>
      <c r="AH903" s="320"/>
      <c r="AI903" s="320"/>
      <c r="AJ903" s="320"/>
      <c r="AK903" s="1192"/>
      <c r="AL903" s="320"/>
      <c r="AM903" s="275"/>
      <c r="AN903" s="275"/>
      <c r="AO903" s="275"/>
      <c r="AP903" s="275"/>
      <c r="AQ903" s="320"/>
      <c r="AR903" s="320"/>
      <c r="AS903" s="320"/>
      <c r="AT903" s="278"/>
      <c r="AU903" s="1368" t="str">
        <f t="shared" si="311"/>
        <v>-</v>
      </c>
    </row>
    <row r="904" spans="1:47" s="399" customFormat="1" x14ac:dyDescent="0.2">
      <c r="A904" s="274" t="s">
        <v>58</v>
      </c>
      <c r="B904" s="279" t="s">
        <v>599</v>
      </c>
      <c r="C904" s="323" t="s">
        <v>2291</v>
      </c>
      <c r="D904" s="317"/>
      <c r="E904" s="275" t="s">
        <v>2292</v>
      </c>
      <c r="F904" s="275"/>
      <c r="G904" s="274"/>
      <c r="H904" s="274"/>
      <c r="I904" s="274"/>
      <c r="J904" s="344"/>
      <c r="K904" s="274"/>
      <c r="L904" s="274"/>
      <c r="M904" s="318"/>
      <c r="N904" s="318"/>
      <c r="O904" s="274"/>
      <c r="P904" s="274"/>
      <c r="Q904" s="274"/>
      <c r="R904" s="274"/>
      <c r="S904" s="274"/>
      <c r="T904" s="274"/>
      <c r="U904" s="274"/>
      <c r="V904" s="277"/>
      <c r="W904" s="277"/>
      <c r="X904" s="274"/>
      <c r="Y904" s="274"/>
      <c r="Z904" s="274"/>
      <c r="AA904" s="727"/>
      <c r="AB904" s="341"/>
      <c r="AC904" s="278"/>
      <c r="AD904" s="319"/>
      <c r="AE904" s="320"/>
      <c r="AF904" s="321"/>
      <c r="AG904" s="275"/>
      <c r="AH904" s="319"/>
      <c r="AI904" s="319"/>
      <c r="AJ904" s="320"/>
      <c r="AK904" s="688"/>
      <c r="AL904" s="320"/>
      <c r="AM904" s="171"/>
      <c r="AN904" s="275"/>
      <c r="AO904" s="275"/>
      <c r="AP904" s="275"/>
      <c r="AQ904" s="320"/>
      <c r="AR904" s="320"/>
      <c r="AS904" s="320"/>
      <c r="AT904" s="278"/>
      <c r="AU904" s="1368" t="str">
        <f t="shared" si="311"/>
        <v>-</v>
      </c>
    </row>
    <row r="905" spans="1:47" s="170" customFormat="1" x14ac:dyDescent="0.2">
      <c r="A905" s="60" t="s">
        <v>58</v>
      </c>
      <c r="B905" s="279" t="s">
        <v>96</v>
      </c>
      <c r="C905" s="76" t="s">
        <v>2293</v>
      </c>
      <c r="D905" s="94"/>
      <c r="E905" s="83" t="s">
        <v>2294</v>
      </c>
      <c r="F905" s="83" t="s">
        <v>650</v>
      </c>
      <c r="G905" s="60" t="s">
        <v>637</v>
      </c>
      <c r="H905" s="60" t="s">
        <v>637</v>
      </c>
      <c r="I905" s="60" t="s">
        <v>52</v>
      </c>
      <c r="J905" s="59" t="s">
        <v>53</v>
      </c>
      <c r="K905" s="60" t="s">
        <v>54</v>
      </c>
      <c r="L905" s="60" t="s">
        <v>55</v>
      </c>
      <c r="M905" s="179">
        <v>1000</v>
      </c>
      <c r="N905" s="656">
        <v>950</v>
      </c>
      <c r="O905" s="60" t="s">
        <v>56</v>
      </c>
      <c r="P905" s="60">
        <v>60</v>
      </c>
      <c r="Q905" s="60">
        <v>48</v>
      </c>
      <c r="R905" s="60">
        <v>48</v>
      </c>
      <c r="S905" s="60">
        <v>60</v>
      </c>
      <c r="T905" s="60">
        <v>60</v>
      </c>
      <c r="U905" s="60">
        <v>48</v>
      </c>
      <c r="V905" s="946">
        <f>IF(J905="Canvas",P905+Materials!C$5,P905)</f>
        <v>67</v>
      </c>
      <c r="W905" s="946">
        <f>IF(J905="Canvas",Q905+Materials!C$5,Q905)</f>
        <v>55</v>
      </c>
      <c r="X905" s="138"/>
      <c r="Y905" s="60">
        <v>57</v>
      </c>
      <c r="Z905" s="60">
        <v>55</v>
      </c>
      <c r="AA905" s="717">
        <f>V905*W905/144</f>
        <v>25.590277777777779</v>
      </c>
      <c r="AB905" s="125">
        <f>AA905*IncaG</f>
        <v>538.41944444444448</v>
      </c>
      <c r="AC905" s="69">
        <f>AA905*Canvas</f>
        <v>16.889583333333334</v>
      </c>
      <c r="AD905" s="48">
        <f>AA905*IncaC</f>
        <v>43.073555555555558</v>
      </c>
      <c r="AE905" s="69">
        <f>IF(Table1[[#This Row],[Work Center]]="SwissQ",Materials!G$37,IF(Table1[[#This Row],[Work Center]]="Inca",Materials!G$29,IF(Table1[[#This Row],[Work Center]]="Canon",Materials!G$49,Materials!G$45)))</f>
        <v>8</v>
      </c>
      <c r="AF905" s="72">
        <f>'Cali FPS'!C121</f>
        <v>188.18</v>
      </c>
      <c r="AG905" s="83"/>
      <c r="AH905" s="48">
        <f>(M905*0.05)</f>
        <v>50</v>
      </c>
      <c r="AI905" s="48"/>
      <c r="AJ905" s="176">
        <f t="shared" ref="AJ905:AJ921" si="312">SUM(AC905:AH905)</f>
        <v>306.14313888888887</v>
      </c>
      <c r="AK905" s="62">
        <f t="shared" ref="AK905:AK936" si="313">(M905-AJ905)/M905</f>
        <v>0.69385686111111111</v>
      </c>
      <c r="AL905" s="225">
        <f>Table1[[#This Row],[WSP/Dealer]]/Table1[[#This Row],[OD Sq Inch]]</f>
        <v>0.34722222222222221</v>
      </c>
      <c r="AM905" s="173">
        <f>Table1[[#This Row],[OD Wdth]]*Table1[[#This Row],[OD Hgt]]</f>
        <v>2880</v>
      </c>
      <c r="AN905" s="180">
        <f>Table1[[#This Row],[Min VO]]+Table1[[#This Row],[Max VO]]</f>
        <v>108</v>
      </c>
      <c r="AO905" s="83"/>
      <c r="AP905" s="83"/>
      <c r="AQ905" s="540"/>
      <c r="AR905" s="540"/>
      <c r="AS905" s="540"/>
      <c r="AT905" s="69"/>
      <c r="AU905" s="1361" t="str">
        <f t="shared" si="311"/>
        <v>-</v>
      </c>
    </row>
    <row r="906" spans="1:47" s="20" customFormat="1" hidden="1" x14ac:dyDescent="0.2">
      <c r="A906" s="86"/>
      <c r="B906" s="274"/>
      <c r="C906" s="100" t="s">
        <v>2295</v>
      </c>
      <c r="D906" s="94"/>
      <c r="E906" s="85" t="s">
        <v>2296</v>
      </c>
      <c r="F906" s="85" t="s">
        <v>561</v>
      </c>
      <c r="G906" s="86" t="s">
        <v>449</v>
      </c>
      <c r="H906" s="86" t="s">
        <v>1619</v>
      </c>
      <c r="I906" s="86" t="s">
        <v>52</v>
      </c>
      <c r="J906" s="86" t="s">
        <v>53</v>
      </c>
      <c r="K906" s="86" t="s">
        <v>69</v>
      </c>
      <c r="L906" s="86" t="s">
        <v>73</v>
      </c>
      <c r="M906" s="87">
        <v>600</v>
      </c>
      <c r="N906" s="71"/>
      <c r="O906" s="101" t="s">
        <v>56</v>
      </c>
      <c r="P906" s="101">
        <v>36</v>
      </c>
      <c r="Q906" s="101">
        <v>36</v>
      </c>
      <c r="R906" s="101">
        <v>36</v>
      </c>
      <c r="S906" s="101">
        <v>36</v>
      </c>
      <c r="T906" s="101">
        <v>37</v>
      </c>
      <c r="U906" s="101">
        <v>37</v>
      </c>
      <c r="V906" s="103">
        <v>43.06</v>
      </c>
      <c r="W906" s="103">
        <v>43.06</v>
      </c>
      <c r="X906" s="137">
        <v>122</v>
      </c>
      <c r="Y906" s="101"/>
      <c r="Z906" s="101"/>
      <c r="AA906" s="649">
        <f>V906*W906/144</f>
        <v>12.876136111111112</v>
      </c>
      <c r="AB906" s="184">
        <f>AA906*IncaG</f>
        <v>270.91390377777776</v>
      </c>
      <c r="AC906" s="104">
        <f>AA906*Canvas</f>
        <v>8.4982498333333343</v>
      </c>
      <c r="AD906" s="107">
        <f>AA906*IncaC</f>
        <v>21.673112302222226</v>
      </c>
      <c r="AE906" s="104">
        <f>IF(Table1[[#This Row],[Work Center]]="SwissQ",Materials!G$37,IF(Table1[[#This Row],[Work Center]]="Inca",Materials!G$29,IF(Table1[[#This Row],[Work Center]]="Canon",Materials!G$49,Materials!G$45)))</f>
        <v>8</v>
      </c>
      <c r="AF906" s="104">
        <f>'Cali Frames'!D433</f>
        <v>111.755</v>
      </c>
      <c r="AG906" s="115"/>
      <c r="AH906" s="498">
        <f>(M906*0.05)</f>
        <v>30</v>
      </c>
      <c r="AI906" s="498"/>
      <c r="AJ906" s="104">
        <f t="shared" si="312"/>
        <v>179.92636213555556</v>
      </c>
      <c r="AK906" s="650">
        <f t="shared" si="313"/>
        <v>0.70012272977407408</v>
      </c>
      <c r="AL906" s="225">
        <f>Table1[[#This Row],[WSP/Dealer]]/Table1[[#This Row],[OD Sq Inch]]</f>
        <v>0.43827611395178961</v>
      </c>
      <c r="AM906" s="218">
        <f>Table1[[#This Row],[OD Wdth]]*Table1[[#This Row],[OD Hgt]]</f>
        <v>1369</v>
      </c>
      <c r="AN906" s="216">
        <f>Table1[[#This Row],[Min VO]]+Table1[[#This Row],[Max VO]]</f>
        <v>72</v>
      </c>
      <c r="AO906" s="101"/>
      <c r="AP906" s="101"/>
      <c r="AQ906" s="104"/>
      <c r="AR906" s="104"/>
      <c r="AS906" s="104"/>
      <c r="AT906" s="104"/>
      <c r="AU906" s="830" t="str">
        <f t="shared" si="311"/>
        <v>-</v>
      </c>
    </row>
    <row r="907" spans="1:47" s="159" customFormat="1" hidden="1" x14ac:dyDescent="0.2">
      <c r="A907" s="101" t="s">
        <v>101</v>
      </c>
      <c r="B907" s="279" t="s">
        <v>65</v>
      </c>
      <c r="C907" s="168" t="s">
        <v>2297</v>
      </c>
      <c r="D907" s="94"/>
      <c r="E907" s="115" t="s">
        <v>2298</v>
      </c>
      <c r="F907" s="115" t="s">
        <v>105</v>
      </c>
      <c r="G907" s="101" t="s">
        <v>693</v>
      </c>
      <c r="H907" s="101" t="s">
        <v>1932</v>
      </c>
      <c r="I907" s="101" t="s">
        <v>256</v>
      </c>
      <c r="J907" s="487" t="s">
        <v>257</v>
      </c>
      <c r="K907" s="407" t="s">
        <v>258</v>
      </c>
      <c r="L907" s="101" t="s">
        <v>259</v>
      </c>
      <c r="M907" s="141">
        <v>147</v>
      </c>
      <c r="N907" s="71"/>
      <c r="O907" s="101" t="s">
        <v>260</v>
      </c>
      <c r="P907" s="101">
        <v>12</v>
      </c>
      <c r="Q907" s="101">
        <v>12</v>
      </c>
      <c r="R907" s="101">
        <v>12</v>
      </c>
      <c r="S907" s="101">
        <v>12</v>
      </c>
      <c r="T907" s="101">
        <v>14</v>
      </c>
      <c r="U907" s="101">
        <v>14</v>
      </c>
      <c r="V907" s="106">
        <f t="shared" ref="V907:V918" si="314">IF(J907="Canvas",P907+Border,P907)</f>
        <v>12</v>
      </c>
      <c r="W907" s="106">
        <f t="shared" ref="W907:W918" si="315">IF(J907="Canvas",Q907+Border,Q907)</f>
        <v>12</v>
      </c>
      <c r="X907" s="101" t="s">
        <v>257</v>
      </c>
      <c r="Y907" s="1345">
        <f>Table1[[#This Row],[Print Wth]]+Materials!$C$7</f>
        <v>14</v>
      </c>
      <c r="Z907" s="1345">
        <f>Table1[[#This Row],[Print Ht]]+Materials!$C$7</f>
        <v>14</v>
      </c>
      <c r="AA907" s="1011">
        <f>(Table1[[#This Row],[Cut Width]]*Table1[[#This Row],[Cut Height]])/144</f>
        <v>1.3611111111111112</v>
      </c>
      <c r="AB907" s="184">
        <f>(Table1[[#This Row],[Print Wth]]*Table1[[#This Row],[Print Ht]])/144*canonML</f>
        <v>4.8</v>
      </c>
      <c r="AC907" s="104">
        <f>Table1[[#This Row],[Substrate SF]]*Paper</f>
        <v>1.8415833333333333</v>
      </c>
      <c r="AD907" s="107">
        <f>(Table1[[#This Row],[Print Wth]]*Table1[[#This Row],[Print Ht]])/144*CanonC</f>
        <v>0.27</v>
      </c>
      <c r="AE907" s="104">
        <f>IF(Table1[[#This Row],[Work Center]]="SwissQ",Materials!G$37,IF(Table1[[#This Row],[Work Center]]="Inca",Materials!G$29,IF(Table1[[#This Row],[Work Center]]="Canon",Materials!G$49,Materials!G$45)))</f>
        <v>7</v>
      </c>
      <c r="AF907" s="403">
        <f>'Cali Frames'!D11</f>
        <v>64.12</v>
      </c>
      <c r="AG907" s="84"/>
      <c r="AH907" s="498">
        <v>0</v>
      </c>
      <c r="AI907" s="498"/>
      <c r="AJ907" s="263">
        <f t="shared" si="312"/>
        <v>73.231583333333333</v>
      </c>
      <c r="AK907" s="650">
        <f t="shared" si="313"/>
        <v>0.50182596371882082</v>
      </c>
      <c r="AL907" s="225">
        <f>Table1[[#This Row],[WSP/Dealer]]/Table1[[#This Row],[OD Sq Inch]]</f>
        <v>0.75</v>
      </c>
      <c r="AM907" s="170">
        <f>Table1[[#This Row],[OD Wdth]]*Table1[[#This Row],[OD Hgt]]</f>
        <v>196</v>
      </c>
      <c r="AN907" s="274" t="str">
        <f>Table1[[#This Row],[Color]]</f>
        <v>BA</v>
      </c>
      <c r="AO907" s="84" t="str">
        <f>Table1[[#This Row],[Print Type]]</f>
        <v>Work on Paper</v>
      </c>
      <c r="AP907" s="121"/>
      <c r="AQ907" s="121"/>
      <c r="AR907" s="121"/>
      <c r="AS907" s="121"/>
      <c r="AT907" s="104"/>
      <c r="AU907" s="1357" t="str">
        <f t="shared" si="311"/>
        <v>-</v>
      </c>
    </row>
    <row r="908" spans="1:47" s="45" customFormat="1" hidden="1" x14ac:dyDescent="0.2">
      <c r="A908" s="101" t="s">
        <v>110</v>
      </c>
      <c r="B908" s="1322" t="s">
        <v>250</v>
      </c>
      <c r="C908" s="168" t="s">
        <v>2299</v>
      </c>
      <c r="D908" s="168"/>
      <c r="E908" s="115" t="s">
        <v>2298</v>
      </c>
      <c r="F908" s="115" t="s">
        <v>105</v>
      </c>
      <c r="G908" s="101" t="s">
        <v>693</v>
      </c>
      <c r="H908" s="101" t="s">
        <v>1932</v>
      </c>
      <c r="I908" s="101" t="s">
        <v>256</v>
      </c>
      <c r="J908" s="487" t="s">
        <v>257</v>
      </c>
      <c r="K908" s="407" t="s">
        <v>258</v>
      </c>
      <c r="L908" s="101" t="s">
        <v>259</v>
      </c>
      <c r="M908" s="114">
        <v>200</v>
      </c>
      <c r="N908" s="114"/>
      <c r="O908" s="101" t="s">
        <v>260</v>
      </c>
      <c r="P908" s="101">
        <v>12</v>
      </c>
      <c r="Q908" s="101">
        <v>12</v>
      </c>
      <c r="R908" s="101">
        <v>12</v>
      </c>
      <c r="S908" s="101">
        <v>12</v>
      </c>
      <c r="T908" s="101">
        <v>14</v>
      </c>
      <c r="U908" s="101">
        <v>14</v>
      </c>
      <c r="V908" s="106">
        <f t="shared" si="314"/>
        <v>12</v>
      </c>
      <c r="W908" s="106">
        <f t="shared" si="315"/>
        <v>12</v>
      </c>
      <c r="X908" s="101" t="s">
        <v>257</v>
      </c>
      <c r="Y908" s="1345">
        <f>Table1[[#This Row],[Print Wth]]+Materials!$C$7</f>
        <v>14</v>
      </c>
      <c r="Z908" s="1345">
        <f>Table1[[#This Row],[Print Ht]]+Materials!$C$7</f>
        <v>14</v>
      </c>
      <c r="AA908" s="1011">
        <f>(Table1[[#This Row],[Cut Width]]*Table1[[#This Row],[Cut Height]])/144</f>
        <v>1.3611111111111112</v>
      </c>
      <c r="AB908" s="184">
        <f>(Table1[[#This Row],[Print Wth]]*Table1[[#This Row],[Print Ht]])/144*canonML</f>
        <v>4.8</v>
      </c>
      <c r="AC908" s="104">
        <f>Table1[[#This Row],[Substrate SF]]*Paper</f>
        <v>1.8415833333333333</v>
      </c>
      <c r="AD908" s="107">
        <f>(Table1[[#This Row],[Print Wth]]*Table1[[#This Row],[Print Ht]])/144*CanonC</f>
        <v>0.27</v>
      </c>
      <c r="AE908" s="104">
        <f>IF(Table1[[#This Row],[Work Center]]="SwissQ",Materials!G$37,IF(Table1[[#This Row],[Work Center]]="Inca",Materials!G$29,IF(Table1[[#This Row],[Work Center]]="Canon",Materials!G$49,Materials!G$45)))</f>
        <v>7</v>
      </c>
      <c r="AF908" s="102">
        <f>'Cali Frames'!D11</f>
        <v>64.12</v>
      </c>
      <c r="AG908" s="115"/>
      <c r="AH908" s="107">
        <v>0</v>
      </c>
      <c r="AI908" s="107"/>
      <c r="AJ908" s="406">
        <f t="shared" si="312"/>
        <v>73.231583333333333</v>
      </c>
      <c r="AK908" s="108">
        <f t="shared" si="313"/>
        <v>0.63384208333333336</v>
      </c>
      <c r="AL908" s="660">
        <f>Table1[[#This Row],[WSP/Dealer]]/Table1[[#This Row],[OD Sq Inch]]</f>
        <v>1.0204081632653061</v>
      </c>
      <c r="AM908" s="399">
        <f>Table1[[#This Row],[OD Wdth]]*Table1[[#This Row],[OD Hgt]]</f>
        <v>196</v>
      </c>
      <c r="AN908" s="400" t="str">
        <f>Table1[[#This Row],[Color]]</f>
        <v>BA</v>
      </c>
      <c r="AO908" s="115" t="str">
        <f>Table1[[#This Row],[Print Type]]</f>
        <v>Work on Paper</v>
      </c>
      <c r="AP908" s="121">
        <v>400</v>
      </c>
      <c r="AQ908" s="104">
        <f>(Table1[[#This Row],[Desgnr/Retail P]]*0.05)</f>
        <v>20</v>
      </c>
      <c r="AR908" s="121">
        <f>IF(A908="Codarus",(AP908*0.13))</f>
        <v>52</v>
      </c>
      <c r="AS908" s="121">
        <f>SUM(Table1[[#This Row],[Substrate $]:[GP FINISH]])+Table1[[#This Row],[Retail Royalty]]+Table1[[#This Row],[Retail$Comm]]</f>
        <v>145.23158333333333</v>
      </c>
      <c r="AT908" s="830">
        <f>IF(AP908=0,"-",(AP908-AS908)/AP908)</f>
        <v>0.63692104166666663</v>
      </c>
      <c r="AU908" s="1359">
        <f t="shared" si="311"/>
        <v>0.96815394791666665</v>
      </c>
    </row>
    <row r="909" spans="1:47" s="63" customFormat="1" x14ac:dyDescent="0.2">
      <c r="A909" s="551" t="s">
        <v>58</v>
      </c>
      <c r="B909" s="1107" t="s">
        <v>310</v>
      </c>
      <c r="C909" s="77" t="s">
        <v>2300</v>
      </c>
      <c r="D909" s="77"/>
      <c r="E909" s="653" t="s">
        <v>2301</v>
      </c>
      <c r="F909" s="653" t="s">
        <v>308</v>
      </c>
      <c r="G909" s="551" t="s">
        <v>1516</v>
      </c>
      <c r="H909" s="551" t="s">
        <v>1516</v>
      </c>
      <c r="I909" s="551" t="s">
        <v>52</v>
      </c>
      <c r="J909" s="856" t="s">
        <v>53</v>
      </c>
      <c r="K909" s="880" t="s">
        <v>54</v>
      </c>
      <c r="L909" s="551" t="s">
        <v>55</v>
      </c>
      <c r="M909" s="896">
        <v>1120</v>
      </c>
      <c r="N909" s="896"/>
      <c r="O909" s="551" t="s">
        <v>56</v>
      </c>
      <c r="P909" s="551">
        <v>48</v>
      </c>
      <c r="Q909" s="551">
        <v>72</v>
      </c>
      <c r="R909" s="551">
        <v>48</v>
      </c>
      <c r="S909" s="551">
        <v>72</v>
      </c>
      <c r="T909" s="551">
        <v>48</v>
      </c>
      <c r="U909" s="551">
        <v>72</v>
      </c>
      <c r="V909" s="859">
        <f t="shared" si="314"/>
        <v>56</v>
      </c>
      <c r="W909" s="859">
        <f t="shared" si="315"/>
        <v>80</v>
      </c>
      <c r="X909" s="551">
        <v>80</v>
      </c>
      <c r="Y909" s="1346">
        <v>56</v>
      </c>
      <c r="Z909" s="1346">
        <v>80</v>
      </c>
      <c r="AA909" s="991">
        <f t="shared" ref="AA909:AA934" si="316">V909*W909/144</f>
        <v>31.111111111111111</v>
      </c>
      <c r="AB909" s="893">
        <f>AA909*IncaG</f>
        <v>654.57777777777778</v>
      </c>
      <c r="AC909" s="867">
        <f t="shared" ref="AC909:AC918" si="317">AA909*Canvas</f>
        <v>20.533333333333335</v>
      </c>
      <c r="AD909" s="862">
        <f>AA909*IncaC</f>
        <v>52.36622222222222</v>
      </c>
      <c r="AE909" s="867">
        <f>IF(Table1[[#This Row],[Work Center]]="SwissQ",Materials!G$37,IF(Table1[[#This Row],[Work Center]]="Inca",Materials!G$29,IF(Table1[[#This Row],[Work Center]]="Canon",Materials!G$49,Materials!G$45)))</f>
        <v>8</v>
      </c>
      <c r="AF909" s="71">
        <f>'Cali FPS'!C126</f>
        <v>189.88</v>
      </c>
      <c r="AG909" s="653"/>
      <c r="AH909" s="862">
        <f t="shared" ref="AH909:AH940" si="318">(M909*0.05)</f>
        <v>56</v>
      </c>
      <c r="AI909" s="862"/>
      <c r="AJ909" s="863">
        <f t="shared" si="312"/>
        <v>326.77955555555553</v>
      </c>
      <c r="AK909" s="894">
        <f t="shared" si="313"/>
        <v>0.70823253968253963</v>
      </c>
      <c r="AL909" s="863">
        <f>Table1[[#This Row],[WSP/Dealer]]/Table1[[#This Row],[OD Sq Inch]]</f>
        <v>0.32407407407407407</v>
      </c>
      <c r="AM909" s="45">
        <f>Table1[[#This Row],[OD Wdth]]*Table1[[#This Row],[OD Hgt]]</f>
        <v>3456</v>
      </c>
      <c r="AN909" s="551">
        <f>Table1[[#This Row],[Min VO]]+Table1[[#This Row],[Max VO]]</f>
        <v>120</v>
      </c>
      <c r="AO909" s="653"/>
      <c r="AP909" s="864"/>
      <c r="AQ909" s="864">
        <f>(Table1[[#This Row],[Desgnr/Retail P]]*0.05)</f>
        <v>0</v>
      </c>
      <c r="AR909" s="864" t="b">
        <f>IF(A909="Codarus",(AP909*0.13))</f>
        <v>0</v>
      </c>
      <c r="AS909" s="864" t="e" cm="1">
        <f t="array" ref="AS909">SUM(AC909:AG909+AQ+AR)</f>
        <v>#NAME?</v>
      </c>
      <c r="AT909" s="863" t="e">
        <f>(AP909-AS909)/AP909</f>
        <v>#NAME?</v>
      </c>
      <c r="AU909" s="1364" t="str">
        <f t="shared" si="311"/>
        <v>-</v>
      </c>
    </row>
    <row r="910" spans="1:47" s="170" customFormat="1" x14ac:dyDescent="0.2">
      <c r="A910" s="68" t="s">
        <v>58</v>
      </c>
      <c r="B910" s="1072" t="s">
        <v>310</v>
      </c>
      <c r="C910" s="94" t="s">
        <v>2302</v>
      </c>
      <c r="D910" s="94"/>
      <c r="E910" s="84" t="s">
        <v>2301</v>
      </c>
      <c r="F910" s="84" t="s">
        <v>308</v>
      </c>
      <c r="G910" s="68" t="s">
        <v>1516</v>
      </c>
      <c r="H910" s="68" t="s">
        <v>983</v>
      </c>
      <c r="I910" s="68" t="s">
        <v>52</v>
      </c>
      <c r="J910" s="140" t="s">
        <v>53</v>
      </c>
      <c r="K910" s="363" t="s">
        <v>69</v>
      </c>
      <c r="L910" s="68" t="s">
        <v>70</v>
      </c>
      <c r="M910" s="93">
        <v>1300</v>
      </c>
      <c r="N910" s="93"/>
      <c r="O910" s="68" t="s">
        <v>56</v>
      </c>
      <c r="P910" s="68">
        <v>48</v>
      </c>
      <c r="Q910" s="68">
        <v>72</v>
      </c>
      <c r="R910" s="68">
        <v>48</v>
      </c>
      <c r="S910" s="68">
        <v>72</v>
      </c>
      <c r="T910" s="68">
        <v>49</v>
      </c>
      <c r="U910" s="68">
        <v>73</v>
      </c>
      <c r="V910" s="917">
        <f t="shared" si="314"/>
        <v>56</v>
      </c>
      <c r="W910" s="917">
        <f t="shared" si="315"/>
        <v>80</v>
      </c>
      <c r="X910" s="68">
        <v>80</v>
      </c>
      <c r="Y910" s="1345">
        <v>56</v>
      </c>
      <c r="Z910" s="1345">
        <v>80</v>
      </c>
      <c r="AA910" s="727">
        <f t="shared" si="316"/>
        <v>31.111111111111111</v>
      </c>
      <c r="AB910" s="341">
        <f>AA910*IncaG</f>
        <v>654.57777777777778</v>
      </c>
      <c r="AC910" s="278">
        <f t="shared" si="317"/>
        <v>20.533333333333335</v>
      </c>
      <c r="AD910" s="67">
        <f>AA910*IncaC</f>
        <v>52.36622222222222</v>
      </c>
      <c r="AE910" s="278">
        <f>IF(Table1[[#This Row],[Work Center]]="SwissQ",Materials!G$37,IF(Table1[[#This Row],[Work Center]]="Inca",Materials!G$29,IF(Table1[[#This Row],[Work Center]]="Canon",Materials!G$49,Materials!G$45)))</f>
        <v>8</v>
      </c>
      <c r="AF910" s="73">
        <f>'Cali Frames'!D337</f>
        <v>263.8</v>
      </c>
      <c r="AG910" s="84"/>
      <c r="AH910" s="67">
        <f t="shared" si="318"/>
        <v>65</v>
      </c>
      <c r="AI910" s="67"/>
      <c r="AJ910" s="74">
        <f t="shared" si="312"/>
        <v>409.69955555555555</v>
      </c>
      <c r="AK910" s="661">
        <f t="shared" si="313"/>
        <v>0.6848464957264957</v>
      </c>
      <c r="AL910" s="74">
        <f>Table1[[#This Row],[WSP/Dealer]]/Table1[[#This Row],[OD Sq Inch]]</f>
        <v>0.36343304445065699</v>
      </c>
      <c r="AM910" s="63">
        <f>Table1[[#This Row],[OD Wdth]]*Table1[[#This Row],[OD Hgt]]</f>
        <v>3577</v>
      </c>
      <c r="AN910" s="68">
        <f>Table1[[#This Row],[Min VO]]+Table1[[#This Row],[Max VO]]</f>
        <v>120</v>
      </c>
      <c r="AO910" s="84"/>
      <c r="AP910" s="126"/>
      <c r="AQ910" s="126">
        <f>(Table1[[#This Row],[Desgnr/Retail P]]*0.05)</f>
        <v>0</v>
      </c>
      <c r="AR910" s="126" t="b">
        <f>IF(A910="Codarus",(AP910*0.13))</f>
        <v>0</v>
      </c>
      <c r="AS910" s="126" t="e" cm="1">
        <f t="array" ref="AS910">SUM(AC910:AG910+AQ+AR)</f>
        <v>#NAME?</v>
      </c>
      <c r="AT910" s="74" t="e">
        <f>(AP910-AS910)/AP910</f>
        <v>#NAME?</v>
      </c>
      <c r="AU910" s="1357" t="str">
        <f t="shared" si="311"/>
        <v>-</v>
      </c>
    </row>
    <row r="911" spans="1:47" s="170" customFormat="1" x14ac:dyDescent="0.2">
      <c r="A911" s="101" t="s">
        <v>58</v>
      </c>
      <c r="B911" s="1067" t="s">
        <v>121</v>
      </c>
      <c r="C911" s="168" t="s">
        <v>2303</v>
      </c>
      <c r="D911" s="94"/>
      <c r="E911" s="625" t="s">
        <v>2304</v>
      </c>
      <c r="F911" s="625" t="s">
        <v>386</v>
      </c>
      <c r="G911" s="101" t="s">
        <v>63</v>
      </c>
      <c r="H911" s="101" t="s">
        <v>63</v>
      </c>
      <c r="I911" s="101" t="s">
        <v>52</v>
      </c>
      <c r="J911" s="487" t="s">
        <v>53</v>
      </c>
      <c r="K911" s="101" t="s">
        <v>54</v>
      </c>
      <c r="L911" s="101" t="s">
        <v>55</v>
      </c>
      <c r="M911" s="299">
        <v>1475</v>
      </c>
      <c r="N911" s="114"/>
      <c r="O911" s="400" t="s">
        <v>64</v>
      </c>
      <c r="P911" s="400">
        <v>68</v>
      </c>
      <c r="Q911" s="400">
        <v>90</v>
      </c>
      <c r="R911" s="400">
        <v>68</v>
      </c>
      <c r="S911" s="400">
        <v>90</v>
      </c>
      <c r="T911" s="400">
        <v>68</v>
      </c>
      <c r="U911" s="400">
        <v>90</v>
      </c>
      <c r="V911" s="608">
        <f t="shared" si="314"/>
        <v>76</v>
      </c>
      <c r="W911" s="608">
        <f t="shared" si="315"/>
        <v>98</v>
      </c>
      <c r="X911" s="137">
        <v>82</v>
      </c>
      <c r="Y911" s="101">
        <v>76</v>
      </c>
      <c r="Z911" s="101">
        <v>98</v>
      </c>
      <c r="AA911" s="1069">
        <f t="shared" si="316"/>
        <v>51.722222222222221</v>
      </c>
      <c r="AB911" s="1015">
        <f t="shared" ref="AB911:AB917" si="319">AA911*Swiss1</f>
        <v>1463.7388888888888</v>
      </c>
      <c r="AC911" s="406">
        <f t="shared" si="317"/>
        <v>34.13666666666667</v>
      </c>
      <c r="AD911" s="405">
        <f>Table1[[#This Row],[Substrate SF]]*Materials!C$37</f>
        <v>144.82222222222222</v>
      </c>
      <c r="AE911" s="406">
        <f>IF(Table1[[#This Row],[Work Center]]="SwissQ",Materials!G$37,IF(Table1[[#This Row],[Work Center]]="Inca",Materials!G$29,IF(Table1[[#This Row],[Work Center]]="Canon",Materials!G$49,Materials!G$45)))</f>
        <v>20</v>
      </c>
      <c r="AF911" s="102">
        <f>'Cali FPS'!C160</f>
        <v>253.32999999999998</v>
      </c>
      <c r="AG911" s="115"/>
      <c r="AH911" s="406">
        <f t="shared" si="318"/>
        <v>73.75</v>
      </c>
      <c r="AI911" s="406"/>
      <c r="AJ911" s="406">
        <f t="shared" si="312"/>
        <v>526.03888888888889</v>
      </c>
      <c r="AK911" s="1065">
        <f t="shared" si="313"/>
        <v>0.64336346516007537</v>
      </c>
      <c r="AL911" s="406">
        <f>Table1[[#This Row],[WSP/Dealer]]/Table1[[#This Row],[OD Sq Inch]]</f>
        <v>0.24101307189542484</v>
      </c>
      <c r="AM911" s="399">
        <f>Table1[[#This Row],[OD Wdth]]*Table1[[#This Row],[OD Hgt]]</f>
        <v>6120</v>
      </c>
      <c r="AN911" s="400">
        <f>Table1[[#This Row],[Min VO]]+Table1[[#This Row],[Max VO]]</f>
        <v>158</v>
      </c>
      <c r="AO911" s="115"/>
      <c r="AP911" s="115"/>
      <c r="AQ911" s="121"/>
      <c r="AR911" s="121"/>
      <c r="AS911" s="121"/>
      <c r="AT911" s="104"/>
      <c r="AU911" s="1359" t="str">
        <f t="shared" si="311"/>
        <v>-</v>
      </c>
    </row>
    <row r="912" spans="1:47" s="170" customFormat="1" x14ac:dyDescent="0.2">
      <c r="A912" s="68" t="s">
        <v>58</v>
      </c>
      <c r="B912" s="1072" t="s">
        <v>121</v>
      </c>
      <c r="C912" s="94" t="s">
        <v>2305</v>
      </c>
      <c r="D912" s="94"/>
      <c r="E912" s="627" t="s">
        <v>2304</v>
      </c>
      <c r="F912" s="627" t="s">
        <v>386</v>
      </c>
      <c r="G912" s="68" t="s">
        <v>63</v>
      </c>
      <c r="H912" s="68" t="s">
        <v>68</v>
      </c>
      <c r="I912" s="68" t="s">
        <v>52</v>
      </c>
      <c r="J912" s="140" t="s">
        <v>53</v>
      </c>
      <c r="K912" s="68" t="s">
        <v>69</v>
      </c>
      <c r="L912" s="68" t="s">
        <v>73</v>
      </c>
      <c r="M912" s="141">
        <v>1600</v>
      </c>
      <c r="N912" s="93"/>
      <c r="O912" s="68" t="s">
        <v>64</v>
      </c>
      <c r="P912" s="68">
        <v>68</v>
      </c>
      <c r="Q912" s="68">
        <v>90</v>
      </c>
      <c r="R912" s="68">
        <v>68</v>
      </c>
      <c r="S912" s="68">
        <v>90</v>
      </c>
      <c r="T912" s="68">
        <v>69</v>
      </c>
      <c r="U912" s="68">
        <v>91</v>
      </c>
      <c r="V912" s="66">
        <f t="shared" si="314"/>
        <v>76</v>
      </c>
      <c r="W912" s="66">
        <f t="shared" si="315"/>
        <v>98</v>
      </c>
      <c r="X912" s="68">
        <v>122</v>
      </c>
      <c r="Y912" s="68">
        <v>76</v>
      </c>
      <c r="Z912" s="68">
        <v>98</v>
      </c>
      <c r="AA912" s="952">
        <f t="shared" si="316"/>
        <v>51.722222222222221</v>
      </c>
      <c r="AB912" s="1130">
        <f t="shared" si="319"/>
        <v>1463.7388888888888</v>
      </c>
      <c r="AC912" s="278">
        <f t="shared" si="317"/>
        <v>34.13666666666667</v>
      </c>
      <c r="AD912" s="263">
        <f>Table1[[#This Row],[Substrate SF]]*Materials!C$37</f>
        <v>144.82222222222222</v>
      </c>
      <c r="AE912" s="278">
        <f>IF(Table1[[#This Row],[Work Center]]="SwissQ",Materials!G$37,IF(Table1[[#This Row],[Work Center]]="Inca",Materials!G$29,IF(Table1[[#This Row],[Work Center]]="Canon",Materials!G$49,Materials!G$45)))</f>
        <v>20</v>
      </c>
      <c r="AF912" s="73">
        <f>'Cali Frames'!D487</f>
        <v>380</v>
      </c>
      <c r="AG912" s="84"/>
      <c r="AH912" s="67">
        <f t="shared" si="318"/>
        <v>80</v>
      </c>
      <c r="AI912" s="67"/>
      <c r="AJ912" s="74">
        <f t="shared" si="312"/>
        <v>658.95888888888885</v>
      </c>
      <c r="AK912" s="661">
        <f t="shared" si="313"/>
        <v>0.58815069444444446</v>
      </c>
      <c r="AL912" s="74">
        <f>Table1[[#This Row],[WSP/Dealer]]/Table1[[#This Row],[OD Sq Inch]]</f>
        <v>0.25481764612199392</v>
      </c>
      <c r="AM912" s="63">
        <f>Table1[[#This Row],[OD Wdth]]*Table1[[#This Row],[OD Hgt]]</f>
        <v>6279</v>
      </c>
      <c r="AN912" s="68">
        <f>Table1[[#This Row],[Min VO]]+Table1[[#This Row],[Max VO]]</f>
        <v>158</v>
      </c>
      <c r="AO912" s="84"/>
      <c r="AP912" s="84"/>
      <c r="AQ912" s="126"/>
      <c r="AR912" s="126"/>
      <c r="AS912" s="126"/>
      <c r="AT912" s="74"/>
      <c r="AU912" s="1357" t="str">
        <f t="shared" si="311"/>
        <v>-</v>
      </c>
    </row>
    <row r="913" spans="1:47" s="170" customFormat="1" x14ac:dyDescent="0.2">
      <c r="A913" s="68" t="s">
        <v>58</v>
      </c>
      <c r="B913" s="1072" t="s">
        <v>121</v>
      </c>
      <c r="C913" s="94" t="s">
        <v>2306</v>
      </c>
      <c r="D913" s="94"/>
      <c r="E913" s="627" t="s">
        <v>2304</v>
      </c>
      <c r="F913" s="627" t="s">
        <v>386</v>
      </c>
      <c r="G913" s="68" t="s">
        <v>63</v>
      </c>
      <c r="H913" s="68" t="s">
        <v>68</v>
      </c>
      <c r="I913" s="68" t="s">
        <v>52</v>
      </c>
      <c r="J913" s="140" t="s">
        <v>53</v>
      </c>
      <c r="K913" s="68" t="s">
        <v>69</v>
      </c>
      <c r="L913" s="68" t="s">
        <v>70</v>
      </c>
      <c r="M913" s="141">
        <v>1600</v>
      </c>
      <c r="N913" s="93"/>
      <c r="O913" s="68" t="s">
        <v>64</v>
      </c>
      <c r="P913" s="68">
        <v>68</v>
      </c>
      <c r="Q913" s="68">
        <v>90</v>
      </c>
      <c r="R913" s="68">
        <v>68</v>
      </c>
      <c r="S913" s="68">
        <v>90</v>
      </c>
      <c r="T913" s="68">
        <v>69</v>
      </c>
      <c r="U913" s="68">
        <v>91</v>
      </c>
      <c r="V913" s="66">
        <f t="shared" si="314"/>
        <v>76</v>
      </c>
      <c r="W913" s="66">
        <f t="shared" si="315"/>
        <v>98</v>
      </c>
      <c r="X913" s="68">
        <v>122</v>
      </c>
      <c r="Y913" s="68">
        <v>76</v>
      </c>
      <c r="Z913" s="68">
        <v>98</v>
      </c>
      <c r="AA913" s="952">
        <f t="shared" si="316"/>
        <v>51.722222222222221</v>
      </c>
      <c r="AB913" s="1130">
        <f t="shared" si="319"/>
        <v>1463.7388888888888</v>
      </c>
      <c r="AC913" s="263">
        <f t="shared" si="317"/>
        <v>34.13666666666667</v>
      </c>
      <c r="AD913" s="263">
        <f>Table1[[#This Row],[Substrate SF]]*Materials!C$37</f>
        <v>144.82222222222222</v>
      </c>
      <c r="AE913" s="278">
        <f>IF(Table1[[#This Row],[Work Center]]="SwissQ",Materials!G$37,IF(Table1[[#This Row],[Work Center]]="Inca",Materials!G$29,IF(Table1[[#This Row],[Work Center]]="Canon",Materials!G$49,Materials!G$45)))</f>
        <v>20</v>
      </c>
      <c r="AF913" s="73">
        <f>'Cali Frames'!D355</f>
        <v>375</v>
      </c>
      <c r="AG913" s="84"/>
      <c r="AH913" s="67">
        <f t="shared" si="318"/>
        <v>80</v>
      </c>
      <c r="AI913" s="67"/>
      <c r="AJ913" s="74">
        <f t="shared" si="312"/>
        <v>653.95888888888885</v>
      </c>
      <c r="AK913" s="661">
        <f t="shared" si="313"/>
        <v>0.5912756944444445</v>
      </c>
      <c r="AL913" s="74">
        <f>Table1[[#This Row],[WSP/Dealer]]/Table1[[#This Row],[OD Sq Inch]]</f>
        <v>0.25481764612199392</v>
      </c>
      <c r="AM913" s="63">
        <f>Table1[[#This Row],[OD Wdth]]*Table1[[#This Row],[OD Hgt]]</f>
        <v>6279</v>
      </c>
      <c r="AN913" s="68">
        <f>Table1[[#This Row],[Min VO]]+Table1[[#This Row],[Max VO]]</f>
        <v>158</v>
      </c>
      <c r="AO913" s="84"/>
      <c r="AP913" s="84"/>
      <c r="AQ913" s="126"/>
      <c r="AR913" s="126"/>
      <c r="AS913" s="126"/>
      <c r="AT913" s="74"/>
      <c r="AU913" s="1357" t="str">
        <f t="shared" si="311"/>
        <v>-</v>
      </c>
    </row>
    <row r="914" spans="1:47" s="103" customFormat="1" x14ac:dyDescent="0.2">
      <c r="A914" s="68" t="s">
        <v>58</v>
      </c>
      <c r="B914" s="1072" t="s">
        <v>121</v>
      </c>
      <c r="C914" s="94" t="s">
        <v>2307</v>
      </c>
      <c r="D914" s="94"/>
      <c r="E914" s="627" t="s">
        <v>2304</v>
      </c>
      <c r="F914" s="627" t="s">
        <v>386</v>
      </c>
      <c r="G914" s="68" t="s">
        <v>63</v>
      </c>
      <c r="H914" s="68" t="s">
        <v>68</v>
      </c>
      <c r="I914" s="68" t="s">
        <v>52</v>
      </c>
      <c r="J914" s="140" t="s">
        <v>53</v>
      </c>
      <c r="K914" s="68" t="s">
        <v>69</v>
      </c>
      <c r="L914" s="68" t="s">
        <v>76</v>
      </c>
      <c r="M914" s="141">
        <v>1650</v>
      </c>
      <c r="N914" s="93"/>
      <c r="O914" s="68" t="s">
        <v>64</v>
      </c>
      <c r="P914" s="68">
        <v>68</v>
      </c>
      <c r="Q914" s="68">
        <v>90</v>
      </c>
      <c r="R914" s="68">
        <v>68</v>
      </c>
      <c r="S914" s="68">
        <v>90</v>
      </c>
      <c r="T914" s="68">
        <v>69</v>
      </c>
      <c r="U914" s="68">
        <v>91</v>
      </c>
      <c r="V914" s="917">
        <f t="shared" si="314"/>
        <v>76</v>
      </c>
      <c r="W914" s="917">
        <f t="shared" si="315"/>
        <v>98</v>
      </c>
      <c r="X914" s="68">
        <v>122</v>
      </c>
      <c r="Y914" s="68">
        <v>76</v>
      </c>
      <c r="Z914" s="68">
        <v>98</v>
      </c>
      <c r="AA914" s="952">
        <f t="shared" si="316"/>
        <v>51.722222222222221</v>
      </c>
      <c r="AB914" s="1130">
        <f t="shared" si="319"/>
        <v>1463.7388888888888</v>
      </c>
      <c r="AC914" s="278">
        <f t="shared" si="317"/>
        <v>34.13666666666667</v>
      </c>
      <c r="AD914" s="263">
        <f>Table1[[#This Row],[Substrate SF]]*Materials!C$37</f>
        <v>144.82222222222222</v>
      </c>
      <c r="AE914" s="278">
        <f>IF(Table1[[#This Row],[Work Center]]="SwissQ",Materials!G$37,IF(Table1[[#This Row],[Work Center]]="Inca",Materials!G$29,IF(Table1[[#This Row],[Work Center]]="Canon",Materials!G$49,Materials!G$45)))</f>
        <v>20</v>
      </c>
      <c r="AF914" s="73">
        <f>'Cali Frames'!D390</f>
        <v>379.02</v>
      </c>
      <c r="AG914" s="84"/>
      <c r="AH914" s="74">
        <f t="shared" si="318"/>
        <v>82.5</v>
      </c>
      <c r="AI914" s="74"/>
      <c r="AJ914" s="74">
        <f t="shared" si="312"/>
        <v>660.47888888888883</v>
      </c>
      <c r="AK914" s="1001">
        <f t="shared" si="313"/>
        <v>0.5997097643097643</v>
      </c>
      <c r="AL914" s="74">
        <f>Table1[[#This Row],[WSP/Dealer]]/Table1[[#This Row],[OD Sq Inch]]</f>
        <v>0.26278069756330624</v>
      </c>
      <c r="AM914" s="63">
        <f>Table1[[#This Row],[OD Wdth]]*Table1[[#This Row],[OD Hgt]]</f>
        <v>6279</v>
      </c>
      <c r="AN914" s="68">
        <f>Table1[[#This Row],[Min VO]]+Table1[[#This Row],[Max VO]]</f>
        <v>158</v>
      </c>
      <c r="AO914" s="84"/>
      <c r="AP914" s="84"/>
      <c r="AQ914" s="126"/>
      <c r="AR914" s="126"/>
      <c r="AS914" s="126"/>
      <c r="AT914" s="74"/>
      <c r="AU914" s="1357" t="str">
        <f t="shared" si="311"/>
        <v>-</v>
      </c>
    </row>
    <row r="915" spans="1:47" s="46" customFormat="1" hidden="1" x14ac:dyDescent="0.2">
      <c r="A915" s="101" t="s">
        <v>110</v>
      </c>
      <c r="B915" s="1067" t="s">
        <v>102</v>
      </c>
      <c r="C915" s="168" t="s">
        <v>2308</v>
      </c>
      <c r="D915" s="168"/>
      <c r="E915" s="169" t="s">
        <v>2309</v>
      </c>
      <c r="F915" s="169" t="s">
        <v>567</v>
      </c>
      <c r="G915" s="101" t="s">
        <v>2310</v>
      </c>
      <c r="H915" s="101" t="s">
        <v>2310</v>
      </c>
      <c r="I915" s="101" t="s">
        <v>52</v>
      </c>
      <c r="J915" s="487" t="s">
        <v>53</v>
      </c>
      <c r="K915" s="101" t="s">
        <v>54</v>
      </c>
      <c r="L915" s="101" t="s">
        <v>55</v>
      </c>
      <c r="M915" s="114">
        <v>1200</v>
      </c>
      <c r="N915" s="114"/>
      <c r="O915" s="101" t="s">
        <v>64</v>
      </c>
      <c r="P915" s="101">
        <v>40</v>
      </c>
      <c r="Q915" s="101">
        <v>50</v>
      </c>
      <c r="R915" s="101">
        <v>40</v>
      </c>
      <c r="S915" s="101">
        <v>50</v>
      </c>
      <c r="T915" s="101">
        <v>40</v>
      </c>
      <c r="U915" s="101">
        <v>50</v>
      </c>
      <c r="V915" s="608">
        <f t="shared" si="314"/>
        <v>48</v>
      </c>
      <c r="W915" s="608">
        <f t="shared" si="315"/>
        <v>58</v>
      </c>
      <c r="X915" s="101">
        <v>59</v>
      </c>
      <c r="Y915" s="101">
        <v>48</v>
      </c>
      <c r="Z915" s="101">
        <v>58</v>
      </c>
      <c r="AA915" s="1069">
        <f t="shared" si="316"/>
        <v>19.333333333333332</v>
      </c>
      <c r="AB915" s="1015">
        <f t="shared" si="319"/>
        <v>547.13333333333333</v>
      </c>
      <c r="AC915" s="406">
        <f t="shared" si="317"/>
        <v>12.76</v>
      </c>
      <c r="AD915" s="405">
        <f>Table1[[#This Row],[Substrate SF]]*Materials!C$37</f>
        <v>54.133333333333326</v>
      </c>
      <c r="AE915" s="406">
        <f>IF(Table1[[#This Row],[Work Center]]="SwissQ",Materials!G$37,IF(Table1[[#This Row],[Work Center]]="Inca",Materials!G$29,IF(Table1[[#This Row],[Work Center]]="Canon",Materials!G$49,Materials!G$45)))</f>
        <v>20</v>
      </c>
      <c r="AF915" s="102">
        <f>'Cali FPS'!C85</f>
        <v>107.4325</v>
      </c>
      <c r="AG915" s="115"/>
      <c r="AH915" s="104">
        <f t="shared" si="318"/>
        <v>60</v>
      </c>
      <c r="AI915" s="104"/>
      <c r="AJ915" s="104">
        <f t="shared" si="312"/>
        <v>254.32583333333332</v>
      </c>
      <c r="AK915" s="830">
        <f t="shared" si="313"/>
        <v>0.78806180555555561</v>
      </c>
      <c r="AL915" s="104">
        <f>Table1[[#This Row],[WSP/Dealer]]/Table1[[#This Row],[OD Sq Inch]]</f>
        <v>0.6</v>
      </c>
      <c r="AM915" s="103">
        <f>Table1[[#This Row],[OD Wdth]]*Table1[[#This Row],[OD Hgt]]</f>
        <v>2000</v>
      </c>
      <c r="AN915" s="101">
        <f>Table1[[#This Row],[Min VO]]+Table1[[#This Row],[Max VO]]</f>
        <v>90</v>
      </c>
      <c r="AO915" s="115"/>
      <c r="AP915" s="121">
        <v>2400</v>
      </c>
      <c r="AQ915" s="104">
        <f>(Table1[[#This Row],[Desgnr/Retail P]]*0.05)</f>
        <v>120</v>
      </c>
      <c r="AR915" s="121">
        <f>IF(A915="Codarus",(AP915*0.13))</f>
        <v>312</v>
      </c>
      <c r="AS915" s="121">
        <f>SUM(Table1[[#This Row],[Substrate $]:[GP FINISH]])+Table1[[#This Row],[Retail Royalty]]+Table1[[#This Row],[Retail$Comm]]</f>
        <v>626.32583333333332</v>
      </c>
      <c r="AT915" s="830">
        <f>IF(AP915=0,"-",(AP915-AS915)/AP915)</f>
        <v>0.73903090277777783</v>
      </c>
      <c r="AU915" s="1359">
        <f t="shared" si="311"/>
        <v>0.99384140914351848</v>
      </c>
    </row>
    <row r="916" spans="1:47" s="46" customFormat="1" x14ac:dyDescent="0.2">
      <c r="A916" s="60" t="s">
        <v>58</v>
      </c>
      <c r="B916" s="1071" t="s">
        <v>59</v>
      </c>
      <c r="C916" s="79" t="s">
        <v>2311</v>
      </c>
      <c r="D916" s="79"/>
      <c r="E916" s="99" t="s">
        <v>2312</v>
      </c>
      <c r="F916" s="99" t="s">
        <v>567</v>
      </c>
      <c r="G916" s="60" t="s">
        <v>1200</v>
      </c>
      <c r="H916" s="60" t="s">
        <v>1200</v>
      </c>
      <c r="I916" s="60" t="s">
        <v>52</v>
      </c>
      <c r="J916" s="59" t="s">
        <v>53</v>
      </c>
      <c r="K916" s="60" t="s">
        <v>54</v>
      </c>
      <c r="L916" s="60" t="s">
        <v>55</v>
      </c>
      <c r="M916" s="124">
        <v>1450</v>
      </c>
      <c r="N916" s="124"/>
      <c r="O916" s="60" t="s">
        <v>64</v>
      </c>
      <c r="P916" s="60">
        <v>60</v>
      </c>
      <c r="Q916" s="60">
        <v>80</v>
      </c>
      <c r="R916" s="60">
        <v>60</v>
      </c>
      <c r="S916" s="60">
        <v>80</v>
      </c>
      <c r="T916" s="60">
        <v>60</v>
      </c>
      <c r="U916" s="60">
        <v>80</v>
      </c>
      <c r="V916" s="47">
        <f t="shared" si="314"/>
        <v>68</v>
      </c>
      <c r="W916" s="47">
        <f t="shared" si="315"/>
        <v>88</v>
      </c>
      <c r="X916" s="60">
        <v>122</v>
      </c>
      <c r="Y916" s="60">
        <v>68</v>
      </c>
      <c r="Z916" s="60">
        <v>88</v>
      </c>
      <c r="AA916" s="826">
        <f t="shared" si="316"/>
        <v>41.555555555555557</v>
      </c>
      <c r="AB916" s="1120">
        <f t="shared" si="319"/>
        <v>1176.0222222222224</v>
      </c>
      <c r="AC916" s="176">
        <f t="shared" si="317"/>
        <v>27.426666666666669</v>
      </c>
      <c r="AD916" s="175">
        <f>Table1[[#This Row],[Substrate SF]]*Materials!C$37</f>
        <v>116.35555555555555</v>
      </c>
      <c r="AE916" s="176">
        <f>IF(Table1[[#This Row],[Work Center]]="SwissQ",Materials!G$37,IF(Table1[[#This Row],[Work Center]]="Inca",Materials!G$29,IF(Table1[[#This Row],[Work Center]]="Canon",Materials!G$49,Materials!G$45)))</f>
        <v>20</v>
      </c>
      <c r="AF916" s="72">
        <f>'Cali FPS'!C160</f>
        <v>253.32999999999998</v>
      </c>
      <c r="AG916" s="83"/>
      <c r="AH916" s="69">
        <f t="shared" si="318"/>
        <v>72.5</v>
      </c>
      <c r="AI916" s="69"/>
      <c r="AJ916" s="48">
        <f t="shared" si="312"/>
        <v>489.61222222222221</v>
      </c>
      <c r="AK916" s="650">
        <f t="shared" si="313"/>
        <v>0.66233639846743286</v>
      </c>
      <c r="AL916" s="69">
        <f>Table1[[#This Row],[WSP/Dealer]]/Table1[[#This Row],[OD Sq Inch]]</f>
        <v>0.30208333333333331</v>
      </c>
      <c r="AM916" s="46">
        <f>Table1[[#This Row],[OD Wdth]]*Table1[[#This Row],[OD Hgt]]</f>
        <v>4800</v>
      </c>
      <c r="AN916" s="60">
        <f>Table1[[#This Row],[Min VO]]+Table1[[#This Row],[Max VO]]</f>
        <v>140</v>
      </c>
      <c r="AO916" s="83"/>
      <c r="AP916" s="540"/>
      <c r="AQ916" s="69"/>
      <c r="AR916" s="176"/>
      <c r="AS916" s="1285"/>
      <c r="AT916" s="1161"/>
      <c r="AU916" s="1361" t="str">
        <f t="shared" si="311"/>
        <v>-</v>
      </c>
    </row>
    <row r="917" spans="1:47" s="103" customFormat="1" x14ac:dyDescent="0.2">
      <c r="A917" s="60" t="s">
        <v>58</v>
      </c>
      <c r="B917" s="1071" t="s">
        <v>305</v>
      </c>
      <c r="C917" s="79" t="s">
        <v>2313</v>
      </c>
      <c r="D917" s="79"/>
      <c r="E917" s="99" t="s">
        <v>2312</v>
      </c>
      <c r="F917" s="99" t="s">
        <v>567</v>
      </c>
      <c r="G917" s="60" t="s">
        <v>1200</v>
      </c>
      <c r="H917" s="60" t="s">
        <v>1202</v>
      </c>
      <c r="I917" s="60" t="s">
        <v>52</v>
      </c>
      <c r="J917" s="59" t="s">
        <v>53</v>
      </c>
      <c r="K917" s="60" t="s">
        <v>54</v>
      </c>
      <c r="L917" s="60" t="s">
        <v>70</v>
      </c>
      <c r="M917" s="124">
        <v>1675</v>
      </c>
      <c r="N917" s="124"/>
      <c r="O917" s="60" t="s">
        <v>64</v>
      </c>
      <c r="P917" s="60">
        <v>60</v>
      </c>
      <c r="Q917" s="60">
        <v>80</v>
      </c>
      <c r="R917" s="60">
        <v>60</v>
      </c>
      <c r="S917" s="60">
        <v>80</v>
      </c>
      <c r="T917" s="60">
        <v>61</v>
      </c>
      <c r="U917" s="60">
        <v>81</v>
      </c>
      <c r="V917" s="47">
        <f t="shared" si="314"/>
        <v>68</v>
      </c>
      <c r="W917" s="47">
        <f t="shared" si="315"/>
        <v>88</v>
      </c>
      <c r="X917" s="60">
        <v>122</v>
      </c>
      <c r="Y917" s="60">
        <v>68</v>
      </c>
      <c r="Z917" s="60">
        <v>88</v>
      </c>
      <c r="AA917" s="826">
        <f t="shared" si="316"/>
        <v>41.555555555555557</v>
      </c>
      <c r="AB917" s="1120">
        <f t="shared" si="319"/>
        <v>1176.0222222222224</v>
      </c>
      <c r="AC917" s="176">
        <f t="shared" si="317"/>
        <v>27.426666666666669</v>
      </c>
      <c r="AD917" s="175">
        <f>Table1[[#This Row],[Substrate SF]]*Materials!C$37</f>
        <v>116.35555555555555</v>
      </c>
      <c r="AE917" s="176">
        <f>IF(Table1[[#This Row],[Work Center]]="SwissQ",Materials!G$37,IF(Table1[[#This Row],[Work Center]]="Inca",Materials!G$29,IF(Table1[[#This Row],[Work Center]]="Canon",Materials!G$49,Materials!G$45)))</f>
        <v>20</v>
      </c>
      <c r="AF917" s="72">
        <f>'Cali Frames'!D351</f>
        <v>334.74</v>
      </c>
      <c r="AG917" s="83"/>
      <c r="AH917" s="48">
        <f t="shared" si="318"/>
        <v>83.75</v>
      </c>
      <c r="AI917" s="48"/>
      <c r="AJ917" s="69">
        <f t="shared" si="312"/>
        <v>582.27222222222224</v>
      </c>
      <c r="AK917" s="62">
        <f t="shared" si="313"/>
        <v>0.6523747927031508</v>
      </c>
      <c r="AL917" s="69">
        <f>Table1[[#This Row],[WSP/Dealer]]/Table1[[#This Row],[OD Sq Inch]]</f>
        <v>0.33900020238818052</v>
      </c>
      <c r="AM917" s="46">
        <f>Table1[[#This Row],[OD Wdth]]*Table1[[#This Row],[OD Hgt]]</f>
        <v>4941</v>
      </c>
      <c r="AN917" s="60">
        <f>Table1[[#This Row],[Min VO]]+Table1[[#This Row],[Max VO]]</f>
        <v>140</v>
      </c>
      <c r="AO917" s="83"/>
      <c r="AP917" s="540"/>
      <c r="AQ917" s="69">
        <f>(Table1[[#This Row],[Desgnr/Retail P]]*0.05)</f>
        <v>0</v>
      </c>
      <c r="AR917" s="69" t="b">
        <f>IF(A917="Codarus",(AP917*0.13))</f>
        <v>0</v>
      </c>
      <c r="AS917" s="1318" t="e" cm="1">
        <f t="array" ref="AS917">SUM(AC917:AG917+AQ+AR)</f>
        <v>#NAME?</v>
      </c>
      <c r="AT917" s="1239" t="e">
        <f>(AP917-AS917)/AP917</f>
        <v>#NAME?</v>
      </c>
      <c r="AU917" s="1361" t="str">
        <f t="shared" si="311"/>
        <v>-</v>
      </c>
    </row>
    <row r="918" spans="1:47" s="63" customFormat="1" hidden="1" x14ac:dyDescent="0.2">
      <c r="A918" s="470" t="s">
        <v>318</v>
      </c>
      <c r="B918" s="1061" t="s">
        <v>96</v>
      </c>
      <c r="C918" s="79" t="s">
        <v>2314</v>
      </c>
      <c r="D918" s="94">
        <v>195133</v>
      </c>
      <c r="E918" s="83" t="s">
        <v>2315</v>
      </c>
      <c r="F918" s="83" t="s">
        <v>571</v>
      </c>
      <c r="G918" s="60" t="s">
        <v>572</v>
      </c>
      <c r="H918" s="60" t="s">
        <v>573</v>
      </c>
      <c r="I918" s="60" t="s">
        <v>574</v>
      </c>
      <c r="J918" s="60" t="s">
        <v>53</v>
      </c>
      <c r="K918" s="60" t="s">
        <v>69</v>
      </c>
      <c r="L918" s="60" t="s">
        <v>70</v>
      </c>
      <c r="M918" s="544">
        <v>460</v>
      </c>
      <c r="N918" s="786">
        <v>1050</v>
      </c>
      <c r="O918" s="145" t="s">
        <v>575</v>
      </c>
      <c r="P918" s="60">
        <v>60</v>
      </c>
      <c r="Q918" s="60">
        <v>40</v>
      </c>
      <c r="R918" s="60">
        <v>40</v>
      </c>
      <c r="S918" s="60">
        <v>60</v>
      </c>
      <c r="T918" s="60">
        <v>61</v>
      </c>
      <c r="U918" s="60">
        <v>41</v>
      </c>
      <c r="V918" s="946">
        <f t="shared" si="314"/>
        <v>68</v>
      </c>
      <c r="W918" s="946">
        <f t="shared" si="315"/>
        <v>48</v>
      </c>
      <c r="X918" s="138">
        <v>69</v>
      </c>
      <c r="Y918" s="46">
        <v>68</v>
      </c>
      <c r="Z918" s="46">
        <v>48</v>
      </c>
      <c r="AA918" s="678">
        <f t="shared" si="316"/>
        <v>22.666666666666668</v>
      </c>
      <c r="AB918" s="329">
        <f>Table1[[#This Row],[Substrate SF]]*SWISSMLR*3</f>
        <v>136</v>
      </c>
      <c r="AC918" s="175">
        <f t="shared" si="317"/>
        <v>14.96</v>
      </c>
      <c r="AD918" s="175">
        <f>Table1[[#This Row],[Substrate SF]]*SWISSCR*3</f>
        <v>14.96</v>
      </c>
      <c r="AE918" s="69">
        <f>Materials!I$41</f>
        <v>8</v>
      </c>
      <c r="AF918" s="72">
        <f>'Cali Frames'!D315</f>
        <v>164.9025</v>
      </c>
      <c r="AG918" s="540"/>
      <c r="AH918" s="498">
        <f t="shared" si="318"/>
        <v>23</v>
      </c>
      <c r="AI918" s="498"/>
      <c r="AJ918" s="176">
        <f t="shared" si="312"/>
        <v>225.82249999999999</v>
      </c>
      <c r="AK918" s="650">
        <f t="shared" si="313"/>
        <v>0.50908152173913046</v>
      </c>
      <c r="AL918" s="225">
        <f>Table1[[#This Row],[WSP/Dealer]]/Table1[[#This Row],[OD Sq Inch]]</f>
        <v>0.1839264294282287</v>
      </c>
      <c r="AM918" s="180">
        <f>Table1[[#This Row],[OD Wdth]]*Table1[[#This Row],[OD Hgt]]</f>
        <v>2501</v>
      </c>
      <c r="AN918" s="180" t="str">
        <f>Table1[[#This Row],[Color]]</f>
        <v>BF</v>
      </c>
      <c r="AO918" s="83" t="str">
        <f>Table1[[#This Row],[Print Type]]</f>
        <v>Reductive+</v>
      </c>
      <c r="AP918" s="83"/>
      <c r="AQ918" s="540"/>
      <c r="AR918" s="540"/>
      <c r="AS918" s="540"/>
      <c r="AT918" s="69"/>
      <c r="AU918" s="1361" t="str">
        <f t="shared" si="311"/>
        <v>-</v>
      </c>
    </row>
    <row r="919" spans="1:47" s="103" customFormat="1" hidden="1" x14ac:dyDescent="0.2">
      <c r="A919" s="374" t="s">
        <v>187</v>
      </c>
      <c r="B919" s="1061" t="s">
        <v>261</v>
      </c>
      <c r="C919" s="317" t="s">
        <v>2316</v>
      </c>
      <c r="D919" s="94"/>
      <c r="E919" s="375" t="s">
        <v>2317</v>
      </c>
      <c r="F919" s="375" t="s">
        <v>585</v>
      </c>
      <c r="G919" s="274" t="s">
        <v>586</v>
      </c>
      <c r="H919" s="274" t="s">
        <v>586</v>
      </c>
      <c r="I919" s="274" t="s">
        <v>52</v>
      </c>
      <c r="J919" s="344" t="s">
        <v>280</v>
      </c>
      <c r="K919" s="274" t="s">
        <v>281</v>
      </c>
      <c r="L919" s="274" t="s">
        <v>282</v>
      </c>
      <c r="M919" s="318">
        <v>1530</v>
      </c>
      <c r="N919" s="71"/>
      <c r="O919" s="274" t="s">
        <v>64</v>
      </c>
      <c r="P919" s="274">
        <v>24</v>
      </c>
      <c r="Q919" s="274">
        <v>30</v>
      </c>
      <c r="R919" s="274">
        <v>24</v>
      </c>
      <c r="S919" s="274">
        <v>30</v>
      </c>
      <c r="T919" s="170">
        <v>24</v>
      </c>
      <c r="U919" s="170">
        <v>30</v>
      </c>
      <c r="V919" s="277">
        <v>24</v>
      </c>
      <c r="W919" s="277">
        <v>30</v>
      </c>
      <c r="X919" s="343" t="s">
        <v>283</v>
      </c>
      <c r="Y919" s="274"/>
      <c r="Z919" s="274"/>
      <c r="AA919" s="727">
        <f t="shared" si="316"/>
        <v>5</v>
      </c>
      <c r="AB919" s="341">
        <f>AA919*Swiss1</f>
        <v>141.5</v>
      </c>
      <c r="AC919" s="278">
        <f>MDFSHEET*0.25</f>
        <v>6.0875000000000004</v>
      </c>
      <c r="AD919" s="263">
        <f>Table1[[#This Row],[Substrate SF]]*Materials!C$37</f>
        <v>14</v>
      </c>
      <c r="AE919" s="104">
        <f>IF(Table1[[#This Row],[Work Center]]="SwissQ",Materials!G$37,IF(Table1[[#This Row],[Work Center]]="Inca",Materials!G$29,IF(Table1[[#This Row],[Work Center]]="Canon",Materials!G$49,Materials!G$45)))</f>
        <v>20</v>
      </c>
      <c r="AF919" s="321">
        <f>'Cali Frames'!D540</f>
        <v>104.7375</v>
      </c>
      <c r="AG919" s="320"/>
      <c r="AH919" s="498">
        <f t="shared" si="318"/>
        <v>76.5</v>
      </c>
      <c r="AI919" s="498"/>
      <c r="AJ919" s="278">
        <f t="shared" si="312"/>
        <v>221.32499999999999</v>
      </c>
      <c r="AK919" s="650">
        <f t="shared" si="313"/>
        <v>0.85534313725490196</v>
      </c>
      <c r="AL919" s="225">
        <f>Table1[[#This Row],[WSP/Dealer]]/Table1[[#This Row],[OD Sq Inch]]</f>
        <v>2.125</v>
      </c>
      <c r="AM919" s="170">
        <f>Table1[[#This Row],[OD Wdth]]*Table1[[#This Row],[OD Hgt]]</f>
        <v>720</v>
      </c>
      <c r="AN919" s="238">
        <f>Table1[[#This Row],[Min VO]]+Table1[[#This Row],[Max VO]]</f>
        <v>54</v>
      </c>
      <c r="AO919" s="275"/>
      <c r="AP919" s="275"/>
      <c r="AQ919" s="320"/>
      <c r="AR919" s="320"/>
      <c r="AS919" s="320"/>
      <c r="AT919" s="278"/>
      <c r="AU919" s="1368" t="str">
        <f t="shared" si="311"/>
        <v>-</v>
      </c>
    </row>
    <row r="920" spans="1:47" s="103" customFormat="1" x14ac:dyDescent="0.2">
      <c r="A920" s="86" t="s">
        <v>58</v>
      </c>
      <c r="B920" s="1061" t="s">
        <v>88</v>
      </c>
      <c r="C920" s="76" t="s">
        <v>2318</v>
      </c>
      <c r="D920" s="94" t="s">
        <v>2319</v>
      </c>
      <c r="E920" s="85" t="s">
        <v>2320</v>
      </c>
      <c r="F920" s="85" t="s">
        <v>800</v>
      </c>
      <c r="G920" s="86" t="s">
        <v>433</v>
      </c>
      <c r="H920" s="86" t="s">
        <v>434</v>
      </c>
      <c r="I920" s="86" t="s">
        <v>52</v>
      </c>
      <c r="J920" s="86" t="s">
        <v>53</v>
      </c>
      <c r="K920" s="86" t="s">
        <v>82</v>
      </c>
      <c r="L920" s="86" t="s">
        <v>83</v>
      </c>
      <c r="M920" s="87">
        <v>935</v>
      </c>
      <c r="N920" s="639">
        <v>1100</v>
      </c>
      <c r="O920" s="551" t="s">
        <v>56</v>
      </c>
      <c r="P920" s="101">
        <v>54</v>
      </c>
      <c r="Q920" s="101">
        <v>48</v>
      </c>
      <c r="R920" s="60">
        <v>48</v>
      </c>
      <c r="S920" s="273">
        <v>54</v>
      </c>
      <c r="T920" s="101">
        <v>56</v>
      </c>
      <c r="U920" s="101" t="str">
        <f>RIGHT(H920,2)</f>
        <v>50</v>
      </c>
      <c r="V920" s="608">
        <f>IF(J920="Canvas",P920+Border,P920)</f>
        <v>62</v>
      </c>
      <c r="W920" s="608">
        <f>IF(J920="Canvas",Q920+Border,Q920)</f>
        <v>56</v>
      </c>
      <c r="X920" s="189">
        <v>63</v>
      </c>
      <c r="Y920" s="68"/>
      <c r="Z920" s="68"/>
      <c r="AA920" s="649">
        <f t="shared" si="316"/>
        <v>24.111111111111111</v>
      </c>
      <c r="AB920" s="184">
        <f>AA920*IncaG</f>
        <v>507.29777777777775</v>
      </c>
      <c r="AC920" s="104">
        <f>AA920*Canvas</f>
        <v>15.913333333333334</v>
      </c>
      <c r="AD920" s="107">
        <f>AA920*IncaC</f>
        <v>40.583822222222224</v>
      </c>
      <c r="AE920" s="104">
        <f>IF(Table1[[#This Row],[Work Center]]="SwissQ",Materials!G$37,IF(Table1[[#This Row],[Work Center]]="Inca",Materials!G$29,IF(Table1[[#This Row],[Work Center]]="Canon",Materials!G$49,Materials!G$45)))</f>
        <v>8</v>
      </c>
      <c r="AF920" s="104">
        <f>'Cali Frames'!D$153</f>
        <v>230.80749999999998</v>
      </c>
      <c r="AG920" s="115"/>
      <c r="AH920" s="498">
        <f t="shared" si="318"/>
        <v>46.75</v>
      </c>
      <c r="AI920" s="498"/>
      <c r="AJ920" s="104">
        <f t="shared" si="312"/>
        <v>342.05465555555554</v>
      </c>
      <c r="AK920" s="650">
        <f t="shared" si="313"/>
        <v>0.63416614379084968</v>
      </c>
      <c r="AL920" s="225">
        <f>Table1[[#This Row],[WSP/Dealer]]/Table1[[#This Row],[OD Sq Inch]]</f>
        <v>0.33392857142857141</v>
      </c>
      <c r="AM920" s="101">
        <f>Table1[[#This Row],[OD Wdth]]*Table1[[#This Row],[OD Hgt]]</f>
        <v>2800</v>
      </c>
      <c r="AN920" s="216">
        <f>Table1[[#This Row],[Min VO]]+Table1[[#This Row],[Max VO]]</f>
        <v>102</v>
      </c>
      <c r="AO920" s="101"/>
      <c r="AP920" s="101"/>
      <c r="AQ920" s="104"/>
      <c r="AR920" s="104"/>
      <c r="AS920" s="104"/>
      <c r="AT920" s="104"/>
      <c r="AU920" s="830" t="str">
        <f t="shared" si="311"/>
        <v>-</v>
      </c>
    </row>
    <row r="921" spans="1:47" s="103" customFormat="1" hidden="1" x14ac:dyDescent="0.2">
      <c r="A921" s="437" t="s">
        <v>187</v>
      </c>
      <c r="B921" s="1061" t="s">
        <v>261</v>
      </c>
      <c r="C921" s="436" t="s">
        <v>2321</v>
      </c>
      <c r="D921" s="94"/>
      <c r="E921" s="436" t="s">
        <v>2322</v>
      </c>
      <c r="F921" s="375" t="s">
        <v>585</v>
      </c>
      <c r="G921" s="258" t="s">
        <v>354</v>
      </c>
      <c r="H921" s="274" t="s">
        <v>586</v>
      </c>
      <c r="I921" s="274" t="s">
        <v>108</v>
      </c>
      <c r="J921" s="68" t="s">
        <v>197</v>
      </c>
      <c r="K921" s="274" t="s">
        <v>198</v>
      </c>
      <c r="L921" s="274" t="s">
        <v>199</v>
      </c>
      <c r="M921" s="455">
        <v>60</v>
      </c>
      <c r="N921" s="71"/>
      <c r="O921" s="274" t="s">
        <v>64</v>
      </c>
      <c r="P921" s="274">
        <v>24</v>
      </c>
      <c r="Q921" s="274">
        <v>30</v>
      </c>
      <c r="R921" s="274">
        <v>24</v>
      </c>
      <c r="S921" s="274">
        <v>30</v>
      </c>
      <c r="T921" s="274">
        <v>24</v>
      </c>
      <c r="U921" s="274">
        <v>30</v>
      </c>
      <c r="V921" s="277">
        <f>Table1[[#This Row],[VO Wdth]]+Materials!$C$7</f>
        <v>26</v>
      </c>
      <c r="W921" s="277">
        <f>Table1[[#This Row],[VO Hgt]]+Materials!$C$7</f>
        <v>32</v>
      </c>
      <c r="X921" s="343" t="s">
        <v>197</v>
      </c>
      <c r="Y921" s="68"/>
      <c r="Z921" s="68"/>
      <c r="AA921" s="699">
        <f t="shared" si="316"/>
        <v>5.7777777777777777</v>
      </c>
      <c r="AB921" s="341">
        <f>AA921*SWISSRML</f>
        <v>11.555555555555555</v>
      </c>
      <c r="AC921" s="74">
        <f>Table1[[#This Row],[Substrate SF]]*POster</f>
        <v>4.2986666666666666</v>
      </c>
      <c r="AD921" s="263">
        <f>Table1[[#This Row],[Substrate SF]]*SWISSRC</f>
        <v>1.2711111111111111</v>
      </c>
      <c r="AE92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921" s="73">
        <v>0</v>
      </c>
      <c r="AG921" s="126">
        <f>Materials!D$76</f>
        <v>10.82</v>
      </c>
      <c r="AH921" s="498">
        <f t="shared" si="318"/>
        <v>3</v>
      </c>
      <c r="AI921" s="498"/>
      <c r="AJ921" s="278">
        <f t="shared" si="312"/>
        <v>29.389777777777777</v>
      </c>
      <c r="AK921" s="650">
        <f t="shared" si="313"/>
        <v>0.51017037037037039</v>
      </c>
      <c r="AL921" s="225">
        <f>Table1[[#This Row],[WSP/Dealer]]/Table1[[#This Row],[OD Sq Inch]]</f>
        <v>8.3333333333333329E-2</v>
      </c>
      <c r="AM921" s="170">
        <f>Table1[[#This Row],[OD Wdth]]*Table1[[#This Row],[OD Hgt]]</f>
        <v>720</v>
      </c>
      <c r="AN921" s="84"/>
      <c r="AO921" s="84"/>
      <c r="AP921" s="84"/>
      <c r="AQ921" s="126"/>
      <c r="AR921" s="126"/>
      <c r="AS921" s="126"/>
      <c r="AT921" s="74"/>
      <c r="AU921" s="1357" t="str">
        <f t="shared" si="311"/>
        <v>-</v>
      </c>
    </row>
    <row r="922" spans="1:47" s="63" customFormat="1" hidden="1" x14ac:dyDescent="0.2">
      <c r="A922" s="101" t="s">
        <v>110</v>
      </c>
      <c r="B922" s="1067" t="s">
        <v>134</v>
      </c>
      <c r="C922" s="100" t="s">
        <v>2323</v>
      </c>
      <c r="D922" s="168"/>
      <c r="E922" s="115" t="s">
        <v>2320</v>
      </c>
      <c r="F922" s="115" t="s">
        <v>800</v>
      </c>
      <c r="G922" s="101" t="s">
        <v>433</v>
      </c>
      <c r="H922" s="101" t="s">
        <v>433</v>
      </c>
      <c r="I922" s="101" t="s">
        <v>52</v>
      </c>
      <c r="J922" s="487" t="s">
        <v>53</v>
      </c>
      <c r="K922" s="101" t="s">
        <v>54</v>
      </c>
      <c r="L922" s="101" t="s">
        <v>55</v>
      </c>
      <c r="M922" s="299">
        <v>890</v>
      </c>
      <c r="N922" s="114"/>
      <c r="O922" s="101" t="s">
        <v>56</v>
      </c>
      <c r="P922" s="101">
        <v>54</v>
      </c>
      <c r="Q922" s="101">
        <v>48</v>
      </c>
      <c r="R922" s="101">
        <v>48</v>
      </c>
      <c r="S922" s="697">
        <v>54</v>
      </c>
      <c r="T922" s="101">
        <v>54</v>
      </c>
      <c r="U922" s="101">
        <v>48</v>
      </c>
      <c r="V922" s="608">
        <f>IF(J922="Canvas",P922+Border,P922)</f>
        <v>62</v>
      </c>
      <c r="W922" s="608">
        <f>IF(J922="Canvas",Q922+Border,Q922)</f>
        <v>56</v>
      </c>
      <c r="X922" s="137">
        <v>59</v>
      </c>
      <c r="Y922" s="101">
        <v>65</v>
      </c>
      <c r="Z922" s="101">
        <v>59</v>
      </c>
      <c r="AA922" s="649">
        <f t="shared" si="316"/>
        <v>24.111111111111111</v>
      </c>
      <c r="AB922" s="184">
        <f t="shared" ref="AB922:AB928" si="320">AA922*IncaG</f>
        <v>507.29777777777775</v>
      </c>
      <c r="AC922" s="104">
        <f t="shared" ref="AC922:AC928" si="321">AA922*Canvas</f>
        <v>15.913333333333334</v>
      </c>
      <c r="AD922" s="1066">
        <f>Table1[[#This Row],[Substrate SF]]*IncaC</f>
        <v>40.583822222222224</v>
      </c>
      <c r="AE922" s="406">
        <f>IF(Table1[[#This Row],[Work Center]]="SwissQ",Materials!G$37,IF(Table1[[#This Row],[Work Center]]="Inca",Materials!G$29,IF(Table1[[#This Row],[Work Center]]="Canon",Materials!G$49,Materials!G$45)))</f>
        <v>8</v>
      </c>
      <c r="AF922" s="102">
        <f>'Cali FPS'!C118</f>
        <v>172</v>
      </c>
      <c r="AG922" s="115"/>
      <c r="AH922" s="406">
        <f t="shared" si="318"/>
        <v>44.5</v>
      </c>
      <c r="AI922" s="406">
        <f>IF(A922="Codarus",(M922*0.13))</f>
        <v>115.7</v>
      </c>
      <c r="AJ922" s="104">
        <f>SUM(AC922:AI922)</f>
        <v>396.69715555555553</v>
      </c>
      <c r="AK922" s="830">
        <f t="shared" si="313"/>
        <v>0.55427285892634215</v>
      </c>
      <c r="AL922" s="660">
        <f>Table1[[#This Row],[WSP/Dealer]]/Table1[[#This Row],[OD Sq Inch]]</f>
        <v>0.34336419753086422</v>
      </c>
      <c r="AM922" s="399">
        <f>Table1[[#This Row],[OD Wdth]]*Table1[[#This Row],[OD Hgt]]</f>
        <v>2592</v>
      </c>
      <c r="AN922" s="400">
        <f>Table1[[#This Row],[Min VO]]+Table1[[#This Row],[Max VO]]</f>
        <v>102</v>
      </c>
      <c r="AO922" s="115"/>
      <c r="AP922" s="121">
        <v>2900</v>
      </c>
      <c r="AQ922" s="104">
        <f>(Table1[[#This Row],[Desgnr/Retail P]]*0.05)</f>
        <v>145</v>
      </c>
      <c r="AR922" s="121">
        <f>IF(A922="Codarus",(AP922*0.13))</f>
        <v>377</v>
      </c>
      <c r="AS922" s="121">
        <f>SUM(Table1[[#This Row],[Substrate $]:[GP FINISH]])+Table1[[#This Row],[Retail Royalty]]+Table1[[#This Row],[Retail$Comm]]</f>
        <v>758.49715555555554</v>
      </c>
      <c r="AT922" s="830">
        <f>IF(AP922=0,"-",(AP922-AS922)/AP922)</f>
        <v>0.73844925670498074</v>
      </c>
      <c r="AU922" s="1359">
        <f t="shared" si="311"/>
        <v>0.99490724650548301</v>
      </c>
    </row>
    <row r="923" spans="1:47" s="63" customFormat="1" x14ac:dyDescent="0.2">
      <c r="A923" s="86" t="s">
        <v>58</v>
      </c>
      <c r="B923" s="1061" t="s">
        <v>146</v>
      </c>
      <c r="C923" s="75" t="s">
        <v>2324</v>
      </c>
      <c r="D923" s="94" t="s">
        <v>2325</v>
      </c>
      <c r="E923" s="85" t="s">
        <v>2326</v>
      </c>
      <c r="F923" s="85" t="s">
        <v>1738</v>
      </c>
      <c r="G923" s="86" t="s">
        <v>2327</v>
      </c>
      <c r="H923" s="86" t="s">
        <v>2327</v>
      </c>
      <c r="I923" s="86" t="s">
        <v>52</v>
      </c>
      <c r="J923" s="86" t="s">
        <v>53</v>
      </c>
      <c r="K923" s="86" t="s">
        <v>54</v>
      </c>
      <c r="L923" s="86" t="s">
        <v>55</v>
      </c>
      <c r="M923" s="87">
        <v>700</v>
      </c>
      <c r="N923" s="639">
        <v>720</v>
      </c>
      <c r="O923" s="60" t="s">
        <v>2328</v>
      </c>
      <c r="P923" s="273">
        <v>50</v>
      </c>
      <c r="Q923" s="273">
        <v>33</v>
      </c>
      <c r="R923" s="60">
        <v>33</v>
      </c>
      <c r="S923" s="273">
        <v>50</v>
      </c>
      <c r="T923" s="273">
        <f>Table1[[#This Row],[VO Wdth]]</f>
        <v>50</v>
      </c>
      <c r="U923" s="273">
        <f>Table1[[#This Row],[VO Hgt]]</f>
        <v>33</v>
      </c>
      <c r="V923" s="946">
        <f t="shared" ref="V923:V928" si="322">IF(J923="Canvas",P923+BorderGW,P923)</f>
        <v>58</v>
      </c>
      <c r="W923" s="946">
        <f t="shared" ref="W923:W928" si="323">IF(J923="Canvas",Q923+BorderGW,Q923)</f>
        <v>41</v>
      </c>
      <c r="X923" s="138">
        <v>40</v>
      </c>
      <c r="Y923" s="60"/>
      <c r="Z923" s="60"/>
      <c r="AA923" s="717">
        <f t="shared" si="316"/>
        <v>16.513888888888889</v>
      </c>
      <c r="AB923" s="125">
        <f t="shared" si="320"/>
        <v>347.45222222222219</v>
      </c>
      <c r="AC923" s="69">
        <f t="shared" si="321"/>
        <v>10.899166666666668</v>
      </c>
      <c r="AD923" s="48">
        <f t="shared" ref="AD923:AD928" si="324">AA923*IncaC</f>
        <v>27.796177777777778</v>
      </c>
      <c r="AE923" s="104">
        <f>IF(Table1[[#This Row],[Work Center]]="SwissQ",Materials!G$37,IF(Table1[[#This Row],[Work Center]]="Inca",Materials!G$29,IF(Table1[[#This Row],[Work Center]]="Canon",Materials!G$49,Materials!G$45)))</f>
        <v>8</v>
      </c>
      <c r="AF923" s="72">
        <f>'Cali FPS'!C61</f>
        <v>106.66250000000001</v>
      </c>
      <c r="AG923" s="115"/>
      <c r="AH923" s="498">
        <f t="shared" si="318"/>
        <v>35</v>
      </c>
      <c r="AI923" s="498"/>
      <c r="AJ923" s="69">
        <f t="shared" ref="AJ923:AJ938" si="325">SUM(AC923:AH923)</f>
        <v>188.35784444444445</v>
      </c>
      <c r="AK923" s="650">
        <f t="shared" si="313"/>
        <v>0.730917365079365</v>
      </c>
      <c r="AL923" s="225">
        <f>Table1[[#This Row],[WSP/Dealer]]/Table1[[#This Row],[OD Sq Inch]]</f>
        <v>0.42424242424242425</v>
      </c>
      <c r="AM923" s="101">
        <f>Table1[[#This Row],[OD Wdth]]*Table1[[#This Row],[OD Hgt]]</f>
        <v>1650</v>
      </c>
      <c r="AN923" s="216">
        <f>Table1[[#This Row],[Min VO]]+Table1[[#This Row],[Max VO]]</f>
        <v>83</v>
      </c>
      <c r="AO923" s="101"/>
      <c r="AP923" s="101"/>
      <c r="AQ923" s="104"/>
      <c r="AR923" s="104"/>
      <c r="AS923" s="104"/>
      <c r="AT923" s="104"/>
      <c r="AU923" s="830" t="str">
        <f t="shared" si="311"/>
        <v>-</v>
      </c>
    </row>
    <row r="924" spans="1:47" s="63" customFormat="1" x14ac:dyDescent="0.2">
      <c r="A924" s="86" t="s">
        <v>58</v>
      </c>
      <c r="B924" s="1061" t="s">
        <v>146</v>
      </c>
      <c r="C924" s="75" t="s">
        <v>2329</v>
      </c>
      <c r="D924" s="94" t="s">
        <v>2330</v>
      </c>
      <c r="E924" s="85" t="s">
        <v>2326</v>
      </c>
      <c r="F924" s="85" t="s">
        <v>1738</v>
      </c>
      <c r="G924" s="86" t="s">
        <v>2327</v>
      </c>
      <c r="H924" s="86" t="s">
        <v>2331</v>
      </c>
      <c r="I924" s="86" t="s">
        <v>52</v>
      </c>
      <c r="J924" s="86" t="s">
        <v>53</v>
      </c>
      <c r="K924" s="86" t="s">
        <v>69</v>
      </c>
      <c r="L924" s="86" t="s">
        <v>70</v>
      </c>
      <c r="M924" s="87">
        <v>780</v>
      </c>
      <c r="N924" s="639">
        <v>800</v>
      </c>
      <c r="O924" s="60" t="s">
        <v>2328</v>
      </c>
      <c r="P924" s="273">
        <v>50</v>
      </c>
      <c r="Q924" s="273">
        <v>33</v>
      </c>
      <c r="R924" s="60">
        <v>33</v>
      </c>
      <c r="S924" s="273">
        <v>50</v>
      </c>
      <c r="T924" s="60">
        <v>51</v>
      </c>
      <c r="U924" s="273" t="str">
        <f>RIGHT(Table1[[#This Row],[OD]],2)</f>
        <v>34</v>
      </c>
      <c r="V924" s="946">
        <f t="shared" si="322"/>
        <v>58</v>
      </c>
      <c r="W924" s="946">
        <f t="shared" si="323"/>
        <v>41</v>
      </c>
      <c r="X924" s="138">
        <v>40</v>
      </c>
      <c r="Y924" s="60"/>
      <c r="Z924" s="60"/>
      <c r="AA924" s="717">
        <f t="shared" si="316"/>
        <v>16.513888888888889</v>
      </c>
      <c r="AB924" s="125">
        <f t="shared" si="320"/>
        <v>347.45222222222219</v>
      </c>
      <c r="AC924" s="69">
        <f t="shared" si="321"/>
        <v>10.899166666666668</v>
      </c>
      <c r="AD924" s="48">
        <f t="shared" si="324"/>
        <v>27.796177777777778</v>
      </c>
      <c r="AE924" s="104">
        <f>IF(Table1[[#This Row],[Work Center]]="SwissQ",Materials!G$37,IF(Table1[[#This Row],[Work Center]]="Inca",Materials!G$29,IF(Table1[[#This Row],[Work Center]]="Canon",Materials!G$49,Materials!G$45)))</f>
        <v>8</v>
      </c>
      <c r="AF924" s="69"/>
      <c r="AG924" s="115"/>
      <c r="AH924" s="498">
        <f t="shared" si="318"/>
        <v>39</v>
      </c>
      <c r="AI924" s="498"/>
      <c r="AJ924" s="69">
        <f t="shared" si="325"/>
        <v>85.695344444444444</v>
      </c>
      <c r="AK924" s="650">
        <f t="shared" si="313"/>
        <v>0.89013417378917381</v>
      </c>
      <c r="AL924" s="225">
        <f>Table1[[#This Row],[WSP/Dealer]]/Table1[[#This Row],[OD Sq Inch]]</f>
        <v>0.44982698961937717</v>
      </c>
      <c r="AM924" s="101">
        <f>Table1[[#This Row],[OD Wdth]]*Table1[[#This Row],[OD Hgt]]</f>
        <v>1734</v>
      </c>
      <c r="AN924" s="216">
        <f>Table1[[#This Row],[Min VO]]+Table1[[#This Row],[Max VO]]</f>
        <v>83</v>
      </c>
      <c r="AO924" s="101"/>
      <c r="AP924" s="101"/>
      <c r="AQ924" s="104"/>
      <c r="AR924" s="104"/>
      <c r="AS924" s="104"/>
      <c r="AT924" s="104"/>
      <c r="AU924" s="830" t="str">
        <f t="shared" si="311"/>
        <v>-</v>
      </c>
    </row>
    <row r="925" spans="1:47" s="63" customFormat="1" x14ac:dyDescent="0.2">
      <c r="A925" s="86" t="s">
        <v>58</v>
      </c>
      <c r="B925" s="1061" t="s">
        <v>146</v>
      </c>
      <c r="C925" s="75" t="s">
        <v>2332</v>
      </c>
      <c r="D925" s="94" t="s">
        <v>2333</v>
      </c>
      <c r="E925" s="85" t="s">
        <v>2326</v>
      </c>
      <c r="F925" s="85" t="s">
        <v>1738</v>
      </c>
      <c r="G925" s="86" t="s">
        <v>2327</v>
      </c>
      <c r="H925" s="86" t="s">
        <v>2331</v>
      </c>
      <c r="I925" s="86" t="s">
        <v>52</v>
      </c>
      <c r="J925" s="86" t="s">
        <v>53</v>
      </c>
      <c r="K925" s="86" t="s">
        <v>69</v>
      </c>
      <c r="L925" s="86" t="s">
        <v>73</v>
      </c>
      <c r="M925" s="87">
        <v>850</v>
      </c>
      <c r="N925" s="639">
        <v>800</v>
      </c>
      <c r="O925" s="60" t="s">
        <v>2328</v>
      </c>
      <c r="P925" s="273">
        <v>50</v>
      </c>
      <c r="Q925" s="273">
        <v>33</v>
      </c>
      <c r="R925" s="60">
        <v>33</v>
      </c>
      <c r="S925" s="273">
        <v>50</v>
      </c>
      <c r="T925" s="60">
        <v>51</v>
      </c>
      <c r="U925" s="273" t="str">
        <f>RIGHT(Table1[[#This Row],[OD]],2)</f>
        <v>34</v>
      </c>
      <c r="V925" s="946">
        <f t="shared" si="322"/>
        <v>58</v>
      </c>
      <c r="W925" s="946">
        <f t="shared" si="323"/>
        <v>41</v>
      </c>
      <c r="X925" s="138">
        <v>40</v>
      </c>
      <c r="Y925" s="60"/>
      <c r="Z925" s="60"/>
      <c r="AA925" s="717">
        <f t="shared" si="316"/>
        <v>16.513888888888889</v>
      </c>
      <c r="AB925" s="125">
        <f t="shared" si="320"/>
        <v>347.45222222222219</v>
      </c>
      <c r="AC925" s="69">
        <f t="shared" si="321"/>
        <v>10.899166666666668</v>
      </c>
      <c r="AD925" s="48">
        <f t="shared" si="324"/>
        <v>27.796177777777778</v>
      </c>
      <c r="AE925" s="104">
        <f>IF(Table1[[#This Row],[Work Center]]="SwissQ",Materials!G$37,IF(Table1[[#This Row],[Work Center]]="Inca",Materials!G$29,IF(Table1[[#This Row],[Work Center]]="Canon",Materials!G$49,Materials!G$45)))</f>
        <v>8</v>
      </c>
      <c r="AF925" s="69"/>
      <c r="AG925" s="115"/>
      <c r="AH925" s="498">
        <f t="shared" si="318"/>
        <v>42.5</v>
      </c>
      <c r="AI925" s="498"/>
      <c r="AJ925" s="69">
        <f t="shared" si="325"/>
        <v>89.195344444444444</v>
      </c>
      <c r="AK925" s="650">
        <f t="shared" si="313"/>
        <v>0.89506430065359477</v>
      </c>
      <c r="AL925" s="225">
        <f>Table1[[#This Row],[WSP/Dealer]]/Table1[[#This Row],[OD Sq Inch]]</f>
        <v>0.49019607843137253</v>
      </c>
      <c r="AM925" s="101">
        <f>Table1[[#This Row],[OD Wdth]]*Table1[[#This Row],[OD Hgt]]</f>
        <v>1734</v>
      </c>
      <c r="AN925" s="216">
        <f>Table1[[#This Row],[Min VO]]+Table1[[#This Row],[Max VO]]</f>
        <v>83</v>
      </c>
      <c r="AO925" s="101"/>
      <c r="AP925" s="101"/>
      <c r="AQ925" s="104"/>
      <c r="AR925" s="104"/>
      <c r="AS925" s="104"/>
      <c r="AT925" s="104"/>
      <c r="AU925" s="830" t="str">
        <f t="shared" si="311"/>
        <v>-</v>
      </c>
    </row>
    <row r="926" spans="1:47" s="63" customFormat="1" x14ac:dyDescent="0.2">
      <c r="A926" s="86" t="s">
        <v>58</v>
      </c>
      <c r="B926" s="1061" t="s">
        <v>450</v>
      </c>
      <c r="C926" s="75" t="s">
        <v>2334</v>
      </c>
      <c r="D926" s="94" t="s">
        <v>2335</v>
      </c>
      <c r="E926" s="85" t="s">
        <v>2336</v>
      </c>
      <c r="F926" s="85" t="s">
        <v>1738</v>
      </c>
      <c r="G926" s="86" t="s">
        <v>2337</v>
      </c>
      <c r="H926" s="86" t="s">
        <v>2337</v>
      </c>
      <c r="I926" s="86" t="s">
        <v>52</v>
      </c>
      <c r="J926" s="86" t="s">
        <v>53</v>
      </c>
      <c r="K926" s="86" t="s">
        <v>54</v>
      </c>
      <c r="L926" s="86" t="s">
        <v>55</v>
      </c>
      <c r="M926" s="87">
        <v>1100</v>
      </c>
      <c r="N926" s="639">
        <v>1100</v>
      </c>
      <c r="O926" s="101" t="s">
        <v>56</v>
      </c>
      <c r="P926" s="273">
        <v>70</v>
      </c>
      <c r="Q926" s="273">
        <v>46</v>
      </c>
      <c r="R926" s="60">
        <v>46</v>
      </c>
      <c r="S926" s="273">
        <v>70</v>
      </c>
      <c r="T926" s="273">
        <f>Table1[[#This Row],[VO Wdth]]</f>
        <v>70</v>
      </c>
      <c r="U926" s="273">
        <f>Table1[[#This Row],[VO Hgt]]</f>
        <v>46</v>
      </c>
      <c r="V926" s="608">
        <f t="shared" si="322"/>
        <v>78</v>
      </c>
      <c r="W926" s="608">
        <f t="shared" si="323"/>
        <v>54</v>
      </c>
      <c r="X926" s="137">
        <v>80</v>
      </c>
      <c r="Y926" s="101"/>
      <c r="Z926" s="101"/>
      <c r="AA926" s="649">
        <f t="shared" si="316"/>
        <v>29.25</v>
      </c>
      <c r="AB926" s="184">
        <f t="shared" si="320"/>
        <v>615.41999999999996</v>
      </c>
      <c r="AC926" s="104">
        <f t="shared" si="321"/>
        <v>19.305</v>
      </c>
      <c r="AD926" s="107">
        <f t="shared" si="324"/>
        <v>49.233600000000003</v>
      </c>
      <c r="AE926" s="104">
        <f>IF(Table1[[#This Row],[Work Center]]="SwissQ",Materials!G$37,IF(Table1[[#This Row],[Work Center]]="Inca",Materials!G$29,IF(Table1[[#This Row],[Work Center]]="Canon",Materials!G$49,Materials!G$45)))</f>
        <v>8</v>
      </c>
      <c r="AF926" s="69">
        <f>'Cali FPS'!C$109</f>
        <v>176.785</v>
      </c>
      <c r="AG926" s="115"/>
      <c r="AH926" s="498">
        <f t="shared" si="318"/>
        <v>55</v>
      </c>
      <c r="AI926" s="498"/>
      <c r="AJ926" s="104">
        <f t="shared" si="325"/>
        <v>308.3236</v>
      </c>
      <c r="AK926" s="650">
        <f t="shared" si="313"/>
        <v>0.71970581818181822</v>
      </c>
      <c r="AL926" s="225">
        <f>Table1[[#This Row],[WSP/Dealer]]/Table1[[#This Row],[OD Sq Inch]]</f>
        <v>0.34161490683229812</v>
      </c>
      <c r="AM926" s="101">
        <f>Table1[[#This Row],[OD Wdth]]*Table1[[#This Row],[OD Hgt]]</f>
        <v>3220</v>
      </c>
      <c r="AN926" s="216">
        <f>Table1[[#This Row],[Min VO]]+Table1[[#This Row],[Max VO]]</f>
        <v>116</v>
      </c>
      <c r="AO926" s="101"/>
      <c r="AP926" s="101"/>
      <c r="AQ926" s="104"/>
      <c r="AR926" s="104"/>
      <c r="AS926" s="104"/>
      <c r="AT926" s="104"/>
      <c r="AU926" s="830" t="str">
        <f t="shared" si="311"/>
        <v>-</v>
      </c>
    </row>
    <row r="927" spans="1:47" s="63" customFormat="1" x14ac:dyDescent="0.2">
      <c r="A927" s="86" t="s">
        <v>58</v>
      </c>
      <c r="B927" s="1061" t="s">
        <v>159</v>
      </c>
      <c r="C927" s="75" t="s">
        <v>2338</v>
      </c>
      <c r="D927" s="94" t="s">
        <v>2339</v>
      </c>
      <c r="E927" s="85" t="s">
        <v>2336</v>
      </c>
      <c r="F927" s="85" t="s">
        <v>1738</v>
      </c>
      <c r="G927" s="86" t="s">
        <v>2337</v>
      </c>
      <c r="H927" s="86" t="s">
        <v>2340</v>
      </c>
      <c r="I927" s="86" t="s">
        <v>52</v>
      </c>
      <c r="J927" s="86" t="s">
        <v>53</v>
      </c>
      <c r="K927" s="86" t="s">
        <v>69</v>
      </c>
      <c r="L927" s="86" t="s">
        <v>70</v>
      </c>
      <c r="M927" s="87">
        <f>1100+180</f>
        <v>1280</v>
      </c>
      <c r="N927" s="639">
        <v>1300</v>
      </c>
      <c r="O927" s="60" t="s">
        <v>2328</v>
      </c>
      <c r="P927" s="273">
        <v>70</v>
      </c>
      <c r="Q927" s="273">
        <v>46</v>
      </c>
      <c r="R927" s="60">
        <v>46</v>
      </c>
      <c r="S927" s="273">
        <v>70</v>
      </c>
      <c r="T927" s="60">
        <v>71</v>
      </c>
      <c r="U927" s="273" t="str">
        <f>RIGHT(Table1[[#This Row],[OD]],2)</f>
        <v>47</v>
      </c>
      <c r="V927" s="946">
        <f t="shared" si="322"/>
        <v>78</v>
      </c>
      <c r="W927" s="946">
        <f t="shared" si="323"/>
        <v>54</v>
      </c>
      <c r="X927" s="138">
        <v>82</v>
      </c>
      <c r="Y927" s="60"/>
      <c r="Z927" s="60"/>
      <c r="AA927" s="717">
        <f t="shared" si="316"/>
        <v>29.25</v>
      </c>
      <c r="AB927" s="125">
        <f t="shared" si="320"/>
        <v>615.41999999999996</v>
      </c>
      <c r="AC927" s="69">
        <f t="shared" si="321"/>
        <v>19.305</v>
      </c>
      <c r="AD927" s="48">
        <f t="shared" si="324"/>
        <v>49.233600000000003</v>
      </c>
      <c r="AE927" s="104">
        <f>IF(Table1[[#This Row],[Work Center]]="SwissQ",Materials!G$37,IF(Table1[[#This Row],[Work Center]]="Inca",Materials!G$29,IF(Table1[[#This Row],[Work Center]]="Canon",Materials!G$49,Materials!G$45)))</f>
        <v>8</v>
      </c>
      <c r="AF927" s="69"/>
      <c r="AG927" s="115"/>
      <c r="AH927" s="498">
        <f t="shared" si="318"/>
        <v>64</v>
      </c>
      <c r="AI927" s="498"/>
      <c r="AJ927" s="69">
        <f t="shared" si="325"/>
        <v>140.5386</v>
      </c>
      <c r="AK927" s="650">
        <f t="shared" si="313"/>
        <v>0.89020421874999989</v>
      </c>
      <c r="AL927" s="225">
        <f>Table1[[#This Row],[WSP/Dealer]]/Table1[[#This Row],[OD Sq Inch]]</f>
        <v>0.38357806412945761</v>
      </c>
      <c r="AM927" s="101">
        <f>Table1[[#This Row],[OD Wdth]]*Table1[[#This Row],[OD Hgt]]</f>
        <v>3337</v>
      </c>
      <c r="AN927" s="216">
        <f>Table1[[#This Row],[Min VO]]+Table1[[#This Row],[Max VO]]</f>
        <v>116</v>
      </c>
      <c r="AO927" s="101"/>
      <c r="AP927" s="101"/>
      <c r="AQ927" s="104"/>
      <c r="AR927" s="104"/>
      <c r="AS927" s="104"/>
      <c r="AT927" s="104"/>
      <c r="AU927" s="830" t="str">
        <f t="shared" si="311"/>
        <v>-</v>
      </c>
    </row>
    <row r="928" spans="1:47" s="103" customFormat="1" x14ac:dyDescent="0.2">
      <c r="A928" s="86" t="s">
        <v>58</v>
      </c>
      <c r="B928" s="1061" t="s">
        <v>159</v>
      </c>
      <c r="C928" s="75" t="s">
        <v>2341</v>
      </c>
      <c r="D928" s="94" t="s">
        <v>2342</v>
      </c>
      <c r="E928" s="85" t="s">
        <v>2336</v>
      </c>
      <c r="F928" s="85" t="s">
        <v>1738</v>
      </c>
      <c r="G928" s="86" t="s">
        <v>2337</v>
      </c>
      <c r="H928" s="86" t="s">
        <v>2340</v>
      </c>
      <c r="I928" s="86" t="s">
        <v>52</v>
      </c>
      <c r="J928" s="86" t="s">
        <v>53</v>
      </c>
      <c r="K928" s="86" t="s">
        <v>69</v>
      </c>
      <c r="L928" s="86" t="s">
        <v>73</v>
      </c>
      <c r="M928" s="87">
        <f>1100+260</f>
        <v>1360</v>
      </c>
      <c r="N928" s="639">
        <v>1300</v>
      </c>
      <c r="O928" s="60" t="s">
        <v>2328</v>
      </c>
      <c r="P928" s="273">
        <v>70</v>
      </c>
      <c r="Q928" s="273">
        <v>46</v>
      </c>
      <c r="R928" s="60">
        <v>46</v>
      </c>
      <c r="S928" s="273">
        <v>70</v>
      </c>
      <c r="T928" s="60">
        <v>71</v>
      </c>
      <c r="U928" s="273" t="str">
        <f>RIGHT(Table1[[#This Row],[OD]],2)</f>
        <v>47</v>
      </c>
      <c r="V928" s="47">
        <f t="shared" si="322"/>
        <v>78</v>
      </c>
      <c r="W928" s="47">
        <f t="shared" si="323"/>
        <v>54</v>
      </c>
      <c r="X928" s="138">
        <v>82</v>
      </c>
      <c r="Y928" s="60"/>
      <c r="Z928" s="60"/>
      <c r="AA928" s="717">
        <f t="shared" si="316"/>
        <v>29.25</v>
      </c>
      <c r="AB928" s="125">
        <f t="shared" si="320"/>
        <v>615.41999999999996</v>
      </c>
      <c r="AC928" s="69">
        <f t="shared" si="321"/>
        <v>19.305</v>
      </c>
      <c r="AD928" s="48">
        <f t="shared" si="324"/>
        <v>49.233600000000003</v>
      </c>
      <c r="AE928" s="104">
        <f>IF(Table1[[#This Row],[Work Center]]="SwissQ",Materials!G$37,IF(Table1[[#This Row],[Work Center]]="Inca",Materials!G$29,IF(Table1[[#This Row],[Work Center]]="Canon",Materials!G$49,Materials!G$45)))</f>
        <v>8</v>
      </c>
      <c r="AF928" s="69"/>
      <c r="AG928" s="115"/>
      <c r="AH928" s="112">
        <f t="shared" si="318"/>
        <v>68</v>
      </c>
      <c r="AI928" s="112"/>
      <c r="AJ928" s="69">
        <f t="shared" si="325"/>
        <v>144.5386</v>
      </c>
      <c r="AK928" s="62">
        <f t="shared" si="313"/>
        <v>0.89372161764705871</v>
      </c>
      <c r="AL928" s="225">
        <f>Table1[[#This Row],[WSP/Dealer]]/Table1[[#This Row],[OD Sq Inch]]</f>
        <v>0.40755169313754869</v>
      </c>
      <c r="AM928" s="103">
        <f>Table1[[#This Row],[OD Wdth]]*Table1[[#This Row],[OD Hgt]]</f>
        <v>3337</v>
      </c>
      <c r="AN928" s="216">
        <f>Table1[[#This Row],[Min VO]]+Table1[[#This Row],[Max VO]]</f>
        <v>116</v>
      </c>
      <c r="AO928" s="101"/>
      <c r="AP928" s="101"/>
      <c r="AQ928" s="104"/>
      <c r="AR928" s="104"/>
      <c r="AS928" s="104"/>
      <c r="AT928" s="104"/>
      <c r="AU928" s="830" t="str">
        <f t="shared" si="311"/>
        <v>-</v>
      </c>
    </row>
    <row r="929" spans="1:47" s="103" customFormat="1" x14ac:dyDescent="0.2">
      <c r="A929" s="180" t="s">
        <v>58</v>
      </c>
      <c r="B929" s="1061" t="s">
        <v>587</v>
      </c>
      <c r="C929" s="281" t="s">
        <v>2343</v>
      </c>
      <c r="D929" s="94"/>
      <c r="E929" s="291" t="s">
        <v>2317</v>
      </c>
      <c r="F929" s="291" t="s">
        <v>585</v>
      </c>
      <c r="G929" s="180" t="s">
        <v>586</v>
      </c>
      <c r="H929" s="180" t="s">
        <v>586</v>
      </c>
      <c r="I929" s="180" t="s">
        <v>52</v>
      </c>
      <c r="J929" s="310" t="s">
        <v>280</v>
      </c>
      <c r="K929" s="180" t="s">
        <v>281</v>
      </c>
      <c r="L929" s="180" t="s">
        <v>282</v>
      </c>
      <c r="M929" s="292">
        <v>450</v>
      </c>
      <c r="N929" s="639">
        <v>450</v>
      </c>
      <c r="O929" s="180" t="s">
        <v>64</v>
      </c>
      <c r="P929" s="180">
        <v>24</v>
      </c>
      <c r="Q929" s="180">
        <v>30</v>
      </c>
      <c r="R929" s="180">
        <v>24</v>
      </c>
      <c r="S929" s="180">
        <v>30</v>
      </c>
      <c r="T929" s="180">
        <v>24</v>
      </c>
      <c r="U929" s="180">
        <v>30</v>
      </c>
      <c r="V929" s="947">
        <v>24</v>
      </c>
      <c r="W929" s="947">
        <v>30</v>
      </c>
      <c r="X929" s="289" t="s">
        <v>283</v>
      </c>
      <c r="Y929" s="180"/>
      <c r="Z929" s="180"/>
      <c r="AA929" s="678">
        <f t="shared" si="316"/>
        <v>5</v>
      </c>
      <c r="AB929" s="329">
        <f>AA929*Swiss1</f>
        <v>141.5</v>
      </c>
      <c r="AC929" s="176">
        <f>MDFSHEET*0.25</f>
        <v>6.0875000000000004</v>
      </c>
      <c r="AD929" s="175">
        <f>Table1[[#This Row],[Substrate SF]]*Materials!C$37</f>
        <v>14</v>
      </c>
      <c r="AE929" s="104">
        <f>IF(Table1[[#This Row],[Work Center]]="SwissQ",Materials!G$37,IF(Table1[[#This Row],[Work Center]]="Inca",Materials!G$29,IF(Table1[[#This Row],[Work Center]]="Canon",Materials!G$49,Materials!G$45)))</f>
        <v>20</v>
      </c>
      <c r="AF929" s="290">
        <f>'Cali Frames'!D539</f>
        <v>101.955</v>
      </c>
      <c r="AG929" s="296"/>
      <c r="AH929" s="112">
        <f t="shared" si="318"/>
        <v>22.5</v>
      </c>
      <c r="AI929" s="112"/>
      <c r="AJ929" s="176">
        <f t="shared" si="325"/>
        <v>164.54249999999999</v>
      </c>
      <c r="AK929" s="62">
        <f t="shared" si="313"/>
        <v>0.63434999999999997</v>
      </c>
      <c r="AL929" s="225">
        <f>Table1[[#This Row],[WSP/Dealer]]/Table1[[#This Row],[OD Sq Inch]]</f>
        <v>0.625</v>
      </c>
      <c r="AM929" s="101">
        <f>Table1[[#This Row],[OD Wdth]]*Table1[[#This Row],[OD Hgt]]</f>
        <v>720</v>
      </c>
      <c r="AN929" s="216">
        <f>Table1[[#This Row],[Min VO]]+Table1[[#This Row],[Max VO]]</f>
        <v>54</v>
      </c>
      <c r="AO929" s="284"/>
      <c r="AP929" s="284"/>
      <c r="AQ929" s="296"/>
      <c r="AR929" s="296"/>
      <c r="AS929" s="296"/>
      <c r="AT929" s="176"/>
      <c r="AU929" s="1358" t="str">
        <f t="shared" si="311"/>
        <v>-</v>
      </c>
    </row>
    <row r="930" spans="1:47" s="63" customFormat="1" x14ac:dyDescent="0.2">
      <c r="A930" s="101" t="s">
        <v>58</v>
      </c>
      <c r="B930" s="1067" t="s">
        <v>599</v>
      </c>
      <c r="C930" s="719" t="s">
        <v>2344</v>
      </c>
      <c r="D930" s="168"/>
      <c r="E930" s="115" t="s">
        <v>2345</v>
      </c>
      <c r="F930" s="115" t="s">
        <v>144</v>
      </c>
      <c r="G930" s="101" t="s">
        <v>602</v>
      </c>
      <c r="H930" s="101" t="s">
        <v>602</v>
      </c>
      <c r="I930" s="101" t="s">
        <v>52</v>
      </c>
      <c r="J930" s="487" t="s">
        <v>53</v>
      </c>
      <c r="K930" s="101" t="s">
        <v>54</v>
      </c>
      <c r="L930" s="101" t="s">
        <v>55</v>
      </c>
      <c r="M930" s="299">
        <v>400</v>
      </c>
      <c r="N930" s="114"/>
      <c r="O930" s="101" t="s">
        <v>56</v>
      </c>
      <c r="P930" s="697">
        <v>25</v>
      </c>
      <c r="Q930" s="697">
        <v>31</v>
      </c>
      <c r="R930" s="101">
        <v>25</v>
      </c>
      <c r="S930" s="697">
        <v>31</v>
      </c>
      <c r="T930" s="101">
        <v>25</v>
      </c>
      <c r="U930" s="697">
        <v>31</v>
      </c>
      <c r="V930" s="106">
        <f t="shared" ref="V930:V936" si="326">IF(J930="Canvas",P930+Border,P930)</f>
        <v>33</v>
      </c>
      <c r="W930" s="106">
        <f t="shared" ref="W930:W936" si="327">IF(J930="Canvas",Q930+Border,Q930)</f>
        <v>39</v>
      </c>
      <c r="X930" s="101">
        <v>40</v>
      </c>
      <c r="Y930" s="101">
        <v>33</v>
      </c>
      <c r="Z930" s="101">
        <v>39</v>
      </c>
      <c r="AA930" s="649">
        <f t="shared" si="316"/>
        <v>8.9375</v>
      </c>
      <c r="AB930" s="184">
        <f>AA930*IncaG</f>
        <v>188.04499999999999</v>
      </c>
      <c r="AC930" s="104">
        <f>AA930*Canvas</f>
        <v>5.8987500000000006</v>
      </c>
      <c r="AD930" s="107">
        <f>AA930*IncaC</f>
        <v>15.0436</v>
      </c>
      <c r="AE930" s="104">
        <f>IF(Table1[[#This Row],[Work Center]]="SwissQ",Materials!G$37,IF(Table1[[#This Row],[Work Center]]="Inca",Materials!G$29,IF(Table1[[#This Row],[Work Center]]="Canon",Materials!G$49,Materials!G$45)))</f>
        <v>8</v>
      </c>
      <c r="AF930" s="102">
        <f>'Cali FPS'!C40</f>
        <v>79.239999999999995</v>
      </c>
      <c r="AG930" s="115"/>
      <c r="AH930" s="107">
        <f t="shared" si="318"/>
        <v>20</v>
      </c>
      <c r="AI930" s="107"/>
      <c r="AJ930" s="104">
        <f t="shared" si="325"/>
        <v>128.18234999999999</v>
      </c>
      <c r="AK930" s="108">
        <f t="shared" si="313"/>
        <v>0.67954412500000005</v>
      </c>
      <c r="AL930" s="660">
        <f>Table1[[#This Row],[WSP/Dealer]]/Table1[[#This Row],[OD Sq Inch]]</f>
        <v>0.5161290322580645</v>
      </c>
      <c r="AM930" s="229">
        <f>Table1[[#This Row],[OD Wdth]]*Table1[[#This Row],[OD Hgt]]</f>
        <v>775</v>
      </c>
      <c r="AN930" s="266">
        <f>Table1[[#This Row],[Min VO]]+Table1[[#This Row],[Max VO]]</f>
        <v>56</v>
      </c>
      <c r="AO930" s="115"/>
      <c r="AP930" s="115"/>
      <c r="AQ930" s="121"/>
      <c r="AR930" s="121"/>
      <c r="AS930" s="121"/>
      <c r="AT930" s="104"/>
      <c r="AU930" s="1359" t="str">
        <f t="shared" ref="AU930:AU961" si="328">IF(AQ930=0,"-",(AQ930-AT930)/AQ930)</f>
        <v>-</v>
      </c>
    </row>
    <row r="931" spans="1:47" s="63" customFormat="1" x14ac:dyDescent="0.2">
      <c r="A931" s="68" t="s">
        <v>58</v>
      </c>
      <c r="B931" s="1072" t="s">
        <v>310</v>
      </c>
      <c r="C931" s="257" t="s">
        <v>2346</v>
      </c>
      <c r="D931" s="94"/>
      <c r="E931" s="84" t="s">
        <v>2345</v>
      </c>
      <c r="F931" s="84" t="s">
        <v>144</v>
      </c>
      <c r="G931" s="68" t="s">
        <v>602</v>
      </c>
      <c r="H931" s="68" t="s">
        <v>2347</v>
      </c>
      <c r="I931" s="68" t="s">
        <v>52</v>
      </c>
      <c r="J931" s="140" t="s">
        <v>53</v>
      </c>
      <c r="K931" s="68" t="s">
        <v>82</v>
      </c>
      <c r="L931" s="68" t="s">
        <v>298</v>
      </c>
      <c r="M931" s="93">
        <v>575</v>
      </c>
      <c r="N931" s="93"/>
      <c r="O931" s="68" t="s">
        <v>56</v>
      </c>
      <c r="P931" s="623">
        <v>25</v>
      </c>
      <c r="Q931" s="623">
        <v>31</v>
      </c>
      <c r="R931" s="68">
        <v>25</v>
      </c>
      <c r="S931" s="65">
        <v>31</v>
      </c>
      <c r="T931" s="63">
        <v>27</v>
      </c>
      <c r="U931" s="65">
        <v>33</v>
      </c>
      <c r="V931" s="917">
        <f t="shared" si="326"/>
        <v>33</v>
      </c>
      <c r="W931" s="917">
        <f t="shared" si="327"/>
        <v>39</v>
      </c>
      <c r="X931" s="68">
        <v>40</v>
      </c>
      <c r="Y931" s="68">
        <v>33</v>
      </c>
      <c r="Z931" s="68">
        <v>39</v>
      </c>
      <c r="AA931" s="699">
        <f t="shared" si="316"/>
        <v>8.9375</v>
      </c>
      <c r="AB931" s="297">
        <f>AA931*IncaG</f>
        <v>188.04499999999999</v>
      </c>
      <c r="AC931" s="74">
        <f>AA931*Canvas</f>
        <v>5.8987500000000006</v>
      </c>
      <c r="AD931" s="67">
        <f>AA931*IncaC</f>
        <v>15.0436</v>
      </c>
      <c r="AE931" s="74">
        <f>IF(Table1[[#This Row],[Work Center]]="SwissQ",Materials!G$37,IF(Table1[[#This Row],[Work Center]]="Inca",Materials!G$29,IF(Table1[[#This Row],[Work Center]]="Canon",Materials!G$49,Materials!G$45)))</f>
        <v>8</v>
      </c>
      <c r="AF931" s="73">
        <f>'Cali Frames'!D228</f>
        <v>119.63</v>
      </c>
      <c r="AG931" s="84"/>
      <c r="AH931" s="263">
        <f t="shared" si="318"/>
        <v>28.75</v>
      </c>
      <c r="AI931" s="263"/>
      <c r="AJ931" s="263">
        <f t="shared" si="325"/>
        <v>177.32235</v>
      </c>
      <c r="AK931" s="688">
        <f t="shared" si="313"/>
        <v>0.69161330434782609</v>
      </c>
      <c r="AL931" s="278">
        <f>Table1[[#This Row],[WSP/Dealer]]/Table1[[#This Row],[OD Sq Inch]]</f>
        <v>0.64534231200897862</v>
      </c>
      <c r="AM931" s="170">
        <f>Table1[[#This Row],[OD Wdth]]*Table1[[#This Row],[OD Hgt]]</f>
        <v>891</v>
      </c>
      <c r="AN931" s="274">
        <f>Table1[[#This Row],[Min VO]]+Table1[[#This Row],[Max VO]]</f>
        <v>56</v>
      </c>
      <c r="AO931" s="84"/>
      <c r="AP931" s="84"/>
      <c r="AQ931" s="126">
        <f>(Table1[[#This Row],[Desgnr/Retail P]]*0.05)</f>
        <v>0</v>
      </c>
      <c r="AR931" s="126" t="b">
        <f>IF(A931="Codarus",(AP931*0.13))</f>
        <v>0</v>
      </c>
      <c r="AS931" s="126" t="e" cm="1">
        <f t="array" ref="AS931">SUM(AC931:AG931+AQ+AR)</f>
        <v>#NAME?</v>
      </c>
      <c r="AT931" s="74" t="e">
        <f>(AP931-AS931)/AP931</f>
        <v>#NAME?</v>
      </c>
      <c r="AU931" s="1357" t="str">
        <f t="shared" si="328"/>
        <v>-</v>
      </c>
    </row>
    <row r="932" spans="1:47" s="103" customFormat="1" x14ac:dyDescent="0.2">
      <c r="A932" s="68" t="s">
        <v>58</v>
      </c>
      <c r="B932" s="1152" t="s">
        <v>310</v>
      </c>
      <c r="C932" s="257" t="s">
        <v>2348</v>
      </c>
      <c r="D932" s="94"/>
      <c r="E932" s="84" t="s">
        <v>2345</v>
      </c>
      <c r="F932" s="84" t="s">
        <v>144</v>
      </c>
      <c r="G932" s="68" t="s">
        <v>602</v>
      </c>
      <c r="H932" s="68" t="s">
        <v>2347</v>
      </c>
      <c r="I932" s="68" t="s">
        <v>52</v>
      </c>
      <c r="J932" s="140" t="s">
        <v>53</v>
      </c>
      <c r="K932" s="68" t="s">
        <v>82</v>
      </c>
      <c r="L932" s="68" t="s">
        <v>83</v>
      </c>
      <c r="M932" s="93">
        <v>575</v>
      </c>
      <c r="N932" s="93"/>
      <c r="O932" s="68" t="s">
        <v>56</v>
      </c>
      <c r="P932" s="623">
        <v>25</v>
      </c>
      <c r="Q932" s="623">
        <v>31</v>
      </c>
      <c r="R932" s="68">
        <v>25</v>
      </c>
      <c r="S932" s="623">
        <v>31</v>
      </c>
      <c r="T932" s="68">
        <v>27</v>
      </c>
      <c r="U932" s="623">
        <v>33</v>
      </c>
      <c r="V932" s="66">
        <f t="shared" si="326"/>
        <v>33</v>
      </c>
      <c r="W932" s="66">
        <f t="shared" si="327"/>
        <v>39</v>
      </c>
      <c r="X932" s="68">
        <v>40</v>
      </c>
      <c r="Y932" s="68">
        <v>33</v>
      </c>
      <c r="Z932" s="68">
        <v>39</v>
      </c>
      <c r="AA932" s="699">
        <f t="shared" si="316"/>
        <v>8.9375</v>
      </c>
      <c r="AB932" s="297">
        <f>AA932*IncaG</f>
        <v>188.04499999999999</v>
      </c>
      <c r="AC932" s="74">
        <f>AA932*Canvas</f>
        <v>5.8987500000000006</v>
      </c>
      <c r="AD932" s="67">
        <f>AA932*IncaC</f>
        <v>15.0436</v>
      </c>
      <c r="AE932" s="74">
        <f>IF(Table1[[#This Row],[Work Center]]="SwissQ",Materials!G$37,IF(Table1[[#This Row],[Work Center]]="Inca",Materials!G$29,IF(Table1[[#This Row],[Work Center]]="Canon",Materials!G$49,Materials!G$45)))</f>
        <v>8</v>
      </c>
      <c r="AF932" s="73">
        <f>'Cali Frames'!D124</f>
        <v>115.31</v>
      </c>
      <c r="AG932" s="84"/>
      <c r="AH932" s="278">
        <f t="shared" si="318"/>
        <v>28.75</v>
      </c>
      <c r="AI932" s="278"/>
      <c r="AJ932" s="278">
        <f t="shared" si="325"/>
        <v>173.00235000000001</v>
      </c>
      <c r="AK932" s="1192">
        <f t="shared" si="313"/>
        <v>0.69912634782608696</v>
      </c>
      <c r="AL932" s="278">
        <f>Table1[[#This Row],[WSP/Dealer]]/Table1[[#This Row],[OD Sq Inch]]</f>
        <v>0.64534231200897862</v>
      </c>
      <c r="AM932" s="170">
        <f>Table1[[#This Row],[OD Wdth]]*Table1[[#This Row],[OD Hgt]]</f>
        <v>891</v>
      </c>
      <c r="AN932" s="274">
        <f>Table1[[#This Row],[Min VO]]+Table1[[#This Row],[Max VO]]</f>
        <v>56</v>
      </c>
      <c r="AO932" s="84"/>
      <c r="AP932" s="84"/>
      <c r="AQ932" s="126">
        <f>(Table1[[#This Row],[Desgnr/Retail P]]*0.05)</f>
        <v>0</v>
      </c>
      <c r="AR932" s="126" t="b">
        <f>IF(A932="Codarus",(AP932*0.13))</f>
        <v>0</v>
      </c>
      <c r="AS932" s="126" t="e" cm="1">
        <f t="array" ref="AS932">SUM(AC932:AG932+AQ+AR)</f>
        <v>#NAME?</v>
      </c>
      <c r="AT932" s="74" t="e">
        <f>(AP932-AS932)/AP932</f>
        <v>#NAME?</v>
      </c>
      <c r="AU932" s="1357" t="str">
        <f t="shared" si="328"/>
        <v>-</v>
      </c>
    </row>
    <row r="933" spans="1:47" s="103" customFormat="1" hidden="1" x14ac:dyDescent="0.2">
      <c r="A933" s="400" t="s">
        <v>996</v>
      </c>
      <c r="B933" s="1062" t="s">
        <v>96</v>
      </c>
      <c r="C933" s="719" t="s">
        <v>2349</v>
      </c>
      <c r="D933" s="168"/>
      <c r="E933" s="401" t="s">
        <v>2350</v>
      </c>
      <c r="F933" s="401" t="s">
        <v>144</v>
      </c>
      <c r="G933" s="400" t="s">
        <v>731</v>
      </c>
      <c r="H933" s="400" t="s">
        <v>731</v>
      </c>
      <c r="I933" s="400" t="s">
        <v>108</v>
      </c>
      <c r="J933" s="497" t="s">
        <v>53</v>
      </c>
      <c r="K933" s="400" t="s">
        <v>54</v>
      </c>
      <c r="L933" s="400" t="s">
        <v>55</v>
      </c>
      <c r="M933" s="299">
        <v>275</v>
      </c>
      <c r="N933" s="102"/>
      <c r="O933" s="101" t="s">
        <v>109</v>
      </c>
      <c r="P933" s="1244">
        <v>30</v>
      </c>
      <c r="Q933" s="1244">
        <v>20</v>
      </c>
      <c r="R933" s="400">
        <v>20</v>
      </c>
      <c r="S933" s="1244">
        <v>30</v>
      </c>
      <c r="T933" s="400">
        <v>30</v>
      </c>
      <c r="U933" s="1244">
        <v>20</v>
      </c>
      <c r="V933" s="608">
        <f t="shared" si="326"/>
        <v>38</v>
      </c>
      <c r="W933" s="608">
        <f t="shared" si="327"/>
        <v>28</v>
      </c>
      <c r="X933" s="1028">
        <v>40</v>
      </c>
      <c r="Y933" s="400">
        <v>38</v>
      </c>
      <c r="Z933" s="400">
        <v>28</v>
      </c>
      <c r="AA933" s="649">
        <f t="shared" si="316"/>
        <v>7.3888888888888893</v>
      </c>
      <c r="AB933" s="184">
        <f>AA933*EPSONML</f>
        <v>33.25</v>
      </c>
      <c r="AC933" s="104">
        <f>AA933*Canvas</f>
        <v>4.8766666666666669</v>
      </c>
      <c r="AD933" s="104">
        <f>Table1[[#This Row],[Substrate SF]]*EPSONC</f>
        <v>1.6255555555555556</v>
      </c>
      <c r="AE933" s="104">
        <f>IF(Table1[[#This Row],[Work Center]]="SwissQ",Materials!G$37,IF(Table1[[#This Row],[Work Center]]="Inca",Materials!G$29,IF(Table1[[#This Row],[Work Center]]="Canon",Materials!G$49,Materials!G$45)))</f>
        <v>5</v>
      </c>
      <c r="AF933" s="403">
        <f>'Cali FPS'!C28</f>
        <v>62.93</v>
      </c>
      <c r="AG933" s="401"/>
      <c r="AH933" s="104">
        <f t="shared" si="318"/>
        <v>13.75</v>
      </c>
      <c r="AI933" s="104"/>
      <c r="AJ933" s="104">
        <f t="shared" si="325"/>
        <v>88.182222222222222</v>
      </c>
      <c r="AK933" s="830">
        <f t="shared" si="313"/>
        <v>0.6793373737373738</v>
      </c>
      <c r="AL933" s="660">
        <f>Table1[[#This Row],[WSP/Dealer]]/Table1[[#This Row],[OD Sq Inch]]</f>
        <v>0.45833333333333331</v>
      </c>
      <c r="AM933" s="266">
        <f>Table1[[#This Row],[OD Wdth]]*Table1[[#This Row],[OD Hgt]]</f>
        <v>600</v>
      </c>
      <c r="AN933" s="266">
        <f>Table1[[#This Row],[Min VO]]+Table1[[#This Row],[Max VO]]</f>
        <v>50</v>
      </c>
      <c r="AO933" s="401"/>
      <c r="AP933" s="401"/>
      <c r="AQ933" s="1000"/>
      <c r="AR933" s="1000"/>
      <c r="AS933" s="1000"/>
      <c r="AT933" s="406"/>
      <c r="AU933" s="1366" t="str">
        <f t="shared" si="328"/>
        <v>-</v>
      </c>
    </row>
    <row r="934" spans="1:47" s="103" customFormat="1" hidden="1" x14ac:dyDescent="0.2">
      <c r="A934" s="400" t="s">
        <v>996</v>
      </c>
      <c r="B934" s="1322" t="s">
        <v>96</v>
      </c>
      <c r="C934" s="719" t="s">
        <v>2349</v>
      </c>
      <c r="D934" s="168"/>
      <c r="E934" s="401" t="s">
        <v>2350</v>
      </c>
      <c r="F934" s="401" t="s">
        <v>144</v>
      </c>
      <c r="G934" s="400" t="s">
        <v>731</v>
      </c>
      <c r="H934" s="400" t="s">
        <v>731</v>
      </c>
      <c r="I934" s="400" t="s">
        <v>52</v>
      </c>
      <c r="J934" s="497" t="s">
        <v>53</v>
      </c>
      <c r="K934" s="400" t="s">
        <v>54</v>
      </c>
      <c r="L934" s="400" t="s">
        <v>55</v>
      </c>
      <c r="M934" s="299">
        <v>425</v>
      </c>
      <c r="N934" s="102"/>
      <c r="O934" s="101" t="s">
        <v>64</v>
      </c>
      <c r="P934" s="1244">
        <v>30</v>
      </c>
      <c r="Q934" s="1244">
        <v>20</v>
      </c>
      <c r="R934" s="400">
        <v>20</v>
      </c>
      <c r="S934" s="1244">
        <v>30</v>
      </c>
      <c r="T934" s="400">
        <v>30</v>
      </c>
      <c r="U934" s="1244">
        <v>20</v>
      </c>
      <c r="V934" s="608">
        <f t="shared" si="326"/>
        <v>38</v>
      </c>
      <c r="W934" s="608">
        <f t="shared" si="327"/>
        <v>28</v>
      </c>
      <c r="X934" s="1028">
        <v>40</v>
      </c>
      <c r="Y934" s="400">
        <v>38</v>
      </c>
      <c r="Z934" s="400">
        <v>28</v>
      </c>
      <c r="AA934" s="649">
        <f t="shared" si="316"/>
        <v>7.3888888888888893</v>
      </c>
      <c r="AB934" s="184">
        <f>AA934*Swiss1</f>
        <v>209.10555555555558</v>
      </c>
      <c r="AC934" s="104">
        <f>AA934*Canvas</f>
        <v>4.8766666666666669</v>
      </c>
      <c r="AD934" s="107">
        <f>Table1[[#This Row],[Substrate SF]]*SWISSC1</f>
        <v>20.68888888888889</v>
      </c>
      <c r="AE934" s="104">
        <f>IF(Table1[[#This Row],[Work Center]]="SwissQ",Materials!G$37,IF(Table1[[#This Row],[Work Center]]="Inca",Materials!G$29,IF(Table1[[#This Row],[Work Center]]="Canon",Materials!G$49,Materials!G$45)))</f>
        <v>20</v>
      </c>
      <c r="AF934" s="403">
        <f>'Cali FPS'!C28</f>
        <v>62.93</v>
      </c>
      <c r="AG934" s="401"/>
      <c r="AH934" s="104">
        <f t="shared" si="318"/>
        <v>21.25</v>
      </c>
      <c r="AI934" s="104"/>
      <c r="AJ934" s="104">
        <f t="shared" si="325"/>
        <v>129.74555555555554</v>
      </c>
      <c r="AK934" s="830">
        <f t="shared" si="313"/>
        <v>0.69471633986928105</v>
      </c>
      <c r="AL934" s="660">
        <f>Table1[[#This Row],[WSP/Dealer]]/Table1[[#This Row],[OD Sq Inch]]</f>
        <v>0.70833333333333337</v>
      </c>
      <c r="AM934" s="229">
        <f>Table1[[#This Row],[OD Wdth]]*Table1[[#This Row],[OD Hgt]]</f>
        <v>600</v>
      </c>
      <c r="AN934" s="266">
        <f>Table1[[#This Row],[Min VO]]+Table1[[#This Row],[Max VO]]</f>
        <v>50</v>
      </c>
      <c r="AO934" s="402"/>
      <c r="AP934" s="401"/>
      <c r="AQ934" s="1000"/>
      <c r="AR934" s="1000"/>
      <c r="AS934" s="1000"/>
      <c r="AT934" s="406"/>
      <c r="AU934" s="1366" t="str">
        <f t="shared" si="328"/>
        <v>-</v>
      </c>
    </row>
    <row r="935" spans="1:47" s="103" customFormat="1" hidden="1" x14ac:dyDescent="0.2">
      <c r="A935" s="101" t="s">
        <v>110</v>
      </c>
      <c r="B935" s="1067" t="s">
        <v>250</v>
      </c>
      <c r="C935" s="719" t="s">
        <v>2351</v>
      </c>
      <c r="D935" s="168"/>
      <c r="E935" s="115" t="s">
        <v>2352</v>
      </c>
      <c r="F935" s="115" t="s">
        <v>105</v>
      </c>
      <c r="G935" s="101" t="s">
        <v>2353</v>
      </c>
      <c r="H935" s="101" t="s">
        <v>2354</v>
      </c>
      <c r="I935" s="101" t="s">
        <v>108</v>
      </c>
      <c r="J935" s="487" t="s">
        <v>53</v>
      </c>
      <c r="K935" s="101" t="s">
        <v>69</v>
      </c>
      <c r="L935" s="101" t="s">
        <v>70</v>
      </c>
      <c r="M935" s="114">
        <v>300</v>
      </c>
      <c r="N935" s="114"/>
      <c r="O935" s="101" t="s">
        <v>109</v>
      </c>
      <c r="P935" s="697">
        <v>16</v>
      </c>
      <c r="Q935" s="697">
        <v>12</v>
      </c>
      <c r="R935" s="101">
        <v>12</v>
      </c>
      <c r="S935" s="697">
        <v>16</v>
      </c>
      <c r="T935" s="101">
        <v>17</v>
      </c>
      <c r="U935" s="697">
        <v>13</v>
      </c>
      <c r="V935" s="106">
        <f t="shared" si="326"/>
        <v>24</v>
      </c>
      <c r="W935" s="106">
        <f t="shared" si="327"/>
        <v>20</v>
      </c>
      <c r="X935" s="101">
        <v>40</v>
      </c>
      <c r="Y935" s="101">
        <v>24</v>
      </c>
      <c r="Z935" s="101">
        <v>20</v>
      </c>
      <c r="AA935" s="1011">
        <f>Table1[[#This Row],[Cut Width]]*Table1[[#This Row],[Cut Height]]/144</f>
        <v>3.3333333333333335</v>
      </c>
      <c r="AB935" s="1015">
        <f>Table1[[#This Row],[Print Wth]]*Table1[[#This Row],[Print Ht]]/144*EPSONM</f>
        <v>15</v>
      </c>
      <c r="AC935" s="406">
        <f>Table1[[#This Row],[Substrate SF]]*Canvas</f>
        <v>2.2000000000000002</v>
      </c>
      <c r="AD935" s="405">
        <f>Table1[[#This Row],[Ink g/mL]]*EPSONC</f>
        <v>3.3</v>
      </c>
      <c r="AE935" s="104">
        <f>IF(Table1[[#This Row],[Work Center]]="SwissQ",Materials!G$37,IF(Table1[[#This Row],[Work Center]]="Inca",Materials!G$29,IF(Table1[[#This Row],[Work Center]]="Canon",Materials!G$49,Materials!G$45)))</f>
        <v>5</v>
      </c>
      <c r="AF935" s="102">
        <f>'Cali Frames'!D260</f>
        <v>73</v>
      </c>
      <c r="AG935" s="115"/>
      <c r="AH935" s="107">
        <f t="shared" si="318"/>
        <v>15</v>
      </c>
      <c r="AI935" s="405">
        <f>IF(A935="Codarus",(M935*0.13))</f>
        <v>39</v>
      </c>
      <c r="AJ935" s="104">
        <f t="shared" si="325"/>
        <v>98.5</v>
      </c>
      <c r="AK935" s="108">
        <f t="shared" si="313"/>
        <v>0.67166666666666663</v>
      </c>
      <c r="AL935" s="660">
        <f>Table1[[#This Row],[WSP/Dealer]]/Table1[[#This Row],[OD Sq Inch]]</f>
        <v>1.3574660633484164</v>
      </c>
      <c r="AM935" s="229">
        <f>Table1[[#This Row],[OD Wdth]]*Table1[[#This Row],[OD Hgt]]</f>
        <v>221</v>
      </c>
      <c r="AN935" s="266">
        <f>Table1[[#This Row],[Min VO]]+Table1[[#This Row],[Max VO]]</f>
        <v>28</v>
      </c>
      <c r="AO935" s="115"/>
      <c r="AP935" s="121">
        <v>600</v>
      </c>
      <c r="AQ935" s="104">
        <f>(Table1[[#This Row],[Desgnr/Retail P]]*0.05)</f>
        <v>30</v>
      </c>
      <c r="AR935" s="121">
        <f>IF(A935="Codarus",(AP935*0.13))</f>
        <v>78</v>
      </c>
      <c r="AS935" s="121">
        <f>SUM(Table1[[#This Row],[Substrate $]:[GP FINISH]])+Table1[[#This Row],[Retail Royalty]]+Table1[[#This Row],[Retail$Comm]]</f>
        <v>191.5</v>
      </c>
      <c r="AT935" s="830">
        <f>IF(AP935=0,"-",(AP935-AS935)/AP935)</f>
        <v>0.68083333333333329</v>
      </c>
      <c r="AU935" s="1359">
        <f t="shared" si="328"/>
        <v>0.97730555555555554</v>
      </c>
    </row>
    <row r="936" spans="1:47" s="63" customFormat="1" hidden="1" x14ac:dyDescent="0.2">
      <c r="A936" s="101" t="s">
        <v>110</v>
      </c>
      <c r="B936" s="1064" t="s">
        <v>250</v>
      </c>
      <c r="C936" s="100" t="s">
        <v>2355</v>
      </c>
      <c r="D936" s="168"/>
      <c r="E936" s="100" t="s">
        <v>2356</v>
      </c>
      <c r="F936" s="115" t="s">
        <v>301</v>
      </c>
      <c r="G936" s="101" t="s">
        <v>302</v>
      </c>
      <c r="H936" s="101" t="s">
        <v>303</v>
      </c>
      <c r="I936" s="101" t="s">
        <v>256</v>
      </c>
      <c r="J936" s="101" t="s">
        <v>257</v>
      </c>
      <c r="K936" s="101" t="s">
        <v>258</v>
      </c>
      <c r="L936" s="101" t="s">
        <v>259</v>
      </c>
      <c r="M936" s="102">
        <v>400</v>
      </c>
      <c r="N936" s="102"/>
      <c r="O936" s="101" t="s">
        <v>260</v>
      </c>
      <c r="P936" s="697">
        <v>24</v>
      </c>
      <c r="Q936" s="697">
        <v>32</v>
      </c>
      <c r="R936" s="101">
        <v>24</v>
      </c>
      <c r="S936" s="697">
        <v>32</v>
      </c>
      <c r="T936" s="697">
        <v>26</v>
      </c>
      <c r="U936" s="697">
        <v>34</v>
      </c>
      <c r="V936" s="608">
        <f t="shared" si="326"/>
        <v>24</v>
      </c>
      <c r="W936" s="608">
        <f t="shared" si="327"/>
        <v>32</v>
      </c>
      <c r="X936" s="137">
        <v>40</v>
      </c>
      <c r="Y936" s="101">
        <v>26</v>
      </c>
      <c r="Z936" s="101">
        <v>34</v>
      </c>
      <c r="AA936" s="649">
        <f>V936*W936/144</f>
        <v>5.333333333333333</v>
      </c>
      <c r="AB936" s="184">
        <f>AA936*canonML</f>
        <v>25.599999999999998</v>
      </c>
      <c r="AC936" s="104">
        <f>Table1[[#This Row],[Print Wth]]*paper60</f>
        <v>8.16</v>
      </c>
      <c r="AD936" s="104">
        <f>Table1[[#This Row],[Ink g/mL]]*CanonC</f>
        <v>6.9119999999999999</v>
      </c>
      <c r="AE936" s="104">
        <f>IF(Table1[[#This Row],[Work Center]]="SwissQ",Materials!G$37,IF(Table1[[#This Row],[Work Center]]="Inca",Materials!G$29,IF(Table1[[#This Row],[Work Center]]="Canon",Materials!G$49,Materials!G$45)))</f>
        <v>7</v>
      </c>
      <c r="AF936" s="102">
        <f>'Cali Frames'!D36</f>
        <v>114.08</v>
      </c>
      <c r="AG936" s="115"/>
      <c r="AH936" s="104">
        <f t="shared" si="318"/>
        <v>20</v>
      </c>
      <c r="AI936" s="406">
        <f>IF(A936="Codarus",(M936*0.13))</f>
        <v>52</v>
      </c>
      <c r="AJ936" s="104">
        <f t="shared" si="325"/>
        <v>156.15199999999999</v>
      </c>
      <c r="AK936" s="830">
        <f t="shared" si="313"/>
        <v>0.60962000000000005</v>
      </c>
      <c r="AL936" s="660">
        <f>Table1[[#This Row],[WSP/Dealer]]/Table1[[#This Row],[OD Sq Inch]]</f>
        <v>0.45248868778280543</v>
      </c>
      <c r="AM936" s="229">
        <f>Table1[[#This Row],[OD Wdth]]*Table1[[#This Row],[OD Hgt]]</f>
        <v>884</v>
      </c>
      <c r="AN936" s="266">
        <f>Table1[[#This Row],[Min VO]]+Table1[[#This Row],[Max VO]]</f>
        <v>56</v>
      </c>
      <c r="AO936" s="101"/>
      <c r="AP936" s="121">
        <v>800</v>
      </c>
      <c r="AQ936" s="104">
        <f>(Table1[[#This Row],[Desgnr/Retail P]]*0.05)</f>
        <v>40</v>
      </c>
      <c r="AR936" s="121">
        <f>IF(A936="Codarus",(AP936*0.13))</f>
        <v>104</v>
      </c>
      <c r="AS936" s="121">
        <f>SUM(Table1[[#This Row],[Substrate $]:[GP FINISH]])+Table1[[#This Row],[Retail Royalty]]+Table1[[#This Row],[Retail$Comm]]</f>
        <v>280.15199999999999</v>
      </c>
      <c r="AT936" s="830">
        <f>IF(AP936=0,"-",(AP936-AS936)/AP936)</f>
        <v>0.64981</v>
      </c>
      <c r="AU936" s="1359">
        <f t="shared" si="328"/>
        <v>0.9837547499999999</v>
      </c>
    </row>
    <row r="937" spans="1:47" s="46" customFormat="1" x14ac:dyDescent="0.2">
      <c r="A937" s="86" t="s">
        <v>58</v>
      </c>
      <c r="B937" s="1061" t="s">
        <v>619</v>
      </c>
      <c r="C937" s="75" t="s">
        <v>2357</v>
      </c>
      <c r="D937" s="94" t="s">
        <v>2358</v>
      </c>
      <c r="E937" s="85" t="s">
        <v>2359</v>
      </c>
      <c r="F937" s="85" t="s">
        <v>650</v>
      </c>
      <c r="G937" s="86" t="s">
        <v>655</v>
      </c>
      <c r="H937" s="86" t="s">
        <v>655</v>
      </c>
      <c r="I937" s="86" t="s">
        <v>52</v>
      </c>
      <c r="J937" s="86" t="s">
        <v>53</v>
      </c>
      <c r="K937" s="86" t="s">
        <v>54</v>
      </c>
      <c r="L937" s="86" t="s">
        <v>55</v>
      </c>
      <c r="M937" s="87">
        <v>1300</v>
      </c>
      <c r="N937" s="639">
        <v>1300</v>
      </c>
      <c r="O937" s="101" t="s">
        <v>64</v>
      </c>
      <c r="P937" s="273">
        <v>72</v>
      </c>
      <c r="Q937" s="273">
        <v>60</v>
      </c>
      <c r="R937" s="60">
        <v>60</v>
      </c>
      <c r="S937" s="273">
        <v>72</v>
      </c>
      <c r="T937" s="273">
        <f>Table1[[#This Row],[VO Wdth]]</f>
        <v>72</v>
      </c>
      <c r="U937" s="273">
        <f>Table1[[#This Row],[VO Hgt]]</f>
        <v>60</v>
      </c>
      <c r="V937" s="608">
        <f>IF(J937="Canvas",P937+BorderL,P937)</f>
        <v>83</v>
      </c>
      <c r="W937" s="608">
        <f>IF(J937="Canvas",Q937+BorderL,Q937)</f>
        <v>71</v>
      </c>
      <c r="X937" s="189">
        <v>82</v>
      </c>
      <c r="Y937" s="68"/>
      <c r="Z937" s="68"/>
      <c r="AA937" s="649">
        <f>V937*W937/144</f>
        <v>40.923611111111114</v>
      </c>
      <c r="AB937" s="125">
        <f>AA937*Swiss1</f>
        <v>1158.1381944444445</v>
      </c>
      <c r="AC937" s="104">
        <f>AA937*Canvas</f>
        <v>27.009583333333335</v>
      </c>
      <c r="AD937" s="107">
        <f>Table1[[#This Row],[Substrate SF]]*Materials!C$37</f>
        <v>114.58611111111111</v>
      </c>
      <c r="AE937" s="104">
        <f>IF(Table1[[#This Row],[Work Center]]="SwissQ",Materials!G$37,IF(Table1[[#This Row],[Work Center]]="Inca",Materials!G$29,IF(Table1[[#This Row],[Work Center]]="Canon",Materials!G$49,Materials!G$45)))</f>
        <v>20</v>
      </c>
      <c r="AF937" s="69">
        <f>'Cali FPS'!C$160</f>
        <v>253.32999999999998</v>
      </c>
      <c r="AG937" s="115"/>
      <c r="AH937" s="498">
        <f t="shared" si="318"/>
        <v>65</v>
      </c>
      <c r="AI937" s="498"/>
      <c r="AJ937" s="104">
        <f t="shared" si="325"/>
        <v>479.92569444444439</v>
      </c>
      <c r="AK937" s="650">
        <f t="shared" ref="AK937:AK968" si="329">(M937-AJ937)/M937</f>
        <v>0.63082638888888898</v>
      </c>
      <c r="AL937" s="225">
        <f>Table1[[#This Row],[WSP/Dealer]]/Table1[[#This Row],[OD Sq Inch]]</f>
        <v>0.30092592592592593</v>
      </c>
      <c r="AM937" s="101">
        <f>Table1[[#This Row],[OD Wdth]]*Table1[[#This Row],[OD Hgt]]</f>
        <v>4320</v>
      </c>
      <c r="AN937" s="216">
        <f>Table1[[#This Row],[Min VO]]+Table1[[#This Row],[Max VO]]</f>
        <v>132</v>
      </c>
      <c r="AO937" s="101"/>
      <c r="AP937" s="101"/>
      <c r="AQ937" s="104"/>
      <c r="AR937" s="104"/>
      <c r="AS937" s="104"/>
      <c r="AT937" s="104"/>
      <c r="AU937" s="830" t="str">
        <f t="shared" si="328"/>
        <v>-</v>
      </c>
    </row>
    <row r="938" spans="1:47" s="144" customFormat="1" hidden="1" x14ac:dyDescent="0.2">
      <c r="A938" s="60" t="s">
        <v>272</v>
      </c>
      <c r="B938" s="170"/>
      <c r="C938" s="75" t="s">
        <v>2360</v>
      </c>
      <c r="D938" s="94"/>
      <c r="E938" s="83" t="s">
        <v>2361</v>
      </c>
      <c r="F938" s="83" t="s">
        <v>650</v>
      </c>
      <c r="G938" s="60" t="s">
        <v>2362</v>
      </c>
      <c r="H938" s="60" t="s">
        <v>2362</v>
      </c>
      <c r="I938" s="60" t="s">
        <v>52</v>
      </c>
      <c r="J938" s="60" t="s">
        <v>53</v>
      </c>
      <c r="K938" s="60" t="s">
        <v>54</v>
      </c>
      <c r="L938" s="60" t="s">
        <v>55</v>
      </c>
      <c r="M938" s="124">
        <v>1500</v>
      </c>
      <c r="N938" s="124"/>
      <c r="O938" s="60" t="s">
        <v>64</v>
      </c>
      <c r="P938" s="273">
        <v>86</v>
      </c>
      <c r="Q938" s="273">
        <v>72</v>
      </c>
      <c r="R938" s="60">
        <v>72</v>
      </c>
      <c r="S938" s="273">
        <v>86</v>
      </c>
      <c r="T938" s="273">
        <f>Table1[[#This Row],[VO Wdth]]</f>
        <v>86</v>
      </c>
      <c r="U938" s="273">
        <f>Table1[[#This Row],[VO Hgt]]</f>
        <v>72</v>
      </c>
      <c r="V938" s="946">
        <f>IF(J938="Canvas",P938+BorderL,P938)</f>
        <v>97</v>
      </c>
      <c r="W938" s="946">
        <f>IF(J938="Canvas",Q938+BorderL,Q938)</f>
        <v>83</v>
      </c>
      <c r="X938" s="138">
        <v>122</v>
      </c>
      <c r="Y938" s="60"/>
      <c r="Z938" s="60"/>
      <c r="AA938" s="717">
        <f>V938*W938/144</f>
        <v>55.909722222222221</v>
      </c>
      <c r="AB938" s="125">
        <f>AA938*Swiss1</f>
        <v>1582.245138888889</v>
      </c>
      <c r="AC938" s="69">
        <f>AA938*Canvas</f>
        <v>36.900416666666665</v>
      </c>
      <c r="AD938" s="48">
        <f>Table1[[#This Row],[Substrate SF]]*Materials!C$37</f>
        <v>156.54722222222222</v>
      </c>
      <c r="AE938" s="104">
        <f>IF(Table1[[#This Row],[Work Center]]="SwissQ",Materials!G$37,IF(Table1[[#This Row],[Work Center]]="Inca",Materials!G$29,IF(Table1[[#This Row],[Work Center]]="Canon",Materials!G$49,Materials!G$45)))</f>
        <v>20</v>
      </c>
      <c r="AF938" s="69" t="e">
        <f>'Cali FPS'!#REF!</f>
        <v>#REF!</v>
      </c>
      <c r="AG938" s="83"/>
      <c r="AH938" s="498">
        <f t="shared" si="318"/>
        <v>75</v>
      </c>
      <c r="AI938" s="498"/>
      <c r="AJ938" s="69" t="e">
        <f t="shared" si="325"/>
        <v>#REF!</v>
      </c>
      <c r="AK938" s="650" t="e">
        <f t="shared" si="329"/>
        <v>#REF!</v>
      </c>
      <c r="AL938" s="225">
        <f>Table1[[#This Row],[WSP/Dealer]]/Table1[[#This Row],[OD Sq Inch]]</f>
        <v>0.24224806201550386</v>
      </c>
      <c r="AM938" s="60">
        <f>Table1[[#This Row],[OD Wdth]]*Table1[[#This Row],[OD Hgt]]</f>
        <v>6192</v>
      </c>
      <c r="AN938" s="216">
        <f>Table1[[#This Row],[Min VO]]+Table1[[#This Row],[Max VO]]</f>
        <v>158</v>
      </c>
      <c r="AO938" s="60"/>
      <c r="AP938" s="60"/>
      <c r="AQ938" s="69"/>
      <c r="AR938" s="69"/>
      <c r="AS938" s="69"/>
      <c r="AT938" s="69"/>
      <c r="AU938" s="650" t="str">
        <f t="shared" si="328"/>
        <v>-</v>
      </c>
    </row>
    <row r="939" spans="1:47" s="144" customFormat="1" hidden="1" x14ac:dyDescent="0.2">
      <c r="A939" s="68"/>
      <c r="B939" s="1061"/>
      <c r="C939" s="94" t="s">
        <v>2363</v>
      </c>
      <c r="D939" s="94"/>
      <c r="E939" s="84" t="s">
        <v>2364</v>
      </c>
      <c r="F939" s="84" t="s">
        <v>131</v>
      </c>
      <c r="G939" s="68" t="s">
        <v>51</v>
      </c>
      <c r="H939" s="68"/>
      <c r="I939" s="68" t="s">
        <v>52</v>
      </c>
      <c r="J939" s="68" t="s">
        <v>53</v>
      </c>
      <c r="K939" s="68" t="s">
        <v>54</v>
      </c>
      <c r="L939" s="68" t="s">
        <v>55</v>
      </c>
      <c r="M939" s="93"/>
      <c r="N939" s="71"/>
      <c r="O939" s="68"/>
      <c r="P939" s="68"/>
      <c r="Q939" s="68"/>
      <c r="R939" s="68"/>
      <c r="S939" s="68"/>
      <c r="T939" s="68"/>
      <c r="U939" s="68"/>
      <c r="V939" s="66"/>
      <c r="W939" s="66"/>
      <c r="X939" s="189"/>
      <c r="Y939" s="68"/>
      <c r="Z939" s="68"/>
      <c r="AA939" s="68"/>
      <c r="AB939" s="68"/>
      <c r="AC939" s="68"/>
      <c r="AD939" s="63"/>
      <c r="AE939" s="68"/>
      <c r="AF939" s="73"/>
      <c r="AG939" s="126"/>
      <c r="AH939" s="498">
        <f t="shared" si="318"/>
        <v>0</v>
      </c>
      <c r="AI939" s="498"/>
      <c r="AJ939" s="118"/>
      <c r="AK939" s="650" t="e">
        <f t="shared" si="329"/>
        <v>#DIV/0!</v>
      </c>
      <c r="AL939" s="225" t="e">
        <f>Table1[[#This Row],[WSP/Dealer]]/Table1[[#This Row],[OD Sq Inch]]</f>
        <v>#DIV/0!</v>
      </c>
      <c r="AM939" s="119"/>
      <c r="AN939" s="216">
        <f>Table1[[#This Row],[Min VO]]+Table1[[#This Row],[Max VO]]</f>
        <v>0</v>
      </c>
      <c r="AO939" s="84"/>
      <c r="AP939" s="84"/>
      <c r="AQ939" s="126"/>
      <c r="AR939" s="126"/>
      <c r="AS939" s="126"/>
      <c r="AT939" s="74"/>
      <c r="AU939" s="1357" t="str">
        <f t="shared" si="328"/>
        <v>-</v>
      </c>
    </row>
    <row r="940" spans="1:47" s="399" customFormat="1" hidden="1" x14ac:dyDescent="0.2">
      <c r="A940" s="216" t="s">
        <v>272</v>
      </c>
      <c r="B940" s="279" t="s">
        <v>273</v>
      </c>
      <c r="C940" s="232" t="s">
        <v>2365</v>
      </c>
      <c r="D940" s="94"/>
      <c r="E940" s="217" t="s">
        <v>2366</v>
      </c>
      <c r="F940" s="217" t="s">
        <v>131</v>
      </c>
      <c r="G940" s="216" t="s">
        <v>51</v>
      </c>
      <c r="H940" s="216" t="s">
        <v>51</v>
      </c>
      <c r="I940" s="216" t="s">
        <v>52</v>
      </c>
      <c r="J940" s="216" t="s">
        <v>53</v>
      </c>
      <c r="K940" s="216" t="s">
        <v>54</v>
      </c>
      <c r="L940" s="216" t="s">
        <v>55</v>
      </c>
      <c r="M940" s="219">
        <v>300</v>
      </c>
      <c r="N940" s="219"/>
      <c r="O940" s="216" t="s">
        <v>56</v>
      </c>
      <c r="P940" s="216">
        <v>30</v>
      </c>
      <c r="Q940" s="216">
        <v>40</v>
      </c>
      <c r="R940" s="216">
        <v>30</v>
      </c>
      <c r="S940" s="626">
        <v>40</v>
      </c>
      <c r="T940" s="216">
        <f>P940</f>
        <v>30</v>
      </c>
      <c r="U940" s="216">
        <f>Q940</f>
        <v>40</v>
      </c>
      <c r="V940" s="222">
        <f>IF(J940="Canvas",P940+BorderGW,P940)</f>
        <v>38</v>
      </c>
      <c r="W940" s="222">
        <f>IF(J940="Canvas",Q940+BorderGW,Q940)</f>
        <v>48</v>
      </c>
      <c r="X940" s="223" t="s">
        <v>57</v>
      </c>
      <c r="Y940" s="216">
        <v>38</v>
      </c>
      <c r="Z940" s="216">
        <v>96</v>
      </c>
      <c r="AA940" s="718">
        <f>V940*W940/144</f>
        <v>12.666666666666666</v>
      </c>
      <c r="AB940" s="233">
        <f>AA940*IncaG</f>
        <v>266.50666666666666</v>
      </c>
      <c r="AC940" s="225">
        <f>AA940*Canvas</f>
        <v>8.36</v>
      </c>
      <c r="AD940" s="206">
        <f>Table1[[#This Row],[Ink g/mL]]*Materials!$C$29</f>
        <v>21.320533333333334</v>
      </c>
      <c r="AE940" s="104">
        <f>IF(Table1[[#This Row],[Work Center]]="SwissQ",Materials!G$37,IF(Table1[[#This Row],[Work Center]]="Inca",Materials!G$29,IF(Table1[[#This Row],[Work Center]]="Canon",Materials!G$49,Materials!G$45)))</f>
        <v>8</v>
      </c>
      <c r="AF940" s="225">
        <f>'Cali FPS'!C48</f>
        <v>76.3</v>
      </c>
      <c r="AG940" s="115"/>
      <c r="AH940" s="112">
        <f t="shared" si="318"/>
        <v>15</v>
      </c>
      <c r="AI940" s="112"/>
      <c r="AJ940" s="225">
        <f t="shared" ref="AJ940:AJ953" si="330">SUM(AC940:AH940)</f>
        <v>128.98053333333331</v>
      </c>
      <c r="AK940" s="62">
        <f t="shared" si="329"/>
        <v>0.57006488888888895</v>
      </c>
      <c r="AL940" s="225">
        <f>Table1[[#This Row],[WSP/Dealer]]/Table1[[#This Row],[OD Sq Inch]]</f>
        <v>0.25</v>
      </c>
      <c r="AM940" s="218">
        <f>Table1[[#This Row],[OD Wdth]]*Table1[[#This Row],[OD Hgt]]</f>
        <v>1200</v>
      </c>
      <c r="AN940" s="216">
        <f>Table1[[#This Row],[Min VO]]+Table1[[#This Row],[Max VO]]</f>
        <v>70</v>
      </c>
      <c r="AO940" s="216" t="s">
        <v>1716</v>
      </c>
      <c r="AP940" s="84"/>
      <c r="AQ940" s="126"/>
      <c r="AR940" s="126"/>
      <c r="AS940" s="126"/>
      <c r="AT940" s="74"/>
      <c r="AU940" s="1363" t="str">
        <f t="shared" si="328"/>
        <v>-</v>
      </c>
    </row>
    <row r="941" spans="1:47" s="144" customFormat="1" hidden="1" x14ac:dyDescent="0.2">
      <c r="A941" s="216" t="s">
        <v>101</v>
      </c>
      <c r="B941" s="279" t="s">
        <v>102</v>
      </c>
      <c r="C941" s="232" t="s">
        <v>2367</v>
      </c>
      <c r="D941" s="94"/>
      <c r="E941" s="217" t="s">
        <v>2368</v>
      </c>
      <c r="F941" s="217" t="s">
        <v>131</v>
      </c>
      <c r="G941" s="216" t="s">
        <v>51</v>
      </c>
      <c r="H941" s="216" t="s">
        <v>51</v>
      </c>
      <c r="I941" s="216" t="s">
        <v>108</v>
      </c>
      <c r="J941" s="216" t="s">
        <v>53</v>
      </c>
      <c r="K941" s="216" t="s">
        <v>54</v>
      </c>
      <c r="L941" s="216" t="s">
        <v>55</v>
      </c>
      <c r="M941" s="141">
        <v>230</v>
      </c>
      <c r="N941" s="219"/>
      <c r="O941" s="216" t="s">
        <v>109</v>
      </c>
      <c r="P941" s="216">
        <v>30</v>
      </c>
      <c r="Q941" s="216">
        <v>40</v>
      </c>
      <c r="R941" s="216">
        <v>30</v>
      </c>
      <c r="S941" s="626">
        <v>40</v>
      </c>
      <c r="T941" s="216">
        <f>P941</f>
        <v>30</v>
      </c>
      <c r="U941" s="216">
        <f>Q941</f>
        <v>40</v>
      </c>
      <c r="V941" s="222">
        <f>IF(J941="Canvas",P941+BorderGW,P941)</f>
        <v>38</v>
      </c>
      <c r="W941" s="222">
        <f>IF(J941="Canvas",Q941+BorderGW,Q941)</f>
        <v>48</v>
      </c>
      <c r="X941" s="223">
        <v>40</v>
      </c>
      <c r="Y941" s="686">
        <f>Table1[[#This Row],[Print Wth]]</f>
        <v>38</v>
      </c>
      <c r="Z941" s="686">
        <f>Table1[[#This Row],[Print Ht]]</f>
        <v>48</v>
      </c>
      <c r="AA941" s="1027">
        <f>Table1[[#This Row],[Cut Width]]*Table1[[#This Row],[Cut Height]]/144</f>
        <v>12.666666666666666</v>
      </c>
      <c r="AB941" s="1130">
        <f>Table1[[#This Row],[Print Wth]]*Table1[[#This Row],[Print Ht]]/144*EPSONM</f>
        <v>57</v>
      </c>
      <c r="AC941" s="278">
        <f>Table1[[#This Row],[Substrate SF]]*Canvas</f>
        <v>8.36</v>
      </c>
      <c r="AD941" s="263">
        <f>Table1[[#This Row],[Ink g/mL]]*EPSONC</f>
        <v>12.540000000000001</v>
      </c>
      <c r="AE941" s="104">
        <f>IF(Table1[[#This Row],[Work Center]]="SwissQ",Materials!G$37,IF(Table1[[#This Row],[Work Center]]="Inca",Materials!G$29,IF(Table1[[#This Row],[Work Center]]="Canon",Materials!G$49,Materials!G$45)))</f>
        <v>5</v>
      </c>
      <c r="AF941" s="225">
        <f>'Cali FPS'!C48</f>
        <v>76.3</v>
      </c>
      <c r="AG941" s="115"/>
      <c r="AH941" s="498">
        <f t="shared" ref="AH941:AH977" si="331">(M941*0.05)</f>
        <v>11.5</v>
      </c>
      <c r="AI941" s="498"/>
      <c r="AJ941" s="225">
        <f t="shared" si="330"/>
        <v>113.69999999999999</v>
      </c>
      <c r="AK941" s="650">
        <f t="shared" si="329"/>
        <v>0.50565217391304351</v>
      </c>
      <c r="AL941" s="225">
        <f>Table1[[#This Row],[WSP/Dealer]]/Table1[[#This Row],[OD Sq Inch]]</f>
        <v>0.19166666666666668</v>
      </c>
      <c r="AM941" s="97">
        <f>Table1[[#This Row],[OD Wdth]]*Table1[[#This Row],[OD Hgt]]</f>
        <v>1200</v>
      </c>
      <c r="AN941" s="216">
        <f>Table1[[#This Row],[Min VO]]+Table1[[#This Row],[Max VO]]</f>
        <v>70</v>
      </c>
      <c r="AO941" s="216" t="s">
        <v>1716</v>
      </c>
      <c r="AP941" s="226"/>
      <c r="AQ941" s="226"/>
      <c r="AR941" s="226"/>
      <c r="AS941" s="226"/>
      <c r="AT941" s="226"/>
      <c r="AU941" s="1363" t="str">
        <f t="shared" si="328"/>
        <v>-</v>
      </c>
    </row>
    <row r="942" spans="1:47" s="103" customFormat="1" hidden="1" x14ac:dyDescent="0.2">
      <c r="A942" s="101"/>
      <c r="B942" s="279"/>
      <c r="C942" s="77" t="s">
        <v>2369</v>
      </c>
      <c r="D942" s="94"/>
      <c r="E942" s="115" t="s">
        <v>2370</v>
      </c>
      <c r="F942" s="115" t="s">
        <v>858</v>
      </c>
      <c r="G942" s="101" t="s">
        <v>2371</v>
      </c>
      <c r="H942" s="101"/>
      <c r="I942" s="60" t="s">
        <v>108</v>
      </c>
      <c r="J942" s="59" t="s">
        <v>257</v>
      </c>
      <c r="K942" s="101" t="s">
        <v>258</v>
      </c>
      <c r="L942" s="101" t="s">
        <v>259</v>
      </c>
      <c r="M942" s="299">
        <v>500</v>
      </c>
      <c r="N942" s="71"/>
      <c r="O942" s="101" t="s">
        <v>260</v>
      </c>
      <c r="P942" s="60">
        <v>30</v>
      </c>
      <c r="Q942" s="60">
        <v>22</v>
      </c>
      <c r="R942" s="60">
        <v>22</v>
      </c>
      <c r="S942" s="60">
        <v>30</v>
      </c>
      <c r="T942" s="101">
        <v>32</v>
      </c>
      <c r="U942" s="101">
        <v>24</v>
      </c>
      <c r="V942" s="946">
        <f>Table1[[#This Row],[VO Wdth]]+Materials!$C$50</f>
        <v>32</v>
      </c>
      <c r="W942" s="946">
        <f>Table1[[#This Row],[VO Hgt]]+Materials!$C$50</f>
        <v>24</v>
      </c>
      <c r="X942" s="137" t="s">
        <v>257</v>
      </c>
      <c r="Y942" s="101"/>
      <c r="Z942" s="101"/>
      <c r="AA942" s="717">
        <f t="shared" ref="AA942:AA956" si="332">V942*W942/144</f>
        <v>5.333333333333333</v>
      </c>
      <c r="AB942" s="125">
        <f>AA942*canonML</f>
        <v>25.599999999999998</v>
      </c>
      <c r="AC942" s="69">
        <f>Table1[[#This Row],[Print Wth]]*paper60</f>
        <v>10.88</v>
      </c>
      <c r="AD942" s="69">
        <f>Table1[[#This Row],[Ink g/mL]]*CanonC</f>
        <v>6.9119999999999999</v>
      </c>
      <c r="AE942" s="104">
        <f>IF(Table1[[#This Row],[Work Center]]="SwissQ",Materials!G$37,IF(Table1[[#This Row],[Work Center]]="Inca",Materials!G$29,IF(Table1[[#This Row],[Work Center]]="Canon",Materials!G$49,Materials!G$45)))</f>
        <v>7</v>
      </c>
      <c r="AF942" s="102">
        <f>'Cali Frames'!D35</f>
        <v>110.5475</v>
      </c>
      <c r="AG942" s="121"/>
      <c r="AH942" s="498">
        <f t="shared" si="331"/>
        <v>25</v>
      </c>
      <c r="AI942" s="498"/>
      <c r="AJ942" s="104">
        <f t="shared" si="330"/>
        <v>160.33949999999999</v>
      </c>
      <c r="AK942" s="650">
        <f t="shared" si="329"/>
        <v>0.67932100000000006</v>
      </c>
      <c r="AL942" s="225" t="e">
        <f>Table1[[#This Row],[WSP/Dealer]]/Table1[[#This Row],[OD Sq Inch]]</f>
        <v>#DIV/0!</v>
      </c>
      <c r="AM942" s="115"/>
      <c r="AN942" s="216">
        <f>Table1[[#This Row],[Min VO]]+Table1[[#This Row],[Max VO]]</f>
        <v>52</v>
      </c>
      <c r="AO942" s="115"/>
      <c r="AP942" s="115"/>
      <c r="AQ942" s="121"/>
      <c r="AR942" s="121"/>
      <c r="AS942" s="121"/>
      <c r="AT942" s="104"/>
      <c r="AU942" s="1359" t="str">
        <f t="shared" si="328"/>
        <v>-</v>
      </c>
    </row>
    <row r="943" spans="1:47" s="103" customFormat="1" hidden="1" x14ac:dyDescent="0.2">
      <c r="A943" s="101"/>
      <c r="B943" s="279"/>
      <c r="C943" s="77" t="s">
        <v>2372</v>
      </c>
      <c r="D943" s="94"/>
      <c r="E943" s="115" t="s">
        <v>2370</v>
      </c>
      <c r="F943" s="115" t="s">
        <v>858</v>
      </c>
      <c r="G943" s="101" t="s">
        <v>2371</v>
      </c>
      <c r="H943" s="101"/>
      <c r="I943" s="60" t="s">
        <v>108</v>
      </c>
      <c r="J943" s="59" t="s">
        <v>257</v>
      </c>
      <c r="K943" s="101" t="s">
        <v>258</v>
      </c>
      <c r="L943" s="101" t="s">
        <v>269</v>
      </c>
      <c r="M943" s="299">
        <v>525</v>
      </c>
      <c r="N943" s="71"/>
      <c r="O943" s="101" t="s">
        <v>260</v>
      </c>
      <c r="P943" s="60">
        <v>30</v>
      </c>
      <c r="Q943" s="60">
        <v>22</v>
      </c>
      <c r="R943" s="60">
        <v>22</v>
      </c>
      <c r="S943" s="60">
        <v>30</v>
      </c>
      <c r="T943" s="101">
        <v>32</v>
      </c>
      <c r="U943" s="101">
        <v>24</v>
      </c>
      <c r="V943" s="47">
        <f>Table1[[#This Row],[VO Wdth]]+Materials!$C$50</f>
        <v>32</v>
      </c>
      <c r="W943" s="47">
        <f>Table1[[#This Row],[VO Hgt]]+Materials!$C$50</f>
        <v>24</v>
      </c>
      <c r="X943" s="137" t="s">
        <v>257</v>
      </c>
      <c r="Y943" s="101"/>
      <c r="Z943" s="101"/>
      <c r="AA943" s="717">
        <f t="shared" si="332"/>
        <v>5.333333333333333</v>
      </c>
      <c r="AB943" s="125">
        <f>AA943*canonML</f>
        <v>25.599999999999998</v>
      </c>
      <c r="AC943" s="69">
        <f>Table1[[#This Row],[Print Wth]]*paper60</f>
        <v>10.88</v>
      </c>
      <c r="AD943" s="48">
        <f>Table1[[#This Row],[Ink g/mL]]*CanonC</f>
        <v>6.9119999999999999</v>
      </c>
      <c r="AE943" s="104">
        <f>IF(Table1[[#This Row],[Work Center]]="SwissQ",Materials!G$37,IF(Table1[[#This Row],[Work Center]]="Inca",Materials!G$29,IF(Table1[[#This Row],[Work Center]]="Canon",Materials!G$49,Materials!G$45)))</f>
        <v>7</v>
      </c>
      <c r="AF943" s="102">
        <f>'Cali Frames'!D63</f>
        <v>123.0425</v>
      </c>
      <c r="AG943" s="121"/>
      <c r="AH943" s="498">
        <f t="shared" si="331"/>
        <v>26.25</v>
      </c>
      <c r="AI943" s="498"/>
      <c r="AJ943" s="104">
        <f t="shared" si="330"/>
        <v>174.08449999999999</v>
      </c>
      <c r="AK943" s="650">
        <f t="shared" si="329"/>
        <v>0.66841047619047622</v>
      </c>
      <c r="AL943" s="225" t="e">
        <f>Table1[[#This Row],[WSP/Dealer]]/Table1[[#This Row],[OD Sq Inch]]</f>
        <v>#DIV/0!</v>
      </c>
      <c r="AM943" s="113"/>
      <c r="AN943" s="216">
        <f>Table1[[#This Row],[Min VO]]+Table1[[#This Row],[Max VO]]</f>
        <v>52</v>
      </c>
      <c r="AO943" s="115"/>
      <c r="AP943" s="115"/>
      <c r="AQ943" s="121"/>
      <c r="AR943" s="121"/>
      <c r="AS943" s="121"/>
      <c r="AT943" s="104"/>
      <c r="AU943" s="1359" t="str">
        <f t="shared" si="328"/>
        <v>-</v>
      </c>
    </row>
    <row r="944" spans="1:47" s="20" customFormat="1" hidden="1" x14ac:dyDescent="0.2">
      <c r="A944" s="400" t="s">
        <v>996</v>
      </c>
      <c r="B944" s="1322" t="s">
        <v>96</v>
      </c>
      <c r="C944" s="168" t="s">
        <v>2373</v>
      </c>
      <c r="D944" s="168"/>
      <c r="E944" s="115" t="s">
        <v>2374</v>
      </c>
      <c r="F944" s="115" t="s">
        <v>131</v>
      </c>
      <c r="G944" s="101" t="s">
        <v>449</v>
      </c>
      <c r="H944" s="101" t="s">
        <v>449</v>
      </c>
      <c r="I944" s="101" t="s">
        <v>108</v>
      </c>
      <c r="J944" s="487" t="s">
        <v>53</v>
      </c>
      <c r="K944" s="101" t="s">
        <v>54</v>
      </c>
      <c r="L944" s="101" t="s">
        <v>55</v>
      </c>
      <c r="M944" s="299">
        <v>600</v>
      </c>
      <c r="N944" s="102"/>
      <c r="O944" s="101" t="s">
        <v>109</v>
      </c>
      <c r="P944" s="101">
        <v>36</v>
      </c>
      <c r="Q944" s="101">
        <v>36</v>
      </c>
      <c r="R944" s="101">
        <v>36</v>
      </c>
      <c r="S944" s="101">
        <v>36</v>
      </c>
      <c r="T944" s="101">
        <v>37</v>
      </c>
      <c r="U944" s="101">
        <v>37</v>
      </c>
      <c r="V944" s="608">
        <f>IF(J944="Canvas",P944+Border,P944)</f>
        <v>44</v>
      </c>
      <c r="W944" s="608">
        <f>IF(J944="Canvas",Q944+Border,Q944)</f>
        <v>44</v>
      </c>
      <c r="X944" s="1010">
        <v>53</v>
      </c>
      <c r="Y944" s="101">
        <v>44</v>
      </c>
      <c r="Z944" s="101">
        <v>44</v>
      </c>
      <c r="AA944" s="649">
        <f t="shared" si="332"/>
        <v>13.444444444444445</v>
      </c>
      <c r="AB944" s="184">
        <f>AA944*EPSONML</f>
        <v>60.5</v>
      </c>
      <c r="AC944" s="104">
        <f t="shared" ref="AC944:AC950" si="333">AA944*Canvas</f>
        <v>8.8733333333333331</v>
      </c>
      <c r="AD944" s="104">
        <f>Table1[[#This Row],[Ink g/mL]]*EPSONC</f>
        <v>13.31</v>
      </c>
      <c r="AE944" s="104">
        <f>IF(Table1[[#This Row],[Work Center]]="SwissQ",Materials!G$37,IF(Table1[[#This Row],[Work Center]]="Inca",Materials!G$29,IF(Table1[[#This Row],[Work Center]]="Canon",Materials!G$49,Materials!G$45)))</f>
        <v>5</v>
      </c>
      <c r="AF944" s="102">
        <f>'Cali Frames'!D298</f>
        <v>152.3725</v>
      </c>
      <c r="AG944" s="121"/>
      <c r="AH944" s="107">
        <f t="shared" si="331"/>
        <v>30</v>
      </c>
      <c r="AI944" s="107"/>
      <c r="AJ944" s="104">
        <f t="shared" si="330"/>
        <v>209.55583333333334</v>
      </c>
      <c r="AK944" s="108">
        <f t="shared" si="329"/>
        <v>0.65074027777777776</v>
      </c>
      <c r="AL944" s="660">
        <f>Table1[[#This Row],[WSP/Dealer]]/Table1[[#This Row],[OD Sq Inch]]</f>
        <v>0.43827611395178961</v>
      </c>
      <c r="AM944" s="266">
        <f>Table1[[#This Row],[OD Wdth]]*Table1[[#This Row],[OD Hgt]]</f>
        <v>1369</v>
      </c>
      <c r="AN944" s="266">
        <f>Table1[[#This Row],[Min VO]]+Table1[[#This Row],[Max VO]]</f>
        <v>72</v>
      </c>
      <c r="AO944" s="115"/>
      <c r="AP944" s="115"/>
      <c r="AQ944" s="121"/>
      <c r="AR944" s="121"/>
      <c r="AS944" s="121"/>
      <c r="AT944" s="104"/>
      <c r="AU944" s="1359" t="str">
        <f t="shared" si="328"/>
        <v>-</v>
      </c>
    </row>
    <row r="945" spans="1:47" s="63" customFormat="1" hidden="1" x14ac:dyDescent="0.2">
      <c r="A945" s="400" t="s">
        <v>110</v>
      </c>
      <c r="B945" s="1322" t="s">
        <v>96</v>
      </c>
      <c r="C945" s="168" t="s">
        <v>2375</v>
      </c>
      <c r="D945" s="168"/>
      <c r="E945" s="115" t="s">
        <v>2374</v>
      </c>
      <c r="F945" s="115" t="s">
        <v>131</v>
      </c>
      <c r="G945" s="101" t="s">
        <v>449</v>
      </c>
      <c r="H945" s="101" t="s">
        <v>1619</v>
      </c>
      <c r="I945" s="101" t="s">
        <v>52</v>
      </c>
      <c r="J945" s="487" t="s">
        <v>53</v>
      </c>
      <c r="K945" s="101" t="s">
        <v>69</v>
      </c>
      <c r="L945" s="101" t="s">
        <v>70</v>
      </c>
      <c r="M945" s="299">
        <v>700</v>
      </c>
      <c r="N945" s="102"/>
      <c r="O945" s="101" t="s">
        <v>64</v>
      </c>
      <c r="P945" s="101">
        <v>36</v>
      </c>
      <c r="Q945" s="101">
        <v>36</v>
      </c>
      <c r="R945" s="101">
        <v>36</v>
      </c>
      <c r="S945" s="101">
        <v>36</v>
      </c>
      <c r="T945" s="101">
        <v>37</v>
      </c>
      <c r="U945" s="101">
        <v>37</v>
      </c>
      <c r="V945" s="106">
        <f>IF(J945="Canvas",P945+Border,P945)</f>
        <v>44</v>
      </c>
      <c r="W945" s="106">
        <f>IF(J945="Canvas",Q945+Border,Q945)</f>
        <v>44</v>
      </c>
      <c r="X945" s="1010">
        <v>53</v>
      </c>
      <c r="Y945" s="101">
        <v>44</v>
      </c>
      <c r="Z945" s="101">
        <v>44</v>
      </c>
      <c r="AA945" s="649">
        <f t="shared" si="332"/>
        <v>13.444444444444445</v>
      </c>
      <c r="AB945" s="184">
        <f>AA945*Swiss1</f>
        <v>380.47777777777782</v>
      </c>
      <c r="AC945" s="104">
        <f t="shared" si="333"/>
        <v>8.8733333333333331</v>
      </c>
      <c r="AD945" s="107">
        <f>Table1[[#This Row],[Substrate SF]]*Materials!C$37</f>
        <v>37.644444444444446</v>
      </c>
      <c r="AE945" s="104">
        <f>IF(Table1[[#This Row],[Work Center]]="SwissQ",Materials!G$37,IF(Table1[[#This Row],[Work Center]]="Inca",Materials!G$29,IF(Table1[[#This Row],[Work Center]]="Canon",Materials!G$49,Materials!G$45)))</f>
        <v>20</v>
      </c>
      <c r="AF945" s="102">
        <f>'Cali Frames'!D297</f>
        <v>119.875</v>
      </c>
      <c r="AG945" s="121"/>
      <c r="AH945" s="104">
        <f t="shared" si="331"/>
        <v>35</v>
      </c>
      <c r="AI945" s="406">
        <f>IF(A945="Codarus",(M945*0.13))</f>
        <v>91</v>
      </c>
      <c r="AJ945" s="104">
        <f t="shared" si="330"/>
        <v>221.39277777777778</v>
      </c>
      <c r="AK945" s="830">
        <f t="shared" si="329"/>
        <v>0.68372460317460315</v>
      </c>
      <c r="AL945" s="660">
        <f>Table1[[#This Row],[WSP/Dealer]]/Table1[[#This Row],[OD Sq Inch]]</f>
        <v>0.51132213294375461</v>
      </c>
      <c r="AM945" s="229">
        <f>Table1[[#This Row],[OD Wdth]]*Table1[[#This Row],[OD Hgt]]</f>
        <v>1369</v>
      </c>
      <c r="AN945" s="266">
        <f>Table1[[#This Row],[Min VO]]+Table1[[#This Row],[Max VO]]</f>
        <v>72</v>
      </c>
      <c r="AO945" s="115"/>
      <c r="AP945" s="115"/>
      <c r="AQ945" s="121">
        <f>(Table1[[#This Row],[Desgnr/Retail P]]*0.05)</f>
        <v>0</v>
      </c>
      <c r="AR945" s="121">
        <f>IF(A945="Codarus",(AP945*0.13))</f>
        <v>0</v>
      </c>
      <c r="AS945" s="121">
        <f>SUM(Table1[[#This Row],[Substrate $]:[GP FINISH]])+Table1[[#This Row],[Retail Royalty]]+Table1[[#This Row],[Retail$Comm]]</f>
        <v>186.39277777777778</v>
      </c>
      <c r="AT945" s="830" t="str">
        <f>IF(AP945=0,"-",(AP945-AS945)/AP945)</f>
        <v>-</v>
      </c>
      <c r="AU945" s="1359" t="str">
        <f t="shared" si="328"/>
        <v>-</v>
      </c>
    </row>
    <row r="946" spans="1:47" s="103" customFormat="1" hidden="1" x14ac:dyDescent="0.2">
      <c r="A946" s="469" t="s">
        <v>318</v>
      </c>
      <c r="B946" s="279" t="s">
        <v>96</v>
      </c>
      <c r="C946" s="281" t="s">
        <v>2376</v>
      </c>
      <c r="D946" s="94">
        <v>176528</v>
      </c>
      <c r="E946" s="284" t="s">
        <v>2377</v>
      </c>
      <c r="F946" s="284" t="s">
        <v>448</v>
      </c>
      <c r="G946" s="180" t="s">
        <v>132</v>
      </c>
      <c r="H946" s="180" t="s">
        <v>133</v>
      </c>
      <c r="I946" s="180" t="s">
        <v>52</v>
      </c>
      <c r="J946" s="310" t="s">
        <v>53</v>
      </c>
      <c r="K946" s="180" t="s">
        <v>69</v>
      </c>
      <c r="L946" s="180" t="s">
        <v>70</v>
      </c>
      <c r="M946" s="544">
        <v>425</v>
      </c>
      <c r="N946" s="786">
        <v>980</v>
      </c>
      <c r="O946" s="180" t="s">
        <v>56</v>
      </c>
      <c r="P946" s="180">
        <v>36</v>
      </c>
      <c r="Q946" s="180">
        <v>48</v>
      </c>
      <c r="R946" s="180">
        <v>36</v>
      </c>
      <c r="S946" s="180">
        <v>48</v>
      </c>
      <c r="T946" s="180">
        <v>31</v>
      </c>
      <c r="U946" s="180">
        <v>49</v>
      </c>
      <c r="V946" s="47">
        <f>IF(J946="Canvas",P946+Border,P946)</f>
        <v>44</v>
      </c>
      <c r="W946" s="47">
        <f>IF(J946="Canvas",Q946+Border,Q946)</f>
        <v>56</v>
      </c>
      <c r="X946" s="289">
        <v>59</v>
      </c>
      <c r="Y946" s="180">
        <v>44</v>
      </c>
      <c r="Z946" s="180">
        <v>56</v>
      </c>
      <c r="AA946" s="678">
        <f t="shared" si="332"/>
        <v>17.111111111111111</v>
      </c>
      <c r="AB946" s="125">
        <f>AA946*IncaG</f>
        <v>360.01777777777778</v>
      </c>
      <c r="AC946" s="69">
        <f t="shared" si="333"/>
        <v>11.293333333333333</v>
      </c>
      <c r="AD946" s="175">
        <f>Table1[[#This Row],[Substrate SF]]*IncaC</f>
        <v>28.801422222222222</v>
      </c>
      <c r="AE946" s="69">
        <f>IF(Table1[[#This Row],[Work Center]]="SwissQ",Materials!G$37,IF(Table1[[#This Row],[Work Center]]="Inca",Materials!G$29,IF(Table1[[#This Row],[Work Center]]="Canon",Materials!G$49,Materials!G$45)))</f>
        <v>8</v>
      </c>
      <c r="AF946" s="176">
        <f>'Cali Frames'!D304</f>
        <v>154.91</v>
      </c>
      <c r="AG946" s="540"/>
      <c r="AH946" s="498">
        <f t="shared" si="331"/>
        <v>21.25</v>
      </c>
      <c r="AI946" s="498"/>
      <c r="AJ946" s="176">
        <f t="shared" si="330"/>
        <v>224.25475555555556</v>
      </c>
      <c r="AK946" s="650">
        <f t="shared" si="329"/>
        <v>0.47234175163398689</v>
      </c>
      <c r="AL946" s="225">
        <f>Table1[[#This Row],[WSP/Dealer]]/Table1[[#This Row],[OD Sq Inch]]</f>
        <v>0.27978933508887427</v>
      </c>
      <c r="AM946" s="173">
        <f>Table1[[#This Row],[OD Wdth]]*Table1[[#This Row],[OD Hgt]]</f>
        <v>1519</v>
      </c>
      <c r="AN946" s="180" t="str">
        <f>Table1[[#This Row],[Color]]</f>
        <v>BF</v>
      </c>
      <c r="AO946" s="83" t="str">
        <f>Table1[[#This Row],[Print Type]]</f>
        <v>Synograph</v>
      </c>
      <c r="AP946" s="540"/>
      <c r="AQ946" s="540"/>
      <c r="AR946" s="540"/>
      <c r="AS946" s="540"/>
      <c r="AT946" s="69"/>
      <c r="AU946" s="1358" t="str">
        <f t="shared" si="328"/>
        <v>-</v>
      </c>
    </row>
    <row r="947" spans="1:47" s="63" customFormat="1" hidden="1" x14ac:dyDescent="0.2">
      <c r="A947" s="373" t="s">
        <v>187</v>
      </c>
      <c r="B947" s="279" t="s">
        <v>261</v>
      </c>
      <c r="C947" s="78" t="s">
        <v>2378</v>
      </c>
      <c r="D947" s="94"/>
      <c r="E947" s="84" t="s">
        <v>2379</v>
      </c>
      <c r="F947" s="84" t="s">
        <v>386</v>
      </c>
      <c r="G947" s="68" t="s">
        <v>1651</v>
      </c>
      <c r="H947" s="68" t="s">
        <v>1119</v>
      </c>
      <c r="I947" s="68" t="s">
        <v>52</v>
      </c>
      <c r="J947" s="68" t="s">
        <v>53</v>
      </c>
      <c r="K947" s="68" t="s">
        <v>54</v>
      </c>
      <c r="L947" s="68" t="s">
        <v>70</v>
      </c>
      <c r="M947" s="141">
        <v>2950</v>
      </c>
      <c r="N947" s="71"/>
      <c r="O947" s="68" t="s">
        <v>56</v>
      </c>
      <c r="P947" s="68">
        <v>60</v>
      </c>
      <c r="Q947" s="68">
        <v>48</v>
      </c>
      <c r="R947" s="68">
        <v>48</v>
      </c>
      <c r="S947" s="623">
        <v>60</v>
      </c>
      <c r="T947" s="623">
        <f>Table1[[#This Row],[VO Wdth]]</f>
        <v>60</v>
      </c>
      <c r="U947" s="623">
        <f>Table1[[#This Row],[VO Hgt]]</f>
        <v>48</v>
      </c>
      <c r="V947" s="66">
        <f t="shared" ref="V947:V953" si="334">IF(J947="Canvas",P947+BorderGW,P947)</f>
        <v>68</v>
      </c>
      <c r="W947" s="66">
        <f t="shared" ref="W947:W953" si="335">IF(J947="Canvas",Q947+BorderGW,Q947)</f>
        <v>56</v>
      </c>
      <c r="X947" s="189">
        <v>69</v>
      </c>
      <c r="Y947" s="68"/>
      <c r="Z947" s="68"/>
      <c r="AA947" s="699">
        <f t="shared" si="332"/>
        <v>26.444444444444443</v>
      </c>
      <c r="AB947" s="233">
        <f>AA947*IncaG</f>
        <v>556.39111111111106</v>
      </c>
      <c r="AC947" s="74">
        <f t="shared" si="333"/>
        <v>17.453333333333333</v>
      </c>
      <c r="AD947" s="206">
        <f>Table1[[#This Row],[Ink g/mL]]*Materials!$C$29</f>
        <v>44.511288888888885</v>
      </c>
      <c r="AE947" s="104">
        <f>IF(Table1[[#This Row],[Work Center]]="SwissQ",Materials!G$37,IF(Table1[[#This Row],[Work Center]]="Inca",Materials!G$29,IF(Table1[[#This Row],[Work Center]]="Canon",Materials!G$49,Materials!G$45)))</f>
        <v>8</v>
      </c>
      <c r="AF947" s="74">
        <f>'Cali Frames'!D335</f>
        <v>258.27999999999997</v>
      </c>
      <c r="AG947" s="115"/>
      <c r="AH947" s="498">
        <f t="shared" si="331"/>
        <v>147.5</v>
      </c>
      <c r="AI947" s="498"/>
      <c r="AJ947" s="74">
        <f t="shared" si="330"/>
        <v>475.74462222222218</v>
      </c>
      <c r="AK947" s="650">
        <f t="shared" si="329"/>
        <v>0.83873063653484003</v>
      </c>
      <c r="AL947" s="225">
        <f>Table1[[#This Row],[WSP/Dealer]]/Table1[[#This Row],[OD Sq Inch]]</f>
        <v>1.0243055555555556</v>
      </c>
      <c r="AM947" s="103">
        <f>Table1[[#This Row],[OD Wdth]]*Table1[[#This Row],[OD Hgt]]</f>
        <v>2880</v>
      </c>
      <c r="AN947" s="216">
        <f>Table1[[#This Row],[Min VO]]+Table1[[#This Row],[Max VO]]</f>
        <v>108</v>
      </c>
      <c r="AO947" s="68"/>
      <c r="AP947" s="68"/>
      <c r="AQ947" s="74"/>
      <c r="AR947" s="74"/>
      <c r="AS947" s="74"/>
      <c r="AT947" s="74"/>
      <c r="AU947" s="1001" t="str">
        <f t="shared" si="328"/>
        <v>-</v>
      </c>
    </row>
    <row r="948" spans="1:47" s="173" customFormat="1" hidden="1" x14ac:dyDescent="0.2">
      <c r="A948" s="373" t="s">
        <v>187</v>
      </c>
      <c r="B948" s="279" t="s">
        <v>261</v>
      </c>
      <c r="C948" s="78" t="s">
        <v>2380</v>
      </c>
      <c r="D948" s="94"/>
      <c r="E948" s="84" t="s">
        <v>2379</v>
      </c>
      <c r="F948" s="84" t="s">
        <v>386</v>
      </c>
      <c r="G948" s="68" t="s">
        <v>1651</v>
      </c>
      <c r="H948" s="68" t="s">
        <v>1651</v>
      </c>
      <c r="I948" s="68" t="s">
        <v>52</v>
      </c>
      <c r="J948" s="68" t="s">
        <v>53</v>
      </c>
      <c r="K948" s="68" t="s">
        <v>54</v>
      </c>
      <c r="L948" s="68" t="s">
        <v>55</v>
      </c>
      <c r="M948" s="141">
        <v>2550</v>
      </c>
      <c r="N948" s="71"/>
      <c r="O948" s="68" t="s">
        <v>56</v>
      </c>
      <c r="P948" s="68">
        <v>60</v>
      </c>
      <c r="Q948" s="68">
        <v>48</v>
      </c>
      <c r="R948" s="68">
        <v>48</v>
      </c>
      <c r="S948" s="623">
        <v>60</v>
      </c>
      <c r="T948" s="623">
        <f>Table1[[#This Row],[VO Wdth]]</f>
        <v>60</v>
      </c>
      <c r="U948" s="623">
        <f>Table1[[#This Row],[VO Hgt]]</f>
        <v>48</v>
      </c>
      <c r="V948" s="917">
        <f t="shared" si="334"/>
        <v>68</v>
      </c>
      <c r="W948" s="917">
        <f t="shared" si="335"/>
        <v>56</v>
      </c>
      <c r="X948" s="189">
        <v>69</v>
      </c>
      <c r="Y948" s="68"/>
      <c r="Z948" s="68"/>
      <c r="AA948" s="699">
        <f t="shared" si="332"/>
        <v>26.444444444444443</v>
      </c>
      <c r="AB948" s="233">
        <f>AA948*IncaG</f>
        <v>556.39111111111106</v>
      </c>
      <c r="AC948" s="74">
        <f t="shared" si="333"/>
        <v>17.453333333333333</v>
      </c>
      <c r="AD948" s="986">
        <f>Table1[[#This Row],[Ink g/mL]]*Materials!$C$29</f>
        <v>44.511288888888885</v>
      </c>
      <c r="AE948" s="104">
        <f>IF(Table1[[#This Row],[Work Center]]="SwissQ",Materials!G$37,IF(Table1[[#This Row],[Work Center]]="Inca",Materials!G$29,IF(Table1[[#This Row],[Work Center]]="Canon",Materials!G$49,Materials!G$45)))</f>
        <v>8</v>
      </c>
      <c r="AF948" s="74">
        <f>'Cali FPS'!C121</f>
        <v>188.18</v>
      </c>
      <c r="AG948" s="115"/>
      <c r="AH948" s="498">
        <f t="shared" si="331"/>
        <v>127.5</v>
      </c>
      <c r="AI948" s="498"/>
      <c r="AJ948" s="74">
        <f t="shared" si="330"/>
        <v>385.64462222222221</v>
      </c>
      <c r="AK948" s="650">
        <f t="shared" si="329"/>
        <v>0.84876681481481486</v>
      </c>
      <c r="AL948" s="225">
        <f>Table1[[#This Row],[WSP/Dealer]]/Table1[[#This Row],[OD Sq Inch]]</f>
        <v>0.88541666666666663</v>
      </c>
      <c r="AM948" s="216">
        <f>Table1[[#This Row],[OD Wdth]]*Table1[[#This Row],[OD Hgt]]</f>
        <v>2880</v>
      </c>
      <c r="AN948" s="216">
        <f>Table1[[#This Row],[Min VO]]+Table1[[#This Row],[Max VO]]</f>
        <v>108</v>
      </c>
      <c r="AO948" s="68"/>
      <c r="AP948" s="68"/>
      <c r="AQ948" s="74"/>
      <c r="AR948" s="74"/>
      <c r="AS948" s="74"/>
      <c r="AT948" s="74"/>
      <c r="AU948" s="1001" t="str">
        <f t="shared" si="328"/>
        <v>-</v>
      </c>
    </row>
    <row r="949" spans="1:47" s="170" customFormat="1" hidden="1" x14ac:dyDescent="0.2">
      <c r="A949" s="373" t="s">
        <v>187</v>
      </c>
      <c r="B949" s="279" t="s">
        <v>261</v>
      </c>
      <c r="C949" s="78" t="s">
        <v>2381</v>
      </c>
      <c r="D949" s="94"/>
      <c r="E949" s="84" t="s">
        <v>2379</v>
      </c>
      <c r="F949" s="84" t="s">
        <v>386</v>
      </c>
      <c r="G949" s="68" t="s">
        <v>1651</v>
      </c>
      <c r="H949" s="68" t="s">
        <v>1119</v>
      </c>
      <c r="I949" s="68" t="s">
        <v>52</v>
      </c>
      <c r="J949" s="68" t="s">
        <v>53</v>
      </c>
      <c r="K949" s="68" t="s">
        <v>54</v>
      </c>
      <c r="L949" s="68" t="s">
        <v>73</v>
      </c>
      <c r="M949" s="141">
        <v>2950</v>
      </c>
      <c r="N949" s="71"/>
      <c r="O949" s="68" t="s">
        <v>56</v>
      </c>
      <c r="P949" s="68">
        <v>60</v>
      </c>
      <c r="Q949" s="68">
        <v>48</v>
      </c>
      <c r="R949" s="68">
        <v>48</v>
      </c>
      <c r="S949" s="623">
        <v>60</v>
      </c>
      <c r="T949" s="623">
        <f>Table1[[#This Row],[VO Wdth]]</f>
        <v>60</v>
      </c>
      <c r="U949" s="623">
        <f>Table1[[#This Row],[VO Hgt]]</f>
        <v>48</v>
      </c>
      <c r="V949" s="917">
        <f t="shared" si="334"/>
        <v>68</v>
      </c>
      <c r="W949" s="917">
        <f t="shared" si="335"/>
        <v>56</v>
      </c>
      <c r="X949" s="189">
        <v>69</v>
      </c>
      <c r="Y949" s="68"/>
      <c r="Z949" s="68"/>
      <c r="AA949" s="699">
        <f t="shared" si="332"/>
        <v>26.444444444444443</v>
      </c>
      <c r="AB949" s="233">
        <f>AA949*IncaG</f>
        <v>556.39111111111106</v>
      </c>
      <c r="AC949" s="74">
        <f t="shared" si="333"/>
        <v>17.453333333333333</v>
      </c>
      <c r="AD949" s="986">
        <f>Table1[[#This Row],[Ink g/mL]]*Materials!$C$29</f>
        <v>44.511288888888885</v>
      </c>
      <c r="AE949" s="104">
        <f>IF(Table1[[#This Row],[Work Center]]="SwissQ",Materials!G$37,IF(Table1[[#This Row],[Work Center]]="Inca",Materials!G$29,IF(Table1[[#This Row],[Work Center]]="Canon",Materials!G$49,Materials!G$45)))</f>
        <v>8</v>
      </c>
      <c r="AF949" s="74">
        <f>'Cali Frames'!D470</f>
        <v>263.70999999999998</v>
      </c>
      <c r="AG949" s="115"/>
      <c r="AH949" s="498">
        <f t="shared" si="331"/>
        <v>147.5</v>
      </c>
      <c r="AI949" s="498"/>
      <c r="AJ949" s="74">
        <f t="shared" si="330"/>
        <v>481.17462222222218</v>
      </c>
      <c r="AK949" s="650">
        <f t="shared" si="329"/>
        <v>0.83688995856873816</v>
      </c>
      <c r="AL949" s="225">
        <f>Table1[[#This Row],[WSP/Dealer]]/Table1[[#This Row],[OD Sq Inch]]</f>
        <v>1.0243055555555556</v>
      </c>
      <c r="AM949" s="216">
        <f>Table1[[#This Row],[OD Wdth]]*Table1[[#This Row],[OD Hgt]]</f>
        <v>2880</v>
      </c>
      <c r="AN949" s="216">
        <f>Table1[[#This Row],[Min VO]]+Table1[[#This Row],[Max VO]]</f>
        <v>108</v>
      </c>
      <c r="AO949" s="68"/>
      <c r="AP949" s="68"/>
      <c r="AQ949" s="74"/>
      <c r="AR949" s="74"/>
      <c r="AS949" s="74"/>
      <c r="AT949" s="74"/>
      <c r="AU949" s="1001" t="str">
        <f t="shared" si="328"/>
        <v>-</v>
      </c>
    </row>
    <row r="950" spans="1:47" s="170" customFormat="1" x14ac:dyDescent="0.2">
      <c r="A950" s="86" t="s">
        <v>58</v>
      </c>
      <c r="B950" s="279" t="s">
        <v>406</v>
      </c>
      <c r="C950" s="100" t="s">
        <v>2382</v>
      </c>
      <c r="D950" s="94" t="s">
        <v>2383</v>
      </c>
      <c r="E950" s="85" t="s">
        <v>2379</v>
      </c>
      <c r="F950" s="85" t="s">
        <v>386</v>
      </c>
      <c r="G950" s="86" t="s">
        <v>1651</v>
      </c>
      <c r="H950" s="86" t="s">
        <v>1651</v>
      </c>
      <c r="I950" s="86" t="s">
        <v>52</v>
      </c>
      <c r="J950" s="86" t="s">
        <v>53</v>
      </c>
      <c r="K950" s="86" t="s">
        <v>54</v>
      </c>
      <c r="L950" s="86" t="s">
        <v>55</v>
      </c>
      <c r="M950" s="87">
        <v>935</v>
      </c>
      <c r="N950" s="639">
        <v>950</v>
      </c>
      <c r="O950" s="68" t="s">
        <v>56</v>
      </c>
      <c r="P950" s="101">
        <v>60</v>
      </c>
      <c r="Q950" s="101">
        <v>48</v>
      </c>
      <c r="R950" s="60">
        <v>48</v>
      </c>
      <c r="S950" s="273">
        <v>60</v>
      </c>
      <c r="T950" s="273">
        <f>Table1[[#This Row],[VO Wdth]]</f>
        <v>60</v>
      </c>
      <c r="U950" s="273">
        <f>Table1[[#This Row],[VO Hgt]]</f>
        <v>48</v>
      </c>
      <c r="V950" s="608">
        <f t="shared" si="334"/>
        <v>68</v>
      </c>
      <c r="W950" s="608">
        <f t="shared" si="335"/>
        <v>56</v>
      </c>
      <c r="X950" s="137">
        <v>69</v>
      </c>
      <c r="Y950" s="101"/>
      <c r="Z950" s="101"/>
      <c r="AA950" s="649">
        <f t="shared" si="332"/>
        <v>26.444444444444443</v>
      </c>
      <c r="AB950" s="184">
        <f>Table1[[#This Row],[Substrate SF]]*Swiss1</f>
        <v>748.37777777777774</v>
      </c>
      <c r="AC950" s="104">
        <f t="shared" si="333"/>
        <v>17.453333333333333</v>
      </c>
      <c r="AD950" s="107">
        <f>Table1[[#This Row],[Substrate SF]]*Materials!C$37</f>
        <v>74.044444444444437</v>
      </c>
      <c r="AE950" s="104">
        <f>IF(Table1[[#This Row],[Work Center]]="SwissQ",Materials!G$37,IF(Table1[[#This Row],[Work Center]]="Inca",Materials!G$29,IF(Table1[[#This Row],[Work Center]]="Canon",Materials!G$49,Materials!G$45)))</f>
        <v>8</v>
      </c>
      <c r="AF950" s="104">
        <f>'Cali FPS'!C121</f>
        <v>188.18</v>
      </c>
      <c r="AG950" s="115"/>
      <c r="AH950" s="112">
        <f t="shared" si="331"/>
        <v>46.75</v>
      </c>
      <c r="AI950" s="112"/>
      <c r="AJ950" s="104">
        <f t="shared" si="330"/>
        <v>334.42777777777781</v>
      </c>
      <c r="AK950" s="62">
        <f t="shared" si="329"/>
        <v>0.6423232323232323</v>
      </c>
      <c r="AL950" s="225">
        <f>Table1[[#This Row],[WSP/Dealer]]/Table1[[#This Row],[OD Sq Inch]]</f>
        <v>0.32465277777777779</v>
      </c>
      <c r="AM950" s="103">
        <f>Table1[[#This Row],[OD Wdth]]*Table1[[#This Row],[OD Hgt]]</f>
        <v>2880</v>
      </c>
      <c r="AN950" s="216">
        <f>Table1[[#This Row],[Min VO]]+Table1[[#This Row],[Max VO]]</f>
        <v>108</v>
      </c>
      <c r="AO950" s="103"/>
      <c r="AP950" s="101"/>
      <c r="AQ950" s="104"/>
      <c r="AR950" s="104"/>
      <c r="AS950" s="104"/>
      <c r="AT950" s="104"/>
      <c r="AU950" s="830" t="str">
        <f t="shared" si="328"/>
        <v>-</v>
      </c>
    </row>
    <row r="951" spans="1:47" s="170" customFormat="1" hidden="1" x14ac:dyDescent="0.2">
      <c r="A951" s="373" t="s">
        <v>187</v>
      </c>
      <c r="B951" s="279" t="s">
        <v>261</v>
      </c>
      <c r="C951" s="78" t="s">
        <v>2384</v>
      </c>
      <c r="D951" s="94"/>
      <c r="E951" s="84" t="s">
        <v>2379</v>
      </c>
      <c r="F951" s="84" t="s">
        <v>386</v>
      </c>
      <c r="G951" s="68" t="s">
        <v>1651</v>
      </c>
      <c r="H951" s="68" t="s">
        <v>640</v>
      </c>
      <c r="I951" s="68" t="s">
        <v>108</v>
      </c>
      <c r="J951" s="68" t="s">
        <v>257</v>
      </c>
      <c r="K951" s="68" t="s">
        <v>258</v>
      </c>
      <c r="L951" s="68" t="s">
        <v>259</v>
      </c>
      <c r="M951" s="141"/>
      <c r="N951" s="71"/>
      <c r="O951" s="68" t="s">
        <v>260</v>
      </c>
      <c r="P951" s="68">
        <v>60</v>
      </c>
      <c r="Q951" s="68">
        <v>48</v>
      </c>
      <c r="R951" s="68">
        <v>48</v>
      </c>
      <c r="S951" s="623">
        <v>60</v>
      </c>
      <c r="T951" s="623">
        <f>Table1[[#This Row],[VO Wdth]]</f>
        <v>60</v>
      </c>
      <c r="U951" s="623">
        <f>Table1[[#This Row],[VO Hgt]]</f>
        <v>48</v>
      </c>
      <c r="V951" s="917">
        <f t="shared" si="334"/>
        <v>60</v>
      </c>
      <c r="W951" s="917">
        <f t="shared" si="335"/>
        <v>48</v>
      </c>
      <c r="X951" s="189">
        <v>69</v>
      </c>
      <c r="Y951" s="68"/>
      <c r="Z951" s="68"/>
      <c r="AA951" s="699">
        <f t="shared" si="332"/>
        <v>20</v>
      </c>
      <c r="AB951" s="297">
        <f>Table1[[#This Row],[Substrate SF]]*Swiss1</f>
        <v>566</v>
      </c>
      <c r="AC951" s="278">
        <f>Table1[[#This Row],[Substrate SF]]*Paper</f>
        <v>27.06</v>
      </c>
      <c r="AD951" s="74">
        <f>Table1[[#This Row],[Substrate SF]]*Materials!C$41</f>
        <v>4.4000000000000004</v>
      </c>
      <c r="AE951" s="104">
        <f>IF(Table1[[#This Row],[Work Center]]="SwissQ",Materials!G$37,IF(Table1[[#This Row],[Work Center]]="Inca",Materials!G$29,IF(Table1[[#This Row],[Work Center]]="Canon",Materials!G$49,Materials!G$45)))</f>
        <v>7</v>
      </c>
      <c r="AF951" s="74"/>
      <c r="AG951" s="115"/>
      <c r="AH951" s="498">
        <f t="shared" si="331"/>
        <v>0</v>
      </c>
      <c r="AI951" s="498"/>
      <c r="AJ951" s="74">
        <f t="shared" si="330"/>
        <v>38.46</v>
      </c>
      <c r="AK951" s="650" t="e">
        <f t="shared" si="329"/>
        <v>#DIV/0!</v>
      </c>
      <c r="AL951" s="225">
        <f>Table1[[#This Row],[WSP/Dealer]]/Table1[[#This Row],[OD Sq Inch]]</f>
        <v>0</v>
      </c>
      <c r="AM951" s="101">
        <f>Table1[[#This Row],[OD Wdth]]*Table1[[#This Row],[OD Hgt]]</f>
        <v>2880</v>
      </c>
      <c r="AN951" s="216">
        <f>Table1[[#This Row],[Min VO]]+Table1[[#This Row],[Max VO]]</f>
        <v>108</v>
      </c>
      <c r="AO951" s="68"/>
      <c r="AP951" s="68"/>
      <c r="AQ951" s="74"/>
      <c r="AR951" s="74"/>
      <c r="AS951" s="74"/>
      <c r="AT951" s="74"/>
      <c r="AU951" s="1001" t="str">
        <f t="shared" si="328"/>
        <v>-</v>
      </c>
    </row>
    <row r="952" spans="1:47" s="170" customFormat="1" hidden="1" x14ac:dyDescent="0.2">
      <c r="A952" s="373" t="s">
        <v>187</v>
      </c>
      <c r="B952" s="279" t="s">
        <v>261</v>
      </c>
      <c r="C952" s="78" t="s">
        <v>2385</v>
      </c>
      <c r="D952" s="94"/>
      <c r="E952" s="84" t="s">
        <v>2379</v>
      </c>
      <c r="F952" s="84" t="s">
        <v>386</v>
      </c>
      <c r="G952" s="68" t="s">
        <v>1651</v>
      </c>
      <c r="H952" s="68" t="s">
        <v>640</v>
      </c>
      <c r="I952" s="68" t="s">
        <v>108</v>
      </c>
      <c r="J952" s="68" t="s">
        <v>257</v>
      </c>
      <c r="K952" s="68" t="s">
        <v>258</v>
      </c>
      <c r="L952" s="68" t="s">
        <v>269</v>
      </c>
      <c r="M952" s="141"/>
      <c r="N952" s="71"/>
      <c r="O952" s="68" t="s">
        <v>260</v>
      </c>
      <c r="P952" s="68">
        <v>60</v>
      </c>
      <c r="Q952" s="68">
        <v>48</v>
      </c>
      <c r="R952" s="68">
        <v>48</v>
      </c>
      <c r="S952" s="623">
        <v>60</v>
      </c>
      <c r="T952" s="623">
        <f>Table1[[#This Row],[VO Wdth]]</f>
        <v>60</v>
      </c>
      <c r="U952" s="623">
        <f>Table1[[#This Row],[VO Hgt]]</f>
        <v>48</v>
      </c>
      <c r="V952" s="917">
        <f t="shared" si="334"/>
        <v>60</v>
      </c>
      <c r="W952" s="917">
        <f t="shared" si="335"/>
        <v>48</v>
      </c>
      <c r="X952" s="189">
        <v>69</v>
      </c>
      <c r="Y952" s="68"/>
      <c r="Z952" s="68"/>
      <c r="AA952" s="699">
        <f t="shared" si="332"/>
        <v>20</v>
      </c>
      <c r="AB952" s="297">
        <f>Table1[[#This Row],[Substrate SF]]*Swiss1</f>
        <v>566</v>
      </c>
      <c r="AC952" s="278">
        <f>Table1[[#This Row],[Substrate SF]]*Paper</f>
        <v>27.06</v>
      </c>
      <c r="AD952" s="74">
        <f>Table1[[#This Row],[Substrate SF]]*Materials!C$41</f>
        <v>4.4000000000000004</v>
      </c>
      <c r="AE952" s="104">
        <f>IF(Table1[[#This Row],[Work Center]]="SwissQ",Materials!G$37,IF(Table1[[#This Row],[Work Center]]="Inca",Materials!G$29,IF(Table1[[#This Row],[Work Center]]="Canon",Materials!G$49,Materials!G$45)))</f>
        <v>7</v>
      </c>
      <c r="AF952" s="74"/>
      <c r="AG952" s="115"/>
      <c r="AH952" s="498">
        <f t="shared" si="331"/>
        <v>0</v>
      </c>
      <c r="AI952" s="498"/>
      <c r="AJ952" s="74">
        <f t="shared" si="330"/>
        <v>38.46</v>
      </c>
      <c r="AK952" s="650" t="e">
        <f t="shared" si="329"/>
        <v>#DIV/0!</v>
      </c>
      <c r="AL952" s="225">
        <f>Table1[[#This Row],[WSP/Dealer]]/Table1[[#This Row],[OD Sq Inch]]</f>
        <v>0</v>
      </c>
      <c r="AM952" s="101">
        <f>Table1[[#This Row],[OD Wdth]]*Table1[[#This Row],[OD Hgt]]</f>
        <v>2880</v>
      </c>
      <c r="AN952" s="216">
        <f>Table1[[#This Row],[Min VO]]+Table1[[#This Row],[Max VO]]</f>
        <v>108</v>
      </c>
      <c r="AO952" s="68"/>
      <c r="AP952" s="68"/>
      <c r="AQ952" s="74"/>
      <c r="AR952" s="74"/>
      <c r="AS952" s="74"/>
      <c r="AT952" s="74"/>
      <c r="AU952" s="1001" t="str">
        <f t="shared" si="328"/>
        <v>-</v>
      </c>
    </row>
    <row r="953" spans="1:47" s="103" customFormat="1" hidden="1" x14ac:dyDescent="0.2">
      <c r="A953" s="373" t="s">
        <v>187</v>
      </c>
      <c r="B953" s="279" t="s">
        <v>261</v>
      </c>
      <c r="C953" s="78" t="s">
        <v>2386</v>
      </c>
      <c r="D953" s="94"/>
      <c r="E953" s="84" t="s">
        <v>2387</v>
      </c>
      <c r="F953" s="84" t="s">
        <v>386</v>
      </c>
      <c r="G953" s="68" t="s">
        <v>1651</v>
      </c>
      <c r="H953" s="68" t="s">
        <v>637</v>
      </c>
      <c r="I953" s="68" t="s">
        <v>108</v>
      </c>
      <c r="J953" s="949" t="s">
        <v>197</v>
      </c>
      <c r="K953" s="238" t="s">
        <v>198</v>
      </c>
      <c r="L953" s="238" t="s">
        <v>199</v>
      </c>
      <c r="M953" s="261">
        <v>120</v>
      </c>
      <c r="N953" s="71"/>
      <c r="O953" s="68" t="s">
        <v>56</v>
      </c>
      <c r="P953" s="68">
        <v>60</v>
      </c>
      <c r="Q953" s="68">
        <v>48</v>
      </c>
      <c r="R953" s="68">
        <v>48</v>
      </c>
      <c r="S953" s="623">
        <v>60</v>
      </c>
      <c r="T953" s="623">
        <f>Table1[[#This Row],[VO Wdth]]</f>
        <v>60</v>
      </c>
      <c r="U953" s="623">
        <f>Table1[[#This Row],[VO Hgt]]</f>
        <v>48</v>
      </c>
      <c r="V953" s="66">
        <f t="shared" si="334"/>
        <v>60</v>
      </c>
      <c r="W953" s="66">
        <f t="shared" si="335"/>
        <v>48</v>
      </c>
      <c r="X953" s="189">
        <v>69</v>
      </c>
      <c r="Y953" s="68"/>
      <c r="Z953" s="68"/>
      <c r="AA953" s="699">
        <f t="shared" si="332"/>
        <v>20</v>
      </c>
      <c r="AB953" s="297">
        <f>AA953*IncaGR</f>
        <v>20.399999999999999</v>
      </c>
      <c r="AC953" s="74">
        <f>AA953*Canvas</f>
        <v>13.200000000000001</v>
      </c>
      <c r="AD953" s="208">
        <f>Table1[[#This Row],[Ink g/mL]]*IncaCR</f>
        <v>1.6319999999999999</v>
      </c>
      <c r="AE95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953" s="73">
        <v>0</v>
      </c>
      <c r="AG953" s="126">
        <f>Materials!D$76</f>
        <v>10.82</v>
      </c>
      <c r="AH953" s="498">
        <f t="shared" si="331"/>
        <v>6</v>
      </c>
      <c r="AI953" s="498"/>
      <c r="AJ953" s="74">
        <f t="shared" si="330"/>
        <v>41.652000000000001</v>
      </c>
      <c r="AK953" s="650">
        <f t="shared" si="329"/>
        <v>0.65290000000000004</v>
      </c>
      <c r="AL953" s="225">
        <f>Table1[[#This Row],[WSP/Dealer]]/Table1[[#This Row],[OD Sq Inch]]</f>
        <v>4.1666666666666664E-2</v>
      </c>
      <c r="AM953" s="103">
        <f>Table1[[#This Row],[OD Wdth]]*Table1[[#This Row],[OD Hgt]]</f>
        <v>2880</v>
      </c>
      <c r="AN953" s="216">
        <f>Table1[[#This Row],[Min VO]]+Table1[[#This Row],[Max VO]]</f>
        <v>108</v>
      </c>
      <c r="AO953" s="68"/>
      <c r="AP953" s="68"/>
      <c r="AQ953" s="74"/>
      <c r="AR953" s="74"/>
      <c r="AS953" s="74"/>
      <c r="AT953" s="74"/>
      <c r="AU953" s="1001" t="str">
        <f t="shared" si="328"/>
        <v>-</v>
      </c>
    </row>
    <row r="954" spans="1:47" s="63" customFormat="1" hidden="1" x14ac:dyDescent="0.2">
      <c r="A954" s="101" t="s">
        <v>110</v>
      </c>
      <c r="B954" s="1064" t="s">
        <v>134</v>
      </c>
      <c r="C954" s="100" t="s">
        <v>2388</v>
      </c>
      <c r="D954" s="168"/>
      <c r="E954" s="115" t="s">
        <v>2389</v>
      </c>
      <c r="F954" s="625" t="s">
        <v>454</v>
      </c>
      <c r="G954" s="101" t="s">
        <v>1342</v>
      </c>
      <c r="H954" s="101" t="s">
        <v>1342</v>
      </c>
      <c r="I954" s="101" t="s">
        <v>52</v>
      </c>
      <c r="J954" s="487" t="s">
        <v>53</v>
      </c>
      <c r="K954" s="101" t="s">
        <v>54</v>
      </c>
      <c r="L954" s="101" t="s">
        <v>55</v>
      </c>
      <c r="M954" s="299">
        <v>600</v>
      </c>
      <c r="N954" s="114"/>
      <c r="O954" s="101" t="s">
        <v>56</v>
      </c>
      <c r="P954" s="101">
        <v>48</v>
      </c>
      <c r="Q954" s="101">
        <v>36</v>
      </c>
      <c r="R954" s="101">
        <v>36</v>
      </c>
      <c r="S954" s="697">
        <v>48</v>
      </c>
      <c r="T954" s="101">
        <v>48</v>
      </c>
      <c r="U954" s="101">
        <v>36</v>
      </c>
      <c r="V954" s="106">
        <f>IF(J954="Canvas",P954+Border,P954)</f>
        <v>56</v>
      </c>
      <c r="W954" s="106">
        <f>IF(J954="Canvas",Q954+Border,Q954)</f>
        <v>44</v>
      </c>
      <c r="X954" s="137">
        <v>59</v>
      </c>
      <c r="Y954" s="101">
        <v>59</v>
      </c>
      <c r="Z954" s="101">
        <v>47</v>
      </c>
      <c r="AA954" s="649">
        <f t="shared" si="332"/>
        <v>17.111111111111111</v>
      </c>
      <c r="AB954" s="184">
        <f>AA954*IncaG</f>
        <v>360.01777777777778</v>
      </c>
      <c r="AC954" s="104">
        <f>AA954*Canvas</f>
        <v>11.293333333333333</v>
      </c>
      <c r="AD954" s="1066">
        <f>Table1[[#This Row],[Substrate SF]]*IncaC</f>
        <v>28.801422222222222</v>
      </c>
      <c r="AE954" s="406">
        <f>IF(Table1[[#This Row],[Work Center]]="SwissQ",Materials!G$37,IF(Table1[[#This Row],[Work Center]]="Inca",Materials!G$29,IF(Table1[[#This Row],[Work Center]]="Canon",Materials!G$49,Materials!G$45)))</f>
        <v>8</v>
      </c>
      <c r="AF954" s="102">
        <f>'Cali FPS'!C71</f>
        <v>114.31</v>
      </c>
      <c r="AG954" s="115"/>
      <c r="AH954" s="406">
        <f t="shared" si="331"/>
        <v>30</v>
      </c>
      <c r="AI954" s="406">
        <f>IF(A954="Codarus",(M954*0.13))</f>
        <v>78</v>
      </c>
      <c r="AJ954" s="104">
        <f>SUM(AC954:AI954)</f>
        <v>270.40475555555554</v>
      </c>
      <c r="AK954" s="830">
        <f t="shared" si="329"/>
        <v>0.54932540740740743</v>
      </c>
      <c r="AL954" s="660">
        <f>Table1[[#This Row],[WSP/Dealer]]/Table1[[#This Row],[OD Sq Inch]]</f>
        <v>0.34722222222222221</v>
      </c>
      <c r="AM954" s="399">
        <f>Table1[[#This Row],[OD Wdth]]*Table1[[#This Row],[OD Hgt]]</f>
        <v>1728</v>
      </c>
      <c r="AN954" s="400">
        <f>Table1[[#This Row],[Min VO]]+Table1[[#This Row],[Max VO]]</f>
        <v>84</v>
      </c>
      <c r="AO954" s="115"/>
      <c r="AP954" s="408">
        <v>1200</v>
      </c>
      <c r="AQ954" s="121">
        <f>(Table1[[#This Row],[Desgnr/Retail P]]*0.05)</f>
        <v>60</v>
      </c>
      <c r="AR954" s="121">
        <f>IF(A954="Codarus",(AP954*0.13))</f>
        <v>156</v>
      </c>
      <c r="AS954" s="121">
        <f>SUM(Table1[[#This Row],[Substrate $]:[GP FINISH]])+Table1[[#This Row],[Retail Royalty]]+Table1[[#This Row],[Retail$Comm]]</f>
        <v>378.40475555555554</v>
      </c>
      <c r="AT954" s="830">
        <f>IF(AP954=0,"-",(AP954-AS954)/AP954)</f>
        <v>0.68466270370370375</v>
      </c>
      <c r="AU954" s="1359">
        <f t="shared" si="328"/>
        <v>0.9885889549382717</v>
      </c>
    </row>
    <row r="955" spans="1:47" s="144" customFormat="1" x14ac:dyDescent="0.2">
      <c r="A955" s="60" t="s">
        <v>58</v>
      </c>
      <c r="B955" s="279" t="s">
        <v>96</v>
      </c>
      <c r="C955" s="76" t="s">
        <v>2390</v>
      </c>
      <c r="D955" s="94"/>
      <c r="E955" s="83" t="s">
        <v>2389</v>
      </c>
      <c r="F955" s="99" t="s">
        <v>454</v>
      </c>
      <c r="G955" s="60" t="s">
        <v>1342</v>
      </c>
      <c r="H955" s="60" t="s">
        <v>1342</v>
      </c>
      <c r="I955" s="60" t="s">
        <v>52</v>
      </c>
      <c r="J955" s="59" t="s">
        <v>53</v>
      </c>
      <c r="K955" s="60" t="s">
        <v>54</v>
      </c>
      <c r="L955" s="60" t="s">
        <v>55</v>
      </c>
      <c r="M955" s="179">
        <v>675</v>
      </c>
      <c r="N955" s="656">
        <v>720</v>
      </c>
      <c r="O955" s="60" t="s">
        <v>64</v>
      </c>
      <c r="P955" s="60">
        <v>48</v>
      </c>
      <c r="Q955" s="60">
        <v>36</v>
      </c>
      <c r="R955" s="60">
        <v>36</v>
      </c>
      <c r="S955" s="273">
        <v>48</v>
      </c>
      <c r="T955" s="60">
        <v>48</v>
      </c>
      <c r="U955" s="60">
        <v>36</v>
      </c>
      <c r="V955" s="47">
        <f>IF(J955="Canvas",P955+Materials!C$5,P955)</f>
        <v>55</v>
      </c>
      <c r="W955" s="47">
        <f>IF(J955="Canvas",Q955+Materials!C$5,Q955)</f>
        <v>43</v>
      </c>
      <c r="X955" s="138"/>
      <c r="Y955" s="60">
        <v>55</v>
      </c>
      <c r="Z955" s="60">
        <v>43</v>
      </c>
      <c r="AA955" s="717">
        <f t="shared" si="332"/>
        <v>16.423611111111111</v>
      </c>
      <c r="AB955" s="125">
        <f>AA955*Swiss1</f>
        <v>464.78819444444446</v>
      </c>
      <c r="AC955" s="69">
        <f>AA955*Canvas</f>
        <v>10.839583333333334</v>
      </c>
      <c r="AD955" s="48">
        <f>Table1[[#This Row],[Substrate SF]]*Materials!C$37</f>
        <v>45.986111111111107</v>
      </c>
      <c r="AE955" s="69">
        <f>IF(Table1[[#This Row],[Work Center]]="SwissQ",Materials!G$37,IF(Table1[[#This Row],[Work Center]]="Inca",Materials!G$29,IF(Table1[[#This Row],[Work Center]]="Canon",Materials!G$49,Materials!G$45)))</f>
        <v>20</v>
      </c>
      <c r="AF955" s="72">
        <f>'Cali FPS'!C71</f>
        <v>114.31</v>
      </c>
      <c r="AG955" s="83"/>
      <c r="AH955" s="48">
        <f t="shared" si="331"/>
        <v>33.75</v>
      </c>
      <c r="AI955" s="48"/>
      <c r="AJ955" s="176">
        <f t="shared" ref="AJ955:AJ973" si="336">SUM(AC955:AH955)</f>
        <v>224.88569444444443</v>
      </c>
      <c r="AK955" s="62">
        <f t="shared" si="329"/>
        <v>0.66683600823045275</v>
      </c>
      <c r="AL955" s="225">
        <f>Table1[[#This Row],[WSP/Dealer]]/Table1[[#This Row],[OD Sq Inch]]</f>
        <v>0.390625</v>
      </c>
      <c r="AM955" s="173">
        <f>Table1[[#This Row],[OD Wdth]]*Table1[[#This Row],[OD Hgt]]</f>
        <v>1728</v>
      </c>
      <c r="AN955" s="180">
        <f>Table1[[#This Row],[Min VO]]+Table1[[#This Row],[Max VO]]</f>
        <v>84</v>
      </c>
      <c r="AO955" s="83"/>
      <c r="AP955" s="821"/>
      <c r="AQ955" s="821"/>
      <c r="AR955" s="821"/>
      <c r="AS955" s="821"/>
      <c r="AT955" s="72"/>
      <c r="AU955" s="1361" t="str">
        <f t="shared" si="328"/>
        <v>-</v>
      </c>
    </row>
    <row r="956" spans="1:47" s="144" customFormat="1" hidden="1" x14ac:dyDescent="0.2">
      <c r="A956" s="552"/>
      <c r="B956" s="279"/>
      <c r="C956" s="168" t="s">
        <v>2391</v>
      </c>
      <c r="D956" s="94"/>
      <c r="E956" s="115" t="s">
        <v>2392</v>
      </c>
      <c r="F956" s="115" t="s">
        <v>571</v>
      </c>
      <c r="G956" s="101" t="s">
        <v>323</v>
      </c>
      <c r="H956" s="101" t="s">
        <v>325</v>
      </c>
      <c r="I956" s="101" t="s">
        <v>108</v>
      </c>
      <c r="J956" s="101" t="s">
        <v>53</v>
      </c>
      <c r="K956" s="101" t="s">
        <v>69</v>
      </c>
      <c r="L956" s="101" t="s">
        <v>70</v>
      </c>
      <c r="M956" s="299">
        <v>285</v>
      </c>
      <c r="N956" s="71"/>
      <c r="O956" s="101" t="s">
        <v>64</v>
      </c>
      <c r="P956" s="101">
        <v>36</v>
      </c>
      <c r="Q956" s="101">
        <v>24</v>
      </c>
      <c r="R956" s="101">
        <v>24</v>
      </c>
      <c r="S956" s="101">
        <v>36</v>
      </c>
      <c r="T956" s="101">
        <v>37</v>
      </c>
      <c r="U956" s="101">
        <v>25</v>
      </c>
      <c r="V956" s="608">
        <f>IF(J956="Canvas",P956+Border,P956)</f>
        <v>44</v>
      </c>
      <c r="W956" s="608">
        <f>IF(J956="Canvas",Q956+Border,Q956)</f>
        <v>32</v>
      </c>
      <c r="X956" s="137">
        <v>53</v>
      </c>
      <c r="Y956" s="101">
        <v>44</v>
      </c>
      <c r="Z956" s="101">
        <v>32</v>
      </c>
      <c r="AA956" s="724">
        <f t="shared" si="332"/>
        <v>9.7777777777777786</v>
      </c>
      <c r="AB956" s="633">
        <f>Table1[[#This Row],[Substrate SF]]*SWISSMLR</f>
        <v>19.555555555555557</v>
      </c>
      <c r="AC956" s="406">
        <f>AA956*Canvas</f>
        <v>6.453333333333334</v>
      </c>
      <c r="AD956" s="405">
        <f>Table1[[#This Row],[Substrate SF]]*SWISSCR</f>
        <v>2.1511111111111112</v>
      </c>
      <c r="AE956" s="104">
        <f>Materials!I$41</f>
        <v>8</v>
      </c>
      <c r="AF956" s="102">
        <f>'Cali Frames'!D282</f>
        <v>112.66500000000001</v>
      </c>
      <c r="AG956" s="121"/>
      <c r="AH956" s="112">
        <f t="shared" si="331"/>
        <v>14.25</v>
      </c>
      <c r="AI956" s="112"/>
      <c r="AJ956" s="406">
        <f t="shared" si="336"/>
        <v>143.51944444444445</v>
      </c>
      <c r="AK956" s="62">
        <f t="shared" si="329"/>
        <v>0.49642300194931771</v>
      </c>
      <c r="AL956" s="225">
        <f>Table1[[#This Row],[WSP/Dealer]]/Table1[[#This Row],[OD Sq Inch]]</f>
        <v>0.30810810810810813</v>
      </c>
      <c r="AM956" s="399">
        <f>Table1[[#This Row],[OD Wdth]]*Table1[[#This Row],[OD Hgt]]</f>
        <v>925</v>
      </c>
      <c r="AN956" s="400" t="str">
        <f>Table1[[#This Row],[Color]]</f>
        <v>BF</v>
      </c>
      <c r="AO956" s="115" t="str">
        <f>Table1[[#This Row],[Print Type]]</f>
        <v>Reductive</v>
      </c>
      <c r="AP956" s="115"/>
      <c r="AQ956" s="121"/>
      <c r="AR956" s="121"/>
      <c r="AS956" s="121"/>
      <c r="AT956" s="104"/>
      <c r="AU956" s="1359" t="str">
        <f t="shared" si="328"/>
        <v>-</v>
      </c>
    </row>
    <row r="957" spans="1:47" s="46" customFormat="1" hidden="1" x14ac:dyDescent="0.2">
      <c r="A957" s="101" t="s">
        <v>101</v>
      </c>
      <c r="B957" s="1653" t="s">
        <v>111</v>
      </c>
      <c r="C957" s="168" t="s">
        <v>2393</v>
      </c>
      <c r="D957" s="168"/>
      <c r="E957" s="115" t="s">
        <v>2392</v>
      </c>
      <c r="F957" s="115" t="s">
        <v>571</v>
      </c>
      <c r="G957" s="101" t="s">
        <v>323</v>
      </c>
      <c r="H957" s="101" t="s">
        <v>325</v>
      </c>
      <c r="I957" s="101" t="s">
        <v>52</v>
      </c>
      <c r="J957" s="101" t="s">
        <v>53</v>
      </c>
      <c r="K957" s="101" t="s">
        <v>69</v>
      </c>
      <c r="L957" s="101" t="s">
        <v>55</v>
      </c>
      <c r="M957" s="141">
        <v>215</v>
      </c>
      <c r="N957" s="102"/>
      <c r="O957" s="101" t="s">
        <v>575</v>
      </c>
      <c r="P957" s="103">
        <v>36</v>
      </c>
      <c r="Q957" s="103">
        <v>24</v>
      </c>
      <c r="R957" s="101">
        <v>24</v>
      </c>
      <c r="S957" s="103">
        <v>36</v>
      </c>
      <c r="T957" s="101">
        <v>36</v>
      </c>
      <c r="U957" s="101">
        <v>24</v>
      </c>
      <c r="V957" s="608">
        <f>IF(J957="Canvas",P957+Border,P957)</f>
        <v>44</v>
      </c>
      <c r="W957" s="608">
        <f>IF(J957="Canvas",Q957+Border,Q957)</f>
        <v>32</v>
      </c>
      <c r="X957" s="137">
        <v>53</v>
      </c>
      <c r="Y957" s="881">
        <f>Table1[[#This Row],[Print Wth]]</f>
        <v>44</v>
      </c>
      <c r="Z957" s="881">
        <f>Table1[[#This Row],[Print Ht]]</f>
        <v>32</v>
      </c>
      <c r="AA957" s="892">
        <f>Table1[[#This Row],[Cut Width]]*Table1[[#This Row],[Cut Height]]/144</f>
        <v>9.7777777777777786</v>
      </c>
      <c r="AB957" s="898">
        <f>(Table1[[#This Row],[Print Wth]]*Table1[[#This Row],[Print Ht]])/144*SWISSMLR</f>
        <v>19.555555555555557</v>
      </c>
      <c r="AC957" s="863">
        <f>(Table1[[#This Row],[Cut Width]]*Table1[[#This Row],[Cut Height]])/144*Canvas</f>
        <v>6.453333333333334</v>
      </c>
      <c r="AD957" s="865">
        <f>(Table1[[#This Row],[Print Wth]]*Table1[[#This Row],[Print Ht]])/144*Materials!$C$42</f>
        <v>3.1288888888888891</v>
      </c>
      <c r="AE957" s="863">
        <v>10</v>
      </c>
      <c r="AF957" s="102">
        <f>'Cali FPS'!C37</f>
        <v>75.162500000000009</v>
      </c>
      <c r="AG957" s="121"/>
      <c r="AH957" s="107">
        <f t="shared" si="331"/>
        <v>10.75</v>
      </c>
      <c r="AI957" s="107"/>
      <c r="AJ957" s="406">
        <f t="shared" si="336"/>
        <v>105.49472222222224</v>
      </c>
      <c r="AK957" s="108">
        <f t="shared" si="329"/>
        <v>0.50932687338501281</v>
      </c>
      <c r="AL957" s="660">
        <f>Table1[[#This Row],[WSP/Dealer]]/Table1[[#This Row],[OD Sq Inch]]</f>
        <v>0.24884259259259259</v>
      </c>
      <c r="AM957" s="399">
        <f>Table1[[#This Row],[OD Wdth]]*Table1[[#This Row],[OD Hgt]]</f>
        <v>864</v>
      </c>
      <c r="AN957" s="400" t="str">
        <f>Table1[[#This Row],[Color]]</f>
        <v>GW</v>
      </c>
      <c r="AO957" s="115" t="str">
        <f>Table1[[#This Row],[Print Type]]</f>
        <v>Synograph</v>
      </c>
      <c r="AP957" s="115"/>
      <c r="AQ957" s="121"/>
      <c r="AR957" s="121"/>
      <c r="AS957" s="121"/>
      <c r="AT957" s="104"/>
      <c r="AU957" s="1359" t="str">
        <f t="shared" si="328"/>
        <v>-</v>
      </c>
    </row>
    <row r="958" spans="1:47" s="144" customFormat="1" x14ac:dyDescent="0.2">
      <c r="A958" s="86" t="s">
        <v>58</v>
      </c>
      <c r="B958" s="279" t="s">
        <v>366</v>
      </c>
      <c r="C958" s="100" t="s">
        <v>2394</v>
      </c>
      <c r="D958" s="94" t="s">
        <v>2395</v>
      </c>
      <c r="E958" s="85" t="s">
        <v>2396</v>
      </c>
      <c r="F958" s="85" t="s">
        <v>1269</v>
      </c>
      <c r="G958" s="86" t="s">
        <v>623</v>
      </c>
      <c r="H958" s="86" t="s">
        <v>2397</v>
      </c>
      <c r="I958" s="86" t="s">
        <v>52</v>
      </c>
      <c r="J958" s="86" t="s">
        <v>53</v>
      </c>
      <c r="K958" s="86" t="s">
        <v>82</v>
      </c>
      <c r="L958" s="86" t="s">
        <v>83</v>
      </c>
      <c r="M958" s="87">
        <v>1320</v>
      </c>
      <c r="N958" s="639">
        <v>1450</v>
      </c>
      <c r="O958" s="551" t="s">
        <v>64</v>
      </c>
      <c r="P958" s="101">
        <v>60</v>
      </c>
      <c r="Q958" s="101">
        <v>72</v>
      </c>
      <c r="R958" s="60">
        <v>60</v>
      </c>
      <c r="S958" s="273">
        <v>72</v>
      </c>
      <c r="T958" s="101">
        <v>62</v>
      </c>
      <c r="U958" s="101" t="str">
        <f>RIGHT(H958,2)</f>
        <v>74</v>
      </c>
      <c r="V958" s="608">
        <f>IF(J958="Canvas",P958+Border,P958)</f>
        <v>68</v>
      </c>
      <c r="W958" s="608">
        <f>IF(J958="Canvas",Q958+Border,Q958)</f>
        <v>80</v>
      </c>
      <c r="X958" s="311">
        <v>82</v>
      </c>
      <c r="Y958" s="551"/>
      <c r="Z958" s="551"/>
      <c r="AA958" s="649">
        <f t="shared" ref="AA958:AA977" si="337">V958*W958/144</f>
        <v>37.777777777777779</v>
      </c>
      <c r="AB958" s="125">
        <f>AA958*Swiss1</f>
        <v>1069.1111111111111</v>
      </c>
      <c r="AC958" s="104">
        <f t="shared" ref="AC958:AC969" si="338">AA958*Canvas</f>
        <v>24.933333333333334</v>
      </c>
      <c r="AD958" s="107">
        <f>Table1[[#This Row],[Substrate SF]]*Materials!C$37</f>
        <v>105.77777777777777</v>
      </c>
      <c r="AE958" s="104">
        <f>IF(Table1[[#This Row],[Work Center]]="SwissQ",Materials!G$37,IF(Table1[[#This Row],[Work Center]]="Inca",Materials!G$29,IF(Table1[[#This Row],[Work Center]]="Canon",Materials!G$49,Materials!G$45)))</f>
        <v>20</v>
      </c>
      <c r="AF958" s="104">
        <f>'Cali Frames'!D$168</f>
        <v>317.065</v>
      </c>
      <c r="AG958" s="115"/>
      <c r="AH958" s="112">
        <f t="shared" si="331"/>
        <v>66</v>
      </c>
      <c r="AI958" s="112"/>
      <c r="AJ958" s="104">
        <f t="shared" si="336"/>
        <v>533.77611111111105</v>
      </c>
      <c r="AK958" s="62">
        <f t="shared" si="329"/>
        <v>0.59562415824915826</v>
      </c>
      <c r="AL958" s="225">
        <f>Table1[[#This Row],[WSP/Dealer]]/Table1[[#This Row],[OD Sq Inch]]</f>
        <v>0.28770706190061029</v>
      </c>
      <c r="AM958" s="103">
        <f>Table1[[#This Row],[OD Wdth]]*Table1[[#This Row],[OD Hgt]]</f>
        <v>4588</v>
      </c>
      <c r="AN958" s="216">
        <f>Table1[[#This Row],[Min VO]]+Table1[[#This Row],[Max VO]]</f>
        <v>132</v>
      </c>
      <c r="AO958" s="101"/>
      <c r="AP958" s="101"/>
      <c r="AQ958" s="104"/>
      <c r="AR958" s="104"/>
      <c r="AS958" s="104"/>
      <c r="AT958" s="104"/>
      <c r="AU958" s="830" t="str">
        <f t="shared" si="328"/>
        <v>-</v>
      </c>
    </row>
    <row r="959" spans="1:47" s="46" customFormat="1" x14ac:dyDescent="0.2">
      <c r="A959" s="86" t="s">
        <v>58</v>
      </c>
      <c r="B959" s="279" t="s">
        <v>366</v>
      </c>
      <c r="C959" s="100" t="s">
        <v>2398</v>
      </c>
      <c r="D959" s="94" t="s">
        <v>2399</v>
      </c>
      <c r="E959" s="85" t="s">
        <v>2400</v>
      </c>
      <c r="F959" s="85" t="s">
        <v>1269</v>
      </c>
      <c r="G959" s="86" t="s">
        <v>623</v>
      </c>
      <c r="H959" s="86" t="s">
        <v>2397</v>
      </c>
      <c r="I959" s="86" t="s">
        <v>52</v>
      </c>
      <c r="J959" s="86" t="s">
        <v>53</v>
      </c>
      <c r="K959" s="86" t="s">
        <v>82</v>
      </c>
      <c r="L959" s="86" t="s">
        <v>83</v>
      </c>
      <c r="M959" s="87">
        <v>1320</v>
      </c>
      <c r="N959" s="639">
        <v>1450</v>
      </c>
      <c r="O959" s="101" t="s">
        <v>64</v>
      </c>
      <c r="P959" s="101">
        <v>60</v>
      </c>
      <c r="Q959" s="101">
        <v>72</v>
      </c>
      <c r="R959" s="60">
        <v>60</v>
      </c>
      <c r="S959" s="273">
        <v>72</v>
      </c>
      <c r="T959" s="101">
        <v>62</v>
      </c>
      <c r="U959" s="101" t="str">
        <f>RIGHT(H959,2)</f>
        <v>74</v>
      </c>
      <c r="V959" s="608">
        <f>IF(J959="Canvas",P959+Border,P959)</f>
        <v>68</v>
      </c>
      <c r="W959" s="608">
        <f>IF(J959="Canvas",Q959+Border,Q959)</f>
        <v>80</v>
      </c>
      <c r="X959" s="311">
        <v>82</v>
      </c>
      <c r="Y959" s="551"/>
      <c r="Z959" s="551"/>
      <c r="AA959" s="649">
        <f t="shared" si="337"/>
        <v>37.777777777777779</v>
      </c>
      <c r="AB959" s="125">
        <f>AA959*Swiss1</f>
        <v>1069.1111111111111</v>
      </c>
      <c r="AC959" s="104">
        <f t="shared" si="338"/>
        <v>24.933333333333334</v>
      </c>
      <c r="AD959" s="104">
        <f>Table1[[#This Row],[Substrate SF]]*Materials!C$37</f>
        <v>105.77777777777777</v>
      </c>
      <c r="AE959" s="104">
        <f>IF(Table1[[#This Row],[Work Center]]="SwissQ",Materials!G$37,IF(Table1[[#This Row],[Work Center]]="Inca",Materials!G$29,IF(Table1[[#This Row],[Work Center]]="Canon",Materials!G$49,Materials!G$45)))</f>
        <v>20</v>
      </c>
      <c r="AF959" s="104">
        <f>'Cali Frames'!D$168</f>
        <v>317.065</v>
      </c>
      <c r="AG959" s="115"/>
      <c r="AH959" s="498">
        <f t="shared" si="331"/>
        <v>66</v>
      </c>
      <c r="AI959" s="112"/>
      <c r="AJ959" s="104">
        <f t="shared" si="336"/>
        <v>533.77611111111105</v>
      </c>
      <c r="AK959" s="650">
        <f t="shared" si="329"/>
        <v>0.59562415824915826</v>
      </c>
      <c r="AL959" s="225">
        <f>Table1[[#This Row],[WSP/Dealer]]/Table1[[#This Row],[OD Sq Inch]]</f>
        <v>0.28770706190061029</v>
      </c>
      <c r="AM959" s="101">
        <f>Table1[[#This Row],[OD Wdth]]*Table1[[#This Row],[OD Hgt]]</f>
        <v>4588</v>
      </c>
      <c r="AN959" s="216">
        <f>Table1[[#This Row],[Min VO]]+Table1[[#This Row],[Max VO]]</f>
        <v>132</v>
      </c>
      <c r="AO959" s="101"/>
      <c r="AP959" s="101"/>
      <c r="AQ959" s="104"/>
      <c r="AR959" s="104"/>
      <c r="AS959" s="104"/>
      <c r="AT959" s="104"/>
      <c r="AU959" s="830" t="str">
        <f t="shared" si="328"/>
        <v>-</v>
      </c>
    </row>
    <row r="960" spans="1:47" s="46" customFormat="1" hidden="1" x14ac:dyDescent="0.2">
      <c r="A960" s="216" t="s">
        <v>272</v>
      </c>
      <c r="B960" s="279" t="s">
        <v>273</v>
      </c>
      <c r="C960" s="232" t="s">
        <v>2401</v>
      </c>
      <c r="D960" s="94"/>
      <c r="E960" s="217" t="s">
        <v>2402</v>
      </c>
      <c r="F960" s="217" t="s">
        <v>454</v>
      </c>
      <c r="G960" s="216" t="s">
        <v>2403</v>
      </c>
      <c r="H960" s="216" t="s">
        <v>2403</v>
      </c>
      <c r="I960" s="216" t="s">
        <v>52</v>
      </c>
      <c r="J960" s="216" t="s">
        <v>53</v>
      </c>
      <c r="K960" s="216" t="s">
        <v>54</v>
      </c>
      <c r="L960" s="216" t="s">
        <v>55</v>
      </c>
      <c r="M960" s="219">
        <v>400</v>
      </c>
      <c r="N960" s="219"/>
      <c r="O960" s="216" t="s">
        <v>56</v>
      </c>
      <c r="P960" s="216">
        <v>60</v>
      </c>
      <c r="Q960" s="216">
        <v>24</v>
      </c>
      <c r="R960" s="216">
        <v>24</v>
      </c>
      <c r="S960" s="626">
        <v>60</v>
      </c>
      <c r="T960" s="216">
        <f t="shared" ref="T960:U965" si="339">P960</f>
        <v>60</v>
      </c>
      <c r="U960" s="216">
        <f t="shared" si="339"/>
        <v>24</v>
      </c>
      <c r="V960" s="907">
        <f>V991*2</f>
        <v>100</v>
      </c>
      <c r="W960" s="907">
        <f t="shared" ref="W960:W965" si="340">IF(J960="Canvas",Q960+BorderGW,Q960)</f>
        <v>32</v>
      </c>
      <c r="X960" s="223">
        <v>40</v>
      </c>
      <c r="Y960" s="216">
        <v>32</v>
      </c>
      <c r="Z960" s="216">
        <v>88</v>
      </c>
      <c r="AA960" s="718">
        <f t="shared" si="337"/>
        <v>22.222222222222221</v>
      </c>
      <c r="AB960" s="233">
        <f>AA960*IncaG</f>
        <v>467.55555555555554</v>
      </c>
      <c r="AC960" s="225">
        <f t="shared" si="338"/>
        <v>14.666666666666666</v>
      </c>
      <c r="AD960" s="986">
        <f>Table1[[#This Row],[Ink g/mL]]*Materials!$C$29</f>
        <v>37.404444444444444</v>
      </c>
      <c r="AE960" s="104">
        <f>IF(Table1[[#This Row],[Work Center]]="SwissQ",Materials!G$37,IF(Table1[[#This Row],[Work Center]]="Inca",Materials!G$29,IF(Table1[[#This Row],[Work Center]]="Canon",Materials!G$49,Materials!G$45)))</f>
        <v>8</v>
      </c>
      <c r="AF960" s="225"/>
      <c r="AG960" s="115"/>
      <c r="AH960" s="498">
        <f t="shared" si="331"/>
        <v>20</v>
      </c>
      <c r="AI960" s="498"/>
      <c r="AJ960" s="225">
        <f t="shared" si="336"/>
        <v>80.071111111111108</v>
      </c>
      <c r="AK960" s="650">
        <f t="shared" si="329"/>
        <v>0.79982222222222221</v>
      </c>
      <c r="AL960" s="225">
        <f>Table1[[#This Row],[WSP/Dealer]]/Table1[[#This Row],[OD Sq Inch]]</f>
        <v>0.27777777777777779</v>
      </c>
      <c r="AM960" s="216">
        <f>Table1[[#This Row],[OD Wdth]]*Table1[[#This Row],[OD Hgt]]</f>
        <v>1440</v>
      </c>
      <c r="AN960" s="216">
        <f>Table1[[#This Row],[Min VO]]+Table1[[#This Row],[Max VO]]</f>
        <v>84</v>
      </c>
      <c r="AO960" s="216" t="s">
        <v>467</v>
      </c>
      <c r="AP960" s="226"/>
      <c r="AQ960" s="226"/>
      <c r="AR960" s="226"/>
      <c r="AS960" s="226"/>
      <c r="AT960" s="226"/>
      <c r="AU960" s="1365" t="str">
        <f t="shared" si="328"/>
        <v>-</v>
      </c>
    </row>
    <row r="961" spans="1:47" s="20" customFormat="1" hidden="1" x14ac:dyDescent="0.2">
      <c r="A961" s="216" t="s">
        <v>272</v>
      </c>
      <c r="B961" s="279" t="s">
        <v>273</v>
      </c>
      <c r="C961" s="243" t="s">
        <v>2404</v>
      </c>
      <c r="D961" s="94" t="s">
        <v>2405</v>
      </c>
      <c r="E961" s="217" t="s">
        <v>2406</v>
      </c>
      <c r="F961" s="217" t="s">
        <v>454</v>
      </c>
      <c r="G961" s="216" t="s">
        <v>2403</v>
      </c>
      <c r="H961" s="216" t="s">
        <v>2403</v>
      </c>
      <c r="I961" s="216" t="s">
        <v>108</v>
      </c>
      <c r="J961" s="216" t="s">
        <v>53</v>
      </c>
      <c r="K961" s="216" t="s">
        <v>54</v>
      </c>
      <c r="L961" s="216" t="s">
        <v>55</v>
      </c>
      <c r="M961" s="219">
        <v>350</v>
      </c>
      <c r="N961" s="219"/>
      <c r="O961" s="216" t="s">
        <v>109</v>
      </c>
      <c r="P961" s="216">
        <v>60</v>
      </c>
      <c r="Q961" s="216">
        <v>24</v>
      </c>
      <c r="R961" s="216">
        <v>24</v>
      </c>
      <c r="S961" s="626">
        <v>60</v>
      </c>
      <c r="T961" s="216">
        <f t="shared" si="339"/>
        <v>60</v>
      </c>
      <c r="U961" s="216">
        <f t="shared" si="339"/>
        <v>24</v>
      </c>
      <c r="V961" s="907">
        <f>37*2</f>
        <v>74</v>
      </c>
      <c r="W961" s="907">
        <f t="shared" si="340"/>
        <v>32</v>
      </c>
      <c r="X961" s="223">
        <v>40</v>
      </c>
      <c r="Y961" s="216"/>
      <c r="Z961" s="216"/>
      <c r="AA961" s="718">
        <f t="shared" si="337"/>
        <v>16.444444444444443</v>
      </c>
      <c r="AB961" s="233">
        <f>AA961*EPSONM</f>
        <v>74</v>
      </c>
      <c r="AC961" s="225">
        <f t="shared" si="338"/>
        <v>10.853333333333333</v>
      </c>
      <c r="AD961" s="207">
        <f>Table1[[#This Row],[Ink g/mL]]*EPSONC</f>
        <v>16.28</v>
      </c>
      <c r="AE961" s="104">
        <f>IF(Table1[[#This Row],[Work Center]]="SwissQ",Materials!G$37,IF(Table1[[#This Row],[Work Center]]="Inca",Materials!G$29,IF(Table1[[#This Row],[Work Center]]="Canon",Materials!G$49,Materials!G$45)))</f>
        <v>5</v>
      </c>
      <c r="AF961" s="225">
        <f>'Cali FPS'!C39</f>
        <v>106.75</v>
      </c>
      <c r="AG961" s="115"/>
      <c r="AH961" s="498">
        <f t="shared" si="331"/>
        <v>17.5</v>
      </c>
      <c r="AI961" s="498"/>
      <c r="AJ961" s="225">
        <f t="shared" si="336"/>
        <v>156.38333333333333</v>
      </c>
      <c r="AK961" s="650">
        <f t="shared" si="329"/>
        <v>0.55319047619047623</v>
      </c>
      <c r="AL961" s="225">
        <f>Table1[[#This Row],[WSP/Dealer]]/Table1[[#This Row],[OD Sq Inch]]</f>
        <v>0.24305555555555555</v>
      </c>
      <c r="AM961" s="101">
        <f>Table1[[#This Row],[OD Wdth]]*Table1[[#This Row],[OD Hgt]]</f>
        <v>1440</v>
      </c>
      <c r="AN961" s="216">
        <f>Table1[[#This Row],[Min VO]]+Table1[[#This Row],[Max VO]]</f>
        <v>84</v>
      </c>
      <c r="AO961" s="216" t="s">
        <v>467</v>
      </c>
      <c r="AP961" s="226"/>
      <c r="AQ961" s="226"/>
      <c r="AR961" s="226"/>
      <c r="AS961" s="226"/>
      <c r="AT961" s="226"/>
      <c r="AU961" s="1363" t="str">
        <f t="shared" si="328"/>
        <v>-</v>
      </c>
    </row>
    <row r="962" spans="1:47" s="46" customFormat="1" hidden="1" x14ac:dyDescent="0.2">
      <c r="A962" s="216" t="s">
        <v>272</v>
      </c>
      <c r="B962" s="279" t="s">
        <v>273</v>
      </c>
      <c r="C962" s="232" t="s">
        <v>2407</v>
      </c>
      <c r="D962" s="94"/>
      <c r="E962" s="217" t="s">
        <v>2408</v>
      </c>
      <c r="F962" s="217" t="s">
        <v>454</v>
      </c>
      <c r="G962" s="216" t="s">
        <v>2263</v>
      </c>
      <c r="H962" s="216" t="s">
        <v>2263</v>
      </c>
      <c r="I962" s="216" t="s">
        <v>52</v>
      </c>
      <c r="J962" s="216" t="s">
        <v>53</v>
      </c>
      <c r="K962" s="216" t="s">
        <v>54</v>
      </c>
      <c r="L962" s="216" t="s">
        <v>55</v>
      </c>
      <c r="M962" s="219">
        <v>225</v>
      </c>
      <c r="N962" s="219"/>
      <c r="O962" s="216" t="s">
        <v>56</v>
      </c>
      <c r="P962" s="216">
        <v>30</v>
      </c>
      <c r="Q962" s="216">
        <v>24</v>
      </c>
      <c r="R962" s="216">
        <v>24</v>
      </c>
      <c r="S962" s="626">
        <v>30</v>
      </c>
      <c r="T962" s="216">
        <f t="shared" si="339"/>
        <v>30</v>
      </c>
      <c r="U962" s="216">
        <f t="shared" si="339"/>
        <v>24</v>
      </c>
      <c r="V962" s="907">
        <f>IF(J962="Canvas",P962+BorderGW,P962)</f>
        <v>38</v>
      </c>
      <c r="W962" s="907">
        <f t="shared" si="340"/>
        <v>32</v>
      </c>
      <c r="X962" s="223" t="s">
        <v>1070</v>
      </c>
      <c r="Y962" s="216">
        <v>38</v>
      </c>
      <c r="Z962" s="216">
        <v>96</v>
      </c>
      <c r="AA962" s="718">
        <f t="shared" si="337"/>
        <v>8.4444444444444446</v>
      </c>
      <c r="AB962" s="233">
        <f>AA962*IncaG</f>
        <v>177.67111111111112</v>
      </c>
      <c r="AC962" s="176">
        <f t="shared" si="338"/>
        <v>5.5733333333333341</v>
      </c>
      <c r="AD962" s="206">
        <f>Table1[[#This Row],[Ink g/mL]]*Materials!$C$29</f>
        <v>14.213688888888889</v>
      </c>
      <c r="AE962" s="104">
        <f>IF(Table1[[#This Row],[Work Center]]="SwissQ",Materials!G$37,IF(Table1[[#This Row],[Work Center]]="Inca",Materials!G$29,IF(Table1[[#This Row],[Work Center]]="Canon",Materials!G$49,Materials!G$45)))</f>
        <v>8</v>
      </c>
      <c r="AF962" s="225"/>
      <c r="AG962" s="115"/>
      <c r="AH962" s="498">
        <f t="shared" si="331"/>
        <v>11.25</v>
      </c>
      <c r="AI962" s="498"/>
      <c r="AJ962" s="225">
        <f t="shared" si="336"/>
        <v>39.03702222222222</v>
      </c>
      <c r="AK962" s="650">
        <f t="shared" si="329"/>
        <v>0.82650212345679008</v>
      </c>
      <c r="AL962" s="225">
        <f>Table1[[#This Row],[WSP/Dealer]]/Table1[[#This Row],[OD Sq Inch]]</f>
        <v>0.3125</v>
      </c>
      <c r="AM962" s="216">
        <f>Table1[[#This Row],[OD Wdth]]*Table1[[#This Row],[OD Hgt]]</f>
        <v>720</v>
      </c>
      <c r="AN962" s="216">
        <f>Table1[[#This Row],[Min VO]]+Table1[[#This Row],[Max VO]]</f>
        <v>54</v>
      </c>
      <c r="AO962" s="216" t="s">
        <v>2198</v>
      </c>
      <c r="AP962" s="226"/>
      <c r="AQ962" s="226"/>
      <c r="AR962" s="226"/>
      <c r="AS962" s="226"/>
      <c r="AT962" s="226"/>
      <c r="AU962" s="1365" t="str">
        <f t="shared" ref="AU962:AU993" si="341">IF(AQ962=0,"-",(AQ962-AT962)/AQ962)</f>
        <v>-</v>
      </c>
    </row>
    <row r="963" spans="1:47" s="103" customFormat="1" hidden="1" x14ac:dyDescent="0.2">
      <c r="A963" s="216" t="s">
        <v>272</v>
      </c>
      <c r="B963" s="279" t="s">
        <v>273</v>
      </c>
      <c r="C963" s="232" t="s">
        <v>2409</v>
      </c>
      <c r="D963" s="94"/>
      <c r="E963" s="217" t="s">
        <v>2410</v>
      </c>
      <c r="F963" s="217" t="s">
        <v>454</v>
      </c>
      <c r="G963" s="216" t="s">
        <v>2263</v>
      </c>
      <c r="H963" s="216" t="s">
        <v>2263</v>
      </c>
      <c r="I963" s="216" t="s">
        <v>52</v>
      </c>
      <c r="J963" s="216" t="s">
        <v>53</v>
      </c>
      <c r="K963" s="216" t="s">
        <v>54</v>
      </c>
      <c r="L963" s="216" t="s">
        <v>55</v>
      </c>
      <c r="M963" s="219">
        <v>225</v>
      </c>
      <c r="N963" s="219"/>
      <c r="O963" s="216" t="s">
        <v>56</v>
      </c>
      <c r="P963" s="216">
        <v>30</v>
      </c>
      <c r="Q963" s="216">
        <v>24</v>
      </c>
      <c r="R963" s="216">
        <v>24</v>
      </c>
      <c r="S963" s="626">
        <v>30</v>
      </c>
      <c r="T963" s="216">
        <f t="shared" si="339"/>
        <v>30</v>
      </c>
      <c r="U963" s="216">
        <f t="shared" si="339"/>
        <v>24</v>
      </c>
      <c r="V963" s="907">
        <f>IF(J963="Canvas",P963+BorderGW,P963)</f>
        <v>38</v>
      </c>
      <c r="W963" s="907">
        <f t="shared" si="340"/>
        <v>32</v>
      </c>
      <c r="X963" s="223" t="s">
        <v>1070</v>
      </c>
      <c r="Y963" s="216">
        <v>38</v>
      </c>
      <c r="Z963" s="216">
        <v>96</v>
      </c>
      <c r="AA963" s="718">
        <f t="shared" si="337"/>
        <v>8.4444444444444446</v>
      </c>
      <c r="AB963" s="233">
        <f>AA963*IncaG</f>
        <v>177.67111111111112</v>
      </c>
      <c r="AC963" s="176">
        <f t="shared" si="338"/>
        <v>5.5733333333333341</v>
      </c>
      <c r="AD963" s="206">
        <f>Table1[[#This Row],[Ink g/mL]]*Materials!$C$29</f>
        <v>14.213688888888889</v>
      </c>
      <c r="AE963" s="104">
        <f>IF(Table1[[#This Row],[Work Center]]="SwissQ",Materials!G$37,IF(Table1[[#This Row],[Work Center]]="Inca",Materials!G$29,IF(Table1[[#This Row],[Work Center]]="Canon",Materials!G$49,Materials!G$45)))</f>
        <v>8</v>
      </c>
      <c r="AF963" s="225"/>
      <c r="AG963" s="115"/>
      <c r="AH963" s="498">
        <f t="shared" si="331"/>
        <v>11.25</v>
      </c>
      <c r="AI963" s="498"/>
      <c r="AJ963" s="225">
        <f t="shared" si="336"/>
        <v>39.03702222222222</v>
      </c>
      <c r="AK963" s="650">
        <f t="shared" si="329"/>
        <v>0.82650212345679008</v>
      </c>
      <c r="AL963" s="225">
        <f>Table1[[#This Row],[WSP/Dealer]]/Table1[[#This Row],[OD Sq Inch]]</f>
        <v>0.3125</v>
      </c>
      <c r="AM963" s="103">
        <f>Table1[[#This Row],[OD Wdth]]*Table1[[#This Row],[OD Hgt]]</f>
        <v>720</v>
      </c>
      <c r="AN963" s="216">
        <f>Table1[[#This Row],[Min VO]]+Table1[[#This Row],[Max VO]]</f>
        <v>54</v>
      </c>
      <c r="AO963" s="216" t="s">
        <v>2198</v>
      </c>
      <c r="AP963" s="226"/>
      <c r="AQ963" s="226"/>
      <c r="AR963" s="226"/>
      <c r="AS963" s="226"/>
      <c r="AT963" s="226"/>
      <c r="AU963" s="1363" t="str">
        <f t="shared" si="341"/>
        <v>-</v>
      </c>
    </row>
    <row r="964" spans="1:47" s="63" customFormat="1" hidden="1" x14ac:dyDescent="0.2">
      <c r="A964" s="216" t="s">
        <v>272</v>
      </c>
      <c r="B964" s="279" t="s">
        <v>273</v>
      </c>
      <c r="C964" s="243" t="s">
        <v>2411</v>
      </c>
      <c r="D964" s="94"/>
      <c r="E964" s="217" t="s">
        <v>2412</v>
      </c>
      <c r="F964" s="217" t="s">
        <v>454</v>
      </c>
      <c r="G964" s="216" t="s">
        <v>2263</v>
      </c>
      <c r="H964" s="216" t="s">
        <v>2263</v>
      </c>
      <c r="I964" s="216" t="s">
        <v>108</v>
      </c>
      <c r="J964" s="216" t="s">
        <v>53</v>
      </c>
      <c r="K964" s="216" t="s">
        <v>54</v>
      </c>
      <c r="L964" s="216" t="s">
        <v>55</v>
      </c>
      <c r="M964" s="219">
        <v>175</v>
      </c>
      <c r="N964" s="219"/>
      <c r="O964" s="216" t="s">
        <v>109</v>
      </c>
      <c r="P964" s="216">
        <v>30</v>
      </c>
      <c r="Q964" s="216">
        <v>24</v>
      </c>
      <c r="R964" s="216">
        <v>24</v>
      </c>
      <c r="S964" s="626">
        <v>30</v>
      </c>
      <c r="T964" s="216">
        <f t="shared" si="339"/>
        <v>30</v>
      </c>
      <c r="U964" s="216">
        <f t="shared" si="339"/>
        <v>24</v>
      </c>
      <c r="V964" s="907">
        <f>IF(J964="Canvas",P964+BorderGW,P964)</f>
        <v>38</v>
      </c>
      <c r="W964" s="907">
        <f t="shared" si="340"/>
        <v>32</v>
      </c>
      <c r="X964" s="223">
        <v>40</v>
      </c>
      <c r="Y964" s="216"/>
      <c r="Z964" s="216"/>
      <c r="AA964" s="718">
        <f t="shared" si="337"/>
        <v>8.4444444444444446</v>
      </c>
      <c r="AB964" s="233">
        <f>AA964*EPSONM</f>
        <v>38</v>
      </c>
      <c r="AC964" s="225">
        <f t="shared" si="338"/>
        <v>5.5733333333333341</v>
      </c>
      <c r="AD964" s="207">
        <f>Table1[[#This Row],[Ink g/mL]]*EPSONC</f>
        <v>8.36</v>
      </c>
      <c r="AE964" s="104">
        <f>IF(Table1[[#This Row],[Work Center]]="SwissQ",Materials!G$37,IF(Table1[[#This Row],[Work Center]]="Inca",Materials!G$29,IF(Table1[[#This Row],[Work Center]]="Canon",Materials!G$49,Materials!G$45)))</f>
        <v>5</v>
      </c>
      <c r="AF964" s="226">
        <f>'CALI_SONDER '!H$7</f>
        <v>56.23</v>
      </c>
      <c r="AG964" s="225"/>
      <c r="AH964" s="498">
        <f t="shared" si="331"/>
        <v>8.75</v>
      </c>
      <c r="AI964" s="498"/>
      <c r="AJ964" s="225">
        <f t="shared" si="336"/>
        <v>83.913333333333327</v>
      </c>
      <c r="AK964" s="650">
        <f t="shared" si="329"/>
        <v>0.52049523809523812</v>
      </c>
      <c r="AL964" s="225">
        <f>Table1[[#This Row],[WSP/Dealer]]/Table1[[#This Row],[OD Sq Inch]]</f>
        <v>0.24305555555555555</v>
      </c>
      <c r="AM964" s="103">
        <f>Table1[[#This Row],[OD Wdth]]*Table1[[#This Row],[OD Hgt]]</f>
        <v>720</v>
      </c>
      <c r="AN964" s="216">
        <f>Table1[[#This Row],[Min VO]]+Table1[[#This Row],[Max VO]]</f>
        <v>54</v>
      </c>
      <c r="AO964" s="216" t="s">
        <v>2198</v>
      </c>
      <c r="AP964" s="226"/>
      <c r="AQ964" s="226"/>
      <c r="AR964" s="226"/>
      <c r="AS964" s="226"/>
      <c r="AT964" s="226"/>
      <c r="AU964" s="1363" t="str">
        <f t="shared" si="341"/>
        <v>-</v>
      </c>
    </row>
    <row r="965" spans="1:47" s="103" customFormat="1" hidden="1" x14ac:dyDescent="0.2">
      <c r="A965" s="216" t="s">
        <v>272</v>
      </c>
      <c r="B965" s="279" t="s">
        <v>273</v>
      </c>
      <c r="C965" s="232" t="s">
        <v>2413</v>
      </c>
      <c r="D965" s="94"/>
      <c r="E965" s="217" t="s">
        <v>2414</v>
      </c>
      <c r="F965" s="217" t="s">
        <v>454</v>
      </c>
      <c r="G965" s="216" t="s">
        <v>2263</v>
      </c>
      <c r="H965" s="216" t="s">
        <v>2263</v>
      </c>
      <c r="I965" s="216" t="s">
        <v>108</v>
      </c>
      <c r="J965" s="216" t="s">
        <v>53</v>
      </c>
      <c r="K965" s="216" t="s">
        <v>54</v>
      </c>
      <c r="L965" s="216" t="s">
        <v>55</v>
      </c>
      <c r="M965" s="219">
        <v>175</v>
      </c>
      <c r="N965" s="219"/>
      <c r="O965" s="216" t="s">
        <v>109</v>
      </c>
      <c r="P965" s="216">
        <v>30</v>
      </c>
      <c r="Q965" s="216">
        <v>24</v>
      </c>
      <c r="R965" s="216">
        <v>24</v>
      </c>
      <c r="S965" s="626">
        <v>30</v>
      </c>
      <c r="T965" s="216">
        <f t="shared" si="339"/>
        <v>30</v>
      </c>
      <c r="U965" s="216">
        <f t="shared" si="339"/>
        <v>24</v>
      </c>
      <c r="V965" s="222">
        <f>IF(J965="Canvas",P965+BorderGW,P965)</f>
        <v>38</v>
      </c>
      <c r="W965" s="222">
        <f t="shared" si="340"/>
        <v>32</v>
      </c>
      <c r="X965" s="223">
        <v>40</v>
      </c>
      <c r="Y965" s="216"/>
      <c r="Z965" s="216"/>
      <c r="AA965" s="718">
        <f t="shared" si="337"/>
        <v>8.4444444444444446</v>
      </c>
      <c r="AB965" s="233">
        <f>AA965*EPSONM</f>
        <v>38</v>
      </c>
      <c r="AC965" s="225">
        <f t="shared" si="338"/>
        <v>5.5733333333333341</v>
      </c>
      <c r="AD965" s="207">
        <f>Table1[[#This Row],[Ink g/mL]]*EPSONC</f>
        <v>8.36</v>
      </c>
      <c r="AE965" s="104">
        <f>IF(Table1[[#This Row],[Work Center]]="SwissQ",Materials!G$37,IF(Table1[[#This Row],[Work Center]]="Inca",Materials!G$29,IF(Table1[[#This Row],[Work Center]]="Canon",Materials!G$49,Materials!G$45)))</f>
        <v>5</v>
      </c>
      <c r="AF965" s="226">
        <f>'CALI_SONDER '!H$7</f>
        <v>56.23</v>
      </c>
      <c r="AG965" s="225"/>
      <c r="AH965" s="498">
        <f t="shared" si="331"/>
        <v>8.75</v>
      </c>
      <c r="AI965" s="498"/>
      <c r="AJ965" s="225">
        <f t="shared" si="336"/>
        <v>83.913333333333327</v>
      </c>
      <c r="AK965" s="650">
        <f t="shared" si="329"/>
        <v>0.52049523809523812</v>
      </c>
      <c r="AL965" s="225">
        <f>Table1[[#This Row],[WSP/Dealer]]/Table1[[#This Row],[OD Sq Inch]]</f>
        <v>0.24305555555555555</v>
      </c>
      <c r="AM965" s="218">
        <f>Table1[[#This Row],[OD Wdth]]*Table1[[#This Row],[OD Hgt]]</f>
        <v>720</v>
      </c>
      <c r="AN965" s="216">
        <f>Table1[[#This Row],[Min VO]]+Table1[[#This Row],[Max VO]]</f>
        <v>54</v>
      </c>
      <c r="AO965" s="216" t="s">
        <v>2198</v>
      </c>
      <c r="AP965" s="226"/>
      <c r="AQ965" s="226"/>
      <c r="AR965" s="226"/>
      <c r="AS965" s="226"/>
      <c r="AT965" s="226"/>
      <c r="AU965" s="1363" t="str">
        <f t="shared" si="341"/>
        <v>-</v>
      </c>
    </row>
    <row r="966" spans="1:47" s="63" customFormat="1" x14ac:dyDescent="0.2">
      <c r="A966" s="60" t="s">
        <v>58</v>
      </c>
      <c r="B966" s="279" t="s">
        <v>96</v>
      </c>
      <c r="C966" s="76" t="s">
        <v>2415</v>
      </c>
      <c r="D966" s="94"/>
      <c r="E966" s="83" t="s">
        <v>2416</v>
      </c>
      <c r="F966" s="99" t="s">
        <v>454</v>
      </c>
      <c r="G966" s="60" t="s">
        <v>2417</v>
      </c>
      <c r="H966" s="60" t="s">
        <v>2417</v>
      </c>
      <c r="I966" s="60" t="s">
        <v>52</v>
      </c>
      <c r="J966" s="59" t="s">
        <v>53</v>
      </c>
      <c r="K966" s="60" t="s">
        <v>54</v>
      </c>
      <c r="L966" s="60" t="s">
        <v>55</v>
      </c>
      <c r="M966" s="179">
        <v>1100</v>
      </c>
      <c r="N966" s="656">
        <v>1100</v>
      </c>
      <c r="O966" s="60" t="s">
        <v>64</v>
      </c>
      <c r="P966" s="60">
        <v>64</v>
      </c>
      <c r="Q966" s="60">
        <v>48</v>
      </c>
      <c r="R966" s="60">
        <v>48</v>
      </c>
      <c r="S966" s="273">
        <v>64</v>
      </c>
      <c r="T966" s="60">
        <v>64</v>
      </c>
      <c r="U966" s="60">
        <v>48</v>
      </c>
      <c r="V966" s="47">
        <f>IF(J966="Canvas",P966+Materials!C$5,P966)</f>
        <v>71</v>
      </c>
      <c r="W966" s="47">
        <f>IF(J966="Canvas",Q966+Materials!C$5,Q966)</f>
        <v>55</v>
      </c>
      <c r="X966" s="138"/>
      <c r="Y966" s="60">
        <v>71</v>
      </c>
      <c r="Z966" s="60">
        <v>55</v>
      </c>
      <c r="AA966" s="717">
        <f t="shared" si="337"/>
        <v>27.118055555555557</v>
      </c>
      <c r="AB966" s="125">
        <f>AA966*Swiss1</f>
        <v>767.44097222222229</v>
      </c>
      <c r="AC966" s="69">
        <f t="shared" si="338"/>
        <v>17.897916666666667</v>
      </c>
      <c r="AD966" s="48">
        <f>Table1[[#This Row],[Substrate SF]]*Materials!C$37</f>
        <v>75.930555555555557</v>
      </c>
      <c r="AE966" s="69">
        <f>IF(Table1[[#This Row],[Work Center]]="SwissQ",Materials!G$37,IF(Table1[[#This Row],[Work Center]]="Inca",Materials!G$29,IF(Table1[[#This Row],[Work Center]]="Canon",Materials!G$49,Materials!G$45)))</f>
        <v>20</v>
      </c>
      <c r="AF966" s="72" t="e">
        <f>'Cali FPS'!C123</f>
        <v>#N/A</v>
      </c>
      <c r="AG966" s="83"/>
      <c r="AH966" s="69">
        <f t="shared" si="331"/>
        <v>55</v>
      </c>
      <c r="AI966" s="69"/>
      <c r="AJ966" s="176" t="e">
        <f t="shared" si="336"/>
        <v>#N/A</v>
      </c>
      <c r="AK966" s="650" t="e">
        <f t="shared" si="329"/>
        <v>#N/A</v>
      </c>
      <c r="AL966" s="225">
        <f>Table1[[#This Row],[WSP/Dealer]]/Table1[[#This Row],[OD Sq Inch]]</f>
        <v>0.35807291666666669</v>
      </c>
      <c r="AM966" s="173">
        <f>Table1[[#This Row],[OD Wdth]]*Table1[[#This Row],[OD Hgt]]</f>
        <v>3072</v>
      </c>
      <c r="AN966" s="180">
        <f>Table1[[#This Row],[Min VO]]+Table1[[#This Row],[Max VO]]</f>
        <v>112</v>
      </c>
      <c r="AO966" s="83"/>
      <c r="AP966" s="83"/>
      <c r="AQ966" s="540"/>
      <c r="AR966" s="540"/>
      <c r="AS966" s="540"/>
      <c r="AT966" s="69"/>
      <c r="AU966" s="1361" t="str">
        <f t="shared" si="341"/>
        <v>-</v>
      </c>
    </row>
    <row r="967" spans="1:47" s="63" customFormat="1" hidden="1" x14ac:dyDescent="0.2">
      <c r="A967" s="216" t="s">
        <v>272</v>
      </c>
      <c r="B967" s="279" t="s">
        <v>273</v>
      </c>
      <c r="C967" s="232" t="s">
        <v>2418</v>
      </c>
      <c r="D967" s="94"/>
      <c r="E967" s="217" t="s">
        <v>2419</v>
      </c>
      <c r="F967" s="217" t="s">
        <v>454</v>
      </c>
      <c r="G967" s="216" t="s">
        <v>2263</v>
      </c>
      <c r="H967" s="216" t="s">
        <v>2263</v>
      </c>
      <c r="I967" s="216" t="s">
        <v>52</v>
      </c>
      <c r="J967" s="216" t="s">
        <v>53</v>
      </c>
      <c r="K967" s="216" t="s">
        <v>54</v>
      </c>
      <c r="L967" s="216" t="s">
        <v>55</v>
      </c>
      <c r="M967" s="219">
        <v>225</v>
      </c>
      <c r="N967" s="219"/>
      <c r="O967" s="216" t="s">
        <v>56</v>
      </c>
      <c r="P967" s="216">
        <v>30</v>
      </c>
      <c r="Q967" s="216">
        <v>24</v>
      </c>
      <c r="R967" s="216">
        <v>24</v>
      </c>
      <c r="S967" s="626">
        <v>30</v>
      </c>
      <c r="T967" s="216">
        <f>P967</f>
        <v>30</v>
      </c>
      <c r="U967" s="216">
        <f>Q967</f>
        <v>24</v>
      </c>
      <c r="V967" s="222">
        <f>IF(J967="Canvas",P967+BorderGW,P967)</f>
        <v>38</v>
      </c>
      <c r="W967" s="222">
        <f>IF(J967="Canvas",Q967+BorderGW,Q967)</f>
        <v>32</v>
      </c>
      <c r="X967" s="223" t="s">
        <v>1070</v>
      </c>
      <c r="Y967" s="216">
        <v>38</v>
      </c>
      <c r="Z967" s="216">
        <v>96</v>
      </c>
      <c r="AA967" s="718">
        <f t="shared" si="337"/>
        <v>8.4444444444444446</v>
      </c>
      <c r="AB967" s="233">
        <f>AA967*IncaG</f>
        <v>177.67111111111112</v>
      </c>
      <c r="AC967" s="225">
        <f t="shared" si="338"/>
        <v>5.5733333333333341</v>
      </c>
      <c r="AD967" s="206">
        <f>Table1[[#This Row],[Ink g/mL]]*Materials!$C$29</f>
        <v>14.213688888888889</v>
      </c>
      <c r="AE967" s="104">
        <f>IF(Table1[[#This Row],[Work Center]]="SwissQ",Materials!G$37,IF(Table1[[#This Row],[Work Center]]="Inca",Materials!G$29,IF(Table1[[#This Row],[Work Center]]="Canon",Materials!G$49,Materials!G$45)))</f>
        <v>8</v>
      </c>
      <c r="AF967" s="225"/>
      <c r="AG967" s="115"/>
      <c r="AH967" s="498">
        <f t="shared" si="331"/>
        <v>11.25</v>
      </c>
      <c r="AI967" s="498"/>
      <c r="AJ967" s="225">
        <f t="shared" si="336"/>
        <v>39.03702222222222</v>
      </c>
      <c r="AK967" s="650">
        <f t="shared" si="329"/>
        <v>0.82650212345679008</v>
      </c>
      <c r="AL967" s="225">
        <f>Table1[[#This Row],[WSP/Dealer]]/Table1[[#This Row],[OD Sq Inch]]</f>
        <v>0.3125</v>
      </c>
      <c r="AM967" s="218">
        <f>Table1[[#This Row],[OD Wdth]]*Table1[[#This Row],[OD Hgt]]</f>
        <v>720</v>
      </c>
      <c r="AN967" s="216">
        <f>Table1[[#This Row],[Min VO]]+Table1[[#This Row],[Max VO]]</f>
        <v>54</v>
      </c>
      <c r="AO967" s="216" t="s">
        <v>2198</v>
      </c>
      <c r="AP967" s="226"/>
      <c r="AQ967" s="226"/>
      <c r="AR967" s="226"/>
      <c r="AS967" s="226"/>
      <c r="AT967" s="226"/>
      <c r="AU967" s="1363" t="str">
        <f t="shared" si="341"/>
        <v>-</v>
      </c>
    </row>
    <row r="968" spans="1:47" s="20" customFormat="1" hidden="1" x14ac:dyDescent="0.2">
      <c r="A968" s="216" t="s">
        <v>272</v>
      </c>
      <c r="B968" s="279" t="s">
        <v>273</v>
      </c>
      <c r="C968" s="232" t="s">
        <v>2420</v>
      </c>
      <c r="D968" s="94"/>
      <c r="E968" s="217" t="s">
        <v>2421</v>
      </c>
      <c r="F968" s="217" t="s">
        <v>454</v>
      </c>
      <c r="G968" s="216" t="s">
        <v>2263</v>
      </c>
      <c r="H968" s="216" t="s">
        <v>2263</v>
      </c>
      <c r="I968" s="216" t="s">
        <v>108</v>
      </c>
      <c r="J968" s="216" t="s">
        <v>53</v>
      </c>
      <c r="K968" s="216" t="s">
        <v>54</v>
      </c>
      <c r="L968" s="216" t="s">
        <v>55</v>
      </c>
      <c r="M968" s="219">
        <v>175</v>
      </c>
      <c r="N968" s="219"/>
      <c r="O968" s="216" t="s">
        <v>109</v>
      </c>
      <c r="P968" s="216">
        <v>30</v>
      </c>
      <c r="Q968" s="216">
        <v>24</v>
      </c>
      <c r="R968" s="216">
        <v>24</v>
      </c>
      <c r="S968" s="626">
        <v>30</v>
      </c>
      <c r="T968" s="216">
        <f>P968</f>
        <v>30</v>
      </c>
      <c r="U968" s="216">
        <f>Q968</f>
        <v>24</v>
      </c>
      <c r="V968" s="222">
        <f>IF(J968="Canvas",P968+BorderGW,P968)</f>
        <v>38</v>
      </c>
      <c r="W968" s="222">
        <f>IF(J968="Canvas",Q968+BorderGW,Q968)</f>
        <v>32</v>
      </c>
      <c r="X968" s="223">
        <v>40</v>
      </c>
      <c r="Y968" s="216"/>
      <c r="Z968" s="216"/>
      <c r="AA968" s="718">
        <f t="shared" si="337"/>
        <v>8.4444444444444446</v>
      </c>
      <c r="AB968" s="233">
        <f>AA968*EPSONM</f>
        <v>38</v>
      </c>
      <c r="AC968" s="225">
        <f t="shared" si="338"/>
        <v>5.5733333333333341</v>
      </c>
      <c r="AD968" s="207">
        <f>Table1[[#This Row],[Ink g/mL]]*EPSONC</f>
        <v>8.36</v>
      </c>
      <c r="AE968" s="104">
        <f>IF(Table1[[#This Row],[Work Center]]="SwissQ",Materials!G$37,IF(Table1[[#This Row],[Work Center]]="Inca",Materials!G$29,IF(Table1[[#This Row],[Work Center]]="Canon",Materials!G$49,Materials!G$45)))</f>
        <v>5</v>
      </c>
      <c r="AF968" s="226">
        <f>'CALI_SONDER '!H$7</f>
        <v>56.23</v>
      </c>
      <c r="AG968" s="225"/>
      <c r="AH968" s="498">
        <f t="shared" si="331"/>
        <v>8.75</v>
      </c>
      <c r="AI968" s="498"/>
      <c r="AJ968" s="225">
        <f t="shared" si="336"/>
        <v>83.913333333333327</v>
      </c>
      <c r="AK968" s="650">
        <f t="shared" si="329"/>
        <v>0.52049523809523812</v>
      </c>
      <c r="AL968" s="225">
        <f>Table1[[#This Row],[WSP/Dealer]]/Table1[[#This Row],[OD Sq Inch]]</f>
        <v>0.24305555555555555</v>
      </c>
      <c r="AM968" s="218">
        <f>Table1[[#This Row],[OD Wdth]]*Table1[[#This Row],[OD Hgt]]</f>
        <v>720</v>
      </c>
      <c r="AN968" s="216">
        <f>Table1[[#This Row],[Min VO]]+Table1[[#This Row],[Max VO]]</f>
        <v>54</v>
      </c>
      <c r="AO968" s="216" t="s">
        <v>2198</v>
      </c>
      <c r="AP968" s="226"/>
      <c r="AQ968" s="226"/>
      <c r="AR968" s="226"/>
      <c r="AS968" s="226"/>
      <c r="AT968" s="226"/>
      <c r="AU968" s="1363" t="str">
        <f t="shared" si="341"/>
        <v>-</v>
      </c>
    </row>
    <row r="969" spans="1:47" s="144" customFormat="1" x14ac:dyDescent="0.2">
      <c r="A969" s="60" t="s">
        <v>58</v>
      </c>
      <c r="B969" s="279" t="s">
        <v>96</v>
      </c>
      <c r="C969" s="76" t="s">
        <v>2422</v>
      </c>
      <c r="D969" s="94"/>
      <c r="E969" s="83" t="s">
        <v>2423</v>
      </c>
      <c r="F969" s="99" t="s">
        <v>454</v>
      </c>
      <c r="G969" s="60" t="s">
        <v>2417</v>
      </c>
      <c r="H969" s="60" t="s">
        <v>2417</v>
      </c>
      <c r="I969" s="60" t="s">
        <v>52</v>
      </c>
      <c r="J969" s="59" t="s">
        <v>53</v>
      </c>
      <c r="K969" s="60" t="s">
        <v>54</v>
      </c>
      <c r="L969" s="60" t="s">
        <v>55</v>
      </c>
      <c r="M969" s="179">
        <v>1100</v>
      </c>
      <c r="N969" s="656">
        <v>1100</v>
      </c>
      <c r="O969" s="60" t="s">
        <v>64</v>
      </c>
      <c r="P969" s="60">
        <v>64</v>
      </c>
      <c r="Q969" s="60">
        <v>48</v>
      </c>
      <c r="R969" s="60">
        <v>48</v>
      </c>
      <c r="S969" s="273">
        <v>64</v>
      </c>
      <c r="T969" s="60">
        <v>64</v>
      </c>
      <c r="U969" s="60">
        <v>48</v>
      </c>
      <c r="V969" s="946">
        <f>IF(J969="Canvas",P969+Materials!C$5,P969)</f>
        <v>71</v>
      </c>
      <c r="W969" s="946">
        <f>IF(J969="Canvas",Q969+Materials!C$5,Q969)</f>
        <v>55</v>
      </c>
      <c r="X969" s="138"/>
      <c r="Y969" s="60">
        <v>71</v>
      </c>
      <c r="Z969" s="60">
        <v>55</v>
      </c>
      <c r="AA969" s="717">
        <f t="shared" si="337"/>
        <v>27.118055555555557</v>
      </c>
      <c r="AB969" s="125">
        <f>AA969*Swiss1</f>
        <v>767.44097222222229</v>
      </c>
      <c r="AC969" s="69">
        <f t="shared" si="338"/>
        <v>17.897916666666667</v>
      </c>
      <c r="AD969" s="48">
        <f>Table1[[#This Row],[Substrate SF]]*Materials!C$37</f>
        <v>75.930555555555557</v>
      </c>
      <c r="AE969" s="69">
        <f>IF(Table1[[#This Row],[Work Center]]="SwissQ",Materials!G$37,IF(Table1[[#This Row],[Work Center]]="Inca",Materials!G$29,IF(Table1[[#This Row],[Work Center]]="Canon",Materials!G$49,Materials!G$45)))</f>
        <v>20</v>
      </c>
      <c r="AF969" s="72" t="e">
        <f>'Cali FPS'!C123</f>
        <v>#N/A</v>
      </c>
      <c r="AG969" s="83"/>
      <c r="AH969" s="69">
        <f t="shared" si="331"/>
        <v>55</v>
      </c>
      <c r="AI969" s="69"/>
      <c r="AJ969" s="176" t="e">
        <f t="shared" si="336"/>
        <v>#N/A</v>
      </c>
      <c r="AK969" s="650" t="e">
        <f t="shared" ref="AK969:AK1000" si="342">(M969-AJ969)/M969</f>
        <v>#N/A</v>
      </c>
      <c r="AL969" s="225">
        <f>Table1[[#This Row],[WSP/Dealer]]/Table1[[#This Row],[OD Sq Inch]]</f>
        <v>0.35807291666666669</v>
      </c>
      <c r="AM969" s="180">
        <f>Table1[[#This Row],[OD Wdth]]*Table1[[#This Row],[OD Hgt]]</f>
        <v>3072</v>
      </c>
      <c r="AN969" s="180">
        <f>Table1[[#This Row],[Min VO]]+Table1[[#This Row],[Max VO]]</f>
        <v>112</v>
      </c>
      <c r="AO969" s="83"/>
      <c r="AP969" s="83"/>
      <c r="AQ969" s="540"/>
      <c r="AR969" s="540"/>
      <c r="AS969" s="540"/>
      <c r="AT969" s="69"/>
      <c r="AU969" s="1361" t="str">
        <f t="shared" si="341"/>
        <v>-</v>
      </c>
    </row>
    <row r="970" spans="1:47" s="46" customFormat="1" hidden="1" x14ac:dyDescent="0.2">
      <c r="A970" s="374" t="s">
        <v>187</v>
      </c>
      <c r="B970" s="279" t="s">
        <v>261</v>
      </c>
      <c r="C970" s="317" t="s">
        <v>2424</v>
      </c>
      <c r="D970" s="94"/>
      <c r="E970" s="375" t="s">
        <v>2425</v>
      </c>
      <c r="F970" s="375" t="s">
        <v>585</v>
      </c>
      <c r="G970" s="274" t="s">
        <v>1026</v>
      </c>
      <c r="H970" s="274" t="s">
        <v>1026</v>
      </c>
      <c r="I970" s="274" t="s">
        <v>52</v>
      </c>
      <c r="J970" s="344" t="s">
        <v>280</v>
      </c>
      <c r="K970" s="274" t="s">
        <v>281</v>
      </c>
      <c r="L970" s="274" t="s">
        <v>282</v>
      </c>
      <c r="M970" s="318">
        <v>2130</v>
      </c>
      <c r="N970" s="71"/>
      <c r="O970" s="274" t="s">
        <v>64</v>
      </c>
      <c r="P970" s="274">
        <v>30</v>
      </c>
      <c r="Q970" s="274">
        <v>40</v>
      </c>
      <c r="R970" s="274">
        <v>30</v>
      </c>
      <c r="S970" s="274">
        <v>40</v>
      </c>
      <c r="T970" s="274">
        <v>30</v>
      </c>
      <c r="U970" s="274">
        <v>40</v>
      </c>
      <c r="V970" s="686">
        <v>30</v>
      </c>
      <c r="W970" s="686">
        <v>40</v>
      </c>
      <c r="X970" s="343" t="s">
        <v>283</v>
      </c>
      <c r="Y970" s="274"/>
      <c r="Z970" s="274"/>
      <c r="AA970" s="727">
        <f t="shared" si="337"/>
        <v>8.3333333333333339</v>
      </c>
      <c r="AB970" s="341">
        <f>AA970*Swiss1</f>
        <v>235.83333333333334</v>
      </c>
      <c r="AC970" s="278">
        <f>MDFSHEET*0.5</f>
        <v>12.175000000000001</v>
      </c>
      <c r="AD970" s="263">
        <f>Table1[[#This Row],[Substrate SF]]*Materials!C$37</f>
        <v>23.333333333333332</v>
      </c>
      <c r="AE970" s="104">
        <f>IF(Table1[[#This Row],[Work Center]]="SwissQ",Materials!G$37,IF(Table1[[#This Row],[Work Center]]="Inca",Materials!G$29,IF(Table1[[#This Row],[Work Center]]="Canon",Materials!G$49,Materials!G$45)))</f>
        <v>20</v>
      </c>
      <c r="AF970" s="321">
        <f>'Cali Frames'!D542</f>
        <v>139.35249999999999</v>
      </c>
      <c r="AG970" s="320"/>
      <c r="AH970" s="498">
        <f t="shared" si="331"/>
        <v>106.5</v>
      </c>
      <c r="AI970" s="498"/>
      <c r="AJ970" s="278">
        <f t="shared" si="336"/>
        <v>301.36083333333329</v>
      </c>
      <c r="AK970" s="650">
        <f t="shared" si="342"/>
        <v>0.85851604068857601</v>
      </c>
      <c r="AL970" s="225">
        <f>Table1[[#This Row],[WSP/Dealer]]/Table1[[#This Row],[OD Sq Inch]]</f>
        <v>1.7749999999999999</v>
      </c>
      <c r="AM970" s="274">
        <f>Table1[[#This Row],[OD Wdth]]*Table1[[#This Row],[OD Hgt]]</f>
        <v>1200</v>
      </c>
      <c r="AN970" s="238">
        <f>Table1[[#This Row],[Min VO]]+Table1[[#This Row],[Max VO]]</f>
        <v>70</v>
      </c>
      <c r="AO970" s="275"/>
      <c r="AP970" s="275"/>
      <c r="AQ970" s="320"/>
      <c r="AR970" s="320"/>
      <c r="AS970" s="320"/>
      <c r="AT970" s="278"/>
      <c r="AU970" s="1368" t="str">
        <f t="shared" si="341"/>
        <v>-</v>
      </c>
    </row>
    <row r="971" spans="1:47" s="46" customFormat="1" x14ac:dyDescent="0.2">
      <c r="A971" s="180" t="s">
        <v>58</v>
      </c>
      <c r="B971" s="279" t="s">
        <v>587</v>
      </c>
      <c r="C971" s="281" t="s">
        <v>2426</v>
      </c>
      <c r="D971" s="94"/>
      <c r="E971" s="291" t="s">
        <v>2425</v>
      </c>
      <c r="F971" s="291" t="s">
        <v>585</v>
      </c>
      <c r="G971" s="180" t="s">
        <v>1026</v>
      </c>
      <c r="H971" s="180" t="s">
        <v>1026</v>
      </c>
      <c r="I971" s="180" t="s">
        <v>52</v>
      </c>
      <c r="J971" s="310" t="s">
        <v>280</v>
      </c>
      <c r="K971" s="180" t="s">
        <v>281</v>
      </c>
      <c r="L971" s="180" t="s">
        <v>282</v>
      </c>
      <c r="M971" s="292">
        <v>625</v>
      </c>
      <c r="N971" s="639">
        <v>625</v>
      </c>
      <c r="O971" s="180" t="s">
        <v>64</v>
      </c>
      <c r="P971" s="173">
        <v>30</v>
      </c>
      <c r="Q971" s="173">
        <v>40</v>
      </c>
      <c r="R971" s="180">
        <v>30</v>
      </c>
      <c r="S971" s="173">
        <v>40</v>
      </c>
      <c r="T971" s="173">
        <v>30</v>
      </c>
      <c r="U971" s="173">
        <v>40</v>
      </c>
      <c r="V971" s="947">
        <v>30</v>
      </c>
      <c r="W971" s="947">
        <v>40</v>
      </c>
      <c r="X971" s="289" t="s">
        <v>283</v>
      </c>
      <c r="Y971" s="180"/>
      <c r="Z971" s="180"/>
      <c r="AA971" s="678">
        <f t="shared" si="337"/>
        <v>8.3333333333333339</v>
      </c>
      <c r="AB971" s="329">
        <f>AA971*Swiss1</f>
        <v>235.83333333333334</v>
      </c>
      <c r="AC971" s="176">
        <f>MDFSHEET*0.5</f>
        <v>12.175000000000001</v>
      </c>
      <c r="AD971" s="175">
        <f>Table1[[#This Row],[Substrate SF]]*Materials!C$37</f>
        <v>23.333333333333332</v>
      </c>
      <c r="AE971" s="104">
        <f>IF(Table1[[#This Row],[Work Center]]="SwissQ",Materials!G$37,IF(Table1[[#This Row],[Work Center]]="Inca",Materials!G$29,IF(Table1[[#This Row],[Work Center]]="Canon",Materials!G$49,Materials!G$45)))</f>
        <v>20</v>
      </c>
      <c r="AF971" s="290">
        <f>'Cali Frames'!D541</f>
        <v>126.02</v>
      </c>
      <c r="AG971" s="296"/>
      <c r="AH971" s="498">
        <f t="shared" si="331"/>
        <v>31.25</v>
      </c>
      <c r="AI971" s="498"/>
      <c r="AJ971" s="176">
        <f t="shared" si="336"/>
        <v>212.77833333333334</v>
      </c>
      <c r="AK971" s="650">
        <f t="shared" si="342"/>
        <v>0.65955466666666673</v>
      </c>
      <c r="AL971" s="225">
        <f>Table1[[#This Row],[WSP/Dealer]]/Table1[[#This Row],[OD Sq Inch]]</f>
        <v>0.52083333333333337</v>
      </c>
      <c r="AM971" s="103">
        <f>Table1[[#This Row],[OD Wdth]]*Table1[[#This Row],[OD Hgt]]</f>
        <v>1200</v>
      </c>
      <c r="AN971" s="216">
        <f>Table1[[#This Row],[Min VO]]+Table1[[#This Row],[Max VO]]</f>
        <v>70</v>
      </c>
      <c r="AO971" s="284"/>
      <c r="AP971" s="284"/>
      <c r="AQ971" s="296"/>
      <c r="AR971" s="296"/>
      <c r="AS971" s="296"/>
      <c r="AT971" s="176"/>
      <c r="AU971" s="1358" t="str">
        <f t="shared" si="341"/>
        <v>-</v>
      </c>
    </row>
    <row r="972" spans="1:47" s="46" customFormat="1" hidden="1" x14ac:dyDescent="0.2">
      <c r="A972" s="437" t="s">
        <v>187</v>
      </c>
      <c r="B972" s="279" t="s">
        <v>261</v>
      </c>
      <c r="C972" s="436" t="s">
        <v>2427</v>
      </c>
      <c r="D972" s="94"/>
      <c r="E972" s="436" t="s">
        <v>2428</v>
      </c>
      <c r="F972" s="375" t="s">
        <v>585</v>
      </c>
      <c r="G972" s="258" t="s">
        <v>51</v>
      </c>
      <c r="H972" s="68" t="s">
        <v>1026</v>
      </c>
      <c r="I972" s="274" t="s">
        <v>108</v>
      </c>
      <c r="J972" s="68" t="s">
        <v>197</v>
      </c>
      <c r="K972" s="274" t="s">
        <v>198</v>
      </c>
      <c r="L972" s="274" t="s">
        <v>199</v>
      </c>
      <c r="M972" s="696">
        <v>60</v>
      </c>
      <c r="N972" s="71"/>
      <c r="O972" s="274" t="s">
        <v>64</v>
      </c>
      <c r="P972" s="274">
        <v>30</v>
      </c>
      <c r="Q972" s="274">
        <v>40</v>
      </c>
      <c r="R972" s="274">
        <v>30</v>
      </c>
      <c r="S972" s="274">
        <v>40</v>
      </c>
      <c r="T972" s="274">
        <v>30</v>
      </c>
      <c r="U972" s="274">
        <v>40</v>
      </c>
      <c r="V972" s="277">
        <f>Table1[[#This Row],[VO Wdth]]+Materials!$C$7</f>
        <v>32</v>
      </c>
      <c r="W972" s="277">
        <f>Table1[[#This Row],[VO Hgt]]+Materials!$C$7</f>
        <v>42</v>
      </c>
      <c r="X972" s="343" t="s">
        <v>197</v>
      </c>
      <c r="Y972" s="68"/>
      <c r="Z972" s="68"/>
      <c r="AA972" s="699">
        <f t="shared" si="337"/>
        <v>9.3333333333333339</v>
      </c>
      <c r="AB972" s="341">
        <f>AA972*SWISSRML</f>
        <v>18.666666666666668</v>
      </c>
      <c r="AC972" s="74">
        <f>Table1[[#This Row],[Substrate SF]]*POster</f>
        <v>6.944</v>
      </c>
      <c r="AD972" s="263">
        <f>Table1[[#This Row],[Substrate SF]]*SWISSRC</f>
        <v>2.0533333333333337</v>
      </c>
      <c r="AE972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972" s="73">
        <v>0</v>
      </c>
      <c r="AG972" s="126">
        <f>Materials!D$76</f>
        <v>10.82</v>
      </c>
      <c r="AH972" s="498">
        <f t="shared" si="331"/>
        <v>3</v>
      </c>
      <c r="AI972" s="498"/>
      <c r="AJ972" s="278">
        <f t="shared" si="336"/>
        <v>32.817333333333337</v>
      </c>
      <c r="AK972" s="650">
        <f t="shared" si="342"/>
        <v>0.45304444444444436</v>
      </c>
      <c r="AL972" s="225">
        <f>Table1[[#This Row],[WSP/Dealer]]/Table1[[#This Row],[OD Sq Inch]]</f>
        <v>0.05</v>
      </c>
      <c r="AM972" s="170">
        <f>Table1[[#This Row],[OD Wdth]]*Table1[[#This Row],[OD Hgt]]</f>
        <v>1200</v>
      </c>
      <c r="AN972" s="84"/>
      <c r="AO972" s="84"/>
      <c r="AP972" s="84"/>
      <c r="AQ972" s="126"/>
      <c r="AR972" s="126"/>
      <c r="AS972" s="126"/>
      <c r="AT972" s="74"/>
      <c r="AU972" s="1357" t="str">
        <f t="shared" si="341"/>
        <v>-</v>
      </c>
    </row>
    <row r="973" spans="1:47" s="103" customFormat="1" x14ac:dyDescent="0.2">
      <c r="A973" s="101" t="s">
        <v>58</v>
      </c>
      <c r="B973" s="1064" t="s">
        <v>1436</v>
      </c>
      <c r="C973" s="625" t="s">
        <v>2429</v>
      </c>
      <c r="D973" s="168"/>
      <c r="E973" s="169" t="s">
        <v>2430</v>
      </c>
      <c r="F973" s="169" t="s">
        <v>308</v>
      </c>
      <c r="G973" s="407" t="s">
        <v>819</v>
      </c>
      <c r="H973" s="101" t="s">
        <v>819</v>
      </c>
      <c r="I973" s="101" t="s">
        <v>52</v>
      </c>
      <c r="J973" s="487" t="s">
        <v>53</v>
      </c>
      <c r="K973" s="101" t="s">
        <v>54</v>
      </c>
      <c r="L973" s="101" t="s">
        <v>55</v>
      </c>
      <c r="M973" s="299">
        <v>575</v>
      </c>
      <c r="N973" s="114"/>
      <c r="O973" s="101" t="s">
        <v>56</v>
      </c>
      <c r="P973" s="101">
        <v>32</v>
      </c>
      <c r="Q973" s="101">
        <v>40</v>
      </c>
      <c r="R973" s="101">
        <v>32</v>
      </c>
      <c r="S973" s="101">
        <v>40</v>
      </c>
      <c r="T973" s="101">
        <v>32</v>
      </c>
      <c r="U973" s="101">
        <v>40</v>
      </c>
      <c r="V973" s="106">
        <f>IF(J973="Canvas",P973+Materials!C$5,P973)</f>
        <v>39</v>
      </c>
      <c r="W973" s="106">
        <f>IF(J973="Canvas",Q973+Materials!C$5,Q973)</f>
        <v>47</v>
      </c>
      <c r="X973" s="101">
        <v>40</v>
      </c>
      <c r="Y973" s="101">
        <v>39</v>
      </c>
      <c r="Z973" s="101">
        <v>47</v>
      </c>
      <c r="AA973" s="649">
        <f t="shared" si="337"/>
        <v>12.729166666666666</v>
      </c>
      <c r="AB973" s="184">
        <f>AA973*IncaG</f>
        <v>267.82166666666666</v>
      </c>
      <c r="AC973" s="104">
        <f>AA973*Canvas</f>
        <v>8.4012499999999992</v>
      </c>
      <c r="AD973" s="1066">
        <f>Table1[[#This Row],[Substrate SF]]*IncaC</f>
        <v>21.425733333333334</v>
      </c>
      <c r="AE973" s="406">
        <f>IF(Table1[[#This Row],[Work Center]]="SwissQ",Materials!G$37,IF(Table1[[#This Row],[Work Center]]="Inca",Materials!G$29,IF(Table1[[#This Row],[Work Center]]="Canon",Materials!G$49,Materials!G$45)))</f>
        <v>8</v>
      </c>
      <c r="AF973" s="102">
        <f>'Cali FPS'!C58</f>
        <v>83.3</v>
      </c>
      <c r="AG973" s="121"/>
      <c r="AH973" s="406">
        <f t="shared" si="331"/>
        <v>28.75</v>
      </c>
      <c r="AI973" s="406"/>
      <c r="AJ973" s="406">
        <f t="shared" si="336"/>
        <v>149.87698333333333</v>
      </c>
      <c r="AK973" s="1065">
        <f t="shared" si="342"/>
        <v>0.73934437681159426</v>
      </c>
      <c r="AL973" s="406">
        <f>Table1[[#This Row],[WSP/Dealer]]/Table1[[#This Row],[OD Sq Inch]]</f>
        <v>0.44921875</v>
      </c>
      <c r="AM973" s="399">
        <f>Table1[[#This Row],[OD Wdth]]*Table1[[#This Row],[OD Hgt]]</f>
        <v>1280</v>
      </c>
      <c r="AN973" s="400">
        <f>Table1[[#This Row],[Min VO]]+Table1[[#This Row],[Max VO]]</f>
        <v>72</v>
      </c>
      <c r="AO973" s="115"/>
      <c r="AP973" s="115"/>
      <c r="AQ973" s="121"/>
      <c r="AR973" s="121"/>
      <c r="AS973" s="121"/>
      <c r="AT973" s="104"/>
      <c r="AU973" s="1359" t="str">
        <f t="shared" si="341"/>
        <v>-</v>
      </c>
    </row>
    <row r="974" spans="1:47" s="46" customFormat="1" hidden="1" x14ac:dyDescent="0.2">
      <c r="A974" s="101" t="s">
        <v>110</v>
      </c>
      <c r="B974" s="1064" t="s">
        <v>134</v>
      </c>
      <c r="C974" s="100" t="s">
        <v>2431</v>
      </c>
      <c r="D974" s="168"/>
      <c r="E974" s="115" t="s">
        <v>2432</v>
      </c>
      <c r="F974" s="115" t="s">
        <v>386</v>
      </c>
      <c r="G974" s="101" t="s">
        <v>115</v>
      </c>
      <c r="H974" s="101" t="s">
        <v>115</v>
      </c>
      <c r="I974" s="101" t="s">
        <v>52</v>
      </c>
      <c r="J974" s="487" t="s">
        <v>53</v>
      </c>
      <c r="K974" s="101" t="s">
        <v>54</v>
      </c>
      <c r="L974" s="101" t="s">
        <v>55</v>
      </c>
      <c r="M974" s="299">
        <v>600</v>
      </c>
      <c r="N974" s="114"/>
      <c r="O974" s="101" t="s">
        <v>56</v>
      </c>
      <c r="P974" s="101">
        <v>48</v>
      </c>
      <c r="Q974" s="101">
        <v>48</v>
      </c>
      <c r="R974" s="101">
        <v>48</v>
      </c>
      <c r="S974" s="697">
        <v>48</v>
      </c>
      <c r="T974" s="101">
        <v>48</v>
      </c>
      <c r="U974" s="101">
        <v>48</v>
      </c>
      <c r="V974" s="106">
        <f>IF(J974="Canvas",P974+Border,P974)</f>
        <v>56</v>
      </c>
      <c r="W974" s="106">
        <f>IF(J974="Canvas",Q974+Border,Q974)</f>
        <v>56</v>
      </c>
      <c r="X974" s="137">
        <v>59</v>
      </c>
      <c r="Y974" s="101">
        <v>59</v>
      </c>
      <c r="Z974" s="101">
        <v>59</v>
      </c>
      <c r="AA974" s="649">
        <f t="shared" si="337"/>
        <v>21.777777777777779</v>
      </c>
      <c r="AB974" s="184">
        <f>AA974*IncaG</f>
        <v>458.20444444444445</v>
      </c>
      <c r="AC974" s="104">
        <f>AA974*Canvas</f>
        <v>14.373333333333335</v>
      </c>
      <c r="AD974" s="1066">
        <f>Table1[[#This Row],[Substrate SF]]*IncaC</f>
        <v>36.656355555555557</v>
      </c>
      <c r="AE974" s="406">
        <f>IF(Table1[[#This Row],[Work Center]]="SwissQ",Materials!G$37,IF(Table1[[#This Row],[Work Center]]="Inca",Materials!G$29,IF(Table1[[#This Row],[Work Center]]="Canon",Materials!G$49,Materials!G$45)))</f>
        <v>8</v>
      </c>
      <c r="AF974" s="102">
        <f>'Cali FPS'!C117</f>
        <v>119.7</v>
      </c>
      <c r="AG974" s="115"/>
      <c r="AH974" s="406">
        <f t="shared" si="331"/>
        <v>30</v>
      </c>
      <c r="AI974" s="406">
        <f>IF(A974="Codarus",(M974*0.13))</f>
        <v>78</v>
      </c>
      <c r="AJ974" s="104">
        <f>SUM(AC974:AI974)</f>
        <v>286.72968888888886</v>
      </c>
      <c r="AK974" s="830">
        <f t="shared" si="342"/>
        <v>0.52211718518518524</v>
      </c>
      <c r="AL974" s="660">
        <f>Table1[[#This Row],[WSP/Dealer]]/Table1[[#This Row],[OD Sq Inch]]</f>
        <v>0.26041666666666669</v>
      </c>
      <c r="AM974" s="399">
        <f>Table1[[#This Row],[OD Wdth]]*Table1[[#This Row],[OD Hgt]]</f>
        <v>2304</v>
      </c>
      <c r="AN974" s="400">
        <f>Table1[[#This Row],[Min VO]]+Table1[[#This Row],[Max VO]]</f>
        <v>96</v>
      </c>
      <c r="AO974" s="115"/>
      <c r="AP974" s="121">
        <v>1200</v>
      </c>
      <c r="AQ974" s="104">
        <f>(Table1[[#This Row],[Desgnr/Retail P]]*0.05)</f>
        <v>60</v>
      </c>
      <c r="AR974" s="121">
        <f>IF(A974="Codarus",(AP974*0.13))</f>
        <v>156</v>
      </c>
      <c r="AS974" s="121">
        <f>SUM(Table1[[#This Row],[Substrate $]:[GP FINISH]])+Table1[[#This Row],[Retail Royalty]]+Table1[[#This Row],[Retail$Comm]]</f>
        <v>394.72968888888886</v>
      </c>
      <c r="AT974" s="830">
        <f>IF(AP974=0,"-",(AP974-AS974)/AP974)</f>
        <v>0.6710585925925926</v>
      </c>
      <c r="AU974" s="1359">
        <f t="shared" si="341"/>
        <v>0.98881569012345671</v>
      </c>
    </row>
    <row r="975" spans="1:47" s="103" customFormat="1" x14ac:dyDescent="0.2">
      <c r="A975" s="86" t="s">
        <v>58</v>
      </c>
      <c r="B975" s="279" t="s">
        <v>366</v>
      </c>
      <c r="C975" s="100" t="s">
        <v>2433</v>
      </c>
      <c r="D975" s="94" t="s">
        <v>2434</v>
      </c>
      <c r="E975" s="85" t="s">
        <v>2432</v>
      </c>
      <c r="F975" s="85" t="s">
        <v>386</v>
      </c>
      <c r="G975" s="86" t="s">
        <v>115</v>
      </c>
      <c r="H975" s="86" t="s">
        <v>387</v>
      </c>
      <c r="I975" s="86" t="s">
        <v>52</v>
      </c>
      <c r="J975" s="86" t="s">
        <v>53</v>
      </c>
      <c r="K975" s="86" t="s">
        <v>82</v>
      </c>
      <c r="L975" s="86" t="s">
        <v>83</v>
      </c>
      <c r="M975" s="87">
        <v>1100</v>
      </c>
      <c r="N975" s="639">
        <v>970</v>
      </c>
      <c r="O975" s="551" t="s">
        <v>56</v>
      </c>
      <c r="P975" s="101">
        <v>48</v>
      </c>
      <c r="Q975" s="101">
        <v>48</v>
      </c>
      <c r="R975" s="60">
        <v>48</v>
      </c>
      <c r="S975" s="273">
        <v>48</v>
      </c>
      <c r="T975" s="101">
        <v>50</v>
      </c>
      <c r="U975" s="101" t="str">
        <f>RIGHT(H975,2)</f>
        <v>50</v>
      </c>
      <c r="V975" s="106">
        <f>IF(J975="Canvas",P975+Border,P975)</f>
        <v>56</v>
      </c>
      <c r="W975" s="106">
        <f>IF(J975="Canvas",Q975+Border,Q975)</f>
        <v>56</v>
      </c>
      <c r="X975" s="311">
        <v>122</v>
      </c>
      <c r="Y975" s="551"/>
      <c r="Z975" s="551"/>
      <c r="AA975" s="649">
        <f t="shared" si="337"/>
        <v>21.777777777777779</v>
      </c>
      <c r="AB975" s="184">
        <f>Table1[[#This Row],[Substrate SF]]*IncaG</f>
        <v>458.20444444444445</v>
      </c>
      <c r="AC975" s="104">
        <f>AA975*Canvas</f>
        <v>14.373333333333335</v>
      </c>
      <c r="AD975" s="107">
        <f>AA975*IncaC</f>
        <v>36.656355555555557</v>
      </c>
      <c r="AE975" s="104">
        <f>IF(Table1[[#This Row],[Work Center]]="SwissQ",Materials!G$37,IF(Table1[[#This Row],[Work Center]]="Inca",Materials!G$29,IF(Table1[[#This Row],[Work Center]]="Canon",Materials!G$49,Materials!G$45)))</f>
        <v>8</v>
      </c>
      <c r="AF975" s="104">
        <f>'Cali Frames'!D$152</f>
        <v>156.16999999999999</v>
      </c>
      <c r="AG975" s="115"/>
      <c r="AH975" s="498">
        <f t="shared" si="331"/>
        <v>55</v>
      </c>
      <c r="AI975" s="498"/>
      <c r="AJ975" s="104">
        <f>SUM(AC975:AH975)</f>
        <v>270.19968888888889</v>
      </c>
      <c r="AK975" s="650">
        <f t="shared" si="342"/>
        <v>0.75436391919191914</v>
      </c>
      <c r="AL975" s="225">
        <f>Table1[[#This Row],[WSP/Dealer]]/Table1[[#This Row],[OD Sq Inch]]</f>
        <v>0.44</v>
      </c>
      <c r="AM975" s="103">
        <f>Table1[[#This Row],[OD Wdth]]*Table1[[#This Row],[OD Hgt]]</f>
        <v>2500</v>
      </c>
      <c r="AN975" s="216">
        <f>Table1[[#This Row],[Min VO]]+Table1[[#This Row],[Max VO]]</f>
        <v>96</v>
      </c>
      <c r="AO975" s="101"/>
      <c r="AP975" s="101"/>
      <c r="AQ975" s="104"/>
      <c r="AR975" s="104"/>
      <c r="AS975" s="104"/>
      <c r="AT975" s="104"/>
      <c r="AU975" s="830" t="str">
        <f t="shared" si="341"/>
        <v>-</v>
      </c>
    </row>
    <row r="976" spans="1:47" s="103" customFormat="1" hidden="1" x14ac:dyDescent="0.2">
      <c r="A976" s="101" t="s">
        <v>110</v>
      </c>
      <c r="B976" s="1322" t="s">
        <v>250</v>
      </c>
      <c r="C976" s="100" t="s">
        <v>2435</v>
      </c>
      <c r="D976" s="168"/>
      <c r="E976" s="115" t="s">
        <v>2436</v>
      </c>
      <c r="F976" s="115" t="s">
        <v>386</v>
      </c>
      <c r="G976" s="101" t="s">
        <v>1516</v>
      </c>
      <c r="H976" s="101" t="s">
        <v>983</v>
      </c>
      <c r="I976" s="101" t="s">
        <v>52</v>
      </c>
      <c r="J976" s="101" t="s">
        <v>53</v>
      </c>
      <c r="K976" s="101" t="s">
        <v>69</v>
      </c>
      <c r="L976" s="101" t="s">
        <v>70</v>
      </c>
      <c r="M976" s="114">
        <v>1100</v>
      </c>
      <c r="N976" s="114"/>
      <c r="O976" s="101" t="s">
        <v>64</v>
      </c>
      <c r="P976" s="101">
        <v>72</v>
      </c>
      <c r="Q976" s="101">
        <v>48</v>
      </c>
      <c r="R976" s="101">
        <v>48</v>
      </c>
      <c r="S976" s="697">
        <v>72</v>
      </c>
      <c r="T976" s="101">
        <v>73</v>
      </c>
      <c r="U976" s="101">
        <v>49</v>
      </c>
      <c r="V976" s="608">
        <f>IF(J976="Canvas",P976+Border,P976)</f>
        <v>80</v>
      </c>
      <c r="W976" s="608">
        <f>IF(J976="Canvas",Q976+Border,Q976)</f>
        <v>56</v>
      </c>
      <c r="X976" s="101">
        <v>82</v>
      </c>
      <c r="Y976" s="101">
        <v>80</v>
      </c>
      <c r="Z976" s="101">
        <v>56</v>
      </c>
      <c r="AA976" s="649">
        <f t="shared" si="337"/>
        <v>31.111111111111111</v>
      </c>
      <c r="AB976" s="184">
        <f>Table1[[#This Row],[Substrate SF]]*Swiss1</f>
        <v>880.44444444444446</v>
      </c>
      <c r="AC976" s="104">
        <f>MDFSHEET</f>
        <v>24.35</v>
      </c>
      <c r="AD976" s="107">
        <f>Table1[[#This Row],[Substrate SF]]*Materials!C$37</f>
        <v>87.1111111111111</v>
      </c>
      <c r="AE976" s="104">
        <f>IF(Table1[[#This Row],[Work Center]]="SwissQ",Materials!G$37,IF(Table1[[#This Row],[Work Center]]="Inca",Materials!G$29,IF(Table1[[#This Row],[Work Center]]="Canon",Materials!G$49,Materials!G$45)))</f>
        <v>20</v>
      </c>
      <c r="AF976" s="102">
        <f>'Cali Frames'!D337</f>
        <v>263.8</v>
      </c>
      <c r="AG976" s="115"/>
      <c r="AH976" s="406">
        <f t="shared" si="331"/>
        <v>55</v>
      </c>
      <c r="AI976" s="406">
        <f>IF(A976="Codarus",(M976*0.13))</f>
        <v>143</v>
      </c>
      <c r="AJ976" s="104">
        <f>SUM(AC976:AI976)</f>
        <v>593.26111111111118</v>
      </c>
      <c r="AK976" s="830">
        <f t="shared" si="342"/>
        <v>0.46067171717171712</v>
      </c>
      <c r="AL976" s="660">
        <f>Table1[[#This Row],[WSP/Dealer]]/Table1[[#This Row],[OD Sq Inch]]</f>
        <v>0.30752026838132512</v>
      </c>
      <c r="AM976" s="399">
        <f>Table1[[#This Row],[OD Wdth]]*Table1[[#This Row],[OD Hgt]]</f>
        <v>3577</v>
      </c>
      <c r="AN976" s="400">
        <f>Table1[[#This Row],[Min VO]]+Table1[[#This Row],[Max VO]]</f>
        <v>120</v>
      </c>
      <c r="AO976" s="115"/>
      <c r="AP976" s="121">
        <v>2200</v>
      </c>
      <c r="AQ976" s="104">
        <f>(Table1[[#This Row],[Desgnr/Retail P]]*0.05)</f>
        <v>110</v>
      </c>
      <c r="AR976" s="121">
        <f>IF(A976="Codarus",(AP976*0.13))</f>
        <v>286</v>
      </c>
      <c r="AS976" s="121">
        <f>SUM(Table1[[#This Row],[Substrate $]:[GP FINISH]])+Table1[[#This Row],[Retail Royalty]]+Table1[[#This Row],[Retail$Comm]]</f>
        <v>791.26111111111118</v>
      </c>
      <c r="AT976" s="830">
        <f>IF(AP976=0,"-",(AP976-AS976)/AP976)</f>
        <v>0.64033585858585851</v>
      </c>
      <c r="AU976" s="1359">
        <f t="shared" si="341"/>
        <v>0.99417876492194679</v>
      </c>
    </row>
    <row r="977" spans="1:47" s="63" customFormat="1" x14ac:dyDescent="0.2">
      <c r="A977" s="86" t="s">
        <v>58</v>
      </c>
      <c r="B977" s="279" t="s">
        <v>366</v>
      </c>
      <c r="C977" s="76" t="s">
        <v>2437</v>
      </c>
      <c r="D977" s="94" t="s">
        <v>2438</v>
      </c>
      <c r="E977" s="85" t="s">
        <v>2436</v>
      </c>
      <c r="F977" s="85" t="s">
        <v>386</v>
      </c>
      <c r="G977" s="86" t="s">
        <v>1516</v>
      </c>
      <c r="H977" s="86" t="s">
        <v>2439</v>
      </c>
      <c r="I977" s="86" t="s">
        <v>52</v>
      </c>
      <c r="J977" s="86" t="s">
        <v>53</v>
      </c>
      <c r="K977" s="86" t="s">
        <v>82</v>
      </c>
      <c r="L977" s="86" t="s">
        <v>83</v>
      </c>
      <c r="M977" s="87">
        <v>1155</v>
      </c>
      <c r="N977" s="639">
        <v>1350</v>
      </c>
      <c r="O977" s="551" t="s">
        <v>56</v>
      </c>
      <c r="P977" s="101">
        <v>72</v>
      </c>
      <c r="Q977" s="101">
        <v>48</v>
      </c>
      <c r="R977" s="60">
        <v>48</v>
      </c>
      <c r="S977" s="273">
        <v>72</v>
      </c>
      <c r="T977" s="101">
        <v>74</v>
      </c>
      <c r="U977" s="101" t="str">
        <f>RIGHT(H977,2)</f>
        <v>50</v>
      </c>
      <c r="V977" s="608">
        <f>IF(J977="Canvas",P977+Border,P977)</f>
        <v>80</v>
      </c>
      <c r="W977" s="608">
        <f>IF(J977="Canvas",Q977+Border,Q977)</f>
        <v>56</v>
      </c>
      <c r="X977" s="311">
        <v>82</v>
      </c>
      <c r="Y977" s="551"/>
      <c r="Z977" s="551"/>
      <c r="AA977" s="649">
        <f t="shared" si="337"/>
        <v>31.111111111111111</v>
      </c>
      <c r="AB977" s="184">
        <f>Table1[[#This Row],[Substrate SF]]*IncaG</f>
        <v>654.57777777777778</v>
      </c>
      <c r="AC977" s="104">
        <f>AA977*Canvas</f>
        <v>20.533333333333335</v>
      </c>
      <c r="AD977" s="104">
        <f>AA977*IncaC</f>
        <v>52.36622222222222</v>
      </c>
      <c r="AE977" s="104">
        <f>IF(Table1[[#This Row],[Work Center]]="SwissQ",Materials!G$37,IF(Table1[[#This Row],[Work Center]]="Inca",Materials!G$29,IF(Table1[[#This Row],[Work Center]]="Canon",Materials!G$49,Materials!G$45)))</f>
        <v>8</v>
      </c>
      <c r="AF977" s="104">
        <f>'Cali Frames'!D$157</f>
        <v>240.85249999999999</v>
      </c>
      <c r="AG977" s="115"/>
      <c r="AH977" s="498">
        <f t="shared" si="331"/>
        <v>57.75</v>
      </c>
      <c r="AI977" s="498"/>
      <c r="AJ977" s="104">
        <f>SUM(AC977:AH977)</f>
        <v>379.50205555555556</v>
      </c>
      <c r="AK977" s="650">
        <f t="shared" si="342"/>
        <v>0.67142679172679176</v>
      </c>
      <c r="AL977" s="225">
        <f>Table1[[#This Row],[WSP/Dealer]]/Table1[[#This Row],[OD Sq Inch]]</f>
        <v>0.31216216216216214</v>
      </c>
      <c r="AM977" s="101">
        <f>Table1[[#This Row],[OD Wdth]]*Table1[[#This Row],[OD Hgt]]</f>
        <v>3700</v>
      </c>
      <c r="AN977" s="216">
        <f>Table1[[#This Row],[Min VO]]+Table1[[#This Row],[Max VO]]</f>
        <v>120</v>
      </c>
      <c r="AO977" s="101"/>
      <c r="AP977" s="101"/>
      <c r="AQ977" s="104"/>
      <c r="AR977" s="104"/>
      <c r="AS977" s="104"/>
      <c r="AT977" s="104"/>
      <c r="AU977" s="830" t="str">
        <f t="shared" si="341"/>
        <v>-</v>
      </c>
    </row>
    <row r="978" spans="1:47" s="63" customFormat="1" hidden="1" x14ac:dyDescent="0.2">
      <c r="A978" s="68"/>
      <c r="B978" s="1152"/>
      <c r="C978" s="78" t="s">
        <v>2440</v>
      </c>
      <c r="D978" s="94"/>
      <c r="E978" s="84" t="s">
        <v>2441</v>
      </c>
      <c r="F978" s="84" t="s">
        <v>386</v>
      </c>
      <c r="G978" s="68" t="s">
        <v>572</v>
      </c>
      <c r="H978" s="68" t="s">
        <v>572</v>
      </c>
      <c r="I978" s="68" t="s">
        <v>52</v>
      </c>
      <c r="J978" s="140" t="s">
        <v>53</v>
      </c>
      <c r="K978" s="68" t="s">
        <v>54</v>
      </c>
      <c r="L978" s="68" t="s">
        <v>55</v>
      </c>
      <c r="M978" s="93"/>
      <c r="N978" s="93"/>
      <c r="O978" s="68" t="s">
        <v>56</v>
      </c>
      <c r="P978" s="68"/>
      <c r="Q978" s="68"/>
      <c r="R978" s="68"/>
      <c r="S978" s="623"/>
      <c r="T978" s="68"/>
      <c r="U978" s="68"/>
      <c r="V978" s="917"/>
      <c r="W978" s="917"/>
      <c r="X978" s="68"/>
      <c r="Y978" s="68"/>
      <c r="Z978" s="68"/>
      <c r="AA978" s="699"/>
      <c r="AB978" s="297"/>
      <c r="AC978" s="74"/>
      <c r="AD978" s="126"/>
      <c r="AE978" s="126"/>
      <c r="AF978" s="73"/>
      <c r="AG978" s="84"/>
      <c r="AH978" s="126"/>
      <c r="AI978" s="278" t="b">
        <f>IF(A978="Codarus",(M978*0.13))</f>
        <v>0</v>
      </c>
      <c r="AJ978" s="126"/>
      <c r="AK978" s="1001"/>
      <c r="AL978" s="126"/>
      <c r="AM978" s="84"/>
      <c r="AN978" s="68"/>
      <c r="AO978" s="84"/>
      <c r="AP978" s="126"/>
      <c r="AQ978" s="126"/>
      <c r="AR978" s="278"/>
      <c r="AS978" s="1146"/>
      <c r="AT978" s="1147"/>
      <c r="AU978" s="1357" t="str">
        <f t="shared" si="341"/>
        <v>-</v>
      </c>
    </row>
    <row r="979" spans="1:47" s="103" customFormat="1" x14ac:dyDescent="0.2">
      <c r="A979" s="101" t="s">
        <v>58</v>
      </c>
      <c r="B979" s="1064" t="s">
        <v>111</v>
      </c>
      <c r="C979" s="100" t="s">
        <v>2442</v>
      </c>
      <c r="D979" s="168"/>
      <c r="E979" s="115" t="s">
        <v>2443</v>
      </c>
      <c r="F979" s="115" t="s">
        <v>1738</v>
      </c>
      <c r="G979" s="101" t="s">
        <v>191</v>
      </c>
      <c r="H979" s="101" t="s">
        <v>191</v>
      </c>
      <c r="I979" s="101" t="s">
        <v>52</v>
      </c>
      <c r="J979" s="487" t="s">
        <v>53</v>
      </c>
      <c r="K979" s="101" t="s">
        <v>54</v>
      </c>
      <c r="L979" s="101" t="s">
        <v>55</v>
      </c>
      <c r="M979" s="299">
        <v>950</v>
      </c>
      <c r="N979" s="114"/>
      <c r="O979" s="101" t="s">
        <v>56</v>
      </c>
      <c r="P979" s="101">
        <v>48</v>
      </c>
      <c r="Q979" s="101">
        <v>60</v>
      </c>
      <c r="R979" s="101">
        <v>48</v>
      </c>
      <c r="S979" s="697">
        <v>60</v>
      </c>
      <c r="T979" s="101">
        <v>48</v>
      </c>
      <c r="U979" s="101">
        <v>60</v>
      </c>
      <c r="V979" s="106">
        <f>IF(J979="Canvas",P979+Border,P979)</f>
        <v>56</v>
      </c>
      <c r="W979" s="106">
        <f>IF(J979="Canvas",Q979+Border,Q979)</f>
        <v>68</v>
      </c>
      <c r="X979" s="101">
        <v>69</v>
      </c>
      <c r="Y979" s="101">
        <v>56</v>
      </c>
      <c r="Z979" s="101">
        <v>68</v>
      </c>
      <c r="AA979" s="649">
        <f t="shared" ref="AA979:AA989" si="343">V979*W979/144</f>
        <v>26.444444444444443</v>
      </c>
      <c r="AB979" s="184">
        <f>Table1[[#This Row],[Substrate SF]]*IncaG</f>
        <v>556.39111111111106</v>
      </c>
      <c r="AC979" s="104">
        <f>AA979*Canvas</f>
        <v>17.453333333333333</v>
      </c>
      <c r="AD979" s="107">
        <f>AA979*IncaC</f>
        <v>44.511288888888885</v>
      </c>
      <c r="AE979" s="104">
        <f>IF(Table1[[#This Row],[Work Center]]="SwissQ",Materials!G$37,IF(Table1[[#This Row],[Work Center]]="Inca",Materials!G$29,IF(Table1[[#This Row],[Work Center]]="Canon",Materials!G$49,Materials!G$45)))</f>
        <v>8</v>
      </c>
      <c r="AF979" s="102">
        <f>'Cali FPS'!C121</f>
        <v>188.18</v>
      </c>
      <c r="AG979" s="115"/>
      <c r="AH979" s="406">
        <f t="shared" ref="AH979:AH986" si="344">(M979*0.05)</f>
        <v>47.5</v>
      </c>
      <c r="AI979" s="406"/>
      <c r="AJ979" s="406">
        <f t="shared" ref="AJ979:AJ988" si="345">SUM(AC979:AH979)</f>
        <v>305.64462222222221</v>
      </c>
      <c r="AK979" s="1065">
        <f t="shared" ref="AK979:AK1010" si="346">(M979-AJ979)/M979</f>
        <v>0.67826881871345035</v>
      </c>
      <c r="AL979" s="406">
        <f>Table1[[#This Row],[WSP/Dealer]]/Table1[[#This Row],[OD Sq Inch]]</f>
        <v>0.3298611111111111</v>
      </c>
      <c r="AM979" s="399">
        <f>Table1[[#This Row],[OD Wdth]]*Table1[[#This Row],[OD Hgt]]</f>
        <v>2880</v>
      </c>
      <c r="AN979" s="400">
        <f>Table1[[#This Row],[Min VO]]+Table1[[#This Row],[Max VO]]</f>
        <v>108</v>
      </c>
      <c r="AO979" s="115"/>
      <c r="AP979" s="115"/>
      <c r="AQ979" s="121"/>
      <c r="AR979" s="121"/>
      <c r="AS979" s="121"/>
      <c r="AT979" s="104"/>
      <c r="AU979" s="1359" t="str">
        <f t="shared" si="341"/>
        <v>-</v>
      </c>
    </row>
    <row r="980" spans="1:47" s="159" customFormat="1" x14ac:dyDescent="0.2">
      <c r="A980" s="68" t="s">
        <v>58</v>
      </c>
      <c r="B980" s="1152" t="s">
        <v>111</v>
      </c>
      <c r="C980" s="78" t="s">
        <v>2444</v>
      </c>
      <c r="D980" s="94"/>
      <c r="E980" s="84" t="s">
        <v>2443</v>
      </c>
      <c r="F980" s="84" t="s">
        <v>1738</v>
      </c>
      <c r="G980" s="68" t="s">
        <v>191</v>
      </c>
      <c r="H980" s="68" t="s">
        <v>193</v>
      </c>
      <c r="I980" s="68" t="s">
        <v>52</v>
      </c>
      <c r="J980" s="140" t="s">
        <v>53</v>
      </c>
      <c r="K980" s="68" t="s">
        <v>69</v>
      </c>
      <c r="L980" s="68" t="s">
        <v>70</v>
      </c>
      <c r="M980" s="141">
        <v>1150</v>
      </c>
      <c r="N980" s="93"/>
      <c r="O980" s="68" t="s">
        <v>56</v>
      </c>
      <c r="P980" s="68">
        <v>48</v>
      </c>
      <c r="Q980" s="68">
        <v>60</v>
      </c>
      <c r="R980" s="68">
        <v>48</v>
      </c>
      <c r="S980" s="623">
        <v>60</v>
      </c>
      <c r="T980" s="68">
        <v>49</v>
      </c>
      <c r="U980" s="68">
        <v>61</v>
      </c>
      <c r="V980" s="917">
        <f>IF(J980="Canvas",P980+Border,P980)</f>
        <v>56</v>
      </c>
      <c r="W980" s="917">
        <f>IF(J980="Canvas",Q980+Border,Q980)</f>
        <v>68</v>
      </c>
      <c r="X980" s="68">
        <v>69</v>
      </c>
      <c r="Y980" s="68">
        <v>56</v>
      </c>
      <c r="Z980" s="68">
        <v>68</v>
      </c>
      <c r="AA980" s="699">
        <f t="shared" si="343"/>
        <v>26.444444444444443</v>
      </c>
      <c r="AB980" s="297">
        <f>Table1[[#This Row],[Substrate SF]]*IncaG</f>
        <v>556.39111111111106</v>
      </c>
      <c r="AC980" s="74">
        <f>AA980*Canvas</f>
        <v>17.453333333333333</v>
      </c>
      <c r="AD980" s="67">
        <f>AA980*IncaC</f>
        <v>44.511288888888885</v>
      </c>
      <c r="AE980" s="74">
        <f>IF(Table1[[#This Row],[Work Center]]="SwissQ",Materials!G$37,IF(Table1[[#This Row],[Work Center]]="Inca",Materials!G$29,IF(Table1[[#This Row],[Work Center]]="Canon",Materials!G$49,Materials!G$45)))</f>
        <v>8</v>
      </c>
      <c r="AF980" s="73">
        <f>'Cali Frames'!D335</f>
        <v>258.27999999999997</v>
      </c>
      <c r="AG980" s="84"/>
      <c r="AH980" s="278">
        <f t="shared" si="344"/>
        <v>57.5</v>
      </c>
      <c r="AI980" s="278"/>
      <c r="AJ980" s="278">
        <f t="shared" si="345"/>
        <v>385.74462222222218</v>
      </c>
      <c r="AK980" s="1192">
        <f t="shared" si="346"/>
        <v>0.66456989371980679</v>
      </c>
      <c r="AL980" s="278">
        <f>Table1[[#This Row],[WSP/Dealer]]/Table1[[#This Row],[OD Sq Inch]]</f>
        <v>0.38474406155904983</v>
      </c>
      <c r="AM980" s="170">
        <f>Table1[[#This Row],[OD Wdth]]*Table1[[#This Row],[OD Hgt]]</f>
        <v>2989</v>
      </c>
      <c r="AN980" s="274">
        <f>Table1[[#This Row],[Min VO]]+Table1[[#This Row],[Max VO]]</f>
        <v>108</v>
      </c>
      <c r="AO980" s="84"/>
      <c r="AP980" s="84"/>
      <c r="AQ980" s="126"/>
      <c r="AR980" s="126"/>
      <c r="AS980" s="126"/>
      <c r="AT980" s="74"/>
      <c r="AU980" s="1357" t="str">
        <f t="shared" si="341"/>
        <v>-</v>
      </c>
    </row>
    <row r="981" spans="1:47" s="170" customFormat="1" hidden="1" x14ac:dyDescent="0.2">
      <c r="A981" s="86" t="s">
        <v>669</v>
      </c>
      <c r="B981" s="279" t="s">
        <v>406</v>
      </c>
      <c r="C981" s="100" t="s">
        <v>2445</v>
      </c>
      <c r="D981" s="94" t="s">
        <v>2446</v>
      </c>
      <c r="E981" s="85" t="s">
        <v>2447</v>
      </c>
      <c r="F981" s="85" t="s">
        <v>114</v>
      </c>
      <c r="G981" s="86" t="s">
        <v>1651</v>
      </c>
      <c r="H981" s="86" t="s">
        <v>1119</v>
      </c>
      <c r="I981" s="86" t="s">
        <v>52</v>
      </c>
      <c r="J981" s="86" t="s">
        <v>283</v>
      </c>
      <c r="K981" s="86" t="s">
        <v>69</v>
      </c>
      <c r="L981" s="86" t="s">
        <v>73</v>
      </c>
      <c r="M981" s="87">
        <v>1210</v>
      </c>
      <c r="N981" s="71"/>
      <c r="O981" s="145" t="s">
        <v>64</v>
      </c>
      <c r="P981" s="101">
        <v>60</v>
      </c>
      <c r="Q981" s="101">
        <v>48</v>
      </c>
      <c r="R981" s="60">
        <v>48</v>
      </c>
      <c r="S981" s="273">
        <v>60</v>
      </c>
      <c r="T981" s="101">
        <v>61</v>
      </c>
      <c r="U981" s="101" t="str">
        <f>RIGHT(H981,2)</f>
        <v>49</v>
      </c>
      <c r="V981" s="608">
        <f>IF(J981="Canvas",P981+Border,P981)</f>
        <v>60</v>
      </c>
      <c r="W981" s="608">
        <f>IF(J981="Canvas",Q981+Border,Q981)</f>
        <v>48</v>
      </c>
      <c r="X981" s="137" t="str">
        <f>J981</f>
        <v>MDF</v>
      </c>
      <c r="Y981" s="101"/>
      <c r="Z981" s="101"/>
      <c r="AA981" s="649">
        <f t="shared" si="343"/>
        <v>20</v>
      </c>
      <c r="AB981" s="184">
        <f>Table1[[#This Row],[Substrate SF]]*Swiss1</f>
        <v>566</v>
      </c>
      <c r="AC981" s="104">
        <f>MDFSHEET</f>
        <v>24.35</v>
      </c>
      <c r="AD981" s="107">
        <f>Table1[[#This Row],[Substrate SF]]*Materials!C$37</f>
        <v>56</v>
      </c>
      <c r="AE981" s="104">
        <f>IF(Table1[[#This Row],[Work Center]]="SwissQ",Materials!G$37,IF(Table1[[#This Row],[Work Center]]="Inca",Materials!G$29,IF(Table1[[#This Row],[Work Center]]="Canon",Materials!G$49,Materials!G$45)))</f>
        <v>20</v>
      </c>
      <c r="AF981" s="74">
        <f>'Cali Frames'!D529</f>
        <v>185.62</v>
      </c>
      <c r="AG981" s="115"/>
      <c r="AH981" s="498">
        <f t="shared" si="344"/>
        <v>60.5</v>
      </c>
      <c r="AI981" s="498"/>
      <c r="AJ981" s="104">
        <f t="shared" si="345"/>
        <v>346.47</v>
      </c>
      <c r="AK981" s="650">
        <f t="shared" si="346"/>
        <v>0.71366115702479338</v>
      </c>
      <c r="AL981" s="225">
        <f>Table1[[#This Row],[WSP/Dealer]]/Table1[[#This Row],[OD Sq Inch]]</f>
        <v>0.40481766477082637</v>
      </c>
      <c r="AM981" s="97">
        <f>Table1[[#This Row],[OD Wdth]]*Table1[[#This Row],[OD Hgt]]</f>
        <v>2989</v>
      </c>
      <c r="AN981" s="216">
        <f>Table1[[#This Row],[Min VO]]+Table1[[#This Row],[Max VO]]</f>
        <v>108</v>
      </c>
      <c r="AO981" s="101"/>
      <c r="AP981" s="101"/>
      <c r="AQ981" s="104"/>
      <c r="AR981" s="104"/>
      <c r="AS981" s="104"/>
      <c r="AT981" s="104"/>
      <c r="AU981" s="830" t="str">
        <f t="shared" si="341"/>
        <v>-</v>
      </c>
    </row>
    <row r="982" spans="1:47" s="103" customFormat="1" x14ac:dyDescent="0.2">
      <c r="A982" s="60" t="s">
        <v>58</v>
      </c>
      <c r="B982" s="1194" t="s">
        <v>1013</v>
      </c>
      <c r="C982" s="76" t="s">
        <v>2448</v>
      </c>
      <c r="D982" s="94" t="s">
        <v>2449</v>
      </c>
      <c r="E982" s="83" t="s">
        <v>2447</v>
      </c>
      <c r="F982" s="83" t="s">
        <v>114</v>
      </c>
      <c r="G982" s="60" t="s">
        <v>1651</v>
      </c>
      <c r="H982" s="60" t="s">
        <v>1651</v>
      </c>
      <c r="I982" s="60" t="s">
        <v>52</v>
      </c>
      <c r="J982" s="60" t="s">
        <v>53</v>
      </c>
      <c r="K982" s="60" t="s">
        <v>54</v>
      </c>
      <c r="L982" s="60" t="s">
        <v>55</v>
      </c>
      <c r="M982" s="124">
        <v>1160</v>
      </c>
      <c r="N982" s="656">
        <v>950</v>
      </c>
      <c r="O982" s="145" t="s">
        <v>64</v>
      </c>
      <c r="P982" s="60">
        <v>60</v>
      </c>
      <c r="Q982" s="60">
        <v>48</v>
      </c>
      <c r="R982" s="60">
        <v>48</v>
      </c>
      <c r="S982" s="273">
        <v>60</v>
      </c>
      <c r="T982" s="273">
        <f>Table1[[#This Row],[VO Wdth]]</f>
        <v>60</v>
      </c>
      <c r="U982" s="273">
        <f>Table1[[#This Row],[VO Hgt]]</f>
        <v>48</v>
      </c>
      <c r="V982" s="946">
        <f>IF(J982="Canvas",P982+Border,P982)</f>
        <v>68</v>
      </c>
      <c r="W982" s="946">
        <f>IF(J982="Canvas",Q982+Border,Q982)</f>
        <v>56</v>
      </c>
      <c r="X982" s="138" t="s">
        <v>152</v>
      </c>
      <c r="Y982" s="60"/>
      <c r="Z982" s="60"/>
      <c r="AA982" s="717">
        <f t="shared" si="343"/>
        <v>26.444444444444443</v>
      </c>
      <c r="AB982" s="389">
        <f>AA982*Swiss1</f>
        <v>748.37777777777774</v>
      </c>
      <c r="AC982" s="143">
        <f>Table1[[#This Row],[Substrate SF]]*Canvas</f>
        <v>17.453333333333333</v>
      </c>
      <c r="AD982" s="150">
        <f>Table1[[#This Row],[Substrate SF]]*Materials!C$37</f>
        <v>74.044444444444437</v>
      </c>
      <c r="AE982" s="69">
        <f>IF(Table1[[#This Row],[Work Center]]="SwissQ",Materials!G$37,IF(Table1[[#This Row],[Work Center]]="Inca",Materials!G$29,IF(Table1[[#This Row],[Work Center]]="Canon",Materials!G$49,Materials!G$45)))</f>
        <v>20</v>
      </c>
      <c r="AF982" s="69">
        <f>'Cali FPS'!C121</f>
        <v>188.18</v>
      </c>
      <c r="AG982" s="83"/>
      <c r="AH982" s="48">
        <f t="shared" si="344"/>
        <v>58</v>
      </c>
      <c r="AI982" s="69"/>
      <c r="AJ982" s="69">
        <f t="shared" si="345"/>
        <v>357.67777777777781</v>
      </c>
      <c r="AK982" s="62">
        <f t="shared" si="346"/>
        <v>0.69165708812260529</v>
      </c>
      <c r="AL982" s="225">
        <f>Table1[[#This Row],[WSP/Dealer]]/Table1[[#This Row],[OD Sq Inch]]</f>
        <v>0.40277777777777779</v>
      </c>
      <c r="AM982" s="60">
        <f>Table1[[#This Row],[OD Wdth]]*Table1[[#This Row],[OD Hgt]]</f>
        <v>2880</v>
      </c>
      <c r="AN982" s="216">
        <f>Table1[[#This Row],[Min VO]]+Table1[[#This Row],[Max VO]]</f>
        <v>108</v>
      </c>
      <c r="AO982" s="60"/>
      <c r="AP982" s="60"/>
      <c r="AQ982" s="69"/>
      <c r="AR982" s="69"/>
      <c r="AS982" s="69"/>
      <c r="AT982" s="69"/>
      <c r="AU982" s="650" t="str">
        <f t="shared" si="341"/>
        <v>-</v>
      </c>
    </row>
    <row r="983" spans="1:47" s="103" customFormat="1" x14ac:dyDescent="0.2">
      <c r="A983" s="86" t="s">
        <v>58</v>
      </c>
      <c r="B983" s="279" t="s">
        <v>406</v>
      </c>
      <c r="C983" s="76" t="s">
        <v>2450</v>
      </c>
      <c r="D983" s="94" t="s">
        <v>2451</v>
      </c>
      <c r="E983" s="85" t="s">
        <v>2447</v>
      </c>
      <c r="F983" s="85" t="s">
        <v>114</v>
      </c>
      <c r="G983" s="86" t="s">
        <v>637</v>
      </c>
      <c r="H983" s="86" t="s">
        <v>1119</v>
      </c>
      <c r="I983" s="86" t="s">
        <v>52</v>
      </c>
      <c r="J983" s="86" t="s">
        <v>53</v>
      </c>
      <c r="K983" s="86" t="s">
        <v>69</v>
      </c>
      <c r="L983" s="86" t="s">
        <v>73</v>
      </c>
      <c r="M983" s="87">
        <v>1210</v>
      </c>
      <c r="N983" s="639">
        <v>1250</v>
      </c>
      <c r="O983" s="145" t="s">
        <v>64</v>
      </c>
      <c r="P983" s="101">
        <v>60</v>
      </c>
      <c r="Q983" s="101">
        <v>48</v>
      </c>
      <c r="R983" s="60">
        <v>48</v>
      </c>
      <c r="S983" s="273">
        <v>60</v>
      </c>
      <c r="T983" s="101">
        <v>61</v>
      </c>
      <c r="U983" s="101">
        <v>49</v>
      </c>
      <c r="V983" s="608">
        <f>IF(J983="Canvas",P983+Border,P983)</f>
        <v>68</v>
      </c>
      <c r="W983" s="608">
        <f>IF(J983="Canvas",Q983+Border,Q983)</f>
        <v>56</v>
      </c>
      <c r="X983" s="137" t="s">
        <v>152</v>
      </c>
      <c r="Y983" s="101"/>
      <c r="Z983" s="101"/>
      <c r="AA983" s="649">
        <f t="shared" si="343"/>
        <v>26.444444444444443</v>
      </c>
      <c r="AB983" s="389">
        <f>AA983*Swiss1</f>
        <v>748.37777777777774</v>
      </c>
      <c r="AC983" s="143">
        <f>Table1[[#This Row],[Substrate SF]]*Canvas</f>
        <v>17.453333333333333</v>
      </c>
      <c r="AD983" s="21">
        <f>Table1[[#This Row],[Substrate SF]]*Materials!C$37</f>
        <v>74.044444444444437</v>
      </c>
      <c r="AE983" s="104">
        <f>IF(Table1[[#This Row],[Work Center]]="SwissQ",Materials!G$37,IF(Table1[[#This Row],[Work Center]]="Inca",Materials!G$29,IF(Table1[[#This Row],[Work Center]]="Canon",Materials!G$49,Materials!G$45)))</f>
        <v>20</v>
      </c>
      <c r="AF983" s="74">
        <f>'Cali Frames'!D$470</f>
        <v>263.70999999999998</v>
      </c>
      <c r="AG983" s="115"/>
      <c r="AH983" s="112">
        <f t="shared" si="344"/>
        <v>60.5</v>
      </c>
      <c r="AI983" s="498"/>
      <c r="AJ983" s="104">
        <f t="shared" si="345"/>
        <v>435.70777777777778</v>
      </c>
      <c r="AK983" s="62">
        <f t="shared" si="346"/>
        <v>0.63991092745638201</v>
      </c>
      <c r="AL983" s="225">
        <f>Table1[[#This Row],[WSP/Dealer]]/Table1[[#This Row],[OD Sq Inch]]</f>
        <v>0.40481766477082637</v>
      </c>
      <c r="AM983" s="110">
        <f>Table1[[#This Row],[OD Wdth]]*Table1[[#This Row],[OD Hgt]]</f>
        <v>2989</v>
      </c>
      <c r="AN983" s="216">
        <f>Table1[[#This Row],[Min VO]]+Table1[[#This Row],[Max VO]]</f>
        <v>108</v>
      </c>
      <c r="AO983" s="101"/>
      <c r="AP983" s="101"/>
      <c r="AQ983" s="104"/>
      <c r="AR983" s="104"/>
      <c r="AS983" s="104"/>
      <c r="AT983" s="104"/>
      <c r="AU983" s="830" t="str">
        <f t="shared" si="341"/>
        <v>-</v>
      </c>
    </row>
    <row r="984" spans="1:47" s="170" customFormat="1" x14ac:dyDescent="0.2">
      <c r="A984" s="86" t="s">
        <v>58</v>
      </c>
      <c r="B984" s="279" t="s">
        <v>2452</v>
      </c>
      <c r="C984" s="75" t="s">
        <v>2453</v>
      </c>
      <c r="D984" s="94"/>
      <c r="E984" s="85" t="s">
        <v>2454</v>
      </c>
      <c r="F984" s="85" t="s">
        <v>386</v>
      </c>
      <c r="G984" s="86" t="s">
        <v>115</v>
      </c>
      <c r="H984" s="86" t="s">
        <v>115</v>
      </c>
      <c r="I984" s="86" t="s">
        <v>52</v>
      </c>
      <c r="J984" s="86" t="s">
        <v>53</v>
      </c>
      <c r="K984" s="86" t="s">
        <v>54</v>
      </c>
      <c r="L984" s="86" t="s">
        <v>55</v>
      </c>
      <c r="M984" s="87">
        <v>750</v>
      </c>
      <c r="N984" s="639">
        <v>830</v>
      </c>
      <c r="O984" s="101" t="s">
        <v>56</v>
      </c>
      <c r="P984" s="273">
        <v>48</v>
      </c>
      <c r="Q984" s="273">
        <v>48</v>
      </c>
      <c r="R984" s="60">
        <v>48</v>
      </c>
      <c r="S984" s="273">
        <v>48</v>
      </c>
      <c r="T984" s="273">
        <f>Table1[[#This Row],[VO Wdth]]</f>
        <v>48</v>
      </c>
      <c r="U984" s="273">
        <f>Table1[[#This Row],[VO Hgt]]</f>
        <v>48</v>
      </c>
      <c r="V984" s="608">
        <f>IF(J984="Canvas",P984+BorderGW,P984)</f>
        <v>56</v>
      </c>
      <c r="W984" s="608">
        <f>IF(J984="Canvas",Q984+BorderGW,Q984)</f>
        <v>56</v>
      </c>
      <c r="X984" s="137">
        <v>122</v>
      </c>
      <c r="Y984" s="101"/>
      <c r="Z984" s="101"/>
      <c r="AA984" s="649">
        <f t="shared" si="343"/>
        <v>21.777777777777779</v>
      </c>
      <c r="AB984" s="184">
        <f>AA984*IncaG</f>
        <v>458.20444444444445</v>
      </c>
      <c r="AC984" s="104">
        <f>AA984*Canvas</f>
        <v>14.373333333333335</v>
      </c>
      <c r="AD984" s="107">
        <f>AA984*IncaC</f>
        <v>36.656355555555557</v>
      </c>
      <c r="AE984" s="104">
        <f>IF(Table1[[#This Row],[Work Center]]="SwissQ",Materials!G$37,IF(Table1[[#This Row],[Work Center]]="Inca",Materials!G$29,IF(Table1[[#This Row],[Work Center]]="Canon",Materials!G$49,Materials!G$45)))</f>
        <v>8</v>
      </c>
      <c r="AF984" s="104">
        <f>'Cali FPS'!C$117</f>
        <v>119.7</v>
      </c>
      <c r="AG984" s="115"/>
      <c r="AH984" s="498">
        <f t="shared" si="344"/>
        <v>37.5</v>
      </c>
      <c r="AI984" s="498"/>
      <c r="AJ984" s="104">
        <f t="shared" si="345"/>
        <v>216.22968888888889</v>
      </c>
      <c r="AK984" s="650">
        <f t="shared" si="346"/>
        <v>0.71169374814814823</v>
      </c>
      <c r="AL984" s="225">
        <f>Table1[[#This Row],[WSP/Dealer]]/Table1[[#This Row],[OD Sq Inch]]</f>
        <v>0.32552083333333331</v>
      </c>
      <c r="AM984" s="103">
        <f>Table1[[#This Row],[OD Wdth]]*Table1[[#This Row],[OD Hgt]]</f>
        <v>2304</v>
      </c>
      <c r="AN984" s="216">
        <f>Table1[[#This Row],[Min VO]]+Table1[[#This Row],[Max VO]]</f>
        <v>96</v>
      </c>
      <c r="AO984" s="101"/>
      <c r="AP984" s="101"/>
      <c r="AQ984" s="104"/>
      <c r="AR984" s="104"/>
      <c r="AS984" s="104"/>
      <c r="AT984" s="104"/>
      <c r="AU984" s="830" t="str">
        <f t="shared" si="341"/>
        <v>-</v>
      </c>
    </row>
    <row r="985" spans="1:47" s="103" customFormat="1" x14ac:dyDescent="0.2">
      <c r="A985" s="145" t="s">
        <v>58</v>
      </c>
      <c r="B985" s="279" t="s">
        <v>533</v>
      </c>
      <c r="C985" s="146" t="s">
        <v>2455</v>
      </c>
      <c r="D985" s="94" t="s">
        <v>2456</v>
      </c>
      <c r="E985" s="146" t="s">
        <v>2457</v>
      </c>
      <c r="F985" s="147" t="s">
        <v>386</v>
      </c>
      <c r="G985" s="156" t="s">
        <v>405</v>
      </c>
      <c r="H985" s="156" t="s">
        <v>405</v>
      </c>
      <c r="I985" s="156" t="s">
        <v>52</v>
      </c>
      <c r="J985" s="156" t="s">
        <v>53</v>
      </c>
      <c r="K985" s="156" t="s">
        <v>54</v>
      </c>
      <c r="L985" s="156" t="s">
        <v>55</v>
      </c>
      <c r="M985" s="151">
        <v>750</v>
      </c>
      <c r="N985" s="639">
        <v>830</v>
      </c>
      <c r="O985" s="145" t="s">
        <v>56</v>
      </c>
      <c r="P985" s="145">
        <v>48</v>
      </c>
      <c r="Q985" s="145">
        <v>48</v>
      </c>
      <c r="R985" s="145">
        <v>48</v>
      </c>
      <c r="S985" s="145">
        <v>48</v>
      </c>
      <c r="T985" s="698">
        <f>Table1[[#This Row],[VO Wdth]]</f>
        <v>48</v>
      </c>
      <c r="U985" s="698">
        <f>Table1[[#This Row],[VO Hgt]]</f>
        <v>48</v>
      </c>
      <c r="V985" s="913">
        <f>IF(J985="Canvas",P985+Border,P985)</f>
        <v>56</v>
      </c>
      <c r="W985" s="913">
        <f>IF(J985="Canvas",Q985+Border,Q985)</f>
        <v>56</v>
      </c>
      <c r="X985" s="157">
        <v>59</v>
      </c>
      <c r="Y985" s="145"/>
      <c r="Z985" s="145"/>
      <c r="AA985" s="722">
        <f t="shared" si="343"/>
        <v>21.777777777777779</v>
      </c>
      <c r="AB985" s="389">
        <f>AA985*IncaG</f>
        <v>458.20444444444445</v>
      </c>
      <c r="AC985" s="143">
        <f>Table1[[#This Row],[Substrate SF]]*Paper</f>
        <v>29.465333333333334</v>
      </c>
      <c r="AD985" s="143">
        <f>AA985*IncaC</f>
        <v>36.656355555555557</v>
      </c>
      <c r="AE985" s="104">
        <f>IF(Table1[[#This Row],[Work Center]]="SwissQ",Materials!G$37,IF(Table1[[#This Row],[Work Center]]="Inca",Materials!G$29,IF(Table1[[#This Row],[Work Center]]="Canon",Materials!G$49,Materials!G$45)))</f>
        <v>8</v>
      </c>
      <c r="AF985" s="143">
        <f>'Cali FPS'!C$117</f>
        <v>119.7</v>
      </c>
      <c r="AG985" s="115"/>
      <c r="AH985" s="498">
        <f t="shared" si="344"/>
        <v>37.5</v>
      </c>
      <c r="AI985" s="498"/>
      <c r="AJ985" s="143">
        <f t="shared" si="345"/>
        <v>231.3216888888889</v>
      </c>
      <c r="AK985" s="650">
        <f t="shared" si="346"/>
        <v>0.69157108148148139</v>
      </c>
      <c r="AL985" s="225">
        <f>Table1[[#This Row],[WSP/Dealer]]/Table1[[#This Row],[OD Sq Inch]]</f>
        <v>0.32552083333333331</v>
      </c>
      <c r="AM985" s="101">
        <f>Table1[[#This Row],[OD Wdth]]*Table1[[#This Row],[OD Hgt]]</f>
        <v>2304</v>
      </c>
      <c r="AN985" s="216">
        <f>Table1[[#This Row],[Min VO]]+Table1[[#This Row],[Max VO]]</f>
        <v>96</v>
      </c>
      <c r="AO985" s="145"/>
      <c r="AP985" s="145"/>
      <c r="AQ985" s="143"/>
      <c r="AR985" s="143"/>
      <c r="AS985" s="143"/>
      <c r="AT985" s="143"/>
      <c r="AU985" s="1371" t="str">
        <f t="shared" si="341"/>
        <v>-</v>
      </c>
    </row>
    <row r="986" spans="1:47" s="63" customFormat="1" x14ac:dyDescent="0.2">
      <c r="A986" s="86" t="s">
        <v>58</v>
      </c>
      <c r="B986" s="279" t="s">
        <v>406</v>
      </c>
      <c r="C986" s="100" t="s">
        <v>2458</v>
      </c>
      <c r="D986" s="94" t="s">
        <v>2459</v>
      </c>
      <c r="E986" s="85" t="s">
        <v>2460</v>
      </c>
      <c r="F986" s="85" t="s">
        <v>386</v>
      </c>
      <c r="G986" s="86" t="s">
        <v>2461</v>
      </c>
      <c r="H986" s="86" t="s">
        <v>2461</v>
      </c>
      <c r="I986" s="86" t="s">
        <v>52</v>
      </c>
      <c r="J986" s="86" t="s">
        <v>53</v>
      </c>
      <c r="K986" s="86" t="s">
        <v>54</v>
      </c>
      <c r="L986" s="86" t="s">
        <v>55</v>
      </c>
      <c r="M986" s="87">
        <v>825</v>
      </c>
      <c r="N986" s="639">
        <v>900</v>
      </c>
      <c r="O986" s="551" t="s">
        <v>56</v>
      </c>
      <c r="P986" s="101">
        <v>52</v>
      </c>
      <c r="Q986" s="101">
        <v>52</v>
      </c>
      <c r="R986" s="60">
        <v>52</v>
      </c>
      <c r="S986" s="273">
        <v>52</v>
      </c>
      <c r="T986" s="273">
        <f>Table1[[#This Row],[VO Wdth]]</f>
        <v>52</v>
      </c>
      <c r="U986" s="273">
        <f>Table1[[#This Row],[VO Hgt]]</f>
        <v>52</v>
      </c>
      <c r="V986" s="608">
        <f>IF(J986="Canvas",P986+BorderGW,P986)</f>
        <v>60</v>
      </c>
      <c r="W986" s="608">
        <f>IF(J986="Canvas",Q986+BorderGW,Q986)</f>
        <v>60</v>
      </c>
      <c r="X986" s="137">
        <v>59</v>
      </c>
      <c r="Y986" s="101"/>
      <c r="Z986" s="101"/>
      <c r="AA986" s="649">
        <f t="shared" si="343"/>
        <v>25</v>
      </c>
      <c r="AB986" s="184">
        <f>AA986*IncaG</f>
        <v>526</v>
      </c>
      <c r="AC986" s="104">
        <f>AA986*Canvas</f>
        <v>16.5</v>
      </c>
      <c r="AD986" s="104">
        <f>AA986*IncaC</f>
        <v>42.08</v>
      </c>
      <c r="AE986" s="104">
        <f>IF(Table1[[#This Row],[Work Center]]="SwissQ",Materials!G$37,IF(Table1[[#This Row],[Work Center]]="Inca",Materials!G$29,IF(Table1[[#This Row],[Work Center]]="Canon",Materials!G$49,Materials!G$45)))</f>
        <v>8</v>
      </c>
      <c r="AF986" s="104">
        <f>'Cali FPS'!C136</f>
        <v>177.27500000000001</v>
      </c>
      <c r="AG986" s="115"/>
      <c r="AH986" s="498">
        <f t="shared" si="344"/>
        <v>41.25</v>
      </c>
      <c r="AI986" s="498"/>
      <c r="AJ986" s="104">
        <f t="shared" si="345"/>
        <v>285.10500000000002</v>
      </c>
      <c r="AK986" s="650">
        <f t="shared" si="346"/>
        <v>0.65441818181818179</v>
      </c>
      <c r="AL986" s="225">
        <f>Table1[[#This Row],[WSP/Dealer]]/Table1[[#This Row],[OD Sq Inch]]</f>
        <v>0.30510355029585801</v>
      </c>
      <c r="AM986" s="216">
        <f>Table1[[#This Row],[OD Wdth]]*Table1[[#This Row],[OD Hgt]]</f>
        <v>2704</v>
      </c>
      <c r="AN986" s="216">
        <f>Table1[[#This Row],[Min VO]]+Table1[[#This Row],[Max VO]]</f>
        <v>104</v>
      </c>
      <c r="AO986" s="101"/>
      <c r="AP986" s="101"/>
      <c r="AQ986" s="104"/>
      <c r="AR986" s="104"/>
      <c r="AS986" s="104"/>
      <c r="AT986" s="104"/>
      <c r="AU986" s="830" t="str">
        <f t="shared" si="341"/>
        <v>-</v>
      </c>
    </row>
    <row r="987" spans="1:47" s="103" customFormat="1" hidden="1" x14ac:dyDescent="0.2">
      <c r="A987" s="400" t="s">
        <v>996</v>
      </c>
      <c r="B987" s="1322" t="s">
        <v>96</v>
      </c>
      <c r="C987" s="496" t="s">
        <v>2462</v>
      </c>
      <c r="D987" s="168"/>
      <c r="E987" s="401" t="s">
        <v>2463</v>
      </c>
      <c r="F987" s="401" t="s">
        <v>105</v>
      </c>
      <c r="G987" s="400" t="s">
        <v>643</v>
      </c>
      <c r="H987" s="400" t="s">
        <v>643</v>
      </c>
      <c r="I987" s="400" t="s">
        <v>108</v>
      </c>
      <c r="J987" s="497" t="s">
        <v>53</v>
      </c>
      <c r="K987" s="400" t="s">
        <v>54</v>
      </c>
      <c r="L987" s="400" t="s">
        <v>55</v>
      </c>
      <c r="M987" s="488">
        <v>225</v>
      </c>
      <c r="N987" s="114"/>
      <c r="O987" s="400" t="s">
        <v>109</v>
      </c>
      <c r="P987" s="101">
        <v>20</v>
      </c>
      <c r="Q987" s="101">
        <v>16</v>
      </c>
      <c r="R987" s="101">
        <v>16</v>
      </c>
      <c r="S987" s="697">
        <v>20</v>
      </c>
      <c r="T987" s="101">
        <v>20</v>
      </c>
      <c r="U987" s="101">
        <v>16</v>
      </c>
      <c r="V987" s="918">
        <f>IF(J987="Canvas",P987+BorderL,P987)</f>
        <v>31</v>
      </c>
      <c r="W987" s="918">
        <f>IF(J987="Canvas",Q987+BorderL,Q987)</f>
        <v>27</v>
      </c>
      <c r="X987" s="1010">
        <v>40</v>
      </c>
      <c r="Y987" s="101">
        <v>31</v>
      </c>
      <c r="Z987" s="101">
        <v>27</v>
      </c>
      <c r="AA987" s="724">
        <f t="shared" si="343"/>
        <v>5.8125</v>
      </c>
      <c r="AB987" s="633">
        <f>AA987*EPSONM</f>
        <v>26.15625</v>
      </c>
      <c r="AC987" s="406">
        <f>AA987*Canvas</f>
        <v>3.8362500000000002</v>
      </c>
      <c r="AD987" s="405">
        <f>Table1[[#This Row],[Ink g/mL]]*EPSONC</f>
        <v>5.7543750000000005</v>
      </c>
      <c r="AE987" s="406">
        <f>IF(Table1[[#This Row],[Work Center]]="SwissQ",Materials!G$37,IF(Table1[[#This Row],[Work Center]]="Inca",Materials!G$29,IF(Table1[[#This Row],[Work Center]]="Canon",Materials!G$49,Materials!G$45)))</f>
        <v>5</v>
      </c>
      <c r="AF987" s="102">
        <f>'Cali FPS'!C18</f>
        <v>61.15</v>
      </c>
      <c r="AG987" s="115"/>
      <c r="AH987" s="104">
        <v>0</v>
      </c>
      <c r="AI987" s="104"/>
      <c r="AJ987" s="406">
        <f t="shared" si="345"/>
        <v>75.740624999999994</v>
      </c>
      <c r="AK987" s="830">
        <f t="shared" si="346"/>
        <v>0.66337500000000005</v>
      </c>
      <c r="AL987" s="660">
        <f>Table1[[#This Row],[WSP/Dealer]]/Table1[[#This Row],[OD Sq Inch]]</f>
        <v>0.703125</v>
      </c>
      <c r="AM987" s="399">
        <f>Table1[[#This Row],[OD Wdth]]*Table1[[#This Row],[OD Hgt]]</f>
        <v>320</v>
      </c>
      <c r="AN987" s="400">
        <f>Table1[[#This Row],[Min VO]]+Table1[[#This Row],[Max VO]]</f>
        <v>36</v>
      </c>
      <c r="AO987" s="115"/>
      <c r="AP987" s="115"/>
      <c r="AQ987" s="121"/>
      <c r="AR987" s="121"/>
      <c r="AS987" s="121"/>
      <c r="AT987" s="104"/>
      <c r="AU987" s="1359" t="str">
        <f t="shared" si="341"/>
        <v>-</v>
      </c>
    </row>
    <row r="988" spans="1:47" s="103" customFormat="1" hidden="1" x14ac:dyDescent="0.2">
      <c r="A988" s="400" t="s">
        <v>996</v>
      </c>
      <c r="B988" s="1322" t="s">
        <v>96</v>
      </c>
      <c r="C988" s="496" t="s">
        <v>2464</v>
      </c>
      <c r="D988" s="168"/>
      <c r="E988" s="401" t="s">
        <v>2463</v>
      </c>
      <c r="F988" s="401" t="s">
        <v>105</v>
      </c>
      <c r="G988" s="400" t="s">
        <v>643</v>
      </c>
      <c r="H988" s="400" t="s">
        <v>806</v>
      </c>
      <c r="I988" s="400" t="s">
        <v>108</v>
      </c>
      <c r="J988" s="497" t="s">
        <v>280</v>
      </c>
      <c r="K988" s="400" t="s">
        <v>69</v>
      </c>
      <c r="L988" s="400" t="s">
        <v>315</v>
      </c>
      <c r="M988" s="488">
        <v>425</v>
      </c>
      <c r="N988" s="832"/>
      <c r="O988" s="101" t="s">
        <v>575</v>
      </c>
      <c r="P988" s="400">
        <v>20</v>
      </c>
      <c r="Q988" s="400">
        <v>16</v>
      </c>
      <c r="R988" s="400">
        <v>16</v>
      </c>
      <c r="S988" s="1244">
        <v>20</v>
      </c>
      <c r="T988" s="400">
        <v>21</v>
      </c>
      <c r="U988" s="400">
        <v>17</v>
      </c>
      <c r="V988" s="404">
        <v>20</v>
      </c>
      <c r="W988" s="404">
        <v>16</v>
      </c>
      <c r="X988" s="525" t="s">
        <v>283</v>
      </c>
      <c r="Y988" s="400">
        <v>20</v>
      </c>
      <c r="Z988" s="400">
        <v>16</v>
      </c>
      <c r="AA988" s="1069">
        <f t="shared" si="343"/>
        <v>2.2222222222222223</v>
      </c>
      <c r="AB988" s="633">
        <f>AA988*SWISSMLR*3</f>
        <v>13.333333333333334</v>
      </c>
      <c r="AC988" s="104">
        <f>MDFSHEET/10</f>
        <v>2.4350000000000001</v>
      </c>
      <c r="AD988" s="405">
        <f>Table1[[#This Row],[Substrate SF]]*SWISSCR*3</f>
        <v>1.4666666666666668</v>
      </c>
      <c r="AE988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988" s="403">
        <f>'Cali Frames'!D504</f>
        <v>83.25</v>
      </c>
      <c r="AG988" s="401"/>
      <c r="AH988" s="104">
        <v>0</v>
      </c>
      <c r="AI988" s="104"/>
      <c r="AJ988" s="406">
        <f t="shared" si="345"/>
        <v>95.151666666666671</v>
      </c>
      <c r="AK988" s="830">
        <f t="shared" si="346"/>
        <v>0.77611372549019608</v>
      </c>
      <c r="AL988" s="660">
        <f>Table1[[#This Row],[WSP/Dealer]]/Table1[[#This Row],[OD Sq Inch]]</f>
        <v>1.1904761904761905</v>
      </c>
      <c r="AM988" s="399">
        <f>Table1[[#This Row],[OD Wdth]]*Table1[[#This Row],[OD Hgt]]</f>
        <v>357</v>
      </c>
      <c r="AN988" s="400" t="str">
        <f>Table1[[#This Row],[Color]]</f>
        <v>WF</v>
      </c>
      <c r="AO988" s="115" t="str">
        <f>Table1[[#This Row],[Print Type]]</f>
        <v>Reductive</v>
      </c>
      <c r="AP988" s="401"/>
      <c r="AQ988" s="1000"/>
      <c r="AR988" s="1000"/>
      <c r="AS988" s="1000"/>
      <c r="AT988" s="406"/>
      <c r="AU988" s="1366" t="str">
        <f t="shared" si="341"/>
        <v>-</v>
      </c>
    </row>
    <row r="989" spans="1:47" s="103" customFormat="1" hidden="1" x14ac:dyDescent="0.2">
      <c r="A989" s="101" t="s">
        <v>110</v>
      </c>
      <c r="B989" s="1064" t="s">
        <v>250</v>
      </c>
      <c r="C989" s="496" t="s">
        <v>2465</v>
      </c>
      <c r="D989" s="168"/>
      <c r="E989" s="401" t="s">
        <v>2463</v>
      </c>
      <c r="F989" s="401" t="s">
        <v>105</v>
      </c>
      <c r="G989" s="400" t="s">
        <v>643</v>
      </c>
      <c r="H989" s="400" t="s">
        <v>643</v>
      </c>
      <c r="I989" s="400" t="s">
        <v>108</v>
      </c>
      <c r="J989" s="497" t="s">
        <v>53</v>
      </c>
      <c r="K989" s="101" t="s">
        <v>119</v>
      </c>
      <c r="L989" s="101" t="s">
        <v>120</v>
      </c>
      <c r="M989" s="114">
        <v>400</v>
      </c>
      <c r="N989" s="114"/>
      <c r="O989" s="101" t="s">
        <v>64</v>
      </c>
      <c r="P989" s="101">
        <v>20</v>
      </c>
      <c r="Q989" s="101">
        <v>16</v>
      </c>
      <c r="R989" s="101">
        <v>16</v>
      </c>
      <c r="S989" s="697">
        <v>20</v>
      </c>
      <c r="T989" s="101">
        <v>20</v>
      </c>
      <c r="U989" s="101">
        <v>16</v>
      </c>
      <c r="V989" s="918">
        <f>IF(J989="Canvas",P989+BorderL,P989)</f>
        <v>31</v>
      </c>
      <c r="W989" s="918">
        <f>IF(J989="Canvas",Q989+BorderL,Q989)</f>
        <v>27</v>
      </c>
      <c r="X989" s="101">
        <v>40</v>
      </c>
      <c r="Y989" s="101">
        <v>31</v>
      </c>
      <c r="Z989" s="101">
        <v>27</v>
      </c>
      <c r="AA989" s="649">
        <f t="shared" si="343"/>
        <v>5.8125</v>
      </c>
      <c r="AB989" s="184">
        <f>AA989*Swiss1</f>
        <v>164.49375000000001</v>
      </c>
      <c r="AC989" s="104">
        <f>AA989*Canvas</f>
        <v>3.8362500000000002</v>
      </c>
      <c r="AD989" s="104">
        <f>Table1[[#This Row],[Substrate SF]]*Materials!C$37</f>
        <v>16.274999999999999</v>
      </c>
      <c r="AE989" s="104">
        <f>IF(Table1[[#This Row],[Work Center]]="SwissQ",Materials!G$37,IF(Table1[[#This Row],[Work Center]]="Inca",Materials!G$29,IF(Table1[[#This Row],[Work Center]]="Canon",Materials!G$49,Materials!G$45)))</f>
        <v>20</v>
      </c>
      <c r="AF989" s="102">
        <f>'Cali FPS'!C186</f>
        <v>78.89</v>
      </c>
      <c r="AG989" s="115"/>
      <c r="AH989" s="406">
        <f>(M989*0.05)</f>
        <v>20</v>
      </c>
      <c r="AI989" s="406">
        <f>IF(A989="Codarus",(M989*0.13))</f>
        <v>52</v>
      </c>
      <c r="AJ989" s="104">
        <f>SUM(AC989:AI989)</f>
        <v>191.00125</v>
      </c>
      <c r="AK989" s="830">
        <f t="shared" si="346"/>
        <v>0.52249687499999997</v>
      </c>
      <c r="AL989" s="660">
        <f>Table1[[#This Row],[WSP/Dealer]]/Table1[[#This Row],[OD Sq Inch]]</f>
        <v>1.25</v>
      </c>
      <c r="AM989" s="400">
        <f>Table1[[#This Row],[OD Wdth]]*Table1[[#This Row],[OD Hgt]]</f>
        <v>320</v>
      </c>
      <c r="AN989" s="400">
        <f>Table1[[#This Row],[Min VO]]+Table1[[#This Row],[Max VO]]</f>
        <v>36</v>
      </c>
      <c r="AO989" s="115"/>
      <c r="AP989" s="121">
        <v>800</v>
      </c>
      <c r="AQ989" s="104">
        <f>(Table1[[#This Row],[Desgnr/Retail P]]*0.05)</f>
        <v>40</v>
      </c>
      <c r="AR989" s="121">
        <f>IF(A989="Codarus",(AP989*0.13))</f>
        <v>104</v>
      </c>
      <c r="AS989" s="121">
        <f>SUM(Table1[[#This Row],[Substrate $]:[GP FINISH]])+Table1[[#This Row],[Retail Royalty]]+Table1[[#This Row],[Retail$Comm]]</f>
        <v>263.00125000000003</v>
      </c>
      <c r="AT989" s="830">
        <f>IF(AP989=0,"-",(AP989-AS989)/AP989)</f>
        <v>0.67124843749999996</v>
      </c>
      <c r="AU989" s="1359">
        <f t="shared" si="341"/>
        <v>0.98321878906250004</v>
      </c>
    </row>
    <row r="990" spans="1:47" s="20" customFormat="1" hidden="1" x14ac:dyDescent="0.2">
      <c r="A990" s="400" t="s">
        <v>101</v>
      </c>
      <c r="B990" s="1322" t="s">
        <v>65</v>
      </c>
      <c r="C990" s="496" t="s">
        <v>2464</v>
      </c>
      <c r="D990" s="168"/>
      <c r="E990" s="401" t="s">
        <v>2463</v>
      </c>
      <c r="F990" s="401" t="s">
        <v>105</v>
      </c>
      <c r="G990" s="400" t="s">
        <v>643</v>
      </c>
      <c r="H990" s="400" t="s">
        <v>806</v>
      </c>
      <c r="I990" s="400" t="s">
        <v>574</v>
      </c>
      <c r="J990" s="497" t="s">
        <v>53</v>
      </c>
      <c r="K990" s="400" t="s">
        <v>69</v>
      </c>
      <c r="L990" s="400" t="s">
        <v>315</v>
      </c>
      <c r="M990" s="141">
        <v>196</v>
      </c>
      <c r="N990" s="114"/>
      <c r="O990" s="101" t="s">
        <v>575</v>
      </c>
      <c r="P990" s="101">
        <v>20</v>
      </c>
      <c r="Q990" s="101">
        <v>16</v>
      </c>
      <c r="R990" s="101">
        <v>16</v>
      </c>
      <c r="S990" s="697">
        <v>20</v>
      </c>
      <c r="T990" s="101">
        <v>21</v>
      </c>
      <c r="U990" s="101">
        <v>17</v>
      </c>
      <c r="V990" s="608">
        <f t="shared" ref="V990:V996" si="347">IF(J990="Canvas",P990+Border,P990)</f>
        <v>28</v>
      </c>
      <c r="W990" s="608">
        <f t="shared" ref="W990:W996" si="348">IF(J990="Canvas",Q990+Border,Q990)</f>
        <v>24</v>
      </c>
      <c r="X990" s="101">
        <v>40</v>
      </c>
      <c r="Y990" s="881">
        <f>Table1[[#This Row],[Print Wth]]</f>
        <v>28</v>
      </c>
      <c r="Z990" s="881">
        <f>Table1[[#This Row],[Print Ht]]</f>
        <v>24</v>
      </c>
      <c r="AA990" s="892">
        <f>Table1[[#This Row],[Cut Width]]*Table1[[#This Row],[Cut Height]]/144</f>
        <v>4.666666666666667</v>
      </c>
      <c r="AB990" s="898">
        <f>(Table1[[#This Row],[Print Wth]]*Table1[[#This Row],[Print Ht]])/144*SWISSMLR</f>
        <v>9.3333333333333339</v>
      </c>
      <c r="AC990" s="863">
        <f>(Table1[[#This Row],[Cut Width]]*Table1[[#This Row],[Cut Height]])/144*Canvas</f>
        <v>3.0800000000000005</v>
      </c>
      <c r="AD990" s="867">
        <f>(Table1[[#This Row],[Print Wth]]*Table1[[#This Row],[Print Ht]])/144*Materials!$C$42</f>
        <v>1.4933333333333334</v>
      </c>
      <c r="AE990" s="863">
        <v>10</v>
      </c>
      <c r="AF990" s="102">
        <f>'Cali Frames'!D504</f>
        <v>83.25</v>
      </c>
      <c r="AG990" s="115"/>
      <c r="AH990" s="104">
        <v>0</v>
      </c>
      <c r="AI990" s="104"/>
      <c r="AJ990" s="406">
        <f t="shared" ref="AJ990:AJ996" si="349">SUM(AC990:AH990)</f>
        <v>97.823333333333338</v>
      </c>
      <c r="AK990" s="830">
        <f t="shared" si="346"/>
        <v>0.50090136054421763</v>
      </c>
      <c r="AL990" s="660">
        <f>Table1[[#This Row],[WSP/Dealer]]/Table1[[#This Row],[OD Sq Inch]]</f>
        <v>0.5490196078431373</v>
      </c>
      <c r="AM990" s="400">
        <f>Table1[[#This Row],[OD Wdth]]*Table1[[#This Row],[OD Hgt]]</f>
        <v>357</v>
      </c>
      <c r="AN990" s="400" t="str">
        <f>Table1[[#This Row],[Color]]</f>
        <v>WF</v>
      </c>
      <c r="AO990" s="115" t="str">
        <f>Table1[[#This Row],[Print Type]]</f>
        <v>Reductive+</v>
      </c>
      <c r="AP990" s="115"/>
      <c r="AQ990" s="121"/>
      <c r="AR990" s="121"/>
      <c r="AS990" s="121"/>
      <c r="AT990" s="104"/>
      <c r="AU990" s="1359" t="str">
        <f t="shared" si="341"/>
        <v>-</v>
      </c>
    </row>
    <row r="991" spans="1:47" s="144" customFormat="1" hidden="1" x14ac:dyDescent="0.2">
      <c r="A991" s="86" t="s">
        <v>669</v>
      </c>
      <c r="B991" s="279" t="s">
        <v>406</v>
      </c>
      <c r="C991" s="100" t="s">
        <v>2466</v>
      </c>
      <c r="D991" s="94" t="s">
        <v>2467</v>
      </c>
      <c r="E991" s="85" t="s">
        <v>2468</v>
      </c>
      <c r="F991" s="85" t="s">
        <v>144</v>
      </c>
      <c r="G991" s="86" t="s">
        <v>2469</v>
      </c>
      <c r="H991" s="86" t="s">
        <v>2470</v>
      </c>
      <c r="I991" s="86" t="s">
        <v>52</v>
      </c>
      <c r="J991" s="86" t="s">
        <v>280</v>
      </c>
      <c r="K991" s="86" t="s">
        <v>69</v>
      </c>
      <c r="L991" s="86" t="s">
        <v>70</v>
      </c>
      <c r="M991" s="87">
        <v>1265</v>
      </c>
      <c r="N991" s="71"/>
      <c r="O991" s="551" t="s">
        <v>56</v>
      </c>
      <c r="P991" s="101">
        <v>50</v>
      </c>
      <c r="Q991" s="101">
        <v>68</v>
      </c>
      <c r="R991" s="60">
        <v>50</v>
      </c>
      <c r="S991" s="273">
        <v>68</v>
      </c>
      <c r="T991" s="101">
        <v>51</v>
      </c>
      <c r="U991" s="101" t="str">
        <f>RIGHT(H991,2)</f>
        <v>69</v>
      </c>
      <c r="V991" s="608">
        <f t="shared" si="347"/>
        <v>50</v>
      </c>
      <c r="W991" s="608">
        <f t="shared" si="348"/>
        <v>68</v>
      </c>
      <c r="X991" s="137" t="s">
        <v>2471</v>
      </c>
      <c r="Y991" s="101"/>
      <c r="Z991" s="101"/>
      <c r="AA991" s="649">
        <f t="shared" ref="AA991:AA996" si="350">V991*W991/144</f>
        <v>23.611111111111111</v>
      </c>
      <c r="AB991" s="184">
        <f>AA991*IncaG</f>
        <v>496.77777777777777</v>
      </c>
      <c r="AC991" s="104">
        <f>PETG60</f>
        <v>58.32</v>
      </c>
      <c r="AD991" s="107">
        <f>AA991*IncaC</f>
        <v>39.742222222222225</v>
      </c>
      <c r="AE991" s="104">
        <f>IF(Table1[[#This Row],[Work Center]]="SwissQ",Materials!G$37,IF(Table1[[#This Row],[Work Center]]="Inca",Materials!G$29,IF(Table1[[#This Row],[Work Center]]="Canon",Materials!G$49,Materials!G$45)))</f>
        <v>8</v>
      </c>
      <c r="AF991" s="104">
        <f>'Cali Frames'!D340</f>
        <v>247.17</v>
      </c>
      <c r="AG991" s="115"/>
      <c r="AH991" s="498">
        <f t="shared" ref="AH991:AH1014" si="351">(M991*0.05)</f>
        <v>63.25</v>
      </c>
      <c r="AI991" s="498"/>
      <c r="AJ991" s="104">
        <f t="shared" si="349"/>
        <v>416.48222222222222</v>
      </c>
      <c r="AK991" s="650">
        <f t="shared" si="346"/>
        <v>0.67076504172156348</v>
      </c>
      <c r="AL991" s="225">
        <f>Table1[[#This Row],[WSP/Dealer]]/Table1[[#This Row],[OD Sq Inch]]</f>
        <v>0.35947712418300654</v>
      </c>
      <c r="AM991" s="218">
        <f>Table1[[#This Row],[OD Wdth]]*Table1[[#This Row],[OD Hgt]]</f>
        <v>3519</v>
      </c>
      <c r="AN991" s="216">
        <f>Table1[[#This Row],[Min VO]]+Table1[[#This Row],[Max VO]]</f>
        <v>118</v>
      </c>
      <c r="AO991" s="101"/>
      <c r="AP991" s="101"/>
      <c r="AQ991" s="104"/>
      <c r="AR991" s="104"/>
      <c r="AS991" s="104"/>
      <c r="AT991" s="104"/>
      <c r="AU991" s="830" t="str">
        <f t="shared" si="341"/>
        <v>-</v>
      </c>
    </row>
    <row r="992" spans="1:47" s="159" customFormat="1" x14ac:dyDescent="0.2">
      <c r="A992" s="86" t="s">
        <v>58</v>
      </c>
      <c r="B992" s="279" t="s">
        <v>406</v>
      </c>
      <c r="C992" s="76" t="s">
        <v>2472</v>
      </c>
      <c r="D992" s="94" t="s">
        <v>2473</v>
      </c>
      <c r="E992" s="85" t="s">
        <v>2468</v>
      </c>
      <c r="F992" s="85" t="s">
        <v>144</v>
      </c>
      <c r="G992" s="86" t="s">
        <v>2474</v>
      </c>
      <c r="H992" s="86" t="s">
        <v>2470</v>
      </c>
      <c r="I992" s="86" t="s">
        <v>52</v>
      </c>
      <c r="J992" s="86" t="s">
        <v>53</v>
      </c>
      <c r="K992" s="86" t="s">
        <v>69</v>
      </c>
      <c r="L992" s="86" t="s">
        <v>70</v>
      </c>
      <c r="M992" s="87">
        <v>580</v>
      </c>
      <c r="N992" s="639">
        <v>1300</v>
      </c>
      <c r="O992" s="551" t="s">
        <v>64</v>
      </c>
      <c r="P992" s="101">
        <v>51</v>
      </c>
      <c r="Q992" s="101">
        <v>68</v>
      </c>
      <c r="R992" s="60">
        <v>51</v>
      </c>
      <c r="S992" s="273">
        <v>68</v>
      </c>
      <c r="T992" s="101">
        <v>52</v>
      </c>
      <c r="U992" s="101">
        <v>69</v>
      </c>
      <c r="V992" s="106">
        <f t="shared" si="347"/>
        <v>59</v>
      </c>
      <c r="W992" s="106">
        <f t="shared" si="348"/>
        <v>76</v>
      </c>
      <c r="X992" s="137" t="s">
        <v>1040</v>
      </c>
      <c r="Y992" s="101"/>
      <c r="Z992" s="101"/>
      <c r="AA992" s="649">
        <f t="shared" si="350"/>
        <v>31.138888888888889</v>
      </c>
      <c r="AB992" s="125">
        <f>AA992*Swiss1</f>
        <v>881.23055555555561</v>
      </c>
      <c r="AC992" s="104">
        <f>AA992*Canvas</f>
        <v>20.551666666666669</v>
      </c>
      <c r="AD992" s="107">
        <f>Table1[[#This Row],[Substrate SF]]*Materials!C$37</f>
        <v>87.188888888888883</v>
      </c>
      <c r="AE992" s="104">
        <f>IF(Table1[[#This Row],[Work Center]]="SwissQ",Materials!G$37,IF(Table1[[#This Row],[Work Center]]="Inca",Materials!G$29,IF(Table1[[#This Row],[Work Center]]="Canon",Materials!G$49,Materials!G$45)))</f>
        <v>20</v>
      </c>
      <c r="AF992" s="104">
        <f>'Cali Frames'!D340</f>
        <v>247.17</v>
      </c>
      <c r="AG992" s="115"/>
      <c r="AH992" s="498">
        <f t="shared" si="351"/>
        <v>29</v>
      </c>
      <c r="AI992" s="498"/>
      <c r="AJ992" s="104">
        <f t="shared" si="349"/>
        <v>403.91055555555556</v>
      </c>
      <c r="AK992" s="650">
        <f t="shared" si="346"/>
        <v>0.30360249042145593</v>
      </c>
      <c r="AL992" s="225">
        <f>Table1[[#This Row],[WSP/Dealer]]/Table1[[#This Row],[OD Sq Inch]]</f>
        <v>0.1616499442586399</v>
      </c>
      <c r="AM992" s="103">
        <f>Table1[[#This Row],[OD Wdth]]*Table1[[#This Row],[OD Hgt]]</f>
        <v>3588</v>
      </c>
      <c r="AN992" s="216">
        <f>Table1[[#This Row],[Min VO]]+Table1[[#This Row],[Max VO]]</f>
        <v>119</v>
      </c>
      <c r="AO992" s="101"/>
      <c r="AP992" s="101"/>
      <c r="AQ992" s="104"/>
      <c r="AR992" s="104"/>
      <c r="AS992" s="104"/>
      <c r="AT992" s="104"/>
      <c r="AU992" s="830" t="str">
        <f t="shared" si="341"/>
        <v>-</v>
      </c>
    </row>
    <row r="993" spans="1:47" s="144" customFormat="1" x14ac:dyDescent="0.2">
      <c r="A993" s="60" t="s">
        <v>58</v>
      </c>
      <c r="B993" s="1194" t="s">
        <v>406</v>
      </c>
      <c r="C993" s="76" t="s">
        <v>2475</v>
      </c>
      <c r="D993" s="94" t="s">
        <v>2476</v>
      </c>
      <c r="E993" s="83" t="s">
        <v>2477</v>
      </c>
      <c r="F993" s="83" t="s">
        <v>144</v>
      </c>
      <c r="G993" s="60" t="s">
        <v>1200</v>
      </c>
      <c r="H993" s="60" t="s">
        <v>1202</v>
      </c>
      <c r="I993" s="60" t="s">
        <v>52</v>
      </c>
      <c r="J993" s="60" t="s">
        <v>53</v>
      </c>
      <c r="K993" s="60" t="s">
        <v>69</v>
      </c>
      <c r="L993" s="60" t="s">
        <v>70</v>
      </c>
      <c r="M993" s="124">
        <v>770</v>
      </c>
      <c r="N993" s="656">
        <v>1600</v>
      </c>
      <c r="O993" s="60" t="s">
        <v>64</v>
      </c>
      <c r="P993" s="60">
        <v>60</v>
      </c>
      <c r="Q993" s="60">
        <v>80</v>
      </c>
      <c r="R993" s="60">
        <v>60</v>
      </c>
      <c r="S993" s="273">
        <v>80</v>
      </c>
      <c r="T993" s="60">
        <v>61</v>
      </c>
      <c r="U993" s="60">
        <v>81</v>
      </c>
      <c r="V993" s="47">
        <f t="shared" si="347"/>
        <v>68</v>
      </c>
      <c r="W993" s="47">
        <f t="shared" si="348"/>
        <v>88</v>
      </c>
      <c r="X993" s="138" t="s">
        <v>2478</v>
      </c>
      <c r="Y993" s="60"/>
      <c r="Z993" s="60"/>
      <c r="AA993" s="717">
        <f t="shared" si="350"/>
        <v>41.555555555555557</v>
      </c>
      <c r="AB993" s="125">
        <f>AA993*Swiss1</f>
        <v>1176.0222222222224</v>
      </c>
      <c r="AC993" s="69">
        <f>AA993*Canvas</f>
        <v>27.426666666666669</v>
      </c>
      <c r="AD993" s="48">
        <f>Table1[[#This Row],[Substrate SF]]*Materials!C$37</f>
        <v>116.35555555555555</v>
      </c>
      <c r="AE993" s="69">
        <f>IF(Table1[[#This Row],[Work Center]]="SwissQ",Materials!G$37,IF(Table1[[#This Row],[Work Center]]="Inca",Materials!G$29,IF(Table1[[#This Row],[Work Center]]="Canon",Materials!G$49,Materials!G$45)))</f>
        <v>20</v>
      </c>
      <c r="AF993" s="69">
        <f>'Cali Frames'!D351</f>
        <v>334.74</v>
      </c>
      <c r="AG993" s="83"/>
      <c r="AH993" s="69">
        <f t="shared" si="351"/>
        <v>38.5</v>
      </c>
      <c r="AI993" s="69"/>
      <c r="AJ993" s="69">
        <f t="shared" si="349"/>
        <v>537.02222222222224</v>
      </c>
      <c r="AK993" s="650">
        <f t="shared" si="346"/>
        <v>0.30256854256854254</v>
      </c>
      <c r="AL993" s="225">
        <f>Table1[[#This Row],[WSP/Dealer]]/Table1[[#This Row],[OD Sq Inch]]</f>
        <v>0.15583889900829792</v>
      </c>
      <c r="AM993" s="46">
        <f>Table1[[#This Row],[OD Wdth]]*Table1[[#This Row],[OD Hgt]]</f>
        <v>4941</v>
      </c>
      <c r="AN993" s="216">
        <f>Table1[[#This Row],[Min VO]]+Table1[[#This Row],[Max VO]]</f>
        <v>140</v>
      </c>
      <c r="AO993" s="60"/>
      <c r="AP993" s="60"/>
      <c r="AQ993" s="69"/>
      <c r="AR993" s="69"/>
      <c r="AS993" s="69"/>
      <c r="AT993" s="69"/>
      <c r="AU993" s="650" t="str">
        <f t="shared" si="341"/>
        <v>-</v>
      </c>
    </row>
    <row r="994" spans="1:47" s="399" customFormat="1" x14ac:dyDescent="0.2">
      <c r="A994" s="68" t="s">
        <v>58</v>
      </c>
      <c r="B994" s="279" t="s">
        <v>1013</v>
      </c>
      <c r="C994" s="158" t="s">
        <v>2479</v>
      </c>
      <c r="D994" s="94" t="s">
        <v>2480</v>
      </c>
      <c r="E994" s="158" t="s">
        <v>2481</v>
      </c>
      <c r="F994" s="84" t="s">
        <v>144</v>
      </c>
      <c r="G994" s="363" t="s">
        <v>2482</v>
      </c>
      <c r="H994" s="363" t="s">
        <v>2483</v>
      </c>
      <c r="I994" s="363" t="s">
        <v>52</v>
      </c>
      <c r="J994" s="646" t="s">
        <v>53</v>
      </c>
      <c r="K994" s="363" t="s">
        <v>69</v>
      </c>
      <c r="L994" s="363" t="s">
        <v>70</v>
      </c>
      <c r="M994" s="93">
        <v>1600</v>
      </c>
      <c r="N994" s="93"/>
      <c r="O994" s="68" t="s">
        <v>64</v>
      </c>
      <c r="P994" s="68">
        <v>67</v>
      </c>
      <c r="Q994" s="68">
        <v>90</v>
      </c>
      <c r="R994" s="68">
        <v>67</v>
      </c>
      <c r="S994" s="623">
        <v>90</v>
      </c>
      <c r="T994" s="68">
        <v>68</v>
      </c>
      <c r="U994" s="68">
        <v>91</v>
      </c>
      <c r="V994" s="917">
        <f t="shared" si="347"/>
        <v>75</v>
      </c>
      <c r="W994" s="917">
        <f t="shared" si="348"/>
        <v>98</v>
      </c>
      <c r="X994" s="68">
        <v>122</v>
      </c>
      <c r="Y994" s="68">
        <v>75</v>
      </c>
      <c r="Z994" s="68">
        <v>98</v>
      </c>
      <c r="AA994" s="699">
        <f t="shared" si="350"/>
        <v>51.041666666666664</v>
      </c>
      <c r="AB994" s="297">
        <f>AA994*Swiss1</f>
        <v>1444.4791666666667</v>
      </c>
      <c r="AC994" s="74">
        <f>AA994*Canvas</f>
        <v>33.6875</v>
      </c>
      <c r="AD994" s="67">
        <f>Table1[[#This Row],[Substrate SF]]*Materials!C$37</f>
        <v>142.91666666666666</v>
      </c>
      <c r="AE994" s="74">
        <f>IF(Table1[[#This Row],[Work Center]]="SwissQ",Materials!G$37,IF(Table1[[#This Row],[Work Center]]="Inca",Materials!G$29,IF(Table1[[#This Row],[Work Center]]="Canon",Materials!G$49,Materials!G$45)))</f>
        <v>20</v>
      </c>
      <c r="AF994" s="73">
        <f>'Cali Frames'!D354</f>
        <v>375</v>
      </c>
      <c r="AG994" s="84"/>
      <c r="AH994" s="278">
        <f t="shared" si="351"/>
        <v>80</v>
      </c>
      <c r="AI994" s="278"/>
      <c r="AJ994" s="278">
        <f t="shared" si="349"/>
        <v>651.60416666666663</v>
      </c>
      <c r="AK994" s="1192">
        <f t="shared" si="346"/>
        <v>0.59274739583333336</v>
      </c>
      <c r="AL994" s="278">
        <f>Table1[[#This Row],[WSP/Dealer]]/Table1[[#This Row],[OD Sq Inch]]</f>
        <v>0.25856496444731741</v>
      </c>
      <c r="AM994" s="170">
        <f>Table1[[#This Row],[OD Wdth]]*Table1[[#This Row],[OD Hgt]]</f>
        <v>6188</v>
      </c>
      <c r="AN994" s="274">
        <f>Table1[[#This Row],[Min VO]]+Table1[[#This Row],[Max VO]]</f>
        <v>157</v>
      </c>
      <c r="AO994" s="84"/>
      <c r="AP994" s="84"/>
      <c r="AQ994" s="126"/>
      <c r="AR994" s="126"/>
      <c r="AS994" s="126"/>
      <c r="AT994" s="74"/>
      <c r="AU994" s="1357" t="str">
        <f t="shared" ref="AU994:AU1025" si="352">IF(AQ994=0,"-",(AQ994-AT994)/AQ994)</f>
        <v>-</v>
      </c>
    </row>
    <row r="995" spans="1:47" s="170" customFormat="1" x14ac:dyDescent="0.2">
      <c r="A995" s="145" t="s">
        <v>58</v>
      </c>
      <c r="B995" s="279" t="s">
        <v>533</v>
      </c>
      <c r="C995" s="146" t="s">
        <v>2484</v>
      </c>
      <c r="D995" s="94" t="s">
        <v>2485</v>
      </c>
      <c r="E995" s="146" t="s">
        <v>2486</v>
      </c>
      <c r="F995" s="147" t="s">
        <v>386</v>
      </c>
      <c r="G995" s="156" t="s">
        <v>1048</v>
      </c>
      <c r="H995" s="156" t="s">
        <v>1048</v>
      </c>
      <c r="I995" s="156" t="s">
        <v>52</v>
      </c>
      <c r="J995" s="156" t="s">
        <v>53</v>
      </c>
      <c r="K995" s="156" t="s">
        <v>54</v>
      </c>
      <c r="L995" s="156" t="s">
        <v>55</v>
      </c>
      <c r="M995" s="151">
        <v>950</v>
      </c>
      <c r="N995" s="639">
        <v>950</v>
      </c>
      <c r="O995" s="145" t="s">
        <v>56</v>
      </c>
      <c r="P995" s="145">
        <v>48</v>
      </c>
      <c r="Q995" s="145">
        <v>60</v>
      </c>
      <c r="R995" s="145">
        <v>48</v>
      </c>
      <c r="S995" s="145">
        <v>60</v>
      </c>
      <c r="T995" s="698">
        <f>Table1[[#This Row],[VO Wdth]]</f>
        <v>48</v>
      </c>
      <c r="U995" s="698">
        <f>Table1[[#This Row],[VO Hgt]]</f>
        <v>60</v>
      </c>
      <c r="V995" s="913">
        <f t="shared" si="347"/>
        <v>56</v>
      </c>
      <c r="W995" s="913">
        <f t="shared" si="348"/>
        <v>68</v>
      </c>
      <c r="X995" s="157">
        <v>69</v>
      </c>
      <c r="Y995" s="145"/>
      <c r="Z995" s="145"/>
      <c r="AA995" s="722">
        <f t="shared" si="350"/>
        <v>26.444444444444443</v>
      </c>
      <c r="AB995" s="389">
        <f>AA995*IncaG</f>
        <v>556.39111111111106</v>
      </c>
      <c r="AC995" s="143">
        <f>Table1[[#This Row],[Substrate SF]]*Paper</f>
        <v>35.779333333333334</v>
      </c>
      <c r="AD995" s="150">
        <f>AA995*IncaC</f>
        <v>44.511288888888885</v>
      </c>
      <c r="AE995" s="104">
        <f>IF(Table1[[#This Row],[Work Center]]="SwissQ",Materials!G$37,IF(Table1[[#This Row],[Work Center]]="Inca",Materials!G$29,IF(Table1[[#This Row],[Work Center]]="Canon",Materials!G$49,Materials!G$45)))</f>
        <v>8</v>
      </c>
      <c r="AF995" s="143">
        <f>'Cali FPS'!C$121</f>
        <v>188.18</v>
      </c>
      <c r="AG995" s="115"/>
      <c r="AH995" s="498">
        <f t="shared" si="351"/>
        <v>47.5</v>
      </c>
      <c r="AI995" s="498"/>
      <c r="AJ995" s="143">
        <f t="shared" si="349"/>
        <v>323.97062222222223</v>
      </c>
      <c r="AK995" s="650">
        <f t="shared" si="346"/>
        <v>0.65897829239766081</v>
      </c>
      <c r="AL995" s="225">
        <f>Table1[[#This Row],[WSP/Dealer]]/Table1[[#This Row],[OD Sq Inch]]</f>
        <v>0.3298611111111111</v>
      </c>
      <c r="AM995" s="97">
        <f>Table1[[#This Row],[OD Wdth]]*Table1[[#This Row],[OD Hgt]]</f>
        <v>2880</v>
      </c>
      <c r="AN995" s="216">
        <f>Table1[[#This Row],[Min VO]]+Table1[[#This Row],[Max VO]]</f>
        <v>108</v>
      </c>
      <c r="AO995" s="145"/>
      <c r="AP995" s="145"/>
      <c r="AQ995" s="143"/>
      <c r="AR995" s="143"/>
      <c r="AS995" s="143"/>
      <c r="AT995" s="143"/>
      <c r="AU995" s="1371" t="str">
        <f t="shared" si="352"/>
        <v>-</v>
      </c>
    </row>
    <row r="996" spans="1:47" s="170" customFormat="1" x14ac:dyDescent="0.2">
      <c r="A996" s="60" t="s">
        <v>58</v>
      </c>
      <c r="B996" s="279" t="s">
        <v>587</v>
      </c>
      <c r="C996" s="293" t="s">
        <v>2487</v>
      </c>
      <c r="D996" s="94"/>
      <c r="E996" s="76" t="s">
        <v>2488</v>
      </c>
      <c r="F996" s="76" t="s">
        <v>124</v>
      </c>
      <c r="G996" s="60" t="s">
        <v>637</v>
      </c>
      <c r="H996" s="60" t="s">
        <v>637</v>
      </c>
      <c r="I996" s="605" t="s">
        <v>52</v>
      </c>
      <c r="J996" s="605" t="s">
        <v>53</v>
      </c>
      <c r="K996" s="60" t="s">
        <v>54</v>
      </c>
      <c r="L996" s="181" t="s">
        <v>55</v>
      </c>
      <c r="M996" s="285">
        <v>975</v>
      </c>
      <c r="N996" s="639">
        <v>950</v>
      </c>
      <c r="O996" s="180" t="s">
        <v>56</v>
      </c>
      <c r="P996" s="180">
        <v>60</v>
      </c>
      <c r="Q996" s="180">
        <v>48</v>
      </c>
      <c r="R996" s="60">
        <v>48</v>
      </c>
      <c r="S996" s="60">
        <v>60</v>
      </c>
      <c r="T996" s="698">
        <f>Table1[[#This Row],[VO Wdth]]</f>
        <v>60</v>
      </c>
      <c r="U996" s="698">
        <f>Table1[[#This Row],[VO Hgt]]</f>
        <v>48</v>
      </c>
      <c r="V996" s="913">
        <f t="shared" si="347"/>
        <v>68</v>
      </c>
      <c r="W996" s="913">
        <f t="shared" si="348"/>
        <v>56</v>
      </c>
      <c r="X996" s="289">
        <v>69</v>
      </c>
      <c r="Y996" s="180"/>
      <c r="Z996" s="180"/>
      <c r="AA996" s="722">
        <f t="shared" si="350"/>
        <v>26.444444444444443</v>
      </c>
      <c r="AB996" s="125">
        <f>AA996*IncaG</f>
        <v>556.39111111111106</v>
      </c>
      <c r="AC996" s="69">
        <f>AA996*Canvas</f>
        <v>17.453333333333333</v>
      </c>
      <c r="AD996" s="48">
        <f>AA996*IncaC</f>
        <v>44.511288888888885</v>
      </c>
      <c r="AE996" s="104">
        <f>IF(Table1[[#This Row],[Work Center]]="SwissQ",Materials!G$37,IF(Table1[[#This Row],[Work Center]]="Inca",Materials!G$29,IF(Table1[[#This Row],[Work Center]]="Canon",Materials!G$49,Materials!G$45)))</f>
        <v>8</v>
      </c>
      <c r="AF996" s="296">
        <f>'Cali FPS'!C63</f>
        <v>105.78750000000001</v>
      </c>
      <c r="AG996" s="83"/>
      <c r="AH996" s="498">
        <f t="shared" si="351"/>
        <v>48.75</v>
      </c>
      <c r="AI996" s="498"/>
      <c r="AJ996" s="69">
        <f t="shared" si="349"/>
        <v>224.50212222222223</v>
      </c>
      <c r="AK996" s="650">
        <f t="shared" si="346"/>
        <v>0.76974141310541311</v>
      </c>
      <c r="AL996" s="225">
        <f>Table1[[#This Row],[WSP/Dealer]]/Table1[[#This Row],[OD Sq Inch]]</f>
        <v>0.33854166666666669</v>
      </c>
      <c r="AM996" s="218">
        <f>Table1[[#This Row],[OD Wdth]]*Table1[[#This Row],[OD Hgt]]</f>
        <v>2880</v>
      </c>
      <c r="AN996" s="216">
        <f>Table1[[#This Row],[Min VO]]+Table1[[#This Row],[Max VO]]</f>
        <v>108</v>
      </c>
      <c r="AO996" s="284"/>
      <c r="AP996" s="284"/>
      <c r="AQ996" s="296"/>
      <c r="AR996" s="296"/>
      <c r="AS996" s="296"/>
      <c r="AT996" s="176"/>
      <c r="AU996" s="1358" t="str">
        <f t="shared" si="352"/>
        <v>-</v>
      </c>
    </row>
    <row r="997" spans="1:47" s="103" customFormat="1" hidden="1" x14ac:dyDescent="0.2">
      <c r="A997" s="101"/>
      <c r="B997" s="279"/>
      <c r="C997" s="77" t="s">
        <v>2489</v>
      </c>
      <c r="D997" s="94"/>
      <c r="E997" s="115" t="s">
        <v>2490</v>
      </c>
      <c r="F997" s="115" t="s">
        <v>2491</v>
      </c>
      <c r="G997" s="101" t="s">
        <v>2492</v>
      </c>
      <c r="H997" s="101"/>
      <c r="I997" s="60" t="s">
        <v>304</v>
      </c>
      <c r="J997" s="59" t="s">
        <v>257</v>
      </c>
      <c r="K997" s="101" t="s">
        <v>258</v>
      </c>
      <c r="L997" s="101" t="s">
        <v>259</v>
      </c>
      <c r="M997" s="299" t="s">
        <v>2493</v>
      </c>
      <c r="N997" s="71"/>
      <c r="O997" s="101" t="s">
        <v>260</v>
      </c>
      <c r="P997" s="60"/>
      <c r="Q997" s="60"/>
      <c r="R997" s="60"/>
      <c r="S997" s="60"/>
      <c r="T997" s="101"/>
      <c r="U997" s="101"/>
      <c r="V997" s="101"/>
      <c r="W997" s="101"/>
      <c r="X997" s="137"/>
      <c r="Y997" s="101"/>
      <c r="Z997" s="101"/>
      <c r="AA997" s="649"/>
      <c r="AB997" s="184"/>
      <c r="AC997" s="104"/>
      <c r="AD997" s="120"/>
      <c r="AE997" s="121"/>
      <c r="AF997" s="102"/>
      <c r="AG997" s="121"/>
      <c r="AH997" s="498" t="e">
        <f t="shared" si="351"/>
        <v>#VALUE!</v>
      </c>
      <c r="AI997" s="498"/>
      <c r="AJ997" s="121"/>
      <c r="AK997" s="650" t="e">
        <f t="shared" si="346"/>
        <v>#VALUE!</v>
      </c>
      <c r="AL997" s="225" t="e">
        <f>Table1[[#This Row],[WSP/Dealer]]/Table1[[#This Row],[OD Sq Inch]]</f>
        <v>#VALUE!</v>
      </c>
      <c r="AM997" s="115"/>
      <c r="AN997" s="216">
        <f>Table1[[#This Row],[Min VO]]+Table1[[#This Row],[Max VO]]</f>
        <v>0</v>
      </c>
      <c r="AO997" s="115"/>
      <c r="AP997" s="115"/>
      <c r="AQ997" s="121"/>
      <c r="AR997" s="121"/>
      <c r="AS997" s="121"/>
      <c r="AT997" s="104"/>
      <c r="AU997" s="1359" t="str">
        <f t="shared" si="352"/>
        <v>-</v>
      </c>
    </row>
    <row r="998" spans="1:47" s="63" customFormat="1" hidden="1" x14ac:dyDescent="0.2">
      <c r="A998" s="101"/>
      <c r="B998" s="279"/>
      <c r="C998" s="77" t="s">
        <v>2494</v>
      </c>
      <c r="D998" s="94" t="s">
        <v>128</v>
      </c>
      <c r="E998" s="115" t="s">
        <v>2490</v>
      </c>
      <c r="F998" s="115" t="s">
        <v>2491</v>
      </c>
      <c r="G998" s="101" t="s">
        <v>2492</v>
      </c>
      <c r="H998" s="101"/>
      <c r="I998" s="60" t="s">
        <v>304</v>
      </c>
      <c r="J998" s="59" t="s">
        <v>257</v>
      </c>
      <c r="K998" s="101" t="s">
        <v>258</v>
      </c>
      <c r="L998" s="101" t="s">
        <v>269</v>
      </c>
      <c r="M998" s="299" t="s">
        <v>2493</v>
      </c>
      <c r="N998" s="71"/>
      <c r="O998" s="101" t="s">
        <v>260</v>
      </c>
      <c r="P998" s="60"/>
      <c r="Q998" s="60"/>
      <c r="R998" s="60"/>
      <c r="S998" s="60"/>
      <c r="T998" s="101"/>
      <c r="U998" s="101"/>
      <c r="V998" s="101"/>
      <c r="W998" s="101"/>
      <c r="X998" s="137"/>
      <c r="Y998" s="101"/>
      <c r="Z998" s="101"/>
      <c r="AA998" s="649"/>
      <c r="AB998" s="184"/>
      <c r="AC998" s="104"/>
      <c r="AD998" s="120"/>
      <c r="AE998" s="121"/>
      <c r="AF998" s="102"/>
      <c r="AG998" s="121"/>
      <c r="AH998" s="498" t="e">
        <f t="shared" si="351"/>
        <v>#VALUE!</v>
      </c>
      <c r="AI998" s="498"/>
      <c r="AJ998" s="121"/>
      <c r="AK998" s="650" t="e">
        <f t="shared" si="346"/>
        <v>#VALUE!</v>
      </c>
      <c r="AL998" s="225" t="e">
        <f>Table1[[#This Row],[WSP/Dealer]]/Table1[[#This Row],[OD Sq Inch]]</f>
        <v>#VALUE!</v>
      </c>
      <c r="AM998" s="115"/>
      <c r="AN998" s="216">
        <f>Table1[[#This Row],[Min VO]]+Table1[[#This Row],[Max VO]]</f>
        <v>0</v>
      </c>
      <c r="AO998" s="115"/>
      <c r="AP998" s="115"/>
      <c r="AQ998" s="121"/>
      <c r="AR998" s="121"/>
      <c r="AS998" s="121"/>
      <c r="AT998" s="104"/>
      <c r="AU998" s="1359" t="str">
        <f t="shared" si="352"/>
        <v>-</v>
      </c>
    </row>
    <row r="999" spans="1:47" s="218" customFormat="1" hidden="1" x14ac:dyDescent="0.2">
      <c r="A999" s="180" t="s">
        <v>95</v>
      </c>
      <c r="B999" s="279" t="s">
        <v>96</v>
      </c>
      <c r="C999" s="79" t="s">
        <v>2495</v>
      </c>
      <c r="D999" s="94"/>
      <c r="E999" s="99" t="s">
        <v>2496</v>
      </c>
      <c r="F999" s="83" t="s">
        <v>448</v>
      </c>
      <c r="G999" s="605" t="s">
        <v>51</v>
      </c>
      <c r="H999" s="605" t="s">
        <v>364</v>
      </c>
      <c r="I999" s="605" t="s">
        <v>52</v>
      </c>
      <c r="J999" s="435" t="s">
        <v>53</v>
      </c>
      <c r="K999" s="605" t="s">
        <v>69</v>
      </c>
      <c r="L999" s="605" t="s">
        <v>73</v>
      </c>
      <c r="M999" s="179">
        <v>650</v>
      </c>
      <c r="N999" s="72"/>
      <c r="O999" s="60" t="s">
        <v>64</v>
      </c>
      <c r="P999" s="60">
        <v>30</v>
      </c>
      <c r="Q999" s="60">
        <v>40</v>
      </c>
      <c r="R999" s="60">
        <v>30</v>
      </c>
      <c r="S999" s="60">
        <v>40</v>
      </c>
      <c r="T999" s="273">
        <v>31</v>
      </c>
      <c r="U999" s="273">
        <v>41</v>
      </c>
      <c r="V999" s="946">
        <f>IF(J999="Canvas",P999+Border,P999)</f>
        <v>38</v>
      </c>
      <c r="W999" s="946">
        <f>IF(J999="Canvas",Q999+Border,Q999)</f>
        <v>48</v>
      </c>
      <c r="X999" s="138">
        <v>40</v>
      </c>
      <c r="Y999" s="60">
        <v>38</v>
      </c>
      <c r="Z999" s="60">
        <v>48</v>
      </c>
      <c r="AA999" s="717">
        <f t="shared" ref="AA999:AA1004" si="353">V999*W999/144</f>
        <v>12.666666666666666</v>
      </c>
      <c r="AB999" s="125">
        <f>AA999*Swiss1</f>
        <v>358.46666666666664</v>
      </c>
      <c r="AC999" s="69">
        <f t="shared" ref="AC999:AC1004" si="354">AA999*Canvas</f>
        <v>8.36</v>
      </c>
      <c r="AD999" s="48">
        <f>Table1[[#This Row],[Substrate SF]]*Materials!C$37</f>
        <v>35.466666666666661</v>
      </c>
      <c r="AE999" s="69">
        <f>IF(Table1[[#This Row],[Work Center]]="SwissQ",Materials!G$37,IF(Table1[[#This Row],[Work Center]]="Inca",Materials!G$29,IF(Table1[[#This Row],[Work Center]]="Canon",Materials!G$49,Materials!G$45)))</f>
        <v>20</v>
      </c>
      <c r="AF999" s="72">
        <f>'Cali Frames'!D430</f>
        <v>108.955</v>
      </c>
      <c r="AG999" s="83"/>
      <c r="AH999" s="48">
        <f t="shared" si="351"/>
        <v>32.5</v>
      </c>
      <c r="AI999" s="48"/>
      <c r="AJ999" s="69">
        <f>SUM(AC999:AH999)</f>
        <v>205.28166666666667</v>
      </c>
      <c r="AK999" s="62">
        <f t="shared" si="346"/>
        <v>0.68418205128205134</v>
      </c>
      <c r="AL999" s="225">
        <f>Table1[[#This Row],[WSP/Dealer]]/Table1[[#This Row],[OD Sq Inch]]</f>
        <v>0.51140833988985046</v>
      </c>
      <c r="AM999" s="218">
        <f>Table1[[#This Row],[OD Wdth]]*Table1[[#This Row],[OD Hgt]]</f>
        <v>1271</v>
      </c>
      <c r="AN999" s="216">
        <f>Table1[[#This Row],[Min VO]]+Table1[[#This Row],[Max VO]]</f>
        <v>70</v>
      </c>
      <c r="AO999" s="83"/>
      <c r="AP999" s="83"/>
      <c r="AQ999" s="540"/>
      <c r="AR999" s="540"/>
      <c r="AS999" s="540"/>
      <c r="AT999" s="69"/>
      <c r="AU999" s="1361" t="str">
        <f t="shared" si="352"/>
        <v>-</v>
      </c>
    </row>
    <row r="1000" spans="1:47" s="103" customFormat="1" hidden="1" x14ac:dyDescent="0.2">
      <c r="A1000" s="216" t="s">
        <v>272</v>
      </c>
      <c r="B1000" s="279" t="s">
        <v>273</v>
      </c>
      <c r="C1000" s="232" t="s">
        <v>2497</v>
      </c>
      <c r="D1000" s="94" t="s">
        <v>128</v>
      </c>
      <c r="E1000" s="217" t="s">
        <v>2498</v>
      </c>
      <c r="F1000" s="217" t="s">
        <v>634</v>
      </c>
      <c r="G1000" s="216" t="s">
        <v>500</v>
      </c>
      <c r="H1000" s="216" t="s">
        <v>500</v>
      </c>
      <c r="I1000" s="216" t="s">
        <v>52</v>
      </c>
      <c r="J1000" s="216" t="s">
        <v>53</v>
      </c>
      <c r="K1000" s="216" t="s">
        <v>54</v>
      </c>
      <c r="L1000" s="216" t="s">
        <v>55</v>
      </c>
      <c r="M1000" s="219"/>
      <c r="N1000" s="219"/>
      <c r="O1000" s="216" t="s">
        <v>56</v>
      </c>
      <c r="P1000" s="216">
        <v>16</v>
      </c>
      <c r="Q1000" s="216">
        <v>20</v>
      </c>
      <c r="R1000" s="216">
        <v>16</v>
      </c>
      <c r="S1000" s="626">
        <v>20</v>
      </c>
      <c r="T1000" s="216">
        <f>P1000</f>
        <v>16</v>
      </c>
      <c r="U1000" s="216">
        <f>Q1000</f>
        <v>20</v>
      </c>
      <c r="V1000" s="907">
        <f>IF(J1000="Canvas",P1000+BorderGW,P1000)</f>
        <v>24</v>
      </c>
      <c r="W1000" s="907">
        <f>IF(J1000="Canvas",Q1000+BorderGW,Q1000)</f>
        <v>28</v>
      </c>
      <c r="X1000" s="223" t="s">
        <v>286</v>
      </c>
      <c r="Y1000" s="216">
        <v>28</v>
      </c>
      <c r="Z1000" s="216">
        <v>96</v>
      </c>
      <c r="AA1000" s="718">
        <f t="shared" si="353"/>
        <v>4.666666666666667</v>
      </c>
      <c r="AB1000" s="233">
        <f>AA1000*IncaG</f>
        <v>98.186666666666667</v>
      </c>
      <c r="AC1000" s="225">
        <f t="shared" si="354"/>
        <v>3.0800000000000005</v>
      </c>
      <c r="AD1000" s="206">
        <f>Table1[[#This Row],[Ink g/mL]]*Materials!$C$29</f>
        <v>7.8549333333333333</v>
      </c>
      <c r="AE1000" s="104">
        <f>IF(Table1[[#This Row],[Work Center]]="SwissQ",Materials!G$37,IF(Table1[[#This Row],[Work Center]]="Inca",Materials!G$29,IF(Table1[[#This Row],[Work Center]]="Canon",Materials!G$49,Materials!G$45)))</f>
        <v>8</v>
      </c>
      <c r="AF1000" s="225"/>
      <c r="AG1000" s="115"/>
      <c r="AH1000" s="498">
        <f t="shared" si="351"/>
        <v>0</v>
      </c>
      <c r="AI1000" s="498"/>
      <c r="AJ1000" s="225">
        <f>SUM(AC1000:AH1000)</f>
        <v>18.934933333333333</v>
      </c>
      <c r="AK1000" s="650" t="e">
        <f t="shared" si="346"/>
        <v>#DIV/0!</v>
      </c>
      <c r="AL1000" s="225">
        <f>Table1[[#This Row],[WSP/Dealer]]/Table1[[#This Row],[OD Sq Inch]]</f>
        <v>0</v>
      </c>
      <c r="AM1000" s="218">
        <f>Table1[[#This Row],[OD Wdth]]*Table1[[#This Row],[OD Hgt]]</f>
        <v>320</v>
      </c>
      <c r="AN1000" s="216">
        <f>Table1[[#This Row],[Min VO]]+Table1[[#This Row],[Max VO]]</f>
        <v>36</v>
      </c>
      <c r="AO1000" s="216" t="s">
        <v>277</v>
      </c>
      <c r="AP1000" s="226"/>
      <c r="AQ1000" s="226"/>
      <c r="AR1000" s="226"/>
      <c r="AS1000" s="226"/>
      <c r="AT1000" s="226"/>
      <c r="AU1000" s="1363" t="str">
        <f t="shared" si="352"/>
        <v>-</v>
      </c>
    </row>
    <row r="1001" spans="1:47" s="173" customFormat="1" hidden="1" x14ac:dyDescent="0.2">
      <c r="A1001" s="274" t="s">
        <v>187</v>
      </c>
      <c r="B1001" s="274"/>
      <c r="C1001" s="963"/>
      <c r="D1001" s="94"/>
      <c r="E1001" s="275" t="s">
        <v>2499</v>
      </c>
      <c r="F1001" s="275" t="s">
        <v>634</v>
      </c>
      <c r="G1001" s="274" t="s">
        <v>500</v>
      </c>
      <c r="H1001" s="274" t="s">
        <v>688</v>
      </c>
      <c r="I1001" s="274"/>
      <c r="J1001" s="274" t="s">
        <v>53</v>
      </c>
      <c r="K1001" s="274" t="s">
        <v>69</v>
      </c>
      <c r="L1001" s="274" t="s">
        <v>70</v>
      </c>
      <c r="M1001" s="178"/>
      <c r="N1001" s="71"/>
      <c r="O1001" s="274" t="s">
        <v>56</v>
      </c>
      <c r="P1001" s="274">
        <v>16</v>
      </c>
      <c r="Q1001" s="274">
        <v>20</v>
      </c>
      <c r="R1001" s="274">
        <v>16</v>
      </c>
      <c r="S1001" s="783">
        <v>20</v>
      </c>
      <c r="T1001" s="274">
        <v>17</v>
      </c>
      <c r="U1001" s="274">
        <v>21</v>
      </c>
      <c r="V1001" s="686">
        <f>IF(J1001="Canvas",P1001+BorderGW,P1001)</f>
        <v>24</v>
      </c>
      <c r="W1001" s="686">
        <f>IF(J1001="Canvas",Q1001+BorderGW,Q1001)</f>
        <v>28</v>
      </c>
      <c r="X1001" s="343" t="s">
        <v>286</v>
      </c>
      <c r="Y1001" s="274">
        <v>28</v>
      </c>
      <c r="Z1001" s="274">
        <v>96</v>
      </c>
      <c r="AA1001" s="727">
        <f t="shared" si="353"/>
        <v>4.666666666666667</v>
      </c>
      <c r="AB1001" s="372">
        <f>AA1001*IncaG</f>
        <v>98.186666666666667</v>
      </c>
      <c r="AC1001" s="278">
        <f t="shared" si="354"/>
        <v>3.0800000000000005</v>
      </c>
      <c r="AD1001" s="67">
        <f>AA1001*IncaC</f>
        <v>7.8549333333333342</v>
      </c>
      <c r="AE1001" s="278">
        <f>IF(Table1[[#This Row],[Work Center]]="SwissQ",Materials!G$37,IF(Table1[[#This Row],[Work Center]]="Inca",Materials!G$29,IF(Table1[[#This Row],[Work Center]]="Canon",Materials!G$49,Materials!G$45)))</f>
        <v>8</v>
      </c>
      <c r="AF1001" s="321"/>
      <c r="AG1001" s="278"/>
      <c r="AH1001" s="498">
        <f t="shared" si="351"/>
        <v>0</v>
      </c>
      <c r="AI1001" s="498"/>
      <c r="AJ1001" s="278">
        <f>SUM(AC1001:AH1001)</f>
        <v>18.934933333333333</v>
      </c>
      <c r="AK1001" s="650" t="e">
        <f t="shared" si="346"/>
        <v>#DIV/0!</v>
      </c>
      <c r="AL1001" s="225">
        <f>Table1[[#This Row],[WSP/Dealer]]/Table1[[#This Row],[OD Sq Inch]]</f>
        <v>0</v>
      </c>
      <c r="AM1001" s="170">
        <f>Table1[[#This Row],[OD Wdth]]*Table1[[#This Row],[OD Hgt]]</f>
        <v>357</v>
      </c>
      <c r="AN1001" s="274">
        <f>Table1[[#This Row],[Min VO]]+Table1[[#This Row],[Max VO]]</f>
        <v>36</v>
      </c>
      <c r="AO1001" s="274" t="s">
        <v>277</v>
      </c>
      <c r="AP1001" s="321"/>
      <c r="AQ1001" s="321"/>
      <c r="AR1001" s="321"/>
      <c r="AS1001" s="321"/>
      <c r="AT1001" s="321"/>
      <c r="AU1001" s="1192" t="str">
        <f t="shared" si="352"/>
        <v>-</v>
      </c>
    </row>
    <row r="1002" spans="1:47" s="399" customFormat="1" hidden="1" x14ac:dyDescent="0.2">
      <c r="A1002" s="101" t="s">
        <v>110</v>
      </c>
      <c r="B1002" s="1322" t="s">
        <v>250</v>
      </c>
      <c r="C1002" s="1392" t="s">
        <v>2500</v>
      </c>
      <c r="D1002" s="168"/>
      <c r="E1002" s="115" t="s">
        <v>2501</v>
      </c>
      <c r="F1002" s="115" t="s">
        <v>634</v>
      </c>
      <c r="G1002" s="101" t="s">
        <v>500</v>
      </c>
      <c r="H1002" s="101" t="s">
        <v>688</v>
      </c>
      <c r="I1002" s="101" t="s">
        <v>52</v>
      </c>
      <c r="J1002" s="101" t="s">
        <v>53</v>
      </c>
      <c r="K1002" s="101" t="s">
        <v>69</v>
      </c>
      <c r="L1002" s="101" t="s">
        <v>70</v>
      </c>
      <c r="M1002" s="114">
        <v>350</v>
      </c>
      <c r="N1002" s="114"/>
      <c r="O1002" s="101" t="s">
        <v>64</v>
      </c>
      <c r="P1002" s="101">
        <v>16</v>
      </c>
      <c r="Q1002" s="101">
        <v>20</v>
      </c>
      <c r="R1002" s="101">
        <v>16</v>
      </c>
      <c r="S1002" s="697">
        <v>20</v>
      </c>
      <c r="T1002" s="101">
        <v>17</v>
      </c>
      <c r="U1002" s="101">
        <v>21</v>
      </c>
      <c r="V1002" s="489">
        <f>IF(J1002="Canvas",P1002+BorderGW,P1002)</f>
        <v>24</v>
      </c>
      <c r="W1002" s="489">
        <f>IF(J1002="Canvas",Q1002+BorderGW,Q1002)</f>
        <v>28</v>
      </c>
      <c r="X1002" s="101">
        <v>40</v>
      </c>
      <c r="Y1002" s="101">
        <v>24</v>
      </c>
      <c r="Z1002" s="101">
        <v>28</v>
      </c>
      <c r="AA1002" s="649">
        <f t="shared" si="353"/>
        <v>4.666666666666667</v>
      </c>
      <c r="AB1002" s="184">
        <f>AA1002*Swiss1</f>
        <v>132.06666666666669</v>
      </c>
      <c r="AC1002" s="104">
        <f t="shared" si="354"/>
        <v>3.0800000000000005</v>
      </c>
      <c r="AD1002" s="107">
        <f>Table1[[#This Row],[Substrate SF]]*Materials!C$37</f>
        <v>13.066666666666666</v>
      </c>
      <c r="AE1002" s="104">
        <f>IF(Table1[[#This Row],[Work Center]]="SwissQ",Materials!G$37,IF(Table1[[#This Row],[Work Center]]="Inca",Materials!G$29,IF(Table1[[#This Row],[Work Center]]="Canon",Materials!G$49,Materials!G$45)))</f>
        <v>20</v>
      </c>
      <c r="AF1002" s="102">
        <f>'Cali Frames'!D267</f>
        <v>82.757499999999993</v>
      </c>
      <c r="AG1002" s="115"/>
      <c r="AH1002" s="104">
        <f t="shared" si="351"/>
        <v>17.5</v>
      </c>
      <c r="AI1002" s="406">
        <f>IF(A1002="Codarus",(M1002*0.13))</f>
        <v>45.5</v>
      </c>
      <c r="AJ1002" s="104">
        <f>SUM(AC1002:AI1002)</f>
        <v>181.90416666666667</v>
      </c>
      <c r="AK1002" s="830">
        <f t="shared" si="346"/>
        <v>0.48027380952380949</v>
      </c>
      <c r="AL1002" s="104">
        <f>Table1[[#This Row],[WSP/Dealer]]/Table1[[#This Row],[OD Sq Inch]]</f>
        <v>0.98039215686274506</v>
      </c>
      <c r="AM1002" s="103">
        <f>Table1[[#This Row],[OD Wdth]]*Table1[[#This Row],[OD Hgt]]</f>
        <v>357</v>
      </c>
      <c r="AN1002" s="101">
        <f>Table1[[#This Row],[Min VO]]+Table1[[#This Row],[Max VO]]</f>
        <v>36</v>
      </c>
      <c r="AO1002" s="115"/>
      <c r="AP1002" s="121">
        <v>700</v>
      </c>
      <c r="AQ1002" s="104">
        <f>(Table1[[#This Row],[Desgnr/Retail P]]*0.05)</f>
        <v>35</v>
      </c>
      <c r="AR1002" s="121">
        <f>IF(A1002="Codarus",(AP1002*0.13))</f>
        <v>91</v>
      </c>
      <c r="AS1002" s="121">
        <f>SUM(Table1[[#This Row],[Substrate $]:[GP FINISH]])+Table1[[#This Row],[Retail Royalty]]+Table1[[#This Row],[Retail$Comm]]</f>
        <v>244.90416666666667</v>
      </c>
      <c r="AT1002" s="830">
        <f>IF(AP1002=0,"-",(AP1002-AS1002)/AP1002)</f>
        <v>0.65013690476190467</v>
      </c>
      <c r="AU1002" s="1359">
        <f t="shared" si="352"/>
        <v>0.98142465986394545</v>
      </c>
    </row>
    <row r="1003" spans="1:47" s="170" customFormat="1" hidden="1" x14ac:dyDescent="0.2">
      <c r="A1003" s="60" t="s">
        <v>2502</v>
      </c>
      <c r="B1003" s="279" t="s">
        <v>2503</v>
      </c>
      <c r="C1003" s="1051" t="s">
        <v>2504</v>
      </c>
      <c r="D1003" s="94"/>
      <c r="E1003" s="83" t="s">
        <v>2501</v>
      </c>
      <c r="F1003" s="83" t="s">
        <v>634</v>
      </c>
      <c r="G1003" s="60" t="s">
        <v>500</v>
      </c>
      <c r="H1003" s="60" t="s">
        <v>500</v>
      </c>
      <c r="I1003" s="60" t="s">
        <v>52</v>
      </c>
      <c r="J1003" s="60" t="s">
        <v>53</v>
      </c>
      <c r="K1003" s="60" t="s">
        <v>54</v>
      </c>
      <c r="L1003" s="60" t="s">
        <v>55</v>
      </c>
      <c r="M1003" s="124">
        <v>300</v>
      </c>
      <c r="N1003" s="124"/>
      <c r="O1003" s="60" t="s">
        <v>64</v>
      </c>
      <c r="P1003" s="60">
        <v>16</v>
      </c>
      <c r="Q1003" s="60">
        <v>20</v>
      </c>
      <c r="R1003" s="60">
        <v>16</v>
      </c>
      <c r="S1003" s="273">
        <v>20</v>
      </c>
      <c r="T1003" s="60">
        <f>P1003</f>
        <v>16</v>
      </c>
      <c r="U1003" s="60">
        <f>Q1003</f>
        <v>20</v>
      </c>
      <c r="V1003" s="47">
        <f>IF(J1003="Canvas",P1003+BorderGW,P1003)</f>
        <v>24</v>
      </c>
      <c r="W1003" s="47">
        <f>IF(J1003="Canvas",Q1003+BorderGW,Q1003)</f>
        <v>28</v>
      </c>
      <c r="X1003" s="138" t="s">
        <v>286</v>
      </c>
      <c r="Y1003" s="60">
        <v>28</v>
      </c>
      <c r="Z1003" s="60">
        <v>96</v>
      </c>
      <c r="AA1003" s="717">
        <f t="shared" si="353"/>
        <v>4.666666666666667</v>
      </c>
      <c r="AB1003" s="125">
        <f>AA1003*Swiss1</f>
        <v>132.06666666666669</v>
      </c>
      <c r="AC1003" s="69">
        <f t="shared" si="354"/>
        <v>3.0800000000000005</v>
      </c>
      <c r="AD1003" s="48">
        <f>Table1[[#This Row],[Substrate SF]]*Materials!C$37</f>
        <v>13.066666666666666</v>
      </c>
      <c r="AE1003" s="69">
        <f>IF(Table1[[#This Row],[Work Center]]="SwissQ",Materials!G$37,IF(Table1[[#This Row],[Work Center]]="Inca",Materials!G$29,IF(Table1[[#This Row],[Work Center]]="Canon",Materials!G$49,Materials!G$45)))</f>
        <v>20</v>
      </c>
      <c r="AF1003" s="72">
        <f>'Cali FPS'!C18</f>
        <v>61.15</v>
      </c>
      <c r="AG1003" s="83"/>
      <c r="AH1003" s="69">
        <f t="shared" si="351"/>
        <v>15</v>
      </c>
      <c r="AI1003" s="69"/>
      <c r="AJ1003" s="69">
        <f t="shared" ref="AJ1003:AJ1018" si="355">SUM(AC1003:AH1003)</f>
        <v>112.29666666666667</v>
      </c>
      <c r="AK1003" s="650">
        <f t="shared" si="346"/>
        <v>0.62567777777777778</v>
      </c>
      <c r="AL1003" s="69">
        <f>Table1[[#This Row],[WSP/Dealer]]/Table1[[#This Row],[OD Sq Inch]]</f>
        <v>0.9375</v>
      </c>
      <c r="AM1003" s="46">
        <f>Table1[[#This Row],[OD Wdth]]*Table1[[#This Row],[OD Hgt]]</f>
        <v>320</v>
      </c>
      <c r="AN1003" s="60">
        <f>Table1[[#This Row],[Min VO]]+Table1[[#This Row],[Max VO]]</f>
        <v>36</v>
      </c>
      <c r="AO1003" s="83"/>
      <c r="AP1003" s="821"/>
      <c r="AQ1003" s="821"/>
      <c r="AR1003" s="821"/>
      <c r="AS1003" s="821"/>
      <c r="AT1003" s="72"/>
      <c r="AU1003" s="1361" t="str">
        <f t="shared" si="352"/>
        <v>-</v>
      </c>
    </row>
    <row r="1004" spans="1:47" s="63" customFormat="1" hidden="1" x14ac:dyDescent="0.2">
      <c r="A1004" s="216" t="s">
        <v>272</v>
      </c>
      <c r="B1004" s="279" t="s">
        <v>273</v>
      </c>
      <c r="C1004" s="243" t="s">
        <v>2505</v>
      </c>
      <c r="D1004" s="94"/>
      <c r="E1004" s="217" t="s">
        <v>2506</v>
      </c>
      <c r="F1004" s="217" t="s">
        <v>634</v>
      </c>
      <c r="G1004" s="216" t="s">
        <v>500</v>
      </c>
      <c r="H1004" s="216" t="s">
        <v>500</v>
      </c>
      <c r="I1004" s="216" t="s">
        <v>698</v>
      </c>
      <c r="J1004" s="216" t="s">
        <v>53</v>
      </c>
      <c r="K1004" s="216" t="s">
        <v>54</v>
      </c>
      <c r="L1004" s="216" t="s">
        <v>55</v>
      </c>
      <c r="M1004" s="219">
        <v>125</v>
      </c>
      <c r="N1004" s="219"/>
      <c r="O1004" s="216" t="s">
        <v>56</v>
      </c>
      <c r="P1004" s="216">
        <v>16</v>
      </c>
      <c r="Q1004" s="216">
        <v>20</v>
      </c>
      <c r="R1004" s="216">
        <v>16</v>
      </c>
      <c r="S1004" s="626">
        <v>20</v>
      </c>
      <c r="T1004" s="216">
        <f>P1004</f>
        <v>16</v>
      </c>
      <c r="U1004" s="216">
        <f>Q1004</f>
        <v>20</v>
      </c>
      <c r="V1004" s="907">
        <f>IF(J1004="Canvas",P1004+BorderGW,P1004)</f>
        <v>24</v>
      </c>
      <c r="W1004" s="907">
        <f>IF(J1004="Canvas",Q1004+BorderGW,Q1004)</f>
        <v>28</v>
      </c>
      <c r="X1004" s="223" t="s">
        <v>286</v>
      </c>
      <c r="Y1004" s="216">
        <v>28</v>
      </c>
      <c r="Z1004" s="216">
        <v>96</v>
      </c>
      <c r="AA1004" s="718">
        <f t="shared" si="353"/>
        <v>4.666666666666667</v>
      </c>
      <c r="AB1004" s="633">
        <f>AA1004*IncaG</f>
        <v>98.186666666666667</v>
      </c>
      <c r="AC1004" s="225">
        <f t="shared" si="354"/>
        <v>3.0800000000000005</v>
      </c>
      <c r="AD1004" s="67">
        <f>AA1004*IncaC</f>
        <v>7.8549333333333342</v>
      </c>
      <c r="AE1004" s="104">
        <f>IF(Table1[[#This Row],[Work Center]]="SwissQ",Materials!G$37,IF(Table1[[#This Row],[Work Center]]="Inca",Materials!G$29,IF(Table1[[#This Row],[Work Center]]="Canon",Materials!G$49,Materials!G$45)))</f>
        <v>8</v>
      </c>
      <c r="AF1004" s="226">
        <f>'CALI_SONDER '!H$4</f>
        <v>45.01</v>
      </c>
      <c r="AG1004" s="225"/>
      <c r="AH1004" s="498">
        <f t="shared" si="351"/>
        <v>6.25</v>
      </c>
      <c r="AI1004" s="498"/>
      <c r="AJ1004" s="225">
        <f t="shared" si="355"/>
        <v>70.194933333333324</v>
      </c>
      <c r="AK1004" s="650">
        <f t="shared" si="346"/>
        <v>0.43844053333333338</v>
      </c>
      <c r="AL1004" s="225">
        <f>Table1[[#This Row],[WSP/Dealer]]/Table1[[#This Row],[OD Sq Inch]]</f>
        <v>0.390625</v>
      </c>
      <c r="AM1004" s="103">
        <f>Table1[[#This Row],[OD Wdth]]*Table1[[#This Row],[OD Hgt]]</f>
        <v>320</v>
      </c>
      <c r="AN1004" s="216">
        <f>Table1[[#This Row],[Min VO]]+Table1[[#This Row],[Max VO]]</f>
        <v>36</v>
      </c>
      <c r="AO1004" s="216" t="s">
        <v>277</v>
      </c>
      <c r="AP1004" s="226"/>
      <c r="AQ1004" s="226"/>
      <c r="AR1004" s="226"/>
      <c r="AS1004" s="226"/>
      <c r="AT1004" s="226"/>
      <c r="AU1004" s="1363" t="str">
        <f t="shared" si="352"/>
        <v>-</v>
      </c>
    </row>
    <row r="1005" spans="1:47" s="1429" customFormat="1" hidden="1" x14ac:dyDescent="0.2">
      <c r="A1005" s="274" t="s">
        <v>101</v>
      </c>
      <c r="B1005" s="279" t="s">
        <v>102</v>
      </c>
      <c r="C1005" s="323" t="s">
        <v>2507</v>
      </c>
      <c r="D1005" s="317"/>
      <c r="E1005" s="275" t="s">
        <v>2508</v>
      </c>
      <c r="F1005" s="275" t="s">
        <v>634</v>
      </c>
      <c r="G1005" s="274" t="s">
        <v>115</v>
      </c>
      <c r="H1005" s="274" t="s">
        <v>115</v>
      </c>
      <c r="I1005" s="274" t="s">
        <v>52</v>
      </c>
      <c r="J1005" s="344" t="s">
        <v>53</v>
      </c>
      <c r="K1005" s="274" t="s">
        <v>54</v>
      </c>
      <c r="L1005" s="274" t="s">
        <v>55</v>
      </c>
      <c r="M1005" s="141">
        <v>380</v>
      </c>
      <c r="N1005" s="318"/>
      <c r="O1005" s="274" t="s">
        <v>56</v>
      </c>
      <c r="P1005" s="274">
        <v>48</v>
      </c>
      <c r="Q1005" s="274">
        <v>48</v>
      </c>
      <c r="R1005" s="274">
        <v>48</v>
      </c>
      <c r="S1005" s="783">
        <v>48</v>
      </c>
      <c r="T1005" s="274">
        <v>48</v>
      </c>
      <c r="U1005" s="274">
        <v>48</v>
      </c>
      <c r="V1005" s="917">
        <f>IF(J1005="Canvas",P1005+Border,P1005)</f>
        <v>56</v>
      </c>
      <c r="W1005" s="917">
        <f>IF(J1005="Canvas",Q1005+Border,Q1005)</f>
        <v>56</v>
      </c>
      <c r="X1005" s="274">
        <v>59</v>
      </c>
      <c r="Y1005" s="917">
        <f>Table1[[#This Row],[Print Wth]]</f>
        <v>56</v>
      </c>
      <c r="Z1005" s="917">
        <f>Table1[[#This Row],[Print Ht]]</f>
        <v>56</v>
      </c>
      <c r="AA1005" s="1027">
        <f>Table1[[#This Row],[Cut Width]]*Table1[[#This Row],[Cut Height]]/144</f>
        <v>21.777777777777779</v>
      </c>
      <c r="AB1005" s="1130">
        <f>Table1[[#This Row],[Print Wth]]*Table1[[#This Row],[Print Ht]]/144*IncaG</f>
        <v>458.20444444444445</v>
      </c>
      <c r="AC1005" s="278">
        <f>Table1[[#This Row],[Substrate SF]]*Canvas</f>
        <v>14.373333333333335</v>
      </c>
      <c r="AD1005" s="263">
        <f>(Table1[[#This Row],[Print Wth]]*Table1[[#This Row],[Print Ht]])/144*IncaC</f>
        <v>36.656355555555557</v>
      </c>
      <c r="AE1005" s="74">
        <f>IF(Table1[[#This Row],[Work Center]]="SwissQ",Materials!G$37,IF(Table1[[#This Row],[Work Center]]="Inca",Materials!G$29,IF(Table1[[#This Row],[Work Center]]="Canon",Materials!G$49,Materials!G$45)))</f>
        <v>8</v>
      </c>
      <c r="AF1005" s="321">
        <f>'Cali FPS'!C117</f>
        <v>119.7</v>
      </c>
      <c r="AG1005" s="320"/>
      <c r="AH1005" s="278">
        <f t="shared" si="351"/>
        <v>19</v>
      </c>
      <c r="AI1005" s="278"/>
      <c r="AJ1005" s="278">
        <f t="shared" si="355"/>
        <v>197.72968888888889</v>
      </c>
      <c r="AK1005" s="1192">
        <f t="shared" si="346"/>
        <v>0.47965871345029243</v>
      </c>
      <c r="AL1005" s="278">
        <f>Table1[[#This Row],[WSP/Dealer]]/Table1[[#This Row],[OD Sq Inch]]</f>
        <v>0.16493055555555555</v>
      </c>
      <c r="AM1005" s="170">
        <f>Table1[[#This Row],[OD Wdth]]*Table1[[#This Row],[OD Hgt]]</f>
        <v>2304</v>
      </c>
      <c r="AN1005" s="274">
        <f>Table1[[#This Row],[Min VO]]+Table1[[#This Row],[Max VO]]</f>
        <v>96</v>
      </c>
      <c r="AO1005" s="275"/>
      <c r="AP1005" s="1214"/>
      <c r="AQ1005" s="321"/>
      <c r="AR1005" s="321"/>
      <c r="AS1005" s="321"/>
      <c r="AT1005" s="321"/>
      <c r="AU1005" s="1368" t="str">
        <f t="shared" si="352"/>
        <v>-</v>
      </c>
    </row>
    <row r="1006" spans="1:47" s="218" customFormat="1" hidden="1" x14ac:dyDescent="0.2">
      <c r="A1006" s="68" t="s">
        <v>318</v>
      </c>
      <c r="B1006" s="1152" t="s">
        <v>111</v>
      </c>
      <c r="C1006" s="78" t="s">
        <v>2509</v>
      </c>
      <c r="D1006" s="94"/>
      <c r="E1006" s="84" t="s">
        <v>2510</v>
      </c>
      <c r="F1006" s="275" t="s">
        <v>634</v>
      </c>
      <c r="G1006" s="274" t="s">
        <v>132</v>
      </c>
      <c r="H1006" s="274" t="s">
        <v>264</v>
      </c>
      <c r="I1006" s="274" t="s">
        <v>108</v>
      </c>
      <c r="J1006" s="344" t="s">
        <v>53</v>
      </c>
      <c r="K1006" s="274" t="s">
        <v>82</v>
      </c>
      <c r="L1006" s="274" t="s">
        <v>83</v>
      </c>
      <c r="M1006" s="318">
        <v>375</v>
      </c>
      <c r="N1006" s="318"/>
      <c r="O1006" s="68" t="s">
        <v>2511</v>
      </c>
      <c r="P1006" s="68">
        <v>36</v>
      </c>
      <c r="Q1006" s="68">
        <v>48</v>
      </c>
      <c r="R1006" s="68">
        <v>36</v>
      </c>
      <c r="S1006" s="68">
        <v>48</v>
      </c>
      <c r="T1006" s="274">
        <v>38</v>
      </c>
      <c r="U1006" s="274">
        <v>50</v>
      </c>
      <c r="V1006" s="946">
        <f>IF(J1006="Canvas",P1006+Border,P1006)</f>
        <v>44</v>
      </c>
      <c r="W1006" s="946">
        <f>IF(J1006="Canvas",Q1006+Border,Q1006)</f>
        <v>56</v>
      </c>
      <c r="X1006" s="274">
        <v>59</v>
      </c>
      <c r="Y1006" s="869">
        <v>44</v>
      </c>
      <c r="Z1006" s="869">
        <v>56</v>
      </c>
      <c r="AA1006" s="952">
        <f t="shared" ref="AA1006:AA1021" si="356">V1006*W1006/144</f>
        <v>17.111111111111111</v>
      </c>
      <c r="AB1006" s="1235">
        <f>AA1006*SWISSMLR</f>
        <v>34.222222222222221</v>
      </c>
      <c r="AC1006" s="240">
        <f>AA1006*Canvas</f>
        <v>11.293333333333333</v>
      </c>
      <c r="AD1006" s="67">
        <f>AA1006*SWISSCR</f>
        <v>3.7644444444444445</v>
      </c>
      <c r="AE1006" s="278">
        <f>IF(Table1[[#This Row],[Work Center]]="SwissQ",Materials!G$37,IF(Table1[[#This Row],[Work Center]]="Inca",Materials!G$29,IF(Table1[[#This Row],[Work Center]]="Canon",Materials!G$49,Materials!G$45)))</f>
        <v>20</v>
      </c>
      <c r="AF1006" s="321">
        <f>'Cali Frames'!D133</f>
        <v>148.8725</v>
      </c>
      <c r="AG1006" s="275"/>
      <c r="AH1006" s="74">
        <f t="shared" si="351"/>
        <v>18.75</v>
      </c>
      <c r="AI1006" s="74"/>
      <c r="AJ1006" s="278">
        <f t="shared" si="355"/>
        <v>202.68027777777777</v>
      </c>
      <c r="AK1006" s="1001">
        <f t="shared" si="346"/>
        <v>0.45951925925925929</v>
      </c>
      <c r="AL1006" s="240">
        <f>Table1[[#This Row],[WSP/Dealer]]/Table1[[#This Row],[OD Sq Inch]]</f>
        <v>0.19736842105263158</v>
      </c>
      <c r="AM1006" s="274">
        <f>Table1[[#This Row],[OD Wdth]]*Table1[[#This Row],[OD Hgt]]</f>
        <v>1900</v>
      </c>
      <c r="AN1006" s="274">
        <f>Table1[[#This Row],[Min VO]]+Table1[[#This Row],[Max VO]]</f>
        <v>84</v>
      </c>
      <c r="AO1006" s="275"/>
      <c r="AP1006" s="275"/>
      <c r="AQ1006" s="320"/>
      <c r="AR1006" s="320"/>
      <c r="AS1006" s="320"/>
      <c r="AT1006" s="278"/>
      <c r="AU1006" s="1368" t="str">
        <f t="shared" si="352"/>
        <v>-</v>
      </c>
    </row>
    <row r="1007" spans="1:47" s="103" customFormat="1" hidden="1" x14ac:dyDescent="0.2">
      <c r="A1007" s="68" t="s">
        <v>318</v>
      </c>
      <c r="B1007" s="1152" t="s">
        <v>111</v>
      </c>
      <c r="C1007" s="78" t="s">
        <v>2512</v>
      </c>
      <c r="D1007" s="94"/>
      <c r="E1007" s="84" t="s">
        <v>2510</v>
      </c>
      <c r="F1007" s="275" t="s">
        <v>634</v>
      </c>
      <c r="G1007" s="274" t="s">
        <v>132</v>
      </c>
      <c r="H1007" s="274" t="s">
        <v>2513</v>
      </c>
      <c r="I1007" s="274" t="s">
        <v>108</v>
      </c>
      <c r="J1007" s="344" t="s">
        <v>53</v>
      </c>
      <c r="K1007" s="274" t="s">
        <v>69</v>
      </c>
      <c r="L1007" s="274" t="s">
        <v>70</v>
      </c>
      <c r="M1007" s="318">
        <v>375</v>
      </c>
      <c r="N1007" s="318"/>
      <c r="O1007" s="68" t="s">
        <v>2511</v>
      </c>
      <c r="P1007" s="68">
        <v>36</v>
      </c>
      <c r="Q1007" s="68">
        <v>48</v>
      </c>
      <c r="R1007" s="68">
        <v>36</v>
      </c>
      <c r="S1007" s="68">
        <v>48</v>
      </c>
      <c r="T1007" s="274">
        <v>37</v>
      </c>
      <c r="U1007" s="274">
        <v>49</v>
      </c>
      <c r="V1007" s="946">
        <f>IF(J1007="Canvas",P1007+Border,P1007)</f>
        <v>44</v>
      </c>
      <c r="W1007" s="946">
        <f>IF(J1007="Canvas",Q1007+Border,Q1007)</f>
        <v>56</v>
      </c>
      <c r="X1007" s="274">
        <v>59</v>
      </c>
      <c r="Y1007" s="869">
        <v>44</v>
      </c>
      <c r="Z1007" s="869">
        <v>56</v>
      </c>
      <c r="AA1007" s="952">
        <f t="shared" si="356"/>
        <v>17.111111111111111</v>
      </c>
      <c r="AB1007" s="1235">
        <f>AA1007*SWISSMLR</f>
        <v>34.222222222222221</v>
      </c>
      <c r="AC1007" s="240">
        <f>AA1007*Canvas</f>
        <v>11.293333333333333</v>
      </c>
      <c r="AD1007" s="67">
        <f>AA1007*SWISSCR</f>
        <v>3.7644444444444445</v>
      </c>
      <c r="AE1007" s="278">
        <f>IF(Table1[[#This Row],[Work Center]]="SwissQ",Materials!G$37,IF(Table1[[#This Row],[Work Center]]="Inca",Materials!G$29,IF(Table1[[#This Row],[Work Center]]="Canon",Materials!G$49,Materials!G$45)))</f>
        <v>20</v>
      </c>
      <c r="AF1007" s="321">
        <f>'Cali Frames'!D300</f>
        <v>164.8</v>
      </c>
      <c r="AG1007" s="275"/>
      <c r="AH1007" s="74">
        <f t="shared" si="351"/>
        <v>18.75</v>
      </c>
      <c r="AI1007" s="74"/>
      <c r="AJ1007" s="278">
        <f t="shared" si="355"/>
        <v>218.60777777777778</v>
      </c>
      <c r="AK1007" s="1001">
        <f t="shared" si="346"/>
        <v>0.41704592592592593</v>
      </c>
      <c r="AL1007" s="240">
        <f>Table1[[#This Row],[WSP/Dealer]]/Table1[[#This Row],[OD Sq Inch]]</f>
        <v>0.20683949255377826</v>
      </c>
      <c r="AM1007" s="274">
        <f>Table1[[#This Row],[OD Wdth]]*Table1[[#This Row],[OD Hgt]]</f>
        <v>1813</v>
      </c>
      <c r="AN1007" s="274">
        <f>Table1[[#This Row],[Min VO]]+Table1[[#This Row],[Max VO]]</f>
        <v>84</v>
      </c>
      <c r="AO1007" s="275"/>
      <c r="AP1007" s="275"/>
      <c r="AQ1007" s="320"/>
      <c r="AR1007" s="320"/>
      <c r="AS1007" s="320"/>
      <c r="AT1007" s="278"/>
      <c r="AU1007" s="1368" t="str">
        <f t="shared" si="352"/>
        <v>-</v>
      </c>
    </row>
    <row r="1008" spans="1:47" s="144" customFormat="1" hidden="1" x14ac:dyDescent="0.2">
      <c r="A1008" s="869" t="s">
        <v>318</v>
      </c>
      <c r="B1008" s="1552" t="s">
        <v>111</v>
      </c>
      <c r="C1008" s="888" t="s">
        <v>2514</v>
      </c>
      <c r="D1008" s="871"/>
      <c r="E1008" s="872" t="s">
        <v>2510</v>
      </c>
      <c r="F1008" s="872" t="s">
        <v>634</v>
      </c>
      <c r="G1008" s="869" t="s">
        <v>132</v>
      </c>
      <c r="H1008" s="869" t="s">
        <v>132</v>
      </c>
      <c r="I1008" s="869" t="s">
        <v>108</v>
      </c>
      <c r="J1008" s="873" t="s">
        <v>53</v>
      </c>
      <c r="K1008" s="869" t="s">
        <v>54</v>
      </c>
      <c r="L1008" s="869" t="s">
        <v>55</v>
      </c>
      <c r="M1008" s="874">
        <v>350</v>
      </c>
      <c r="N1008" s="1172"/>
      <c r="O1008" s="869" t="s">
        <v>2511</v>
      </c>
      <c r="P1008" s="869">
        <v>36</v>
      </c>
      <c r="Q1008" s="869">
        <v>48</v>
      </c>
      <c r="R1008" s="869">
        <v>36</v>
      </c>
      <c r="S1008" s="869">
        <v>48</v>
      </c>
      <c r="T1008" s="869">
        <v>36</v>
      </c>
      <c r="U1008" s="869">
        <v>48</v>
      </c>
      <c r="V1008" s="946">
        <f>IF(J1008="Canvas",P1008+Border,P1008)</f>
        <v>44</v>
      </c>
      <c r="W1008" s="946">
        <f>IF(J1008="Canvas",Q1008+Border,Q1008)</f>
        <v>56</v>
      </c>
      <c r="X1008" s="869">
        <v>59</v>
      </c>
      <c r="Y1008" s="869">
        <v>44</v>
      </c>
      <c r="Z1008" s="869">
        <v>56</v>
      </c>
      <c r="AA1008" s="892">
        <f t="shared" si="356"/>
        <v>17.111111111111111</v>
      </c>
      <c r="AB1008" s="1173">
        <f>AA1008*SWISSMLR</f>
        <v>34.222222222222221</v>
      </c>
      <c r="AC1008" s="895">
        <f>AA1008*Canvas</f>
        <v>11.293333333333333</v>
      </c>
      <c r="AD1008" s="862">
        <f>AA1008*SWISSCR</f>
        <v>3.7644444444444445</v>
      </c>
      <c r="AE1008" s="867">
        <f>IF(Table1[[#This Row],[Work Center]]="SwissQ",Materials!G$37,IF(Table1[[#This Row],[Work Center]]="Inca",Materials!G$29,IF(Table1[[#This Row],[Work Center]]="Canon",Materials!G$49,Materials!G$45)))</f>
        <v>20</v>
      </c>
      <c r="AF1008" s="1574">
        <f>'Cali FPS'!C71</f>
        <v>114.31</v>
      </c>
      <c r="AG1008" s="872"/>
      <c r="AH1008" s="863">
        <f t="shared" si="351"/>
        <v>17.5</v>
      </c>
      <c r="AI1008" s="863"/>
      <c r="AJ1008" s="867">
        <f t="shared" si="355"/>
        <v>166.86777777777777</v>
      </c>
      <c r="AK1008" s="1163">
        <f t="shared" si="346"/>
        <v>0.52323492063492061</v>
      </c>
      <c r="AL1008" s="895">
        <f>Table1[[#This Row],[WSP/Dealer]]/Table1[[#This Row],[OD Sq Inch]]</f>
        <v>0.20254629629629631</v>
      </c>
      <c r="AM1008" s="869">
        <f>Table1[[#This Row],[OD Wdth]]*Table1[[#This Row],[OD Hgt]]</f>
        <v>1728</v>
      </c>
      <c r="AN1008" s="869">
        <f>Table1[[#This Row],[Min VO]]+Table1[[#This Row],[Max VO]]</f>
        <v>84</v>
      </c>
      <c r="AO1008" s="872"/>
      <c r="AP1008" s="872"/>
      <c r="AQ1008" s="994"/>
      <c r="AR1008" s="994"/>
      <c r="AS1008" s="994"/>
      <c r="AT1008" s="867"/>
      <c r="AU1008" s="1373" t="str">
        <f t="shared" si="352"/>
        <v>-</v>
      </c>
    </row>
    <row r="1009" spans="1:47" s="170" customFormat="1" x14ac:dyDescent="0.2">
      <c r="A1009" s="86" t="s">
        <v>58</v>
      </c>
      <c r="B1009" s="279" t="s">
        <v>88</v>
      </c>
      <c r="C1009" s="100" t="s">
        <v>2515</v>
      </c>
      <c r="D1009" s="94" t="s">
        <v>2516</v>
      </c>
      <c r="E1009" s="85" t="s">
        <v>2517</v>
      </c>
      <c r="F1009" s="85" t="s">
        <v>634</v>
      </c>
      <c r="G1009" s="86" t="s">
        <v>132</v>
      </c>
      <c r="H1009" s="86" t="s">
        <v>793</v>
      </c>
      <c r="I1009" s="86" t="s">
        <v>794</v>
      </c>
      <c r="J1009" s="86" t="s">
        <v>53</v>
      </c>
      <c r="K1009" s="86" t="s">
        <v>69</v>
      </c>
      <c r="L1009" s="86" t="s">
        <v>70</v>
      </c>
      <c r="M1009" s="87">
        <v>671</v>
      </c>
      <c r="N1009" s="639">
        <v>825</v>
      </c>
      <c r="O1009" s="551" t="s">
        <v>795</v>
      </c>
      <c r="P1009" s="101">
        <v>36</v>
      </c>
      <c r="Q1009" s="101">
        <v>48</v>
      </c>
      <c r="R1009" s="101">
        <v>36</v>
      </c>
      <c r="S1009" s="101">
        <v>48</v>
      </c>
      <c r="T1009" s="101">
        <v>37</v>
      </c>
      <c r="U1009" s="101" t="str">
        <f>RIGHT(H1009,2)</f>
        <v>49</v>
      </c>
      <c r="V1009" s="608">
        <f>IF(J1009="Canvas",P1009+Border,P1009)</f>
        <v>44</v>
      </c>
      <c r="W1009" s="608">
        <f>IF(J1009="Canvas",Q1009+Border,Q1009)</f>
        <v>56</v>
      </c>
      <c r="X1009" s="137" t="s">
        <v>796</v>
      </c>
      <c r="Y1009" s="101"/>
      <c r="Z1009" s="101"/>
      <c r="AA1009" s="649">
        <f t="shared" si="356"/>
        <v>17.111111111111111</v>
      </c>
      <c r="AB1009" s="633">
        <f>AA1009*IncaG</f>
        <v>360.01777777777778</v>
      </c>
      <c r="AC1009" s="104">
        <f>TX!H10</f>
        <v>156.99</v>
      </c>
      <c r="AD1009" s="107">
        <f>AA1009*IncaC</f>
        <v>28.801422222222222</v>
      </c>
      <c r="AE1009" s="104">
        <v>0</v>
      </c>
      <c r="AF1009" s="104">
        <f>'Cali Frames'!D$300</f>
        <v>164.8</v>
      </c>
      <c r="AG1009" s="115"/>
      <c r="AH1009" s="498">
        <f t="shared" si="351"/>
        <v>33.550000000000004</v>
      </c>
      <c r="AI1009" s="498"/>
      <c r="AJ1009" s="104">
        <f t="shared" si="355"/>
        <v>384.14142222222227</v>
      </c>
      <c r="AK1009" s="650">
        <f t="shared" si="346"/>
        <v>0.42750905779102494</v>
      </c>
      <c r="AL1009" s="225">
        <f>Table1[[#This Row],[WSP/Dealer]]/Table1[[#This Row],[OD Sq Inch]]</f>
        <v>0.37010479867622725</v>
      </c>
      <c r="AM1009" s="46">
        <f>Table1[[#This Row],[OD Wdth]]*Table1[[#This Row],[OD Hgt]]</f>
        <v>1813</v>
      </c>
      <c r="AN1009" s="216">
        <f>Table1[[#This Row],[Min VO]]+Table1[[#This Row],[Max VO]]</f>
        <v>84</v>
      </c>
      <c r="AO1009" s="101"/>
      <c r="AP1009" s="101"/>
      <c r="AQ1009" s="104"/>
      <c r="AR1009" s="104"/>
      <c r="AS1009" s="104"/>
      <c r="AT1009" s="104"/>
      <c r="AU1009" s="830" t="str">
        <f t="shared" si="352"/>
        <v>-</v>
      </c>
    </row>
    <row r="1010" spans="1:47" s="144" customFormat="1" hidden="1" x14ac:dyDescent="0.2">
      <c r="A1010" s="68" t="s">
        <v>1560</v>
      </c>
      <c r="B1010" s="279" t="s">
        <v>1021</v>
      </c>
      <c r="C1010" s="76" t="s">
        <v>2518</v>
      </c>
      <c r="D1010" s="94"/>
      <c r="E1010" s="84" t="s">
        <v>2519</v>
      </c>
      <c r="F1010" s="84" t="s">
        <v>634</v>
      </c>
      <c r="G1010" s="68" t="s">
        <v>1290</v>
      </c>
      <c r="H1010" s="68" t="s">
        <v>1290</v>
      </c>
      <c r="I1010" s="68" t="s">
        <v>108</v>
      </c>
      <c r="J1010" s="140" t="s">
        <v>53</v>
      </c>
      <c r="K1010" s="68" t="s">
        <v>54</v>
      </c>
      <c r="L1010" s="68" t="s">
        <v>55</v>
      </c>
      <c r="M1010" s="141">
        <v>225</v>
      </c>
      <c r="N1010" s="93"/>
      <c r="O1010" s="68" t="s">
        <v>109</v>
      </c>
      <c r="P1010" s="68">
        <v>20</v>
      </c>
      <c r="Q1010" s="68">
        <v>30</v>
      </c>
      <c r="R1010" s="68">
        <v>20</v>
      </c>
      <c r="S1010" s="68">
        <v>30</v>
      </c>
      <c r="T1010" s="68">
        <v>20</v>
      </c>
      <c r="U1010" s="68">
        <v>30</v>
      </c>
      <c r="V1010" s="686">
        <f>IF(J1010="Canvas",P1010+BorderL,P1010)</f>
        <v>31</v>
      </c>
      <c r="W1010" s="686">
        <f>IF(J1010="Canvas",Q1010+BorderL,Q1010)</f>
        <v>41</v>
      </c>
      <c r="X1010" s="189">
        <v>40</v>
      </c>
      <c r="Y1010" s="68">
        <v>31</v>
      </c>
      <c r="Z1010" s="68">
        <v>41</v>
      </c>
      <c r="AA1010" s="727">
        <f t="shared" si="356"/>
        <v>8.8263888888888893</v>
      </c>
      <c r="AB1010" s="341">
        <f>AA1010*EPSONM</f>
        <v>39.71875</v>
      </c>
      <c r="AC1010" s="278">
        <f>AA1010*Canvas</f>
        <v>5.8254166666666674</v>
      </c>
      <c r="AD1010" s="278">
        <f>Table1[[#This Row],[Ink g/mL]]*EPSONC</f>
        <v>8.7381250000000001</v>
      </c>
      <c r="AE1010" s="278">
        <f>IF(Table1[[#This Row],[Work Center]]="SwissQ",Materials!G$37,IF(Table1[[#This Row],[Work Center]]="Inca",Materials!G$29,IF(Table1[[#This Row],[Work Center]]="Canon",Materials!G$49,Materials!G$45)))</f>
        <v>5</v>
      </c>
      <c r="AF1010" s="73">
        <f>'Cali FPS'!C28</f>
        <v>62.93</v>
      </c>
      <c r="AG1010" s="84"/>
      <c r="AH1010" s="74">
        <f t="shared" si="351"/>
        <v>11.25</v>
      </c>
      <c r="AI1010" s="74"/>
      <c r="AJ1010" s="278">
        <f t="shared" si="355"/>
        <v>93.743541666666658</v>
      </c>
      <c r="AK1010" s="1001">
        <f t="shared" si="346"/>
        <v>0.58336203703703704</v>
      </c>
      <c r="AL1010" s="240">
        <f>Table1[[#This Row],[WSP/Dealer]]/Table1[[#This Row],[OD Sq Inch]]</f>
        <v>0.375</v>
      </c>
      <c r="AM1010" s="274">
        <f>Table1[[#This Row],[OD Wdth]]*Table1[[#This Row],[OD Hgt]]</f>
        <v>600</v>
      </c>
      <c r="AN1010" s="274">
        <f>Table1[[#This Row],[Min VO]]+Table1[[#This Row],[Max VO]]</f>
        <v>50</v>
      </c>
      <c r="AO1010" s="84"/>
      <c r="AP1010" s="84"/>
      <c r="AQ1010" s="126"/>
      <c r="AR1010" s="126"/>
      <c r="AS1010" s="126"/>
      <c r="AT1010" s="74"/>
      <c r="AU1010" s="1357" t="str">
        <f t="shared" si="352"/>
        <v>-</v>
      </c>
    </row>
    <row r="1011" spans="1:47" s="170" customFormat="1" hidden="1" x14ac:dyDescent="0.2">
      <c r="A1011" s="274" t="s">
        <v>187</v>
      </c>
      <c r="B1011" s="279" t="s">
        <v>261</v>
      </c>
      <c r="C1011" s="317" t="s">
        <v>2520</v>
      </c>
      <c r="D1011" s="94"/>
      <c r="E1011" s="375" t="s">
        <v>2521</v>
      </c>
      <c r="F1011" s="375" t="s">
        <v>585</v>
      </c>
      <c r="G1011" s="274" t="s">
        <v>586</v>
      </c>
      <c r="H1011" s="274" t="s">
        <v>586</v>
      </c>
      <c r="I1011" s="274" t="s">
        <v>52</v>
      </c>
      <c r="J1011" s="344" t="s">
        <v>280</v>
      </c>
      <c r="K1011" s="274" t="s">
        <v>281</v>
      </c>
      <c r="L1011" s="274" t="s">
        <v>282</v>
      </c>
      <c r="M1011" s="318">
        <v>1530</v>
      </c>
      <c r="N1011" s="71"/>
      <c r="O1011" s="274" t="s">
        <v>64</v>
      </c>
      <c r="P1011" s="274">
        <v>24</v>
      </c>
      <c r="Q1011" s="274">
        <v>30</v>
      </c>
      <c r="R1011" s="274">
        <v>24</v>
      </c>
      <c r="S1011" s="274">
        <v>30</v>
      </c>
      <c r="T1011" s="274">
        <v>24</v>
      </c>
      <c r="U1011" s="274">
        <v>30</v>
      </c>
      <c r="V1011" s="686">
        <v>24</v>
      </c>
      <c r="W1011" s="686">
        <v>30</v>
      </c>
      <c r="X1011" s="343" t="s">
        <v>283</v>
      </c>
      <c r="Y1011" s="274"/>
      <c r="Z1011" s="274"/>
      <c r="AA1011" s="727">
        <f t="shared" si="356"/>
        <v>5</v>
      </c>
      <c r="AB1011" s="341">
        <f>AA1011*Swiss1</f>
        <v>141.5</v>
      </c>
      <c r="AC1011" s="278">
        <f>MDFSHEET*0.25</f>
        <v>6.0875000000000004</v>
      </c>
      <c r="AD1011" s="278">
        <f>Table1[[#This Row],[Substrate SF]]*Materials!C$37</f>
        <v>14</v>
      </c>
      <c r="AE1011" s="104">
        <f>IF(Table1[[#This Row],[Work Center]]="SwissQ",Materials!G$37,IF(Table1[[#This Row],[Work Center]]="Inca",Materials!G$29,IF(Table1[[#This Row],[Work Center]]="Canon",Materials!G$49,Materials!G$45)))</f>
        <v>20</v>
      </c>
      <c r="AF1011" s="321">
        <f>'Cali Frames'!D540</f>
        <v>104.7375</v>
      </c>
      <c r="AG1011" s="320"/>
      <c r="AH1011" s="498">
        <f t="shared" si="351"/>
        <v>76.5</v>
      </c>
      <c r="AI1011" s="498"/>
      <c r="AJ1011" s="278">
        <f t="shared" si="355"/>
        <v>221.32499999999999</v>
      </c>
      <c r="AK1011" s="650">
        <f t="shared" ref="AK1011:AK1042" si="357">(M1011-AJ1011)/M1011</f>
        <v>0.85534313725490196</v>
      </c>
      <c r="AL1011" s="225">
        <f>Table1[[#This Row],[WSP/Dealer]]/Table1[[#This Row],[OD Sq Inch]]</f>
        <v>2.125</v>
      </c>
      <c r="AM1011" s="274">
        <f>Table1[[#This Row],[OD Wdth]]*Table1[[#This Row],[OD Hgt]]</f>
        <v>720</v>
      </c>
      <c r="AN1011" s="238">
        <f>Table1[[#This Row],[Min VO]]+Table1[[#This Row],[Max VO]]</f>
        <v>54</v>
      </c>
      <c r="AO1011" s="275"/>
      <c r="AP1011" s="275"/>
      <c r="AQ1011" s="320"/>
      <c r="AR1011" s="320"/>
      <c r="AS1011" s="320"/>
      <c r="AT1011" s="278"/>
      <c r="AU1011" s="1368" t="str">
        <f t="shared" si="352"/>
        <v>-</v>
      </c>
    </row>
    <row r="1012" spans="1:47" s="170" customFormat="1" x14ac:dyDescent="0.2">
      <c r="A1012" s="180" t="s">
        <v>58</v>
      </c>
      <c r="B1012" s="279" t="s">
        <v>587</v>
      </c>
      <c r="C1012" s="281" t="s">
        <v>2522</v>
      </c>
      <c r="D1012" s="94"/>
      <c r="E1012" s="291" t="s">
        <v>2521</v>
      </c>
      <c r="F1012" s="291" t="s">
        <v>585</v>
      </c>
      <c r="G1012" s="180" t="s">
        <v>586</v>
      </c>
      <c r="H1012" s="180" t="s">
        <v>586</v>
      </c>
      <c r="I1012" s="180" t="s">
        <v>52</v>
      </c>
      <c r="J1012" s="310" t="s">
        <v>280</v>
      </c>
      <c r="K1012" s="180" t="s">
        <v>281</v>
      </c>
      <c r="L1012" s="180" t="s">
        <v>282</v>
      </c>
      <c r="M1012" s="292">
        <v>450</v>
      </c>
      <c r="N1012" s="639">
        <v>450</v>
      </c>
      <c r="O1012" s="180" t="s">
        <v>64</v>
      </c>
      <c r="P1012" s="180">
        <v>24</v>
      </c>
      <c r="Q1012" s="180">
        <v>30</v>
      </c>
      <c r="R1012" s="180">
        <v>24</v>
      </c>
      <c r="S1012" s="180">
        <v>30</v>
      </c>
      <c r="T1012" s="180">
        <v>24</v>
      </c>
      <c r="U1012" s="180">
        <v>30</v>
      </c>
      <c r="V1012" s="174">
        <v>24</v>
      </c>
      <c r="W1012" s="174">
        <v>30</v>
      </c>
      <c r="X1012" s="289" t="s">
        <v>283</v>
      </c>
      <c r="Y1012" s="180"/>
      <c r="Z1012" s="180"/>
      <c r="AA1012" s="678">
        <f t="shared" si="356"/>
        <v>5</v>
      </c>
      <c r="AB1012" s="329">
        <f>AA1012*Swiss1</f>
        <v>141.5</v>
      </c>
      <c r="AC1012" s="176">
        <f>MDFSHEET*0.25</f>
        <v>6.0875000000000004</v>
      </c>
      <c r="AD1012" s="175">
        <f>Table1[[#This Row],[Substrate SF]]*Materials!C$37</f>
        <v>14</v>
      </c>
      <c r="AE1012" s="104">
        <f>IF(Table1[[#This Row],[Work Center]]="SwissQ",Materials!G$37,IF(Table1[[#This Row],[Work Center]]="Inca",Materials!G$29,IF(Table1[[#This Row],[Work Center]]="Canon",Materials!G$49,Materials!G$45)))</f>
        <v>20</v>
      </c>
      <c r="AF1012" s="290">
        <f>'Cali Frames'!D539</f>
        <v>101.955</v>
      </c>
      <c r="AG1012" s="296"/>
      <c r="AH1012" s="112">
        <f t="shared" si="351"/>
        <v>22.5</v>
      </c>
      <c r="AI1012" s="112"/>
      <c r="AJ1012" s="176">
        <f t="shared" si="355"/>
        <v>164.54249999999999</v>
      </c>
      <c r="AK1012" s="62">
        <f t="shared" si="357"/>
        <v>0.63434999999999997</v>
      </c>
      <c r="AL1012" s="225">
        <f>Table1[[#This Row],[WSP/Dealer]]/Table1[[#This Row],[OD Sq Inch]]</f>
        <v>0.625</v>
      </c>
      <c r="AM1012" s="173">
        <f>Table1[[#This Row],[OD Wdth]]*Table1[[#This Row],[OD Hgt]]</f>
        <v>720</v>
      </c>
      <c r="AN1012" s="216">
        <f>Table1[[#This Row],[Min VO]]+Table1[[#This Row],[Max VO]]</f>
        <v>54</v>
      </c>
      <c r="AO1012" s="284"/>
      <c r="AP1012" s="284"/>
      <c r="AQ1012" s="296"/>
      <c r="AR1012" s="296"/>
      <c r="AS1012" s="296"/>
      <c r="AT1012" s="176"/>
      <c r="AU1012" s="1358" t="str">
        <f t="shared" si="352"/>
        <v>-</v>
      </c>
    </row>
    <row r="1013" spans="1:47" s="170" customFormat="1" hidden="1" x14ac:dyDescent="0.2">
      <c r="A1013" s="274" t="s">
        <v>187</v>
      </c>
      <c r="B1013" s="1061" t="s">
        <v>261</v>
      </c>
      <c r="C1013" s="436" t="s">
        <v>2523</v>
      </c>
      <c r="D1013" s="94"/>
      <c r="E1013" s="436" t="s">
        <v>2524</v>
      </c>
      <c r="F1013" s="375" t="s">
        <v>585</v>
      </c>
      <c r="G1013" s="274" t="s">
        <v>586</v>
      </c>
      <c r="H1013" s="274" t="s">
        <v>586</v>
      </c>
      <c r="I1013" s="274" t="s">
        <v>108</v>
      </c>
      <c r="J1013" s="68" t="s">
        <v>197</v>
      </c>
      <c r="K1013" s="274" t="s">
        <v>198</v>
      </c>
      <c r="L1013" s="274" t="s">
        <v>199</v>
      </c>
      <c r="M1013" s="455">
        <v>60</v>
      </c>
      <c r="N1013" s="71"/>
      <c r="O1013" s="274" t="s">
        <v>64</v>
      </c>
      <c r="P1013" s="274">
        <v>24</v>
      </c>
      <c r="Q1013" s="274">
        <v>30</v>
      </c>
      <c r="R1013" s="274">
        <v>24</v>
      </c>
      <c r="S1013" s="274">
        <v>30</v>
      </c>
      <c r="T1013" s="274">
        <v>24</v>
      </c>
      <c r="U1013" s="274">
        <v>30</v>
      </c>
      <c r="V1013" s="686">
        <f>Table1[[#This Row],[VO Wdth]]+Materials!$C$7</f>
        <v>26</v>
      </c>
      <c r="W1013" s="686">
        <f>Table1[[#This Row],[VO Hgt]]+Materials!$C$7</f>
        <v>32</v>
      </c>
      <c r="X1013" s="343" t="s">
        <v>197</v>
      </c>
      <c r="Y1013" s="68"/>
      <c r="Z1013" s="68"/>
      <c r="AA1013" s="699">
        <f t="shared" si="356"/>
        <v>5.7777777777777777</v>
      </c>
      <c r="AB1013" s="341">
        <f>AA1013*SWISSRML</f>
        <v>11.555555555555555</v>
      </c>
      <c r="AC1013" s="74">
        <f>Table1[[#This Row],[Substrate SF]]*POster</f>
        <v>4.2986666666666666</v>
      </c>
      <c r="AD1013" s="278">
        <f>Table1[[#This Row],[Substrate SF]]*SWISSRC</f>
        <v>1.2711111111111111</v>
      </c>
      <c r="AE101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013" s="73">
        <v>0</v>
      </c>
      <c r="AG1013" s="126">
        <f>Materials!D$76</f>
        <v>10.82</v>
      </c>
      <c r="AH1013" s="498">
        <f t="shared" si="351"/>
        <v>3</v>
      </c>
      <c r="AI1013" s="498"/>
      <c r="AJ1013" s="278">
        <f t="shared" si="355"/>
        <v>29.389777777777777</v>
      </c>
      <c r="AK1013" s="650">
        <f t="shared" si="357"/>
        <v>0.51017037037037039</v>
      </c>
      <c r="AL1013" s="225">
        <f>Table1[[#This Row],[WSP/Dealer]]/Table1[[#This Row],[OD Sq Inch]]</f>
        <v>8.3333333333333329E-2</v>
      </c>
      <c r="AM1013" s="274">
        <f>Table1[[#This Row],[OD Wdth]]*Table1[[#This Row],[OD Hgt]]</f>
        <v>720</v>
      </c>
      <c r="AN1013" s="84"/>
      <c r="AO1013" s="84"/>
      <c r="AP1013" s="84"/>
      <c r="AQ1013" s="126"/>
      <c r="AR1013" s="126"/>
      <c r="AS1013" s="126"/>
      <c r="AT1013" s="74"/>
      <c r="AU1013" s="1357" t="str">
        <f t="shared" si="352"/>
        <v>-</v>
      </c>
    </row>
    <row r="1014" spans="1:47" s="144" customFormat="1" x14ac:dyDescent="0.2">
      <c r="A1014" s="145" t="s">
        <v>58</v>
      </c>
      <c r="B1014" s="279" t="s">
        <v>533</v>
      </c>
      <c r="C1014" s="146" t="s">
        <v>2525</v>
      </c>
      <c r="D1014" s="94" t="s">
        <v>2526</v>
      </c>
      <c r="E1014" s="146" t="s">
        <v>2527</v>
      </c>
      <c r="F1014" s="154" t="s">
        <v>114</v>
      </c>
      <c r="G1014" s="145" t="s">
        <v>465</v>
      </c>
      <c r="H1014" s="145" t="s">
        <v>465</v>
      </c>
      <c r="I1014" s="145" t="s">
        <v>52</v>
      </c>
      <c r="J1014" s="145" t="s">
        <v>53</v>
      </c>
      <c r="K1014" s="145" t="s">
        <v>54</v>
      </c>
      <c r="L1014" s="145" t="s">
        <v>55</v>
      </c>
      <c r="M1014" s="151">
        <v>650</v>
      </c>
      <c r="N1014" s="639">
        <v>720</v>
      </c>
      <c r="O1014" s="145" t="s">
        <v>64</v>
      </c>
      <c r="P1014" s="145">
        <v>48</v>
      </c>
      <c r="Q1014" s="145">
        <v>36</v>
      </c>
      <c r="R1014" s="145">
        <v>36</v>
      </c>
      <c r="S1014" s="145">
        <v>48</v>
      </c>
      <c r="T1014" s="698">
        <f>Table1[[#This Row],[VO Wdth]]</f>
        <v>48</v>
      </c>
      <c r="U1014" s="698">
        <f>Table1[[#This Row],[VO Hgt]]</f>
        <v>36</v>
      </c>
      <c r="V1014" s="608">
        <f t="shared" ref="V1014:V1021" si="358">IF(J1014="Canvas",P1014+Border,P1014)</f>
        <v>56</v>
      </c>
      <c r="W1014" s="608">
        <f t="shared" ref="W1014:W1021" si="359">IF(J1014="Canvas",Q1014+Border,Q1014)</f>
        <v>44</v>
      </c>
      <c r="X1014" s="137" t="s">
        <v>152</v>
      </c>
      <c r="Y1014" s="145"/>
      <c r="Z1014" s="145"/>
      <c r="AA1014" s="722">
        <f t="shared" si="356"/>
        <v>17.111111111111111</v>
      </c>
      <c r="AB1014" s="389">
        <f>AA1014*Swiss1</f>
        <v>484.24444444444447</v>
      </c>
      <c r="AC1014" s="143">
        <f>Table1[[#This Row],[Substrate SF]]*Canvas</f>
        <v>11.293333333333333</v>
      </c>
      <c r="AD1014" s="606">
        <f>Table1[[#This Row],[Substrate SF]]*Materials!C$37</f>
        <v>47.911111111111104</v>
      </c>
      <c r="AE1014" s="104">
        <f>IF(Table1[[#This Row],[Work Center]]="SwissQ",Materials!G$37,IF(Table1[[#This Row],[Work Center]]="Inca",Materials!G$29,IF(Table1[[#This Row],[Work Center]]="Canon",Materials!G$49,Materials!G$45)))</f>
        <v>20</v>
      </c>
      <c r="AF1014" s="143">
        <f>'Cali FPS'!C$71</f>
        <v>114.31</v>
      </c>
      <c r="AG1014" s="115"/>
      <c r="AH1014" s="498">
        <f t="shared" si="351"/>
        <v>32.5</v>
      </c>
      <c r="AI1014" s="498"/>
      <c r="AJ1014" s="143">
        <f t="shared" si="355"/>
        <v>226.01444444444445</v>
      </c>
      <c r="AK1014" s="650">
        <f t="shared" si="357"/>
        <v>0.65228547008547011</v>
      </c>
      <c r="AL1014" s="225">
        <f>Table1[[#This Row],[WSP/Dealer]]/Table1[[#This Row],[OD Sq Inch]]</f>
        <v>0.37615740740740738</v>
      </c>
      <c r="AM1014" s="110">
        <f>Table1[[#This Row],[OD Wdth]]*Table1[[#This Row],[OD Hgt]]</f>
        <v>1728</v>
      </c>
      <c r="AN1014" s="216">
        <f>Table1[[#This Row],[Min VO]]+Table1[[#This Row],[Max VO]]</f>
        <v>84</v>
      </c>
      <c r="AO1014" s="145"/>
      <c r="AP1014" s="145"/>
      <c r="AQ1014" s="143"/>
      <c r="AR1014" s="143"/>
      <c r="AS1014" s="143"/>
      <c r="AT1014" s="143"/>
      <c r="AU1014" s="1371" t="str">
        <f t="shared" si="352"/>
        <v>-</v>
      </c>
    </row>
    <row r="1015" spans="1:47" s="159" customFormat="1" hidden="1" x14ac:dyDescent="0.2">
      <c r="A1015" s="485" t="s">
        <v>318</v>
      </c>
      <c r="B1015" s="279" t="s">
        <v>96</v>
      </c>
      <c r="C1015" s="168" t="s">
        <v>2528</v>
      </c>
      <c r="D1015" s="94">
        <v>176537</v>
      </c>
      <c r="E1015" s="115" t="s">
        <v>2529</v>
      </c>
      <c r="F1015" s="83" t="s">
        <v>105</v>
      </c>
      <c r="G1015" s="101" t="s">
        <v>519</v>
      </c>
      <c r="H1015" s="101" t="s">
        <v>517</v>
      </c>
      <c r="I1015" s="101" t="s">
        <v>52</v>
      </c>
      <c r="J1015" s="487" t="s">
        <v>280</v>
      </c>
      <c r="K1015" s="101" t="s">
        <v>814</v>
      </c>
      <c r="L1015" s="101" t="s">
        <v>815</v>
      </c>
      <c r="M1015" s="542">
        <v>285</v>
      </c>
      <c r="N1015" s="786">
        <v>700</v>
      </c>
      <c r="O1015" s="60" t="s">
        <v>575</v>
      </c>
      <c r="P1015" s="101">
        <v>16</v>
      </c>
      <c r="Q1015" s="101">
        <v>20</v>
      </c>
      <c r="R1015" s="101">
        <v>16</v>
      </c>
      <c r="S1015" s="101">
        <v>20</v>
      </c>
      <c r="T1015" s="101">
        <v>18</v>
      </c>
      <c r="U1015" s="101">
        <v>22</v>
      </c>
      <c r="V1015" s="608">
        <f t="shared" si="358"/>
        <v>16</v>
      </c>
      <c r="W1015" s="608">
        <f t="shared" si="359"/>
        <v>20</v>
      </c>
      <c r="X1015" s="137" t="s">
        <v>283</v>
      </c>
      <c r="Y1015" s="101">
        <v>16</v>
      </c>
      <c r="Z1015" s="101">
        <v>20</v>
      </c>
      <c r="AA1015" s="724">
        <f t="shared" si="356"/>
        <v>2.2222222222222223</v>
      </c>
      <c r="AB1015" s="633">
        <f>Table1[[#This Row],[Substrate SF]]*Swiss1</f>
        <v>62.888888888888893</v>
      </c>
      <c r="AC1015" s="406">
        <f>MDFSHEET/10</f>
        <v>2.4350000000000001</v>
      </c>
      <c r="AD1015" s="405">
        <f>Table1[[#This Row],[Substrate SF]]*SWISSC1</f>
        <v>6.2222222222222223</v>
      </c>
      <c r="AE1015" s="104">
        <f>IF(Table1[[#This Row],[Work Center]]="SwissQ",Materials!G$37,IF(Table1[[#This Row],[Work Center]]="Inca",Materials!G$29,IF(Table1[[#This Row],[Work Center]]="Canon",Materials!G$49,Materials!G$45)))</f>
        <v>5</v>
      </c>
      <c r="AF1015" s="102">
        <f>'Cali Frames'!D193</f>
        <v>126.35</v>
      </c>
      <c r="AG1015" s="121"/>
      <c r="AH1015" s="498">
        <v>0</v>
      </c>
      <c r="AI1015" s="498"/>
      <c r="AJ1015" s="406">
        <f t="shared" si="355"/>
        <v>140.00722222222223</v>
      </c>
      <c r="AK1015" s="650">
        <f t="shared" si="357"/>
        <v>0.50874658869395706</v>
      </c>
      <c r="AL1015" s="225">
        <f>Table1[[#This Row],[WSP/Dealer]]/Table1[[#This Row],[OD Sq Inch]]</f>
        <v>0.71969696969696972</v>
      </c>
      <c r="AM1015" s="399">
        <f>Table1[[#This Row],[OD Wdth]]*Table1[[#This Row],[OD Hgt]]</f>
        <v>396</v>
      </c>
      <c r="AN1015" s="400" t="str">
        <f>Table1[[#This Row],[Color]]</f>
        <v>CB</v>
      </c>
      <c r="AO1015" s="115" t="str">
        <f>Table1[[#This Row],[Print Type]]</f>
        <v>Synograph</v>
      </c>
      <c r="AP1015" s="121"/>
      <c r="AQ1015" s="121"/>
      <c r="AR1015" s="121"/>
      <c r="AS1015" s="121"/>
      <c r="AT1015" s="104"/>
      <c r="AU1015" s="1359" t="str">
        <f t="shared" si="352"/>
        <v>-</v>
      </c>
    </row>
    <row r="1016" spans="1:47" s="144" customFormat="1" hidden="1" x14ac:dyDescent="0.2">
      <c r="A1016" s="437" t="s">
        <v>187</v>
      </c>
      <c r="B1016" s="1061"/>
      <c r="C1016" s="94" t="s">
        <v>2530</v>
      </c>
      <c r="D1016" s="94"/>
      <c r="E1016" s="84" t="s">
        <v>2529</v>
      </c>
      <c r="F1016" s="84" t="s">
        <v>105</v>
      </c>
      <c r="G1016" s="68" t="s">
        <v>519</v>
      </c>
      <c r="H1016" s="68" t="s">
        <v>519</v>
      </c>
      <c r="I1016" s="68" t="s">
        <v>52</v>
      </c>
      <c r="J1016" s="140" t="s">
        <v>53</v>
      </c>
      <c r="K1016" s="68" t="s">
        <v>119</v>
      </c>
      <c r="L1016" s="68" t="s">
        <v>120</v>
      </c>
      <c r="M1016" s="141"/>
      <c r="N1016" s="71"/>
      <c r="O1016" s="68" t="s">
        <v>64</v>
      </c>
      <c r="P1016" s="68">
        <v>16</v>
      </c>
      <c r="Q1016" s="68">
        <v>20</v>
      </c>
      <c r="R1016" s="68">
        <v>16</v>
      </c>
      <c r="S1016" s="68">
        <v>20</v>
      </c>
      <c r="T1016" s="68">
        <v>18</v>
      </c>
      <c r="U1016" s="68">
        <v>22</v>
      </c>
      <c r="V1016" s="917">
        <f t="shared" si="358"/>
        <v>24</v>
      </c>
      <c r="W1016" s="917">
        <f t="shared" si="359"/>
        <v>28</v>
      </c>
      <c r="X1016" s="189">
        <v>40</v>
      </c>
      <c r="Y1016" s="68">
        <v>16</v>
      </c>
      <c r="Z1016" s="68">
        <v>20</v>
      </c>
      <c r="AA1016" s="727">
        <f t="shared" si="356"/>
        <v>4.666666666666667</v>
      </c>
      <c r="AB1016" s="341">
        <f>Table1[[#This Row],[Substrate SF]]*Swiss1</f>
        <v>132.06666666666669</v>
      </c>
      <c r="AC1016" s="278">
        <f>MDFSHEET/10</f>
        <v>2.4350000000000001</v>
      </c>
      <c r="AD1016" s="263">
        <f>Table1[[#This Row],[Substrate SF]]*SWISSC1</f>
        <v>13.066666666666666</v>
      </c>
      <c r="AE1016" s="74">
        <f>IF(Table1[[#This Row],[Work Center]]="SwissQ",Materials!G$37,IF(Table1[[#This Row],[Work Center]]="Inca",Materials!G$29,IF(Table1[[#This Row],[Work Center]]="Canon",Materials!G$49,Materials!G$45)))</f>
        <v>20</v>
      </c>
      <c r="AF1016" s="73">
        <f>'Cali FPS'!C191</f>
        <v>78.89</v>
      </c>
      <c r="AG1016" s="126"/>
      <c r="AH1016" s="498">
        <v>0</v>
      </c>
      <c r="AI1016" s="498"/>
      <c r="AJ1016" s="278">
        <f t="shared" si="355"/>
        <v>114.39166666666667</v>
      </c>
      <c r="AK1016" s="650" t="e">
        <f t="shared" si="357"/>
        <v>#DIV/0!</v>
      </c>
      <c r="AL1016" s="225">
        <f>Table1[[#This Row],[WSP/Dealer]]/Table1[[#This Row],[OD Sq Inch]]</f>
        <v>0</v>
      </c>
      <c r="AM1016" s="170">
        <f>Table1[[#This Row],[OD Wdth]]*Table1[[#This Row],[OD Hgt]]</f>
        <v>396</v>
      </c>
      <c r="AN1016" s="274" t="str">
        <f>Table1[[#This Row],[Color]]</f>
        <v>GT</v>
      </c>
      <c r="AO1016" s="84" t="str">
        <f>Table1[[#This Row],[Print Type]]</f>
        <v>Synograph</v>
      </c>
      <c r="AP1016" s="126"/>
      <c r="AQ1016" s="126"/>
      <c r="AR1016" s="126"/>
      <c r="AS1016" s="126"/>
      <c r="AT1016" s="74"/>
      <c r="AU1016" s="1357" t="str">
        <f t="shared" si="352"/>
        <v>-</v>
      </c>
    </row>
    <row r="1017" spans="1:47" s="399" customFormat="1" hidden="1" x14ac:dyDescent="0.2">
      <c r="A1017" s="180" t="s">
        <v>95</v>
      </c>
      <c r="B1017" s="279" t="s">
        <v>96</v>
      </c>
      <c r="C1017" s="76" t="s">
        <v>2531</v>
      </c>
      <c r="D1017" s="94"/>
      <c r="E1017" s="83" t="s">
        <v>2532</v>
      </c>
      <c r="F1017" s="83" t="s">
        <v>1981</v>
      </c>
      <c r="G1017" s="60" t="s">
        <v>643</v>
      </c>
      <c r="H1017" s="60" t="s">
        <v>806</v>
      </c>
      <c r="I1017" s="60" t="s">
        <v>108</v>
      </c>
      <c r="J1017" s="59" t="s">
        <v>53</v>
      </c>
      <c r="K1017" s="60" t="s">
        <v>69</v>
      </c>
      <c r="L1017" s="60" t="s">
        <v>315</v>
      </c>
      <c r="M1017" s="179">
        <v>375</v>
      </c>
      <c r="N1017" s="72"/>
      <c r="O1017" s="470" t="s">
        <v>109</v>
      </c>
      <c r="P1017" s="60">
        <v>20</v>
      </c>
      <c r="Q1017" s="60">
        <v>16</v>
      </c>
      <c r="R1017" s="60">
        <v>16</v>
      </c>
      <c r="S1017" s="273">
        <v>20</v>
      </c>
      <c r="T1017" s="60">
        <v>21</v>
      </c>
      <c r="U1017" s="60">
        <v>17</v>
      </c>
      <c r="V1017" s="946">
        <f t="shared" si="358"/>
        <v>28</v>
      </c>
      <c r="W1017" s="946">
        <f t="shared" si="359"/>
        <v>24</v>
      </c>
      <c r="X1017" s="138">
        <v>40</v>
      </c>
      <c r="Y1017" s="60">
        <v>28</v>
      </c>
      <c r="Z1017" s="60">
        <v>24</v>
      </c>
      <c r="AA1017" s="678">
        <f t="shared" si="356"/>
        <v>4.666666666666667</v>
      </c>
      <c r="AB1017" s="329">
        <f>AA1017*EPSONM</f>
        <v>21</v>
      </c>
      <c r="AC1017" s="176">
        <f>AA1017*Canvas</f>
        <v>3.0800000000000005</v>
      </c>
      <c r="AD1017" s="176">
        <f>Table1[[#This Row],[Ink g/mL]]*EPSONC</f>
        <v>4.62</v>
      </c>
      <c r="AE1017" s="176">
        <f>IF(Table1[[#This Row],[Work Center]]="SwissQ",Materials!G$37,IF(Table1[[#This Row],[Work Center]]="Inca",Materials!G$29,IF(Table1[[#This Row],[Work Center]]="Canon",Materials!G$49,Materials!G$45)))</f>
        <v>5</v>
      </c>
      <c r="AF1017" s="72">
        <f>'Cali Frames'!D504</f>
        <v>83.25</v>
      </c>
      <c r="AG1017" s="83"/>
      <c r="AH1017" s="69">
        <f t="shared" ref="AH1017:AH1037" si="360">(M1017*0.05)</f>
        <v>18.75</v>
      </c>
      <c r="AI1017" s="278"/>
      <c r="AJ1017" s="69">
        <f t="shared" si="355"/>
        <v>114.7</v>
      </c>
      <c r="AK1017" s="650">
        <f t="shared" si="357"/>
        <v>0.69413333333333338</v>
      </c>
      <c r="AL1017" s="225">
        <f>Table1[[#This Row],[WSP/Dealer]]/Table1[[#This Row],[OD Sq Inch]]</f>
        <v>1.0504201680672269</v>
      </c>
      <c r="AM1017" s="216">
        <f>Table1[[#This Row],[OD Wdth]]*Table1[[#This Row],[OD Hgt]]</f>
        <v>357</v>
      </c>
      <c r="AN1017" s="216">
        <f>Table1[[#This Row],[Min VO]]+Table1[[#This Row],[Max VO]]</f>
        <v>36</v>
      </c>
      <c r="AO1017" s="83"/>
      <c r="AP1017" s="83"/>
      <c r="AQ1017" s="540"/>
      <c r="AR1017" s="540"/>
      <c r="AS1017" s="540"/>
      <c r="AT1017" s="69"/>
      <c r="AU1017" s="1361" t="str">
        <f t="shared" si="352"/>
        <v>-</v>
      </c>
    </row>
    <row r="1018" spans="1:47" s="170" customFormat="1" x14ac:dyDescent="0.2">
      <c r="A1018" s="86" t="s">
        <v>58</v>
      </c>
      <c r="B1018" s="279" t="s">
        <v>406</v>
      </c>
      <c r="C1018" s="100" t="s">
        <v>2533</v>
      </c>
      <c r="D1018" s="94" t="s">
        <v>2534</v>
      </c>
      <c r="E1018" s="85" t="s">
        <v>2535</v>
      </c>
      <c r="F1018" s="85" t="s">
        <v>1981</v>
      </c>
      <c r="G1018" s="86" t="s">
        <v>2536</v>
      </c>
      <c r="H1018" s="86" t="s">
        <v>2537</v>
      </c>
      <c r="I1018" s="86" t="s">
        <v>52</v>
      </c>
      <c r="J1018" s="86" t="s">
        <v>280</v>
      </c>
      <c r="K1018" s="86" t="s">
        <v>2072</v>
      </c>
      <c r="L1018" s="86" t="s">
        <v>2073</v>
      </c>
      <c r="M1018" s="87">
        <v>880</v>
      </c>
      <c r="N1018" s="639">
        <v>880</v>
      </c>
      <c r="O1018" s="145" t="s">
        <v>575</v>
      </c>
      <c r="P1018" s="101">
        <v>20</v>
      </c>
      <c r="Q1018" s="101">
        <v>24</v>
      </c>
      <c r="R1018" s="60">
        <v>20</v>
      </c>
      <c r="S1018" s="273">
        <v>24</v>
      </c>
      <c r="T1018" s="101">
        <v>23</v>
      </c>
      <c r="U1018" s="101" t="str">
        <f>RIGHT(H1018,2)</f>
        <v>23</v>
      </c>
      <c r="V1018" s="608">
        <f t="shared" si="358"/>
        <v>20</v>
      </c>
      <c r="W1018" s="608">
        <f t="shared" si="359"/>
        <v>24</v>
      </c>
      <c r="X1018" s="137" t="s">
        <v>675</v>
      </c>
      <c r="Y1018" s="101"/>
      <c r="Z1018" s="101"/>
      <c r="AA1018" s="649">
        <f t="shared" si="356"/>
        <v>3.3333333333333335</v>
      </c>
      <c r="AB1018" s="125">
        <f>AA1018*Swiss1</f>
        <v>94.333333333333343</v>
      </c>
      <c r="AC1018" s="104">
        <f>PETG48/8</f>
        <v>6.0824999999999996</v>
      </c>
      <c r="AD1018" s="104">
        <f>Table1[[#This Row],[Substrate SF]]*Materials!C$37</f>
        <v>9.3333333333333339</v>
      </c>
      <c r="AE1018" s="104">
        <f>IF(Table1[[#This Row],[Work Center]]="SwissQ",Materials!G$37,IF(Table1[[#This Row],[Work Center]]="Inca",Materials!G$29,IF(Table1[[#This Row],[Work Center]]="Canon",Materials!G$49,Materials!G$45)))</f>
        <v>5</v>
      </c>
      <c r="AF1018" s="104">
        <f>'Cali Frames'!D$178</f>
        <v>288.12</v>
      </c>
      <c r="AG1018" s="115"/>
      <c r="AH1018" s="498">
        <f t="shared" si="360"/>
        <v>44</v>
      </c>
      <c r="AI1018" s="498"/>
      <c r="AJ1018" s="104">
        <f t="shared" si="355"/>
        <v>352.53583333333336</v>
      </c>
      <c r="AK1018" s="650">
        <f t="shared" si="357"/>
        <v>0.59939109848484851</v>
      </c>
      <c r="AL1018" s="225">
        <f>Table1[[#This Row],[WSP/Dealer]]/Table1[[#This Row],[OD Sq Inch]]</f>
        <v>1.66351606805293</v>
      </c>
      <c r="AM1018" s="101">
        <f>Table1[[#This Row],[OD Wdth]]*Table1[[#This Row],[OD Hgt]]</f>
        <v>529</v>
      </c>
      <c r="AN1018" s="216">
        <f>Table1[[#This Row],[Min VO]]+Table1[[#This Row],[Max VO]]</f>
        <v>44</v>
      </c>
      <c r="AO1018" s="101"/>
      <c r="AP1018" s="101"/>
      <c r="AQ1018" s="104"/>
      <c r="AR1018" s="104"/>
      <c r="AS1018" s="104"/>
      <c r="AT1018" s="104"/>
      <c r="AU1018" s="830" t="str">
        <f t="shared" si="352"/>
        <v>-</v>
      </c>
    </row>
    <row r="1019" spans="1:47" s="170" customFormat="1" hidden="1" x14ac:dyDescent="0.2">
      <c r="A1019" s="400" t="s">
        <v>110</v>
      </c>
      <c r="B1019" s="1062" t="s">
        <v>250</v>
      </c>
      <c r="C1019" s="496" t="s">
        <v>2538</v>
      </c>
      <c r="D1019" s="689"/>
      <c r="E1019" s="401" t="s">
        <v>2535</v>
      </c>
      <c r="F1019" s="115" t="s">
        <v>1981</v>
      </c>
      <c r="G1019" s="400" t="s">
        <v>2536</v>
      </c>
      <c r="H1019" s="400" t="s">
        <v>2539</v>
      </c>
      <c r="I1019" s="400" t="s">
        <v>52</v>
      </c>
      <c r="J1019" s="497" t="s">
        <v>53</v>
      </c>
      <c r="K1019" s="400" t="s">
        <v>69</v>
      </c>
      <c r="L1019" s="400" t="s">
        <v>73</v>
      </c>
      <c r="M1019" s="832">
        <v>375</v>
      </c>
      <c r="N1019" s="832"/>
      <c r="O1019" s="400" t="s">
        <v>64</v>
      </c>
      <c r="P1019" s="101">
        <v>24</v>
      </c>
      <c r="Q1019" s="101">
        <v>20</v>
      </c>
      <c r="R1019" s="101">
        <v>20</v>
      </c>
      <c r="S1019" s="697">
        <v>24</v>
      </c>
      <c r="T1019" s="400">
        <v>25</v>
      </c>
      <c r="U1019" s="400">
        <v>21</v>
      </c>
      <c r="V1019" s="608">
        <f t="shared" si="358"/>
        <v>32</v>
      </c>
      <c r="W1019" s="608">
        <f t="shared" si="359"/>
        <v>28</v>
      </c>
      <c r="X1019" s="400">
        <v>40</v>
      </c>
      <c r="Y1019" s="400">
        <v>32</v>
      </c>
      <c r="Z1019" s="400">
        <v>28</v>
      </c>
      <c r="AA1019" s="649">
        <f t="shared" si="356"/>
        <v>6.2222222222222223</v>
      </c>
      <c r="AB1019" s="184">
        <f>AA1019*Swiss1</f>
        <v>176.0888888888889</v>
      </c>
      <c r="AC1019" s="104">
        <f>PETG48/8</f>
        <v>6.0824999999999996</v>
      </c>
      <c r="AD1019" s="107">
        <f>Table1[[#This Row],[Substrate SF]]*Materials!C$37</f>
        <v>17.422222222222221</v>
      </c>
      <c r="AE1019" s="104">
        <f>IF(Table1[[#This Row],[Work Center]]="SwissQ",Materials!G$37,IF(Table1[[#This Row],[Work Center]]="Inca",Materials!G$29,IF(Table1[[#This Row],[Work Center]]="Canon",Materials!G$49,Materials!G$45)))</f>
        <v>20</v>
      </c>
      <c r="AF1019" s="403">
        <f>'Cali Frames'!D418</f>
        <v>79.660000000000011</v>
      </c>
      <c r="AG1019" s="401"/>
      <c r="AH1019" s="104">
        <f t="shared" si="360"/>
        <v>18.75</v>
      </c>
      <c r="AI1019" s="406">
        <f>IF(A1019="Codarus",(M1019*0.13))</f>
        <v>48.75</v>
      </c>
      <c r="AJ1019" s="104">
        <f>SUM(AC1019:AI1019)</f>
        <v>190.66472222222222</v>
      </c>
      <c r="AK1019" s="830">
        <f t="shared" si="357"/>
        <v>0.49156074074074074</v>
      </c>
      <c r="AL1019" s="660">
        <f>Table1[[#This Row],[WSP/Dealer]]/Table1[[#This Row],[OD Sq Inch]]</f>
        <v>0.7142857142857143</v>
      </c>
      <c r="AM1019" s="266">
        <f>Table1[[#This Row],[OD Wdth]]*Table1[[#This Row],[OD Hgt]]</f>
        <v>525</v>
      </c>
      <c r="AN1019" s="266">
        <f>Table1[[#This Row],[Min VO]]+Table1[[#This Row],[Max VO]]</f>
        <v>44</v>
      </c>
      <c r="AO1019" s="401"/>
      <c r="AP1019" s="1307">
        <v>750</v>
      </c>
      <c r="AQ1019" s="121">
        <f>(Table1[[#This Row],[Desgnr/Retail P]]*0.05)</f>
        <v>37.5</v>
      </c>
      <c r="AR1019" s="121">
        <f>IF(A1019="Codarus",(AP1019*0.13))</f>
        <v>97.5</v>
      </c>
      <c r="AS1019" s="121">
        <f>SUM(Table1[[#This Row],[Substrate $]:[GP FINISH]])+Table1[[#This Row],[Retail Royalty]]+Table1[[#This Row],[Retail$Comm]]</f>
        <v>258.16472222222222</v>
      </c>
      <c r="AT1019" s="830">
        <f>IF(AP1019=0,"-",(AP1019-AS1019)/AP1019)</f>
        <v>0.6557803703703704</v>
      </c>
      <c r="AU1019" s="1359">
        <f t="shared" si="352"/>
        <v>0.98251252345679008</v>
      </c>
    </row>
    <row r="1020" spans="1:47" s="900" customFormat="1" hidden="1" x14ac:dyDescent="0.2">
      <c r="A1020" s="274" t="s">
        <v>110</v>
      </c>
      <c r="B1020" s="1061" t="s">
        <v>250</v>
      </c>
      <c r="C1020" s="323" t="s">
        <v>2540</v>
      </c>
      <c r="D1020" s="317"/>
      <c r="E1020" s="275" t="s">
        <v>2535</v>
      </c>
      <c r="F1020" s="84" t="s">
        <v>1981</v>
      </c>
      <c r="G1020" s="274" t="s">
        <v>2536</v>
      </c>
      <c r="H1020" s="274" t="s">
        <v>2537</v>
      </c>
      <c r="I1020" s="274" t="s">
        <v>52</v>
      </c>
      <c r="J1020" s="344" t="s">
        <v>53</v>
      </c>
      <c r="K1020" s="274" t="s">
        <v>814</v>
      </c>
      <c r="L1020" s="274" t="s">
        <v>815</v>
      </c>
      <c r="M1020" s="318">
        <v>400</v>
      </c>
      <c r="N1020" s="318"/>
      <c r="O1020" s="274" t="s">
        <v>64</v>
      </c>
      <c r="P1020" s="68">
        <v>24</v>
      </c>
      <c r="Q1020" s="68">
        <v>20</v>
      </c>
      <c r="R1020" s="68">
        <v>20</v>
      </c>
      <c r="S1020" s="623">
        <v>24</v>
      </c>
      <c r="T1020" s="274">
        <v>25</v>
      </c>
      <c r="U1020" s="274">
        <v>21</v>
      </c>
      <c r="V1020" s="66">
        <f t="shared" si="358"/>
        <v>32</v>
      </c>
      <c r="W1020" s="66">
        <f t="shared" si="359"/>
        <v>28</v>
      </c>
      <c r="X1020" s="274">
        <v>40</v>
      </c>
      <c r="Y1020" s="274">
        <v>32</v>
      </c>
      <c r="Z1020" s="274">
        <v>28</v>
      </c>
      <c r="AA1020" s="699">
        <f t="shared" si="356"/>
        <v>6.2222222222222223</v>
      </c>
      <c r="AB1020" s="297">
        <f>AA1020*Swiss1</f>
        <v>176.0888888888889</v>
      </c>
      <c r="AC1020" s="74">
        <f>PETG48/8</f>
        <v>6.0824999999999996</v>
      </c>
      <c r="AD1020" s="67">
        <f>Table1[[#This Row],[Substrate SF]]*Materials!C$37</f>
        <v>17.422222222222221</v>
      </c>
      <c r="AE1020" s="74">
        <f>IF(Table1[[#This Row],[Work Center]]="SwissQ",Materials!G$37,IF(Table1[[#This Row],[Work Center]]="Inca",Materials!G$29,IF(Table1[[#This Row],[Work Center]]="Canon",Materials!G$49,Materials!G$45)))</f>
        <v>20</v>
      </c>
      <c r="AF1020" s="321">
        <f>'Cali Frames'!D197</f>
        <v>121.71</v>
      </c>
      <c r="AG1020" s="275"/>
      <c r="AH1020" s="74">
        <f t="shared" si="360"/>
        <v>20</v>
      </c>
      <c r="AI1020" s="278">
        <f>IF(A1020="Codarus",(M1020*0.13))</f>
        <v>52</v>
      </c>
      <c r="AJ1020" s="74">
        <f>SUM(AC1020:AI1020)</f>
        <v>237.21472222222221</v>
      </c>
      <c r="AK1020" s="1001">
        <f t="shared" si="357"/>
        <v>0.40696319444444451</v>
      </c>
      <c r="AL1020" s="240">
        <f>Table1[[#This Row],[WSP/Dealer]]/Table1[[#This Row],[OD Sq Inch]]</f>
        <v>0.76190476190476186</v>
      </c>
      <c r="AM1020" s="235">
        <f>Table1[[#This Row],[OD Wdth]]*Table1[[#This Row],[OD Hgt]]</f>
        <v>525</v>
      </c>
      <c r="AN1020" s="238">
        <f>Table1[[#This Row],[Min VO]]+Table1[[#This Row],[Max VO]]</f>
        <v>44</v>
      </c>
      <c r="AO1020" s="275"/>
      <c r="AP1020" s="1029">
        <v>800</v>
      </c>
      <c r="AQ1020" s="126">
        <f>(Table1[[#This Row],[Desgnr/Retail P]]*0.05)</f>
        <v>40</v>
      </c>
      <c r="AR1020" s="126">
        <f>IF(A1020="Codarus",(AP1020*0.13))</f>
        <v>104</v>
      </c>
      <c r="AS1020" s="126">
        <f>SUM(Table1[[#This Row],[Substrate $]:[GP FINISH]])+Table1[[#This Row],[Retail Royalty]]+Table1[[#This Row],[Retail$Comm]]</f>
        <v>309.21472222222224</v>
      </c>
      <c r="AT1020" s="1001">
        <f>IF(AP1020=0,"-",(AP1020-AS1020)/AP1020)</f>
        <v>0.61348159722222217</v>
      </c>
      <c r="AU1020" s="1357">
        <f t="shared" si="352"/>
        <v>0.98466296006944432</v>
      </c>
    </row>
    <row r="1021" spans="1:47" s="144" customFormat="1" x14ac:dyDescent="0.2">
      <c r="A1021" s="86" t="s">
        <v>58</v>
      </c>
      <c r="B1021" s="1061" t="s">
        <v>406</v>
      </c>
      <c r="C1021" s="1646" t="s">
        <v>2533</v>
      </c>
      <c r="D1021" s="94" t="s">
        <v>2534</v>
      </c>
      <c r="E1021" s="85" t="s">
        <v>2535</v>
      </c>
      <c r="F1021" s="85" t="s">
        <v>1981</v>
      </c>
      <c r="G1021" s="86" t="s">
        <v>2536</v>
      </c>
      <c r="H1021" s="86" t="s">
        <v>2537</v>
      </c>
      <c r="I1021" s="86" t="s">
        <v>52</v>
      </c>
      <c r="J1021" s="86" t="s">
        <v>280</v>
      </c>
      <c r="K1021" s="86" t="s">
        <v>814</v>
      </c>
      <c r="L1021" s="86" t="s">
        <v>815</v>
      </c>
      <c r="M1021" s="87">
        <v>880</v>
      </c>
      <c r="N1021" s="639">
        <v>880</v>
      </c>
      <c r="O1021" s="68" t="s">
        <v>64</v>
      </c>
      <c r="P1021" s="68">
        <v>20</v>
      </c>
      <c r="Q1021" s="68">
        <v>24</v>
      </c>
      <c r="R1021" s="68">
        <v>20</v>
      </c>
      <c r="S1021" s="623">
        <v>24</v>
      </c>
      <c r="T1021" s="68">
        <v>23</v>
      </c>
      <c r="U1021" s="68" t="str">
        <f>RIGHT(H1021,2)</f>
        <v>23</v>
      </c>
      <c r="V1021" s="917">
        <f t="shared" si="358"/>
        <v>20</v>
      </c>
      <c r="W1021" s="917">
        <f t="shared" si="359"/>
        <v>24</v>
      </c>
      <c r="X1021" s="189" t="s">
        <v>675</v>
      </c>
      <c r="Y1021" s="68"/>
      <c r="Z1021" s="68"/>
      <c r="AA1021" s="699">
        <f t="shared" si="356"/>
        <v>3.3333333333333335</v>
      </c>
      <c r="AB1021" s="125">
        <f>AA1021*Swiss1</f>
        <v>94.333333333333343</v>
      </c>
      <c r="AC1021" s="74">
        <f>PETG48/8</f>
        <v>6.0824999999999996</v>
      </c>
      <c r="AD1021" s="67">
        <f>Table1[[#This Row],[Substrate SF]]*Materials!C$37</f>
        <v>9.3333333333333339</v>
      </c>
      <c r="AE1021" s="104">
        <f>IF(Table1[[#This Row],[Work Center]]="SwissQ",Materials!G$37,IF(Table1[[#This Row],[Work Center]]="Inca",Materials!G$29,IF(Table1[[#This Row],[Work Center]]="Canon",Materials!G$49,Materials!G$45)))</f>
        <v>20</v>
      </c>
      <c r="AF1021" s="74">
        <f>'Cali Frames'!D$197</f>
        <v>121.71</v>
      </c>
      <c r="AG1021" s="115"/>
      <c r="AH1021" s="498">
        <f t="shared" si="360"/>
        <v>44</v>
      </c>
      <c r="AI1021" s="498"/>
      <c r="AJ1021" s="74">
        <f>SUM(AC1021:AH1021)</f>
        <v>201.12583333333333</v>
      </c>
      <c r="AK1021" s="650">
        <f t="shared" si="357"/>
        <v>0.77144791666666668</v>
      </c>
      <c r="AL1021" s="225">
        <f>Table1[[#This Row],[WSP/Dealer]]/Table1[[#This Row],[OD Sq Inch]]</f>
        <v>1.66351606805293</v>
      </c>
      <c r="AM1021" s="218">
        <f>Table1[[#This Row],[OD Wdth]]*Table1[[#This Row],[OD Hgt]]</f>
        <v>529</v>
      </c>
      <c r="AN1021" s="216">
        <f>Table1[[#This Row],[Min VO]]+Table1[[#This Row],[Max VO]]</f>
        <v>44</v>
      </c>
      <c r="AO1021" s="68"/>
      <c r="AP1021" s="68"/>
      <c r="AQ1021" s="74"/>
      <c r="AR1021" s="74"/>
      <c r="AS1021" s="74"/>
      <c r="AT1021" s="74"/>
      <c r="AU1021" s="1001" t="str">
        <f t="shared" si="352"/>
        <v>-</v>
      </c>
    </row>
    <row r="1022" spans="1:47" s="144" customFormat="1" hidden="1" x14ac:dyDescent="0.2">
      <c r="A1022" s="869" t="s">
        <v>101</v>
      </c>
      <c r="B1022" s="1061" t="s">
        <v>486</v>
      </c>
      <c r="C1022" s="1728" t="s">
        <v>2541</v>
      </c>
      <c r="D1022" s="94"/>
      <c r="E1022" s="872" t="s">
        <v>2535</v>
      </c>
      <c r="F1022" s="872" t="s">
        <v>1981</v>
      </c>
      <c r="G1022" s="869" t="s">
        <v>2536</v>
      </c>
      <c r="H1022" s="869" t="s">
        <v>2537</v>
      </c>
      <c r="I1022" s="869" t="s">
        <v>574</v>
      </c>
      <c r="J1022" s="873" t="s">
        <v>280</v>
      </c>
      <c r="K1022" s="869" t="s">
        <v>814</v>
      </c>
      <c r="L1022" s="869" t="s">
        <v>815</v>
      </c>
      <c r="M1022" s="141">
        <v>300</v>
      </c>
      <c r="N1022" s="890"/>
      <c r="O1022" s="869" t="s">
        <v>575</v>
      </c>
      <c r="P1022" s="869">
        <v>24</v>
      </c>
      <c r="Q1022" s="869">
        <v>20</v>
      </c>
      <c r="R1022" s="869">
        <v>20</v>
      </c>
      <c r="S1022" s="1485">
        <v>24</v>
      </c>
      <c r="T1022" s="869">
        <v>27</v>
      </c>
      <c r="U1022" s="869">
        <v>23</v>
      </c>
      <c r="V1022" s="1670">
        <v>24</v>
      </c>
      <c r="W1022" s="1670">
        <v>20</v>
      </c>
      <c r="X1022" s="1159" t="s">
        <v>283</v>
      </c>
      <c r="Y1022" s="918">
        <f>Table1[[#This Row],[Print Wth]]</f>
        <v>24</v>
      </c>
      <c r="Z1022" s="918">
        <f>Table1[[#This Row],[Print Ht]]</f>
        <v>20</v>
      </c>
      <c r="AA1022" s="1011">
        <f>Table1[[#This Row],[Cut Width]]*Table1[[#This Row],[Cut Height]]/144</f>
        <v>3.3333333333333335</v>
      </c>
      <c r="AB1022" s="1015">
        <f>(Table1[[#This Row],[Print Wth]]*Table1[[#This Row],[Print Ht]])/144*Materials!$C$40</f>
        <v>6.666666666666667</v>
      </c>
      <c r="AC1022" s="863">
        <f>MDFSHEET/8</f>
        <v>3.0437500000000002</v>
      </c>
      <c r="AD1022" s="405">
        <f>Table1[[#This Row],[Substrate SF]]*Materials!$C$42</f>
        <v>1.0666666666666667</v>
      </c>
      <c r="AE1022" s="104">
        <v>10</v>
      </c>
      <c r="AF1022" s="882">
        <f>'Cali Frames'!D197</f>
        <v>121.71</v>
      </c>
      <c r="AG1022" s="872"/>
      <c r="AH1022" s="862">
        <f t="shared" si="360"/>
        <v>15</v>
      </c>
      <c r="AI1022" s="862"/>
      <c r="AJ1022" s="867">
        <f>SUM(AC1022:AH1022)</f>
        <v>150.82041666666666</v>
      </c>
      <c r="AK1022" s="894">
        <f t="shared" si="357"/>
        <v>0.49726527777777779</v>
      </c>
      <c r="AL1022" s="895">
        <f>Table1[[#This Row],[WSP/Dealer]]/Table1[[#This Row],[OD Sq Inch]]</f>
        <v>0.48309178743961351</v>
      </c>
      <c r="AM1022" s="868">
        <f>Table1[[#This Row],[OD Wdth]]*Table1[[#This Row],[OD Hgt]]</f>
        <v>621</v>
      </c>
      <c r="AN1022" s="869">
        <f>Table1[[#This Row],[Min VO]]+Table1[[#This Row],[Max VO]]</f>
        <v>44</v>
      </c>
      <c r="AO1022" s="653" t="str">
        <f>Table1[[#This Row],[Print Type]]</f>
        <v>Reductive+</v>
      </c>
      <c r="AP1022" s="872"/>
      <c r="AQ1022" s="994"/>
      <c r="AR1022" s="994"/>
      <c r="AS1022" s="994"/>
      <c r="AT1022" s="867"/>
      <c r="AU1022" s="1373" t="str">
        <f t="shared" si="352"/>
        <v>-</v>
      </c>
    </row>
    <row r="1023" spans="1:47" s="20" customFormat="1" x14ac:dyDescent="0.2">
      <c r="A1023" s="400" t="s">
        <v>581</v>
      </c>
      <c r="B1023" s="1061" t="s">
        <v>292</v>
      </c>
      <c r="C1023" s="100" t="s">
        <v>2542</v>
      </c>
      <c r="D1023" s="94" t="s">
        <v>2543</v>
      </c>
      <c r="E1023" s="401" t="s">
        <v>2544</v>
      </c>
      <c r="F1023" s="401" t="s">
        <v>531</v>
      </c>
      <c r="G1023" s="400" t="s">
        <v>2545</v>
      </c>
      <c r="H1023" s="400" t="s">
        <v>2546</v>
      </c>
      <c r="I1023" s="400" t="s">
        <v>52</v>
      </c>
      <c r="J1023" s="497" t="s">
        <v>53</v>
      </c>
      <c r="K1023" s="400" t="s">
        <v>82</v>
      </c>
      <c r="L1023" s="400" t="s">
        <v>298</v>
      </c>
      <c r="M1023" s="832">
        <v>1300</v>
      </c>
      <c r="N1023" s="832">
        <v>1300</v>
      </c>
      <c r="O1023" s="400" t="s">
        <v>56</v>
      </c>
      <c r="P1023" s="400">
        <v>72</v>
      </c>
      <c r="Q1023" s="400">
        <v>42</v>
      </c>
      <c r="R1023" s="400">
        <v>42</v>
      </c>
      <c r="S1023" s="1244">
        <v>72</v>
      </c>
      <c r="T1023" s="400">
        <v>73</v>
      </c>
      <c r="U1023" s="400">
        <v>43</v>
      </c>
      <c r="V1023" s="404">
        <f>IF(J1023="Canvas",P1023+BorderL,P1023)</f>
        <v>83</v>
      </c>
      <c r="W1023" s="404">
        <f>IF(J1023="Canvas",Q1023+BorderL,Q1023)</f>
        <v>53</v>
      </c>
      <c r="X1023" s="400">
        <v>53</v>
      </c>
      <c r="Y1023" s="400">
        <v>83</v>
      </c>
      <c r="Z1023" s="400">
        <v>53</v>
      </c>
      <c r="AA1023" s="724">
        <f t="shared" ref="AA1023:AA1037" si="361">V1023*W1023/144</f>
        <v>30.548611111111111</v>
      </c>
      <c r="AB1023" s="633">
        <f>AA1023*IncaG</f>
        <v>642.74277777777775</v>
      </c>
      <c r="AC1023" s="406">
        <f t="shared" ref="AC1023:AC1037" si="362">AA1023*Canvas</f>
        <v>20.162083333333335</v>
      </c>
      <c r="AD1023" s="405">
        <f>AA1023*IncaC</f>
        <v>51.419422222222224</v>
      </c>
      <c r="AE1023" s="406">
        <f>IF(Table1[[#This Row],[Work Center]]="SwissQ",Materials!G$37,IF(Table1[[#This Row],[Work Center]]="Inca",Materials!G$29,IF(Table1[[#This Row],[Work Center]]="Canon",Materials!G$49,Materials!G$45)))</f>
        <v>8</v>
      </c>
      <c r="AF1023" s="403">
        <f>'Cali Frames'!D236</f>
        <v>247.99250000000001</v>
      </c>
      <c r="AG1023" s="540"/>
      <c r="AH1023" s="107">
        <f t="shared" si="360"/>
        <v>65</v>
      </c>
      <c r="AI1023" s="107"/>
      <c r="AJ1023" s="406">
        <f>SUM(AC1023:AH1023)</f>
        <v>392.57400555555557</v>
      </c>
      <c r="AK1023" s="108">
        <f t="shared" si="357"/>
        <v>0.69801999572649576</v>
      </c>
      <c r="AL1023" s="660">
        <f>Table1[[#This Row],[WSP/Dealer]]/Table1[[#This Row],[OD Sq Inch]]</f>
        <v>0.41414463204842306</v>
      </c>
      <c r="AM1023" s="400">
        <f>Table1[[#This Row],[OD Wdth]]*Table1[[#This Row],[OD Hgt]]</f>
        <v>3139</v>
      </c>
      <c r="AN1023" s="400">
        <f>Table1[[#This Row],[Min VO]]+Table1[[#This Row],[Max VO]]</f>
        <v>114</v>
      </c>
      <c r="AO1023" s="401"/>
      <c r="AP1023" s="401"/>
      <c r="AQ1023" s="1000"/>
      <c r="AR1023" s="1000"/>
      <c r="AS1023" s="1000"/>
      <c r="AT1023" s="406"/>
      <c r="AU1023" s="1366" t="str">
        <f t="shared" si="352"/>
        <v>-</v>
      </c>
    </row>
    <row r="1024" spans="1:47" s="20" customFormat="1" hidden="1" x14ac:dyDescent="0.2">
      <c r="A1024" s="101" t="s">
        <v>110</v>
      </c>
      <c r="B1024" s="1067" t="s">
        <v>134</v>
      </c>
      <c r="C1024" s="100" t="s">
        <v>2547</v>
      </c>
      <c r="D1024" s="168"/>
      <c r="E1024" s="115" t="s">
        <v>2548</v>
      </c>
      <c r="F1024" s="115" t="s">
        <v>2549</v>
      </c>
      <c r="G1024" s="101" t="s">
        <v>449</v>
      </c>
      <c r="H1024" s="101" t="s">
        <v>449</v>
      </c>
      <c r="I1024" s="101" t="s">
        <v>52</v>
      </c>
      <c r="J1024" s="487" t="s">
        <v>53</v>
      </c>
      <c r="K1024" s="101" t="s">
        <v>54</v>
      </c>
      <c r="L1024" s="101" t="s">
        <v>55</v>
      </c>
      <c r="M1024" s="299">
        <v>400</v>
      </c>
      <c r="N1024" s="114"/>
      <c r="O1024" s="101" t="s">
        <v>56</v>
      </c>
      <c r="P1024" s="101">
        <v>36</v>
      </c>
      <c r="Q1024" s="101">
        <v>36</v>
      </c>
      <c r="R1024" s="101">
        <v>36</v>
      </c>
      <c r="S1024" s="697">
        <v>36</v>
      </c>
      <c r="T1024" s="101">
        <v>36</v>
      </c>
      <c r="U1024" s="101">
        <v>36</v>
      </c>
      <c r="V1024" s="106">
        <f>IF(J1024="Canvas",P1024+Border,P1024)</f>
        <v>44</v>
      </c>
      <c r="W1024" s="106">
        <f>IF(J1024="Canvas",Q1024+Border,Q1024)</f>
        <v>44</v>
      </c>
      <c r="X1024" s="137">
        <v>53</v>
      </c>
      <c r="Y1024" s="101">
        <v>47</v>
      </c>
      <c r="Z1024" s="101">
        <v>47</v>
      </c>
      <c r="AA1024" s="649">
        <f t="shared" si="361"/>
        <v>13.444444444444445</v>
      </c>
      <c r="AB1024" s="184">
        <f>AA1024*IncaG</f>
        <v>282.87111111111108</v>
      </c>
      <c r="AC1024" s="104">
        <f t="shared" si="362"/>
        <v>8.8733333333333331</v>
      </c>
      <c r="AD1024" s="107">
        <f>AA1024*IncaC</f>
        <v>22.629688888888889</v>
      </c>
      <c r="AE1024" s="104">
        <f>IF(Table1[[#This Row],[Work Center]]="SwissQ",Materials!G$37,IF(Table1[[#This Row],[Work Center]]="Inca",Materials!G$29,IF(Table1[[#This Row],[Work Center]]="Canon",Materials!G$49,Materials!G$45)))</f>
        <v>8</v>
      </c>
      <c r="AF1024" s="102">
        <f>'Cali FPS'!C67</f>
        <v>83.46</v>
      </c>
      <c r="AG1024" s="121"/>
      <c r="AH1024" s="107">
        <f t="shared" si="360"/>
        <v>20</v>
      </c>
      <c r="AI1024" s="405">
        <f>IF(A1024="Codarus",(M1024*0.13))</f>
        <v>52</v>
      </c>
      <c r="AJ1024" s="104">
        <f>SUM(AC1024:AI1024)</f>
        <v>194.96302222222221</v>
      </c>
      <c r="AK1024" s="108">
        <f t="shared" si="357"/>
        <v>0.51259244444444452</v>
      </c>
      <c r="AL1024" s="660">
        <f>Table1[[#This Row],[WSP/Dealer]]/Table1[[#This Row],[OD Sq Inch]]</f>
        <v>0.30864197530864196</v>
      </c>
      <c r="AM1024" s="400">
        <f>Table1[[#This Row],[OD Wdth]]*Table1[[#This Row],[OD Hgt]]</f>
        <v>1296</v>
      </c>
      <c r="AN1024" s="400">
        <f>Table1[[#This Row],[Min VO]]+Table1[[#This Row],[Max VO]]</f>
        <v>72</v>
      </c>
      <c r="AO1024" s="115"/>
      <c r="AP1024" s="1307">
        <f>(M1024*2)</f>
        <v>800</v>
      </c>
      <c r="AQ1024" s="121">
        <f>(Table1[[#This Row],[Desgnr/Retail P]]*0.05)</f>
        <v>40</v>
      </c>
      <c r="AR1024" s="121">
        <f>IF(A1024="Codarus",(AP1024*0.13))</f>
        <v>104</v>
      </c>
      <c r="AS1024" s="121">
        <f>SUM(Table1[[#This Row],[Substrate $]:[GP FINISH]])+Table1[[#This Row],[Retail Royalty]]+Table1[[#This Row],[Retail$Comm]]</f>
        <v>266.96302222222221</v>
      </c>
      <c r="AT1024" s="830">
        <f>IF(AP1024=0,"-",(AP1024-AS1024)/AP1024)</f>
        <v>0.66629622222222229</v>
      </c>
      <c r="AU1024" s="1359">
        <f t="shared" si="352"/>
        <v>0.9833425944444445</v>
      </c>
    </row>
    <row r="1025" spans="1:47" s="170" customFormat="1" x14ac:dyDescent="0.2">
      <c r="A1025" s="60" t="s">
        <v>58</v>
      </c>
      <c r="B1025" s="1071" t="s">
        <v>305</v>
      </c>
      <c r="C1025" s="76" t="s">
        <v>2550</v>
      </c>
      <c r="D1025" s="79"/>
      <c r="E1025" s="83" t="s">
        <v>2551</v>
      </c>
      <c r="F1025" s="83" t="s">
        <v>289</v>
      </c>
      <c r="G1025" s="60" t="s">
        <v>2552</v>
      </c>
      <c r="H1025" s="60" t="s">
        <v>2552</v>
      </c>
      <c r="I1025" s="60" t="s">
        <v>52</v>
      </c>
      <c r="J1025" s="59" t="s">
        <v>53</v>
      </c>
      <c r="K1025" s="60" t="s">
        <v>2269</v>
      </c>
      <c r="L1025" s="60"/>
      <c r="M1025" s="124">
        <v>675</v>
      </c>
      <c r="N1025" s="124"/>
      <c r="O1025" s="60" t="s">
        <v>64</v>
      </c>
      <c r="P1025" s="60">
        <v>100</v>
      </c>
      <c r="Q1025" s="60">
        <v>70</v>
      </c>
      <c r="R1025" s="60">
        <v>70</v>
      </c>
      <c r="S1025" s="273">
        <v>100</v>
      </c>
      <c r="T1025" s="60">
        <v>100</v>
      </c>
      <c r="U1025" s="60">
        <v>70</v>
      </c>
      <c r="V1025" s="913">
        <f>IF(J1025="Canvas",P1025+Border,P1025)</f>
        <v>108</v>
      </c>
      <c r="W1025" s="913">
        <f>IF(J1025="Canvas",Q1025+Border,Q1025)</f>
        <v>78</v>
      </c>
      <c r="X1025" s="60">
        <v>122</v>
      </c>
      <c r="Y1025" s="60">
        <v>108</v>
      </c>
      <c r="Z1025" s="60">
        <v>78</v>
      </c>
      <c r="AA1025" s="678">
        <f t="shared" si="361"/>
        <v>58.5</v>
      </c>
      <c r="AB1025" s="125">
        <f>AA1025*Swiss1</f>
        <v>1655.55</v>
      </c>
      <c r="AC1025" s="176">
        <f t="shared" si="362"/>
        <v>38.61</v>
      </c>
      <c r="AD1025" s="176">
        <f>Table1[[#This Row],[Substrate SF]]*Materials!C$37</f>
        <v>163.79999999999998</v>
      </c>
      <c r="AE1025" s="176">
        <f>IF(Table1[[#This Row],[Work Center]]="SwissQ",Materials!G$37,IF(Table1[[#This Row],[Work Center]]="Inca",Materials!G$29,IF(Table1[[#This Row],[Work Center]]="Canon",Materials!G$49,Materials!G$45)))</f>
        <v>20</v>
      </c>
      <c r="AF1025" s="72"/>
      <c r="AG1025" s="540"/>
      <c r="AH1025" s="69">
        <f t="shared" si="360"/>
        <v>33.75</v>
      </c>
      <c r="AI1025" s="69"/>
      <c r="AJ1025" s="176">
        <f t="shared" ref="AJ1025:AJ1031" si="363">SUM(AC1025:AH1025)</f>
        <v>256.15999999999997</v>
      </c>
      <c r="AK1025" s="650">
        <f t="shared" si="357"/>
        <v>0.62050370370370378</v>
      </c>
      <c r="AL1025" s="225">
        <f>Table1[[#This Row],[WSP/Dealer]]/Table1[[#This Row],[OD Sq Inch]]</f>
        <v>9.6428571428571433E-2</v>
      </c>
      <c r="AM1025" s="180">
        <f>Table1[[#This Row],[OD Wdth]]*Table1[[#This Row],[OD Hgt]]</f>
        <v>7000</v>
      </c>
      <c r="AN1025" s="180">
        <f>Table1[[#This Row],[Min VO]]+Table1[[#This Row],[Max VO]]</f>
        <v>170</v>
      </c>
      <c r="AO1025" s="83"/>
      <c r="AP1025" s="83"/>
      <c r="AQ1025" s="540">
        <f>(Table1[[#This Row],[Desgnr/Retail P]]*0.05)</f>
        <v>0</v>
      </c>
      <c r="AR1025" s="540" t="b">
        <f>IF(A1025="Codarus",(AP1025*0.13))</f>
        <v>0</v>
      </c>
      <c r="AS1025" s="540" t="e" cm="1">
        <f t="array" ref="AS1025">SUM(AC1025:AG1025+AQ+AR)</f>
        <v>#NAME?</v>
      </c>
      <c r="AT1025" s="69" t="e">
        <f>(AP1025-AS1025)/AP1025</f>
        <v>#NAME?</v>
      </c>
      <c r="AU1025" s="1361" t="str">
        <f t="shared" si="352"/>
        <v>-</v>
      </c>
    </row>
    <row r="1026" spans="1:47" s="399" customFormat="1" x14ac:dyDescent="0.2">
      <c r="A1026" s="60" t="s">
        <v>58</v>
      </c>
      <c r="B1026" s="1071" t="s">
        <v>111</v>
      </c>
      <c r="C1026" s="76" t="s">
        <v>2553</v>
      </c>
      <c r="D1026" s="79"/>
      <c r="E1026" s="83" t="s">
        <v>2554</v>
      </c>
      <c r="F1026" s="83" t="s">
        <v>289</v>
      </c>
      <c r="G1026" s="60" t="s">
        <v>290</v>
      </c>
      <c r="H1026" s="60" t="s">
        <v>291</v>
      </c>
      <c r="I1026" s="60" t="s">
        <v>108</v>
      </c>
      <c r="J1026" s="59" t="s">
        <v>53</v>
      </c>
      <c r="K1026" s="60" t="s">
        <v>69</v>
      </c>
      <c r="L1026" s="60" t="s">
        <v>73</v>
      </c>
      <c r="M1026" s="124">
        <v>2000</v>
      </c>
      <c r="N1026" s="124"/>
      <c r="O1026" s="60" t="s">
        <v>64</v>
      </c>
      <c r="P1026" s="60">
        <v>70</v>
      </c>
      <c r="Q1026" s="60">
        <v>110</v>
      </c>
      <c r="R1026" s="60">
        <v>70</v>
      </c>
      <c r="S1026" s="273">
        <v>110</v>
      </c>
      <c r="T1026" s="60">
        <v>71</v>
      </c>
      <c r="U1026" s="60">
        <v>111</v>
      </c>
      <c r="V1026" s="913">
        <f>IF(J1026="Canvas",P1026+Border,P1026)</f>
        <v>78</v>
      </c>
      <c r="W1026" s="913">
        <f>IF(J1026="Canvas",Q1026+Border,Q1026)</f>
        <v>118</v>
      </c>
      <c r="X1026" s="60">
        <v>122</v>
      </c>
      <c r="Y1026" s="60">
        <v>78</v>
      </c>
      <c r="Z1026" s="60">
        <v>118</v>
      </c>
      <c r="AA1026" s="717">
        <f t="shared" si="361"/>
        <v>63.916666666666664</v>
      </c>
      <c r="AB1026" s="723">
        <f>AA1026*SWISSMLR</f>
        <v>127.83333333333333</v>
      </c>
      <c r="AC1026" s="69">
        <f t="shared" si="362"/>
        <v>42.185000000000002</v>
      </c>
      <c r="AD1026" s="69">
        <f>Table1[[#This Row],[Substrate SF]]*Materials!C$41</f>
        <v>14.061666666666666</v>
      </c>
      <c r="AE1026" s="69">
        <f>IF(Table1[[#This Row],[Work Center]]="SwissQ",Materials!G$37,IF(Table1[[#This Row],[Work Center]]="Inca",Materials!G$29,IF(Table1[[#This Row],[Work Center]]="Canon",Materials!G$49,Materials!G$45)))</f>
        <v>20</v>
      </c>
      <c r="AF1026" s="72">
        <f>'Cali Frames'!D489</f>
        <v>425</v>
      </c>
      <c r="AG1026" s="540"/>
      <c r="AH1026" s="69">
        <f t="shared" si="360"/>
        <v>100</v>
      </c>
      <c r="AI1026" s="69"/>
      <c r="AJ1026" s="176">
        <f t="shared" si="363"/>
        <v>601.24666666666667</v>
      </c>
      <c r="AK1026" s="650">
        <f t="shared" si="357"/>
        <v>0.69937666666666665</v>
      </c>
      <c r="AL1026" s="225">
        <f>Table1[[#This Row],[WSP/Dealer]]/Table1[[#This Row],[OD Sq Inch]]</f>
        <v>0.2537749016622256</v>
      </c>
      <c r="AM1026" s="180">
        <f>Table1[[#This Row],[OD Wdth]]*Table1[[#This Row],[OD Hgt]]</f>
        <v>7881</v>
      </c>
      <c r="AN1026" s="180">
        <f>Table1[[#This Row],[Min VO]]+Table1[[#This Row],[Max VO]]</f>
        <v>180</v>
      </c>
      <c r="AO1026" s="83"/>
      <c r="AP1026" s="83"/>
      <c r="AQ1026" s="540"/>
      <c r="AR1026" s="540"/>
      <c r="AS1026" s="540"/>
      <c r="AT1026" s="69"/>
      <c r="AU1026" s="1361" t="str">
        <f t="shared" ref="AU1026:AU1057" si="364">IF(AQ1026=0,"-",(AQ1026-AT1026)/AQ1026)</f>
        <v>-</v>
      </c>
    </row>
    <row r="1027" spans="1:47" s="173" customFormat="1" x14ac:dyDescent="0.2">
      <c r="A1027" s="274" t="s">
        <v>581</v>
      </c>
      <c r="B1027" s="1061" t="s">
        <v>292</v>
      </c>
      <c r="C1027" s="76" t="s">
        <v>2555</v>
      </c>
      <c r="D1027" s="94"/>
      <c r="E1027" s="84" t="s">
        <v>2556</v>
      </c>
      <c r="F1027" s="84" t="s">
        <v>289</v>
      </c>
      <c r="G1027" s="68" t="s">
        <v>296</v>
      </c>
      <c r="H1027" s="68" t="s">
        <v>297</v>
      </c>
      <c r="I1027" s="68" t="s">
        <v>52</v>
      </c>
      <c r="J1027" s="140" t="s">
        <v>53</v>
      </c>
      <c r="K1027" s="274" t="s">
        <v>69</v>
      </c>
      <c r="L1027" s="68" t="s">
        <v>70</v>
      </c>
      <c r="M1027" s="141">
        <v>1600</v>
      </c>
      <c r="N1027" s="93">
        <v>1600</v>
      </c>
      <c r="O1027" s="1304" t="s">
        <v>64</v>
      </c>
      <c r="P1027" s="68">
        <v>80</v>
      </c>
      <c r="Q1027" s="68">
        <v>64</v>
      </c>
      <c r="R1027" s="68">
        <v>65</v>
      </c>
      <c r="S1027" s="623">
        <v>80</v>
      </c>
      <c r="T1027" s="68">
        <v>81</v>
      </c>
      <c r="U1027" s="68">
        <v>65</v>
      </c>
      <c r="V1027" s="277">
        <f>IF(J1027="Canvas",P1027+BorderL,P1027)</f>
        <v>91</v>
      </c>
      <c r="W1027" s="277">
        <f>IF(J1027="Canvas",Q1027+BorderL,Q1027)</f>
        <v>75</v>
      </c>
      <c r="X1027" s="189">
        <v>82</v>
      </c>
      <c r="Y1027" s="68">
        <v>91</v>
      </c>
      <c r="Z1027" s="68">
        <v>75</v>
      </c>
      <c r="AA1027" s="727">
        <f t="shared" si="361"/>
        <v>47.395833333333336</v>
      </c>
      <c r="AB1027" s="297">
        <f>AA1027*Swiss1</f>
        <v>1341.3020833333335</v>
      </c>
      <c r="AC1027" s="278">
        <f t="shared" si="362"/>
        <v>31.281250000000004</v>
      </c>
      <c r="AD1027" s="263">
        <f>Table1[[#This Row],[Substrate SF]]*Materials!C$37</f>
        <v>132.70833333333334</v>
      </c>
      <c r="AE1027" s="278">
        <f>IF(Table1[[#This Row],[Work Center]]="SwissQ",Materials!G$37,IF(Table1[[#This Row],[Work Center]]="Inca",Materials!G$29,IF(Table1[[#This Row],[Work Center]]="Canon",Materials!G$49,Materials!G$45)))</f>
        <v>20</v>
      </c>
      <c r="AF1027" s="73"/>
      <c r="AG1027" s="540"/>
      <c r="AH1027" s="74">
        <f t="shared" si="360"/>
        <v>80</v>
      </c>
      <c r="AI1027" s="74"/>
      <c r="AJ1027" s="278">
        <f t="shared" si="363"/>
        <v>263.98958333333337</v>
      </c>
      <c r="AK1027" s="1001">
        <f t="shared" si="357"/>
        <v>0.83500651041666663</v>
      </c>
      <c r="AL1027" s="240">
        <f>Table1[[#This Row],[WSP/Dealer]]/Table1[[#This Row],[OD Sq Inch]]</f>
        <v>0.30389363722697055</v>
      </c>
      <c r="AM1027" s="170">
        <f>Table1[[#This Row],[OD Wdth]]*Table1[[#This Row],[OD Hgt]]</f>
        <v>5265</v>
      </c>
      <c r="AN1027" s="274">
        <f>Table1[[#This Row],[Min VO]]+Table1[[#This Row],[Max VO]]</f>
        <v>145</v>
      </c>
      <c r="AO1027" s="119"/>
      <c r="AP1027" s="84"/>
      <c r="AQ1027" s="126"/>
      <c r="AR1027" s="126"/>
      <c r="AS1027" s="126"/>
      <c r="AT1027" s="74"/>
      <c r="AU1027" s="1356" t="str">
        <f t="shared" si="364"/>
        <v>-</v>
      </c>
    </row>
    <row r="1028" spans="1:47" s="173" customFormat="1" x14ac:dyDescent="0.2">
      <c r="A1028" s="180" t="s">
        <v>581</v>
      </c>
      <c r="B1028" s="1061" t="s">
        <v>292</v>
      </c>
      <c r="C1028" s="76" t="s">
        <v>2557</v>
      </c>
      <c r="D1028" s="94">
        <v>10123496</v>
      </c>
      <c r="E1028" s="83" t="s">
        <v>2556</v>
      </c>
      <c r="F1028" s="83" t="s">
        <v>289</v>
      </c>
      <c r="G1028" s="60" t="s">
        <v>296</v>
      </c>
      <c r="H1028" s="60" t="s">
        <v>297</v>
      </c>
      <c r="I1028" s="60" t="s">
        <v>52</v>
      </c>
      <c r="J1028" s="59" t="s">
        <v>53</v>
      </c>
      <c r="K1028" s="60" t="s">
        <v>82</v>
      </c>
      <c r="L1028" s="60" t="s">
        <v>298</v>
      </c>
      <c r="M1028" s="179">
        <v>1600</v>
      </c>
      <c r="N1028" s="124"/>
      <c r="O1028" s="60" t="s">
        <v>64</v>
      </c>
      <c r="P1028" s="60">
        <v>80</v>
      </c>
      <c r="Q1028" s="60">
        <v>64</v>
      </c>
      <c r="R1028" s="60">
        <v>64</v>
      </c>
      <c r="S1028" s="273">
        <v>80</v>
      </c>
      <c r="T1028" s="60">
        <v>81</v>
      </c>
      <c r="U1028" s="60">
        <v>65</v>
      </c>
      <c r="V1028" s="149">
        <f t="shared" ref="V1028:V1044" si="365">IF(J1028="Canvas",P1028+Border,P1028)</f>
        <v>88</v>
      </c>
      <c r="W1028" s="149">
        <f t="shared" ref="W1028:W1044" si="366">IF(J1028="Canvas",Q1028+Border,Q1028)</f>
        <v>72</v>
      </c>
      <c r="X1028" s="60">
        <v>82</v>
      </c>
      <c r="Y1028" s="60">
        <v>88</v>
      </c>
      <c r="Z1028" s="60">
        <v>72</v>
      </c>
      <c r="AA1028" s="678">
        <f t="shared" si="361"/>
        <v>44</v>
      </c>
      <c r="AB1028" s="125">
        <f>AA1028*Swiss1</f>
        <v>1245.2</v>
      </c>
      <c r="AC1028" s="176">
        <f t="shared" si="362"/>
        <v>29.040000000000003</v>
      </c>
      <c r="AD1028" s="175">
        <f>Table1[[#This Row],[Substrate SF]]*Materials!C$37</f>
        <v>123.19999999999999</v>
      </c>
      <c r="AE1028" s="176">
        <f>IF(Table1[[#This Row],[Work Center]]="SwissQ",Materials!G$37,IF(Table1[[#This Row],[Work Center]]="Inca",Materials!G$29,IF(Table1[[#This Row],[Work Center]]="Canon",Materials!G$49,Materials!G$45)))</f>
        <v>20</v>
      </c>
      <c r="AF1028" s="72">
        <f>'Cali Frames'!D244</f>
        <v>380</v>
      </c>
      <c r="AG1028" s="540"/>
      <c r="AH1028" s="69">
        <f t="shared" si="360"/>
        <v>80</v>
      </c>
      <c r="AI1028" s="69"/>
      <c r="AJ1028" s="176">
        <f t="shared" si="363"/>
        <v>632.24</v>
      </c>
      <c r="AK1028" s="650">
        <f t="shared" si="357"/>
        <v>0.60485</v>
      </c>
      <c r="AL1028" s="225">
        <f>Table1[[#This Row],[WSP/Dealer]]/Table1[[#This Row],[OD Sq Inch]]</f>
        <v>0.30389363722697055</v>
      </c>
      <c r="AM1028" s="173">
        <f>Table1[[#This Row],[OD Wdth]]*Table1[[#This Row],[OD Hgt]]</f>
        <v>5265</v>
      </c>
      <c r="AN1028" s="180">
        <f>Table1[[#This Row],[Min VO]]+Table1[[#This Row],[Max VO]]</f>
        <v>144</v>
      </c>
      <c r="AO1028" s="95"/>
      <c r="AP1028" s="83"/>
      <c r="AQ1028" s="540"/>
      <c r="AR1028" s="540"/>
      <c r="AS1028" s="540"/>
      <c r="AT1028" s="69"/>
      <c r="AU1028" s="1355" t="str">
        <f t="shared" si="364"/>
        <v>-</v>
      </c>
    </row>
    <row r="1029" spans="1:47" s="173" customFormat="1" x14ac:dyDescent="0.2">
      <c r="A1029" s="60" t="s">
        <v>58</v>
      </c>
      <c r="B1029" s="1071" t="s">
        <v>250</v>
      </c>
      <c r="C1029" s="76" t="s">
        <v>2558</v>
      </c>
      <c r="D1029" s="79"/>
      <c r="E1029" s="83" t="s">
        <v>2559</v>
      </c>
      <c r="F1029" s="83" t="s">
        <v>289</v>
      </c>
      <c r="G1029" s="60" t="s">
        <v>2276</v>
      </c>
      <c r="H1029" s="60" t="s">
        <v>2277</v>
      </c>
      <c r="I1029" s="60" t="s">
        <v>52</v>
      </c>
      <c r="J1029" s="59" t="s">
        <v>53</v>
      </c>
      <c r="K1029" s="60" t="s">
        <v>69</v>
      </c>
      <c r="L1029" s="60" t="s">
        <v>73</v>
      </c>
      <c r="M1029" s="179">
        <v>1900</v>
      </c>
      <c r="N1029" s="124"/>
      <c r="O1029" s="60" t="s">
        <v>64</v>
      </c>
      <c r="P1029" s="60">
        <v>90</v>
      </c>
      <c r="Q1029" s="60">
        <v>65</v>
      </c>
      <c r="R1029" s="60">
        <v>65</v>
      </c>
      <c r="S1029" s="273">
        <v>90</v>
      </c>
      <c r="T1029" s="60">
        <v>91</v>
      </c>
      <c r="U1029" s="60">
        <v>66</v>
      </c>
      <c r="V1029" s="149">
        <f t="shared" si="365"/>
        <v>98</v>
      </c>
      <c r="W1029" s="149">
        <f t="shared" si="366"/>
        <v>73</v>
      </c>
      <c r="X1029" s="60">
        <v>122</v>
      </c>
      <c r="Y1029" s="60">
        <v>98</v>
      </c>
      <c r="Z1029" s="60">
        <v>73</v>
      </c>
      <c r="AA1029" s="678">
        <f t="shared" si="361"/>
        <v>49.680555555555557</v>
      </c>
      <c r="AB1029" s="125">
        <f>AA1029*Swiss1</f>
        <v>1405.9597222222224</v>
      </c>
      <c r="AC1029" s="176">
        <f t="shared" si="362"/>
        <v>32.789166666666667</v>
      </c>
      <c r="AD1029" s="175">
        <f>Table1[[#This Row],[Substrate SF]]*Materials!C$37</f>
        <v>139.10555555555555</v>
      </c>
      <c r="AE1029" s="176">
        <f>IF(Table1[[#This Row],[Work Center]]="SwissQ",Materials!G$37,IF(Table1[[#This Row],[Work Center]]="Inca",Materials!G$29,IF(Table1[[#This Row],[Work Center]]="Canon",Materials!G$49,Materials!G$45)))</f>
        <v>20</v>
      </c>
      <c r="AF1029" s="72">
        <f>'Cali Frames'!D486</f>
        <v>364.93</v>
      </c>
      <c r="AG1029" s="540"/>
      <c r="AH1029" s="69">
        <f t="shared" si="360"/>
        <v>95</v>
      </c>
      <c r="AI1029" s="69"/>
      <c r="AJ1029" s="176">
        <f t="shared" si="363"/>
        <v>651.82472222222225</v>
      </c>
      <c r="AK1029" s="650">
        <f t="shared" si="357"/>
        <v>0.65693435672514622</v>
      </c>
      <c r="AL1029" s="225">
        <f>Table1[[#This Row],[WSP/Dealer]]/Table1[[#This Row],[OD Sq Inch]]</f>
        <v>0.31635031635031635</v>
      </c>
      <c r="AM1029" s="173">
        <f>Table1[[#This Row],[OD Wdth]]*Table1[[#This Row],[OD Hgt]]</f>
        <v>6006</v>
      </c>
      <c r="AN1029" s="180">
        <f>Table1[[#This Row],[Min VO]]+Table1[[#This Row],[Max VO]]</f>
        <v>155</v>
      </c>
      <c r="AO1029" s="95"/>
      <c r="AP1029" s="83"/>
      <c r="AQ1029" s="540"/>
      <c r="AR1029" s="540"/>
      <c r="AS1029" s="540"/>
      <c r="AT1029" s="69"/>
      <c r="AU1029" s="1361"/>
    </row>
    <row r="1030" spans="1:47" s="170" customFormat="1" x14ac:dyDescent="0.2">
      <c r="A1030" s="68" t="s">
        <v>58</v>
      </c>
      <c r="B1030" s="1072" t="s">
        <v>111</v>
      </c>
      <c r="C1030" s="78" t="s">
        <v>2560</v>
      </c>
      <c r="D1030" s="94"/>
      <c r="E1030" s="84" t="s">
        <v>2561</v>
      </c>
      <c r="F1030" s="84" t="s">
        <v>1738</v>
      </c>
      <c r="G1030" s="68" t="s">
        <v>395</v>
      </c>
      <c r="H1030" s="68" t="s">
        <v>395</v>
      </c>
      <c r="I1030" s="68" t="s">
        <v>52</v>
      </c>
      <c r="J1030" s="140" t="s">
        <v>53</v>
      </c>
      <c r="K1030" s="68" t="s">
        <v>54</v>
      </c>
      <c r="L1030" s="68" t="s">
        <v>55</v>
      </c>
      <c r="M1030" s="141">
        <v>1175</v>
      </c>
      <c r="N1030" s="93"/>
      <c r="O1030" s="68" t="s">
        <v>64</v>
      </c>
      <c r="P1030" s="68">
        <v>60</v>
      </c>
      <c r="Q1030" s="68">
        <v>60</v>
      </c>
      <c r="R1030" s="68">
        <v>60</v>
      </c>
      <c r="S1030" s="623">
        <v>60</v>
      </c>
      <c r="T1030" s="68">
        <v>60</v>
      </c>
      <c r="U1030" s="68">
        <v>60</v>
      </c>
      <c r="V1030" s="160">
        <f t="shared" si="365"/>
        <v>68</v>
      </c>
      <c r="W1030" s="160">
        <f t="shared" si="366"/>
        <v>68</v>
      </c>
      <c r="X1030" s="68">
        <v>69</v>
      </c>
      <c r="Y1030" s="68">
        <v>68</v>
      </c>
      <c r="Z1030" s="68">
        <v>68</v>
      </c>
      <c r="AA1030" s="699">
        <f t="shared" si="361"/>
        <v>32.111111111111114</v>
      </c>
      <c r="AB1030" s="690">
        <f>AA1030*Swiss1</f>
        <v>908.74444444444453</v>
      </c>
      <c r="AC1030" s="74">
        <f t="shared" si="362"/>
        <v>21.193333333333335</v>
      </c>
      <c r="AD1030" s="67">
        <f>Table1[[#This Row],[Substrate SF]]*Materials!C$37</f>
        <v>89.911111111111111</v>
      </c>
      <c r="AE1030" s="74">
        <f>IF(Table1[[#This Row],[Work Center]]="SwissQ",Materials!G$37,IF(Table1[[#This Row],[Work Center]]="Inca",Materials!G$29,IF(Table1[[#This Row],[Work Center]]="Canon",Materials!G$49,Materials!G$45)))</f>
        <v>20</v>
      </c>
      <c r="AF1030" s="73">
        <f>'Cali FPS'!C158</f>
        <v>196.875</v>
      </c>
      <c r="AG1030" s="126"/>
      <c r="AH1030" s="74">
        <f t="shared" si="360"/>
        <v>58.75</v>
      </c>
      <c r="AI1030" s="74"/>
      <c r="AJ1030" s="278">
        <f t="shared" si="363"/>
        <v>386.72944444444443</v>
      </c>
      <c r="AK1030" s="1001">
        <f t="shared" si="357"/>
        <v>0.67086855791962174</v>
      </c>
      <c r="AL1030" s="240">
        <f>Table1[[#This Row],[WSP/Dealer]]/Table1[[#This Row],[OD Sq Inch]]</f>
        <v>0.3263888888888889</v>
      </c>
      <c r="AM1030" s="170">
        <f>Table1[[#This Row],[OD Wdth]]*Table1[[#This Row],[OD Hgt]]</f>
        <v>3600</v>
      </c>
      <c r="AN1030" s="274">
        <f>Table1[[#This Row],[Min VO]]+Table1[[#This Row],[Max VO]]</f>
        <v>120</v>
      </c>
      <c r="AO1030" s="84"/>
      <c r="AP1030" s="84"/>
      <c r="AQ1030" s="126"/>
      <c r="AR1030" s="126"/>
      <c r="AS1030" s="126"/>
      <c r="AT1030" s="74"/>
      <c r="AU1030" s="1357" t="str">
        <f t="shared" ref="AU1030:AU1093" si="367">IF(AQ1030=0,"-",(AQ1030-AT1030)/AQ1030)</f>
        <v>-</v>
      </c>
    </row>
    <row r="1031" spans="1:47" s="144" customFormat="1" x14ac:dyDescent="0.2">
      <c r="A1031" s="68" t="s">
        <v>58</v>
      </c>
      <c r="B1031" s="1072" t="s">
        <v>111</v>
      </c>
      <c r="C1031" s="78" t="s">
        <v>2562</v>
      </c>
      <c r="D1031" s="94"/>
      <c r="E1031" s="84" t="s">
        <v>2561</v>
      </c>
      <c r="F1031" s="84" t="s">
        <v>1738</v>
      </c>
      <c r="G1031" s="68" t="s">
        <v>395</v>
      </c>
      <c r="H1031" s="68" t="s">
        <v>396</v>
      </c>
      <c r="I1031" s="68" t="s">
        <v>52</v>
      </c>
      <c r="J1031" s="140" t="s">
        <v>53</v>
      </c>
      <c r="K1031" s="68" t="s">
        <v>69</v>
      </c>
      <c r="L1031" s="68" t="s">
        <v>70</v>
      </c>
      <c r="M1031" s="141">
        <v>1450</v>
      </c>
      <c r="N1031" s="93"/>
      <c r="O1031" s="68" t="s">
        <v>64</v>
      </c>
      <c r="P1031" s="68">
        <v>60</v>
      </c>
      <c r="Q1031" s="68">
        <v>60</v>
      </c>
      <c r="R1031" s="68">
        <v>60</v>
      </c>
      <c r="S1031" s="623">
        <v>60</v>
      </c>
      <c r="T1031" s="68">
        <v>61</v>
      </c>
      <c r="U1031" s="68">
        <v>61</v>
      </c>
      <c r="V1031" s="160">
        <f t="shared" si="365"/>
        <v>68</v>
      </c>
      <c r="W1031" s="160">
        <f t="shared" si="366"/>
        <v>68</v>
      </c>
      <c r="X1031" s="68">
        <v>69</v>
      </c>
      <c r="Y1031" s="68">
        <v>68</v>
      </c>
      <c r="Z1031" s="68">
        <v>68</v>
      </c>
      <c r="AA1031" s="699">
        <f t="shared" si="361"/>
        <v>32.111111111111114</v>
      </c>
      <c r="AB1031" s="690">
        <f>AA1031*Swiss1</f>
        <v>908.74444444444453</v>
      </c>
      <c r="AC1031" s="74">
        <f t="shared" si="362"/>
        <v>21.193333333333335</v>
      </c>
      <c r="AD1031" s="67">
        <f>Table1[[#This Row],[Substrate SF]]*Materials!C$37</f>
        <v>89.911111111111111</v>
      </c>
      <c r="AE1031" s="74">
        <f>IF(Table1[[#This Row],[Work Center]]="SwissQ",Materials!G$37,IF(Table1[[#This Row],[Work Center]]="Inca",Materials!G$29,IF(Table1[[#This Row],[Work Center]]="Canon",Materials!G$49,Materials!G$45)))</f>
        <v>20</v>
      </c>
      <c r="AF1031" s="73">
        <f>'Cali Frames'!D349</f>
        <v>349.42</v>
      </c>
      <c r="AG1031" s="126"/>
      <c r="AH1031" s="74">
        <f t="shared" si="360"/>
        <v>72.5</v>
      </c>
      <c r="AI1031" s="74"/>
      <c r="AJ1031" s="278">
        <f t="shared" si="363"/>
        <v>553.0244444444445</v>
      </c>
      <c r="AK1031" s="1001">
        <f t="shared" si="357"/>
        <v>0.61860383141762454</v>
      </c>
      <c r="AL1031" s="240">
        <f>Table1[[#This Row],[WSP/Dealer]]/Table1[[#This Row],[OD Sq Inch]]</f>
        <v>0.38968019349637195</v>
      </c>
      <c r="AM1031" s="170">
        <f>Table1[[#This Row],[OD Wdth]]*Table1[[#This Row],[OD Hgt]]</f>
        <v>3721</v>
      </c>
      <c r="AN1031" s="274">
        <f>Table1[[#This Row],[Min VO]]+Table1[[#This Row],[Max VO]]</f>
        <v>120</v>
      </c>
      <c r="AO1031" s="84"/>
      <c r="AP1031" s="84"/>
      <c r="AQ1031" s="126"/>
      <c r="AR1031" s="126"/>
      <c r="AS1031" s="126"/>
      <c r="AT1031" s="74"/>
      <c r="AU1031" s="1357" t="str">
        <f t="shared" si="367"/>
        <v>-</v>
      </c>
    </row>
    <row r="1032" spans="1:47" s="46" customFormat="1" x14ac:dyDescent="0.2">
      <c r="A1032" s="68" t="s">
        <v>58</v>
      </c>
      <c r="B1032" s="1072" t="s">
        <v>59</v>
      </c>
      <c r="C1032" s="78" t="s">
        <v>2563</v>
      </c>
      <c r="D1032" s="94"/>
      <c r="E1032" s="84" t="s">
        <v>2564</v>
      </c>
      <c r="F1032" s="84" t="s">
        <v>50</v>
      </c>
      <c r="G1032" s="68" t="s">
        <v>132</v>
      </c>
      <c r="H1032" s="68" t="s">
        <v>133</v>
      </c>
      <c r="I1032" s="68" t="s">
        <v>52</v>
      </c>
      <c r="J1032" s="140" t="s">
        <v>53</v>
      </c>
      <c r="K1032" s="68" t="s">
        <v>69</v>
      </c>
      <c r="L1032" s="68" t="s">
        <v>73</v>
      </c>
      <c r="M1032" s="141">
        <v>750</v>
      </c>
      <c r="N1032" s="93"/>
      <c r="O1032" s="68" t="s">
        <v>56</v>
      </c>
      <c r="P1032" s="68">
        <v>36</v>
      </c>
      <c r="Q1032" s="68">
        <v>48</v>
      </c>
      <c r="R1032" s="68">
        <v>36</v>
      </c>
      <c r="S1032" s="623">
        <v>48</v>
      </c>
      <c r="T1032" s="68">
        <v>37</v>
      </c>
      <c r="U1032" s="68">
        <v>49</v>
      </c>
      <c r="V1032" s="66">
        <f t="shared" si="365"/>
        <v>44</v>
      </c>
      <c r="W1032" s="66">
        <f t="shared" si="366"/>
        <v>56</v>
      </c>
      <c r="X1032" s="68">
        <v>59</v>
      </c>
      <c r="Y1032" s="68">
        <v>33</v>
      </c>
      <c r="Z1032" s="68">
        <v>56</v>
      </c>
      <c r="AA1032" s="699">
        <f t="shared" si="361"/>
        <v>17.111111111111111</v>
      </c>
      <c r="AB1032" s="297">
        <f t="shared" ref="AB1032:AB1037" si="368">AA1032*IncaG</f>
        <v>360.01777777777778</v>
      </c>
      <c r="AC1032" s="74">
        <f t="shared" si="362"/>
        <v>11.293333333333333</v>
      </c>
      <c r="AD1032" s="67">
        <f>AA1032*IncaC</f>
        <v>28.801422222222222</v>
      </c>
      <c r="AE1032" s="74">
        <f>IF(Table1[[#This Row],[Work Center]]="SwissQ",Materials!G$37,IF(Table1[[#This Row],[Work Center]]="Inca",Materials!G$29,IF(Table1[[#This Row],[Work Center]]="Canon",Materials!G$49,Materials!G$45)))</f>
        <v>8</v>
      </c>
      <c r="AF1032" s="73">
        <f>'Cali Frames'!D436</f>
        <v>145.70500000000001</v>
      </c>
      <c r="AG1032" s="126"/>
      <c r="AH1032" s="74">
        <f t="shared" si="360"/>
        <v>37.5</v>
      </c>
      <c r="AI1032" s="278"/>
      <c r="AJ1032" s="74">
        <f>SUM(AC1032:AI1032)</f>
        <v>231.29975555555558</v>
      </c>
      <c r="AK1032" s="1001">
        <f t="shared" si="357"/>
        <v>0.69160032592592602</v>
      </c>
      <c r="AL1032" s="240">
        <f>Table1[[#This Row],[WSP/Dealer]]/Table1[[#This Row],[OD Sq Inch]]</f>
        <v>0.41367898510755652</v>
      </c>
      <c r="AM1032" s="170">
        <f>Table1[[#This Row],[OD Wdth]]*Table1[[#This Row],[OD Hgt]]</f>
        <v>1813</v>
      </c>
      <c r="AN1032" s="274">
        <f>Table1[[#This Row],[Min VO]]+Table1[[#This Row],[Max VO]]</f>
        <v>84</v>
      </c>
      <c r="AO1032" s="84"/>
      <c r="AP1032" s="84"/>
      <c r="AQ1032" s="126"/>
      <c r="AR1032" s="126"/>
      <c r="AS1032" s="126"/>
      <c r="AT1032" s="74"/>
      <c r="AU1032" s="1357" t="str">
        <f t="shared" si="367"/>
        <v>-</v>
      </c>
    </row>
    <row r="1033" spans="1:47" s="63" customFormat="1" x14ac:dyDescent="0.2">
      <c r="A1033" s="60" t="s">
        <v>58</v>
      </c>
      <c r="B1033" s="1106" t="s">
        <v>59</v>
      </c>
      <c r="C1033" s="76" t="s">
        <v>2565</v>
      </c>
      <c r="D1033" s="79" t="s">
        <v>2566</v>
      </c>
      <c r="E1033" s="83" t="s">
        <v>2564</v>
      </c>
      <c r="F1033" s="83" t="s">
        <v>50</v>
      </c>
      <c r="G1033" s="60" t="s">
        <v>132</v>
      </c>
      <c r="H1033" s="60" t="s">
        <v>133</v>
      </c>
      <c r="I1033" s="60" t="s">
        <v>52</v>
      </c>
      <c r="J1033" s="59" t="s">
        <v>53</v>
      </c>
      <c r="K1033" s="60" t="s">
        <v>69</v>
      </c>
      <c r="L1033" s="60" t="s">
        <v>76</v>
      </c>
      <c r="M1033" s="179">
        <v>750</v>
      </c>
      <c r="N1033" s="124"/>
      <c r="O1033" s="60" t="s">
        <v>56</v>
      </c>
      <c r="P1033" s="60">
        <v>36</v>
      </c>
      <c r="Q1033" s="60">
        <v>48</v>
      </c>
      <c r="R1033" s="60">
        <v>36</v>
      </c>
      <c r="S1033" s="273">
        <v>48</v>
      </c>
      <c r="T1033" s="60">
        <v>37</v>
      </c>
      <c r="U1033" s="60">
        <v>49</v>
      </c>
      <c r="V1033" s="47">
        <f t="shared" si="365"/>
        <v>44</v>
      </c>
      <c r="W1033" s="47">
        <f t="shared" si="366"/>
        <v>56</v>
      </c>
      <c r="X1033" s="60">
        <v>59</v>
      </c>
      <c r="Y1033" s="60">
        <v>33</v>
      </c>
      <c r="Z1033" s="60">
        <v>56</v>
      </c>
      <c r="AA1033" s="717">
        <f t="shared" si="361"/>
        <v>17.111111111111111</v>
      </c>
      <c r="AB1033" s="125">
        <f t="shared" si="368"/>
        <v>360.01777777777778</v>
      </c>
      <c r="AC1033" s="69">
        <f t="shared" si="362"/>
        <v>11.293333333333333</v>
      </c>
      <c r="AD1033" s="48">
        <f>AA1033*IncaC</f>
        <v>28.801422222222222</v>
      </c>
      <c r="AE1033" s="69">
        <f>IF(Table1[[#This Row],[Work Center]]="SwissQ",Materials!G$37,IF(Table1[[#This Row],[Work Center]]="Inca",Materials!G$29,IF(Table1[[#This Row],[Work Center]]="Canon",Materials!G$49,Materials!G$45)))</f>
        <v>8</v>
      </c>
      <c r="AF1033" s="72">
        <f>'Cali Frames'!D371</f>
        <v>160</v>
      </c>
      <c r="AG1033" s="540"/>
      <c r="AH1033" s="69">
        <f t="shared" si="360"/>
        <v>37.5</v>
      </c>
      <c r="AI1033" s="176"/>
      <c r="AJ1033" s="69">
        <f>SUM(AC1033:AI1033)</f>
        <v>245.59475555555554</v>
      </c>
      <c r="AK1033" s="650">
        <f t="shared" si="357"/>
        <v>0.67254032592592594</v>
      </c>
      <c r="AL1033" s="225">
        <f>Table1[[#This Row],[WSP/Dealer]]/Table1[[#This Row],[OD Sq Inch]]</f>
        <v>0.41367898510755652</v>
      </c>
      <c r="AM1033" s="173">
        <f>Table1[[#This Row],[OD Wdth]]*Table1[[#This Row],[OD Hgt]]</f>
        <v>1813</v>
      </c>
      <c r="AN1033" s="180">
        <f>Table1[[#This Row],[Min VO]]+Table1[[#This Row],[Max VO]]</f>
        <v>84</v>
      </c>
      <c r="AO1033" s="83"/>
      <c r="AP1033" s="83"/>
      <c r="AQ1033" s="540"/>
      <c r="AR1033" s="540"/>
      <c r="AS1033" s="540"/>
      <c r="AT1033" s="69"/>
      <c r="AU1033" s="1361" t="str">
        <f t="shared" si="367"/>
        <v>-</v>
      </c>
    </row>
    <row r="1034" spans="1:47" s="63" customFormat="1" x14ac:dyDescent="0.2">
      <c r="A1034" s="68" t="s">
        <v>58</v>
      </c>
      <c r="B1034" s="1152" t="s">
        <v>59</v>
      </c>
      <c r="C1034" s="78" t="s">
        <v>2567</v>
      </c>
      <c r="D1034" s="94"/>
      <c r="E1034" s="84" t="s">
        <v>2564</v>
      </c>
      <c r="F1034" s="84" t="s">
        <v>50</v>
      </c>
      <c r="G1034" s="68" t="s">
        <v>132</v>
      </c>
      <c r="H1034" s="68" t="s">
        <v>133</v>
      </c>
      <c r="I1034" s="68" t="s">
        <v>52</v>
      </c>
      <c r="J1034" s="140" t="s">
        <v>53</v>
      </c>
      <c r="K1034" s="68" t="s">
        <v>69</v>
      </c>
      <c r="L1034" s="101" t="s">
        <v>70</v>
      </c>
      <c r="M1034" s="141">
        <v>750</v>
      </c>
      <c r="N1034" s="114"/>
      <c r="O1034" s="68" t="s">
        <v>56</v>
      </c>
      <c r="P1034" s="68">
        <v>36</v>
      </c>
      <c r="Q1034" s="68">
        <v>48</v>
      </c>
      <c r="R1034" s="68">
        <v>36</v>
      </c>
      <c r="S1034" s="623">
        <v>48</v>
      </c>
      <c r="T1034" s="68">
        <v>37</v>
      </c>
      <c r="U1034" s="68">
        <v>49</v>
      </c>
      <c r="V1034" s="917">
        <f t="shared" si="365"/>
        <v>44</v>
      </c>
      <c r="W1034" s="917">
        <f t="shared" si="366"/>
        <v>56</v>
      </c>
      <c r="X1034" s="68">
        <v>59</v>
      </c>
      <c r="Y1034" s="68">
        <v>33</v>
      </c>
      <c r="Z1034" s="68">
        <v>56</v>
      </c>
      <c r="AA1034" s="699">
        <f t="shared" si="361"/>
        <v>17.111111111111111</v>
      </c>
      <c r="AB1034" s="297">
        <f t="shared" si="368"/>
        <v>360.01777777777778</v>
      </c>
      <c r="AC1034" s="74">
        <f t="shared" si="362"/>
        <v>11.293333333333333</v>
      </c>
      <c r="AD1034" s="67">
        <f>AA1034*IncaC</f>
        <v>28.801422222222222</v>
      </c>
      <c r="AE1034" s="74">
        <f>IF(Table1[[#This Row],[Work Center]]="SwissQ",Materials!G$37,IF(Table1[[#This Row],[Work Center]]="Inca",Materials!G$29,IF(Table1[[#This Row],[Work Center]]="Canon",Materials!G$49,Materials!G$45)))</f>
        <v>8</v>
      </c>
      <c r="AF1034" s="102">
        <f>'Cali Frames'!D300</f>
        <v>164.8</v>
      </c>
      <c r="AG1034" s="121"/>
      <c r="AH1034" s="74">
        <f t="shared" si="360"/>
        <v>37.5</v>
      </c>
      <c r="AI1034" s="278"/>
      <c r="AJ1034" s="74">
        <f>SUM(AC1034:AI1034)</f>
        <v>250.39475555555555</v>
      </c>
      <c r="AK1034" s="1001">
        <f t="shared" si="357"/>
        <v>0.66614032592592598</v>
      </c>
      <c r="AL1034" s="240">
        <f>Table1[[#This Row],[WSP/Dealer]]/Table1[[#This Row],[OD Sq Inch]]</f>
        <v>0.41367898510755652</v>
      </c>
      <c r="AM1034" s="170">
        <f>Table1[[#This Row],[OD Wdth]]*Table1[[#This Row],[OD Hgt]]</f>
        <v>1813</v>
      </c>
      <c r="AN1034" s="274">
        <f>Table1[[#This Row],[Min VO]]+Table1[[#This Row],[Max VO]]</f>
        <v>84</v>
      </c>
      <c r="AO1034" s="115"/>
      <c r="AP1034" s="115"/>
      <c r="AQ1034" s="121"/>
      <c r="AR1034" s="121"/>
      <c r="AS1034" s="121"/>
      <c r="AT1034" s="104"/>
      <c r="AU1034" s="1359" t="str">
        <f t="shared" si="367"/>
        <v>-</v>
      </c>
    </row>
    <row r="1035" spans="1:47" s="103" customFormat="1" x14ac:dyDescent="0.2">
      <c r="A1035" s="551" t="s">
        <v>58</v>
      </c>
      <c r="B1035" s="1150" t="s">
        <v>59</v>
      </c>
      <c r="C1035" s="805" t="s">
        <v>2568</v>
      </c>
      <c r="D1035" s="77"/>
      <c r="E1035" s="653" t="s">
        <v>2564</v>
      </c>
      <c r="F1035" s="653" t="s">
        <v>50</v>
      </c>
      <c r="G1035" s="551" t="s">
        <v>132</v>
      </c>
      <c r="H1035" s="551" t="s">
        <v>132</v>
      </c>
      <c r="I1035" s="551" t="s">
        <v>52</v>
      </c>
      <c r="J1035" s="856" t="s">
        <v>53</v>
      </c>
      <c r="K1035" s="551" t="s">
        <v>54</v>
      </c>
      <c r="L1035" s="551" t="s">
        <v>55</v>
      </c>
      <c r="M1035" s="1182">
        <v>650</v>
      </c>
      <c r="N1035" s="1183"/>
      <c r="O1035" s="551" t="s">
        <v>56</v>
      </c>
      <c r="P1035" s="551">
        <v>36</v>
      </c>
      <c r="Q1035" s="551">
        <v>48</v>
      </c>
      <c r="R1035" s="551">
        <v>36</v>
      </c>
      <c r="S1035" s="984">
        <v>48</v>
      </c>
      <c r="T1035" s="551">
        <v>36</v>
      </c>
      <c r="U1035" s="551">
        <v>48</v>
      </c>
      <c r="V1035" s="881">
        <f t="shared" si="365"/>
        <v>44</v>
      </c>
      <c r="W1035" s="881">
        <f t="shared" si="366"/>
        <v>56</v>
      </c>
      <c r="X1035" s="551">
        <v>59</v>
      </c>
      <c r="Y1035" s="551">
        <v>44</v>
      </c>
      <c r="Z1035" s="551">
        <v>56</v>
      </c>
      <c r="AA1035" s="860">
        <f t="shared" si="361"/>
        <v>17.111111111111111</v>
      </c>
      <c r="AB1035" s="861">
        <f t="shared" si="368"/>
        <v>360.01777777777778</v>
      </c>
      <c r="AC1035" s="863">
        <f t="shared" si="362"/>
        <v>11.293333333333333</v>
      </c>
      <c r="AD1035" s="862">
        <f>AA1035*IncaC</f>
        <v>28.801422222222222</v>
      </c>
      <c r="AE1035" s="863">
        <f>IF(Table1[[#This Row],[Work Center]]="SwissQ",Materials!G$37,IF(Table1[[#This Row],[Work Center]]="Inca",Materials!G$29,IF(Table1[[#This Row],[Work Center]]="Canon",Materials!G$49,Materials!G$45)))</f>
        <v>8</v>
      </c>
      <c r="AF1035" s="1184">
        <v>107.41500000000001</v>
      </c>
      <c r="AG1035" s="864"/>
      <c r="AH1035" s="863">
        <f t="shared" si="360"/>
        <v>32.5</v>
      </c>
      <c r="AI1035" s="863"/>
      <c r="AJ1035" s="176">
        <f>SUM(AC1035:AH1035)</f>
        <v>188.00975555555556</v>
      </c>
      <c r="AK1035" s="650">
        <f t="shared" si="357"/>
        <v>0.71075422222222218</v>
      </c>
      <c r="AL1035" s="225">
        <f>Table1[[#This Row],[WSP/Dealer]]/Table1[[#This Row],[OD Sq Inch]]</f>
        <v>0.37615740740740738</v>
      </c>
      <c r="AM1035" s="173">
        <f>Table1[[#This Row],[OD Wdth]]*Table1[[#This Row],[OD Hgt]]</f>
        <v>1728</v>
      </c>
      <c r="AN1035" s="216">
        <f>Table1[[#This Row],[Min VO]]+Table1[[#This Row],[Max VO]]</f>
        <v>84</v>
      </c>
      <c r="AO1035" s="653"/>
      <c r="AP1035" s="653"/>
      <c r="AQ1035" s="864"/>
      <c r="AR1035" s="864"/>
      <c r="AS1035" s="864"/>
      <c r="AT1035" s="863"/>
      <c r="AU1035" s="1364" t="str">
        <f t="shared" si="367"/>
        <v>-</v>
      </c>
    </row>
    <row r="1036" spans="1:47" s="103" customFormat="1" hidden="1" x14ac:dyDescent="0.2">
      <c r="A1036" s="101" t="s">
        <v>110</v>
      </c>
      <c r="B1036" s="1062" t="s">
        <v>134</v>
      </c>
      <c r="C1036" s="168" t="s">
        <v>2569</v>
      </c>
      <c r="D1036" s="168"/>
      <c r="E1036" s="115" t="s">
        <v>2570</v>
      </c>
      <c r="F1036" s="115" t="s">
        <v>361</v>
      </c>
      <c r="G1036" s="101" t="s">
        <v>1229</v>
      </c>
      <c r="H1036" s="101" t="s">
        <v>1229</v>
      </c>
      <c r="I1036" s="101" t="s">
        <v>52</v>
      </c>
      <c r="J1036" s="101" t="s">
        <v>53</v>
      </c>
      <c r="K1036" s="101" t="s">
        <v>54</v>
      </c>
      <c r="L1036" s="101" t="s">
        <v>55</v>
      </c>
      <c r="M1036" s="299">
        <v>500</v>
      </c>
      <c r="N1036" s="102"/>
      <c r="O1036" s="101" t="s">
        <v>56</v>
      </c>
      <c r="P1036" s="101">
        <v>60</v>
      </c>
      <c r="Q1036" s="101">
        <v>36</v>
      </c>
      <c r="R1036" s="101">
        <v>36</v>
      </c>
      <c r="S1036" s="101">
        <v>60</v>
      </c>
      <c r="T1036" s="101">
        <v>60</v>
      </c>
      <c r="U1036" s="101">
        <v>36</v>
      </c>
      <c r="V1036" s="106">
        <f t="shared" si="365"/>
        <v>68</v>
      </c>
      <c r="W1036" s="106">
        <f t="shared" si="366"/>
        <v>44</v>
      </c>
      <c r="X1036" s="137">
        <v>53</v>
      </c>
      <c r="Y1036" s="101">
        <v>68</v>
      </c>
      <c r="Z1036" s="101">
        <v>44</v>
      </c>
      <c r="AA1036" s="649">
        <f t="shared" si="361"/>
        <v>20.777777777777779</v>
      </c>
      <c r="AB1036" s="184">
        <f t="shared" si="368"/>
        <v>437.16444444444443</v>
      </c>
      <c r="AC1036" s="104">
        <f t="shared" si="362"/>
        <v>13.713333333333335</v>
      </c>
      <c r="AD1036" s="1066">
        <f>Table1[[#This Row],[Substrate SF]]*IncaC</f>
        <v>34.973155555555557</v>
      </c>
      <c r="AE1036" s="406">
        <f>IF(Table1[[#This Row],[Work Center]]="SwissQ",Materials!G$37,IF(Table1[[#This Row],[Work Center]]="Inca",Materials!G$29,IF(Table1[[#This Row],[Work Center]]="Canon",Materials!G$49,Materials!G$45)))</f>
        <v>8</v>
      </c>
      <c r="AF1036" s="102">
        <f>'Cali FPS'!C75</f>
        <v>116.11</v>
      </c>
      <c r="AG1036" s="121"/>
      <c r="AH1036" s="104">
        <f t="shared" si="360"/>
        <v>25</v>
      </c>
      <c r="AI1036" s="406">
        <f>IF(A1036="Codarus",(M1036*0.13))</f>
        <v>65</v>
      </c>
      <c r="AJ1036" s="104">
        <f>SUM(AC1036:AI1036)</f>
        <v>262.79648888888892</v>
      </c>
      <c r="AK1036" s="830">
        <f t="shared" si="357"/>
        <v>0.47440702222222214</v>
      </c>
      <c r="AL1036" s="660">
        <f>Table1[[#This Row],[WSP/Dealer]]/Table1[[#This Row],[OD Sq Inch]]</f>
        <v>0.23148148148148148</v>
      </c>
      <c r="AM1036" s="399">
        <f>Table1[[#This Row],[OD Wdth]]*Table1[[#This Row],[OD Hgt]]</f>
        <v>2160</v>
      </c>
      <c r="AN1036" s="400">
        <f>Table1[[#This Row],[Min VO]]+Table1[[#This Row],[Max VO]]</f>
        <v>96</v>
      </c>
      <c r="AO1036" s="115"/>
      <c r="AP1036" s="1307">
        <v>1000</v>
      </c>
      <c r="AQ1036" s="121">
        <f>(Table1[[#This Row],[Desgnr/Retail P]]*0.05)</f>
        <v>50</v>
      </c>
      <c r="AR1036" s="121">
        <f>IF(A1036="Codarus",(AP1036*0.13))</f>
        <v>130</v>
      </c>
      <c r="AS1036" s="121">
        <f>SUM(Table1[[#This Row],[Substrate $]:[GP FINISH]])+Table1[[#This Row],[Retail Royalty]]+Table1[[#This Row],[Retail$Comm]]</f>
        <v>352.79648888888892</v>
      </c>
      <c r="AT1036" s="830">
        <f>IF(AP1036=0,"-",(AP1036-AS1036)/AP1036)</f>
        <v>0.64720351111111107</v>
      </c>
      <c r="AU1036" s="1359">
        <f t="shared" si="367"/>
        <v>0.98705592977777779</v>
      </c>
    </row>
    <row r="1037" spans="1:47" s="330" customFormat="1" hidden="1" x14ac:dyDescent="0.2">
      <c r="A1037" s="101" t="s">
        <v>110</v>
      </c>
      <c r="B1037" s="1062" t="s">
        <v>250</v>
      </c>
      <c r="C1037" s="168" t="s">
        <v>2571</v>
      </c>
      <c r="D1037" s="168"/>
      <c r="E1037" s="115" t="s">
        <v>2570</v>
      </c>
      <c r="F1037" s="115" t="s">
        <v>361</v>
      </c>
      <c r="G1037" s="101" t="s">
        <v>1229</v>
      </c>
      <c r="H1037" s="101" t="s">
        <v>1230</v>
      </c>
      <c r="I1037" s="101" t="s">
        <v>52</v>
      </c>
      <c r="J1037" s="487" t="s">
        <v>53</v>
      </c>
      <c r="K1037" s="101" t="s">
        <v>69</v>
      </c>
      <c r="L1037" s="101" t="s">
        <v>70</v>
      </c>
      <c r="M1037" s="114">
        <v>700</v>
      </c>
      <c r="N1037" s="114"/>
      <c r="O1037" s="101" t="s">
        <v>56</v>
      </c>
      <c r="P1037" s="101">
        <v>60</v>
      </c>
      <c r="Q1037" s="101">
        <v>36</v>
      </c>
      <c r="R1037" s="101">
        <v>36</v>
      </c>
      <c r="S1037" s="101">
        <v>60</v>
      </c>
      <c r="T1037" s="101">
        <v>61</v>
      </c>
      <c r="U1037" s="101">
        <v>37</v>
      </c>
      <c r="V1037" s="608">
        <f t="shared" si="365"/>
        <v>68</v>
      </c>
      <c r="W1037" s="608">
        <f t="shared" si="366"/>
        <v>44</v>
      </c>
      <c r="X1037" s="137">
        <v>69</v>
      </c>
      <c r="Y1037" s="101">
        <v>68</v>
      </c>
      <c r="Z1037" s="101">
        <v>44</v>
      </c>
      <c r="AA1037" s="649">
        <f t="shared" si="361"/>
        <v>20.777777777777779</v>
      </c>
      <c r="AB1037" s="184">
        <f t="shared" si="368"/>
        <v>437.16444444444443</v>
      </c>
      <c r="AC1037" s="104">
        <f t="shared" si="362"/>
        <v>13.713333333333335</v>
      </c>
      <c r="AD1037" s="1066">
        <f>Table1[[#This Row],[Substrate SF]]*IncaC</f>
        <v>34.973155555555557</v>
      </c>
      <c r="AE1037" s="406">
        <f>IF(Table1[[#This Row],[Work Center]]="SwissQ",Materials!G$37,IF(Table1[[#This Row],[Work Center]]="Inca",Materials!G$29,IF(Table1[[#This Row],[Work Center]]="Canon",Materials!G$49,Materials!G$45)))</f>
        <v>8</v>
      </c>
      <c r="AF1037" s="102">
        <f>'Cali Frames'!D301</f>
        <v>200</v>
      </c>
      <c r="AG1037" s="121"/>
      <c r="AH1037" s="104">
        <f t="shared" si="360"/>
        <v>35</v>
      </c>
      <c r="AI1037" s="406">
        <f>IF(A1037="Codarus",(M1037*0.13))</f>
        <v>91</v>
      </c>
      <c r="AJ1037" s="104">
        <f>SUM(AC1037:AI1037)</f>
        <v>382.6864888888889</v>
      </c>
      <c r="AK1037" s="830">
        <f t="shared" si="357"/>
        <v>0.45330501587301586</v>
      </c>
      <c r="AL1037" s="660">
        <f>Table1[[#This Row],[WSP/Dealer]]/Table1[[#This Row],[OD Sq Inch]]</f>
        <v>0.31014621178555607</v>
      </c>
      <c r="AM1037" s="399">
        <f>Table1[[#This Row],[OD Wdth]]*Table1[[#This Row],[OD Hgt]]</f>
        <v>2257</v>
      </c>
      <c r="AN1037" s="400">
        <f>Table1[[#This Row],[Min VO]]+Table1[[#This Row],[Max VO]]</f>
        <v>96</v>
      </c>
      <c r="AO1037" s="115"/>
      <c r="AP1037" s="1307">
        <v>1400</v>
      </c>
      <c r="AQ1037" s="121">
        <f>(Table1[[#This Row],[Desgnr/Retail P]]*0.05)</f>
        <v>70</v>
      </c>
      <c r="AR1037" s="121">
        <f>IF(A1037="Codarus",(AP1037*0.13))</f>
        <v>182</v>
      </c>
      <c r="AS1037" s="121">
        <f>SUM(Table1[[#This Row],[Substrate $]:[GP FINISH]])+Table1[[#This Row],[Retail Royalty]]+Table1[[#This Row],[Retail$Comm]]</f>
        <v>508.6864888888889</v>
      </c>
      <c r="AT1037" s="830">
        <f>IF(AP1037=0,"-",(AP1037-AS1037)/AP1037)</f>
        <v>0.63665250793650796</v>
      </c>
      <c r="AU1037" s="1359">
        <f t="shared" si="367"/>
        <v>0.99090496417233564</v>
      </c>
    </row>
    <row r="1038" spans="1:47" s="330" customFormat="1" hidden="1" x14ac:dyDescent="0.2">
      <c r="A1038" s="68" t="s">
        <v>101</v>
      </c>
      <c r="B1038" s="1072" t="s">
        <v>102</v>
      </c>
      <c r="C1038" s="94" t="s">
        <v>2572</v>
      </c>
      <c r="D1038" s="94"/>
      <c r="E1038" s="84" t="s">
        <v>2573</v>
      </c>
      <c r="F1038" s="84" t="s">
        <v>105</v>
      </c>
      <c r="G1038" s="68" t="s">
        <v>1583</v>
      </c>
      <c r="H1038" s="68" t="s">
        <v>2574</v>
      </c>
      <c r="I1038" s="68" t="s">
        <v>256</v>
      </c>
      <c r="J1038" s="140" t="s">
        <v>257</v>
      </c>
      <c r="K1038" s="68" t="s">
        <v>258</v>
      </c>
      <c r="L1038" s="68" t="s">
        <v>259</v>
      </c>
      <c r="M1038" s="141">
        <v>137</v>
      </c>
      <c r="N1038" s="93"/>
      <c r="O1038" s="68" t="s">
        <v>260</v>
      </c>
      <c r="P1038" s="68">
        <v>8</v>
      </c>
      <c r="Q1038" s="68">
        <v>10</v>
      </c>
      <c r="R1038" s="68">
        <v>8</v>
      </c>
      <c r="S1038" s="68">
        <v>10</v>
      </c>
      <c r="T1038" s="68">
        <v>9</v>
      </c>
      <c r="U1038" s="68">
        <v>11</v>
      </c>
      <c r="V1038" s="917">
        <f t="shared" si="365"/>
        <v>8</v>
      </c>
      <c r="W1038" s="917">
        <f t="shared" si="366"/>
        <v>10</v>
      </c>
      <c r="X1038" s="68" t="s">
        <v>257</v>
      </c>
      <c r="Y1038" s="1347">
        <f>Table1[[#This Row],[Print Wth]]+Materials!$C$7</f>
        <v>10</v>
      </c>
      <c r="Z1038" s="1347">
        <f>Table1[[#This Row],[Print Ht]]+Materials!$C$7</f>
        <v>12</v>
      </c>
      <c r="AA1038" s="1027">
        <f>(Table1[[#This Row],[Cut Width]]*Table1[[#This Row],[Cut Height]])/144</f>
        <v>0.83333333333333337</v>
      </c>
      <c r="AB1038" s="297">
        <f>(Table1[[#This Row],[Print Wth]]*Table1[[#This Row],[Print Ht]])/144*canonML</f>
        <v>2.6666666666666665</v>
      </c>
      <c r="AC1038" s="74">
        <f>Table1[[#This Row],[Substrate SF]]*Paper</f>
        <v>1.1274999999999999</v>
      </c>
      <c r="AD1038" s="67">
        <f>(Table1[[#This Row],[Print Wth]]*Table1[[#This Row],[Print Ht]])/144*CanonC</f>
        <v>0.15000000000000002</v>
      </c>
      <c r="AE1038" s="74">
        <f>IF(Table1[[#This Row],[Work Center]]="SwissQ",Materials!G$37,IF(Table1[[#This Row],[Work Center]]="Inca",Materials!G$29,IF(Table1[[#This Row],[Work Center]]="Canon",Materials!G$49,Materials!G$45)))</f>
        <v>7</v>
      </c>
      <c r="AF1038" s="73">
        <f>'Cali Frames'!D6</f>
        <v>68.5</v>
      </c>
      <c r="AG1038" s="126"/>
      <c r="AH1038" s="74">
        <v>0</v>
      </c>
      <c r="AI1038" s="278"/>
      <c r="AJ1038" s="74">
        <f>SUM(AC1038:AI1038)</f>
        <v>76.777500000000003</v>
      </c>
      <c r="AK1038" s="1001">
        <f t="shared" si="357"/>
        <v>0.43958029197080289</v>
      </c>
      <c r="AL1038" s="240">
        <f>Table1[[#This Row],[WSP/Dealer]]/Table1[[#This Row],[OD Sq Inch]]</f>
        <v>1.3838383838383839</v>
      </c>
      <c r="AM1038" s="170">
        <f>Table1[[#This Row],[OD Wdth]]*Table1[[#This Row],[OD Hgt]]</f>
        <v>99</v>
      </c>
      <c r="AN1038" s="274">
        <f>Table1[[#This Row],[Min VO]]+Table1[[#This Row],[Max VO]]</f>
        <v>18</v>
      </c>
      <c r="AO1038" s="84"/>
      <c r="AP1038" s="126"/>
      <c r="AQ1038" s="126"/>
      <c r="AR1038" s="74"/>
      <c r="AS1038" s="1158"/>
      <c r="AT1038" s="1187"/>
      <c r="AU1038" s="1357" t="str">
        <f t="shared" si="367"/>
        <v>-</v>
      </c>
    </row>
    <row r="1039" spans="1:47" s="103" customFormat="1" hidden="1" x14ac:dyDescent="0.2">
      <c r="A1039" s="86"/>
      <c r="B1039" s="1061" t="s">
        <v>562</v>
      </c>
      <c r="C1039" s="76" t="s">
        <v>2575</v>
      </c>
      <c r="D1039" s="94" t="s">
        <v>2576</v>
      </c>
      <c r="E1039" s="85" t="s">
        <v>2577</v>
      </c>
      <c r="F1039" s="85" t="s">
        <v>150</v>
      </c>
      <c r="G1039" s="86" t="s">
        <v>2578</v>
      </c>
      <c r="H1039" s="86" t="s">
        <v>2579</v>
      </c>
      <c r="I1039" s="86" t="s">
        <v>52</v>
      </c>
      <c r="J1039" s="86" t="s">
        <v>53</v>
      </c>
      <c r="K1039" s="86" t="s">
        <v>82</v>
      </c>
      <c r="L1039" s="86" t="s">
        <v>83</v>
      </c>
      <c r="M1039" s="87">
        <v>1078</v>
      </c>
      <c r="N1039" s="71"/>
      <c r="O1039" s="551" t="s">
        <v>56</v>
      </c>
      <c r="P1039" s="101">
        <v>47</v>
      </c>
      <c r="Q1039" s="101">
        <v>68</v>
      </c>
      <c r="R1039" s="60">
        <v>47</v>
      </c>
      <c r="S1039" s="273">
        <v>68</v>
      </c>
      <c r="T1039" s="101">
        <v>49</v>
      </c>
      <c r="U1039" s="101" t="str">
        <f>RIGHT(H1039,2)</f>
        <v>70</v>
      </c>
      <c r="V1039" s="608">
        <f t="shared" si="365"/>
        <v>55</v>
      </c>
      <c r="W1039" s="608">
        <f t="shared" si="366"/>
        <v>76</v>
      </c>
      <c r="X1039" s="311">
        <v>80</v>
      </c>
      <c r="Y1039" s="551"/>
      <c r="Z1039" s="551"/>
      <c r="AA1039" s="649">
        <f>V1039*W1039/144</f>
        <v>29.027777777777779</v>
      </c>
      <c r="AB1039" s="184">
        <f>AA1039*IncaG</f>
        <v>610.74444444444441</v>
      </c>
      <c r="AC1039" s="104">
        <f>AA1039*Canvas</f>
        <v>19.158333333333335</v>
      </c>
      <c r="AD1039" s="107">
        <f>AA1039*IncaC</f>
        <v>48.859555555555559</v>
      </c>
      <c r="AE1039" s="104">
        <f>IF(Table1[[#This Row],[Work Center]]="SwissQ",Materials!G$37,IF(Table1[[#This Row],[Work Center]]="Inca",Materials!G$29,IF(Table1[[#This Row],[Work Center]]="Canon",Materials!G$49,Materials!G$45)))</f>
        <v>8</v>
      </c>
      <c r="AF1039" s="104">
        <f>'Cali Frames'!D$150</f>
        <v>237.94749999999999</v>
      </c>
      <c r="AG1039" s="115"/>
      <c r="AH1039" s="498">
        <f>(M1039*0.05)</f>
        <v>53.900000000000006</v>
      </c>
      <c r="AI1039" s="498"/>
      <c r="AJ1039" s="104">
        <f t="shared" ref="AJ1039:AJ1049" si="369">SUM(AC1039:AH1039)</f>
        <v>367.8653888888889</v>
      </c>
      <c r="AK1039" s="650">
        <f t="shared" si="357"/>
        <v>0.65875195835910116</v>
      </c>
      <c r="AL1039" s="225">
        <f>Table1[[#This Row],[WSP/Dealer]]/Table1[[#This Row],[OD Sq Inch]]</f>
        <v>0.31428571428571428</v>
      </c>
      <c r="AM1039" s="103">
        <f>Table1[[#This Row],[OD Wdth]]*Table1[[#This Row],[OD Hgt]]</f>
        <v>3430</v>
      </c>
      <c r="AN1039" s="216">
        <f>Table1[[#This Row],[Min VO]]+Table1[[#This Row],[Max VO]]</f>
        <v>115</v>
      </c>
      <c r="AO1039" s="101"/>
      <c r="AP1039" s="101"/>
      <c r="AQ1039" s="104"/>
      <c r="AR1039" s="104"/>
      <c r="AS1039" s="104"/>
      <c r="AT1039" s="104"/>
      <c r="AU1039" s="830" t="str">
        <f t="shared" si="367"/>
        <v>-</v>
      </c>
    </row>
    <row r="1040" spans="1:47" s="103" customFormat="1" x14ac:dyDescent="0.2">
      <c r="A1040" s="86" t="s">
        <v>58</v>
      </c>
      <c r="B1040" s="1061" t="s">
        <v>366</v>
      </c>
      <c r="C1040" s="100" t="s">
        <v>2580</v>
      </c>
      <c r="D1040" s="94" t="s">
        <v>2581</v>
      </c>
      <c r="E1040" s="85" t="s">
        <v>2582</v>
      </c>
      <c r="F1040" s="85" t="s">
        <v>897</v>
      </c>
      <c r="G1040" s="86" t="s">
        <v>395</v>
      </c>
      <c r="H1040" s="86" t="s">
        <v>2583</v>
      </c>
      <c r="I1040" s="86" t="s">
        <v>52</v>
      </c>
      <c r="J1040" s="86" t="s">
        <v>53</v>
      </c>
      <c r="K1040" s="86" t="s">
        <v>82</v>
      </c>
      <c r="L1040" s="86" t="s">
        <v>83</v>
      </c>
      <c r="M1040" s="87">
        <v>935</v>
      </c>
      <c r="N1040" s="639">
        <v>1350</v>
      </c>
      <c r="O1040" s="101" t="s">
        <v>64</v>
      </c>
      <c r="P1040" s="101">
        <v>60</v>
      </c>
      <c r="Q1040" s="101">
        <v>60</v>
      </c>
      <c r="R1040" s="60">
        <v>60</v>
      </c>
      <c r="S1040" s="273">
        <v>60</v>
      </c>
      <c r="T1040" s="101">
        <v>62</v>
      </c>
      <c r="U1040" s="101" t="str">
        <f>RIGHT(H1040,2)</f>
        <v>62</v>
      </c>
      <c r="V1040" s="608">
        <f t="shared" si="365"/>
        <v>68</v>
      </c>
      <c r="W1040" s="608">
        <f t="shared" si="366"/>
        <v>68</v>
      </c>
      <c r="X1040" s="311">
        <v>69</v>
      </c>
      <c r="Y1040" s="551"/>
      <c r="Z1040" s="551"/>
      <c r="AA1040" s="649">
        <f>V1040*W1040/144</f>
        <v>32.111111111111114</v>
      </c>
      <c r="AB1040" s="125">
        <f>AA1040*Swiss1</f>
        <v>908.74444444444453</v>
      </c>
      <c r="AC1040" s="104">
        <f>AA1040*Canvas</f>
        <v>21.193333333333335</v>
      </c>
      <c r="AD1040" s="107">
        <f>Table1[[#This Row],[Substrate SF]]*Materials!C$37</f>
        <v>89.911111111111111</v>
      </c>
      <c r="AE1040" s="104">
        <f>IF(Table1[[#This Row],[Work Center]]="SwissQ",Materials!G$37,IF(Table1[[#This Row],[Work Center]]="Inca",Materials!G$29,IF(Table1[[#This Row],[Work Center]]="Canon",Materials!G$49,Materials!G$45)))</f>
        <v>20</v>
      </c>
      <c r="AF1040" s="104">
        <f>'Cali Frames'!D167</f>
        <v>242.06</v>
      </c>
      <c r="AG1040" s="115"/>
      <c r="AH1040" s="498">
        <f>(M1040*0.05)</f>
        <v>46.75</v>
      </c>
      <c r="AI1040" s="498"/>
      <c r="AJ1040" s="104">
        <f t="shared" si="369"/>
        <v>419.91444444444448</v>
      </c>
      <c r="AK1040" s="650">
        <f t="shared" si="357"/>
        <v>0.55089364230540694</v>
      </c>
      <c r="AL1040" s="225">
        <f>Table1[[#This Row],[WSP/Dealer]]/Table1[[#This Row],[OD Sq Inch]]</f>
        <v>0.24323621227887618</v>
      </c>
      <c r="AM1040" s="218">
        <f>Table1[[#This Row],[OD Wdth]]*Table1[[#This Row],[OD Hgt]]</f>
        <v>3844</v>
      </c>
      <c r="AN1040" s="216">
        <f>Table1[[#This Row],[Min VO]]+Table1[[#This Row],[Max VO]]</f>
        <v>120</v>
      </c>
      <c r="AO1040" s="101"/>
      <c r="AP1040" s="101"/>
      <c r="AQ1040" s="104"/>
      <c r="AR1040" s="104"/>
      <c r="AS1040" s="104"/>
      <c r="AT1040" s="104"/>
      <c r="AU1040" s="830" t="str">
        <f t="shared" si="367"/>
        <v>-</v>
      </c>
    </row>
    <row r="1041" spans="1:47" s="103" customFormat="1" hidden="1" x14ac:dyDescent="0.2">
      <c r="A1041" s="101" t="s">
        <v>110</v>
      </c>
      <c r="B1041" s="1067" t="s">
        <v>102</v>
      </c>
      <c r="C1041" s="100" t="s">
        <v>2584</v>
      </c>
      <c r="D1041" s="168"/>
      <c r="E1041" s="115" t="s">
        <v>2585</v>
      </c>
      <c r="F1041" s="115" t="s">
        <v>897</v>
      </c>
      <c r="G1041" s="101" t="s">
        <v>115</v>
      </c>
      <c r="H1041" s="101" t="s">
        <v>115</v>
      </c>
      <c r="I1041" s="101" t="s">
        <v>52</v>
      </c>
      <c r="J1041" s="487" t="s">
        <v>53</v>
      </c>
      <c r="K1041" s="101" t="s">
        <v>54</v>
      </c>
      <c r="L1041" s="101" t="s">
        <v>55</v>
      </c>
      <c r="M1041" s="114">
        <v>900</v>
      </c>
      <c r="N1041" s="114"/>
      <c r="O1041" s="101" t="s">
        <v>64</v>
      </c>
      <c r="P1041" s="101">
        <v>48</v>
      </c>
      <c r="Q1041" s="101">
        <v>48</v>
      </c>
      <c r="R1041" s="101">
        <v>48</v>
      </c>
      <c r="S1041" s="697">
        <v>48</v>
      </c>
      <c r="T1041" s="101">
        <v>48</v>
      </c>
      <c r="U1041" s="101">
        <v>48</v>
      </c>
      <c r="V1041" s="608">
        <f t="shared" si="365"/>
        <v>56</v>
      </c>
      <c r="W1041" s="608">
        <f t="shared" si="366"/>
        <v>56</v>
      </c>
      <c r="X1041" s="101">
        <v>59</v>
      </c>
      <c r="Y1041" s="101">
        <v>56</v>
      </c>
      <c r="Z1041" s="101">
        <v>56</v>
      </c>
      <c r="AA1041" s="649">
        <f>V1041*W1041/144</f>
        <v>21.777777777777779</v>
      </c>
      <c r="AB1041" s="184">
        <f>AA1041*Swiss1</f>
        <v>616.31111111111113</v>
      </c>
      <c r="AC1041" s="104">
        <f>AA1041*Canvas</f>
        <v>14.373333333333335</v>
      </c>
      <c r="AD1041" s="107">
        <f>Table1[[#This Row],[Substrate SF]]*Materials!C$37</f>
        <v>60.977777777777774</v>
      </c>
      <c r="AE1041" s="104">
        <f>IF(Table1[[#This Row],[Work Center]]="SwissQ",Materials!G$37,IF(Table1[[#This Row],[Work Center]]="Inca",Materials!G$29,IF(Table1[[#This Row],[Work Center]]="Canon",Materials!G$49,Materials!G$45)))</f>
        <v>20</v>
      </c>
      <c r="AF1041" s="102">
        <f>'Cali FPS'!C117</f>
        <v>119.7</v>
      </c>
      <c r="AG1041" s="115"/>
      <c r="AH1041" s="406">
        <f>(M1041*0.05)</f>
        <v>45</v>
      </c>
      <c r="AI1041" s="406"/>
      <c r="AJ1041" s="406">
        <f t="shared" si="369"/>
        <v>260.05111111111114</v>
      </c>
      <c r="AK1041" s="1065">
        <f t="shared" si="357"/>
        <v>0.71105432098765431</v>
      </c>
      <c r="AL1041" s="406">
        <f>Table1[[#This Row],[WSP/Dealer]]/Table1[[#This Row],[OD Sq Inch]]</f>
        <v>0.390625</v>
      </c>
      <c r="AM1041" s="399">
        <f>Table1[[#This Row],[OD Wdth]]*Table1[[#This Row],[OD Hgt]]</f>
        <v>2304</v>
      </c>
      <c r="AN1041" s="400">
        <f>Table1[[#This Row],[Min VO]]+Table1[[#This Row],[Max VO]]</f>
        <v>96</v>
      </c>
      <c r="AO1041" s="115"/>
      <c r="AP1041" s="408">
        <v>1800</v>
      </c>
      <c r="AQ1041" s="104">
        <f>(Table1[[#This Row],[Desgnr/Retail P]]*0.05)</f>
        <v>90</v>
      </c>
      <c r="AR1041" s="121">
        <f>IF(A1041="Codarus",(AP1041*0.13))</f>
        <v>234</v>
      </c>
      <c r="AS1041" s="121">
        <f>SUM(Table1[[#This Row],[Substrate $]:[GP FINISH]])+Table1[[#This Row],[Retail Royalty]]+Table1[[#This Row],[Retail$Comm]]</f>
        <v>539.05111111111114</v>
      </c>
      <c r="AT1041" s="830">
        <f>IF(AP1041=0,"-",(AP1041-AS1041)/AP1041)</f>
        <v>0.70052716049382713</v>
      </c>
      <c r="AU1041" s="1359">
        <f t="shared" si="367"/>
        <v>0.99221636488340204</v>
      </c>
    </row>
    <row r="1042" spans="1:47" s="63" customFormat="1" hidden="1" x14ac:dyDescent="0.2">
      <c r="A1042" s="101" t="s">
        <v>110</v>
      </c>
      <c r="B1042" s="1067" t="s">
        <v>102</v>
      </c>
      <c r="C1042" s="100" t="s">
        <v>2586</v>
      </c>
      <c r="D1042" s="168"/>
      <c r="E1042" s="115" t="s">
        <v>2585</v>
      </c>
      <c r="F1042" s="115" t="s">
        <v>897</v>
      </c>
      <c r="G1042" s="101" t="s">
        <v>115</v>
      </c>
      <c r="H1042" s="101" t="s">
        <v>387</v>
      </c>
      <c r="I1042" s="101" t="s">
        <v>52</v>
      </c>
      <c r="J1042" s="487" t="s">
        <v>53</v>
      </c>
      <c r="K1042" s="101" t="s">
        <v>82</v>
      </c>
      <c r="L1042" s="101" t="s">
        <v>83</v>
      </c>
      <c r="M1042" s="114">
        <v>1200</v>
      </c>
      <c r="N1042" s="114"/>
      <c r="O1042" s="101" t="s">
        <v>64</v>
      </c>
      <c r="P1042" s="101">
        <v>48</v>
      </c>
      <c r="Q1042" s="101">
        <v>48</v>
      </c>
      <c r="R1042" s="101">
        <v>48</v>
      </c>
      <c r="S1042" s="697">
        <v>48</v>
      </c>
      <c r="T1042" s="101">
        <v>50</v>
      </c>
      <c r="U1042" s="101">
        <v>50</v>
      </c>
      <c r="V1042" s="608">
        <f t="shared" si="365"/>
        <v>56</v>
      </c>
      <c r="W1042" s="608">
        <f t="shared" si="366"/>
        <v>56</v>
      </c>
      <c r="X1042" s="101">
        <v>59</v>
      </c>
      <c r="Y1042" s="101">
        <v>56</v>
      </c>
      <c r="Z1042" s="101">
        <v>56</v>
      </c>
      <c r="AA1042" s="649">
        <f>V1042*W1042/144</f>
        <v>21.777777777777779</v>
      </c>
      <c r="AB1042" s="184">
        <f>AA1042*Swiss1</f>
        <v>616.31111111111113</v>
      </c>
      <c r="AC1042" s="104">
        <f>AA1042*Canvas</f>
        <v>14.373333333333335</v>
      </c>
      <c r="AD1042" s="107">
        <f>Table1[[#This Row],[Substrate SF]]*Materials!C$37</f>
        <v>60.977777777777774</v>
      </c>
      <c r="AE1042" s="104">
        <f>IF(Table1[[#This Row],[Work Center]]="SwissQ",Materials!G$37,IF(Table1[[#This Row],[Work Center]]="Inca",Materials!G$29,IF(Table1[[#This Row],[Work Center]]="Canon",Materials!G$49,Materials!G$45)))</f>
        <v>20</v>
      </c>
      <c r="AF1042" s="102">
        <f>'Cali Frames'!D152</f>
        <v>156.16999999999999</v>
      </c>
      <c r="AG1042" s="115"/>
      <c r="AH1042" s="405">
        <f>(M1042*0.05)</f>
        <v>60</v>
      </c>
      <c r="AI1042" s="405"/>
      <c r="AJ1042" s="406">
        <f t="shared" si="369"/>
        <v>311.52111111111111</v>
      </c>
      <c r="AK1042" s="1068">
        <f t="shared" si="357"/>
        <v>0.74039907407407402</v>
      </c>
      <c r="AL1042" s="406">
        <f>Table1[[#This Row],[WSP/Dealer]]/Table1[[#This Row],[OD Sq Inch]]</f>
        <v>0.48</v>
      </c>
      <c r="AM1042" s="399">
        <f>Table1[[#This Row],[OD Wdth]]*Table1[[#This Row],[OD Hgt]]</f>
        <v>2500</v>
      </c>
      <c r="AN1042" s="400">
        <f>Table1[[#This Row],[Min VO]]+Table1[[#This Row],[Max VO]]</f>
        <v>96</v>
      </c>
      <c r="AO1042" s="115"/>
      <c r="AP1042" s="408">
        <v>2400</v>
      </c>
      <c r="AQ1042" s="104">
        <f>(Table1[[#This Row],[Desgnr/Retail P]]*0.05)</f>
        <v>120</v>
      </c>
      <c r="AR1042" s="121">
        <f>IF(A1042="Codarus",(AP1042*0.13))</f>
        <v>312</v>
      </c>
      <c r="AS1042" s="121">
        <f>SUM(Table1[[#This Row],[Substrate $]:[GP FINISH]])+Table1[[#This Row],[Retail Royalty]]+Table1[[#This Row],[Retail$Comm]]</f>
        <v>683.52111111111117</v>
      </c>
      <c r="AT1042" s="830">
        <f>IF(AP1042=0,"-",(AP1042-AS1042)/AP1042)</f>
        <v>0.71519953703703698</v>
      </c>
      <c r="AU1042" s="1359">
        <f t="shared" si="367"/>
        <v>0.99404000385802471</v>
      </c>
    </row>
    <row r="1043" spans="1:47" s="63" customFormat="1" x14ac:dyDescent="0.2">
      <c r="A1043" s="86" t="s">
        <v>58</v>
      </c>
      <c r="B1043" s="1061" t="s">
        <v>366</v>
      </c>
      <c r="C1043" s="100" t="s">
        <v>2587</v>
      </c>
      <c r="D1043" s="94" t="s">
        <v>2588</v>
      </c>
      <c r="E1043" s="85" t="s">
        <v>2589</v>
      </c>
      <c r="F1043" s="85" t="s">
        <v>386</v>
      </c>
      <c r="G1043" s="86" t="s">
        <v>623</v>
      </c>
      <c r="H1043" s="86" t="s">
        <v>2397</v>
      </c>
      <c r="I1043" s="86" t="s">
        <v>52</v>
      </c>
      <c r="J1043" s="86" t="s">
        <v>53</v>
      </c>
      <c r="K1043" s="86" t="s">
        <v>82</v>
      </c>
      <c r="L1043" s="86" t="s">
        <v>83</v>
      </c>
      <c r="M1043" s="87">
        <v>1375</v>
      </c>
      <c r="N1043" s="639">
        <v>1450</v>
      </c>
      <c r="O1043" s="101" t="s">
        <v>64</v>
      </c>
      <c r="P1043" s="101">
        <v>60</v>
      </c>
      <c r="Q1043" s="101">
        <v>72</v>
      </c>
      <c r="R1043" s="60">
        <v>60</v>
      </c>
      <c r="S1043" s="273">
        <v>72</v>
      </c>
      <c r="T1043" s="101">
        <v>62</v>
      </c>
      <c r="U1043" s="101" t="str">
        <f>RIGHT(H1043,2)</f>
        <v>74</v>
      </c>
      <c r="V1043" s="608">
        <f t="shared" si="365"/>
        <v>68</v>
      </c>
      <c r="W1043" s="608">
        <f t="shared" si="366"/>
        <v>80</v>
      </c>
      <c r="X1043" s="311">
        <v>82</v>
      </c>
      <c r="Y1043" s="551"/>
      <c r="Z1043" s="551"/>
      <c r="AA1043" s="649">
        <f>V1043*W1043/144</f>
        <v>37.777777777777779</v>
      </c>
      <c r="AB1043" s="125">
        <f>AA1043*Swiss1</f>
        <v>1069.1111111111111</v>
      </c>
      <c r="AC1043" s="104">
        <f>AA1043*Canvas</f>
        <v>24.933333333333334</v>
      </c>
      <c r="AD1043" s="107">
        <f>Table1[[#This Row],[Substrate SF]]*Materials!C$37</f>
        <v>105.77777777777777</v>
      </c>
      <c r="AE1043" s="104">
        <f>IF(Table1[[#This Row],[Work Center]]="SwissQ",Materials!G$37,IF(Table1[[#This Row],[Work Center]]="Inca",Materials!G$29,IF(Table1[[#This Row],[Work Center]]="Canon",Materials!G$49,Materials!G$45)))</f>
        <v>20</v>
      </c>
      <c r="AF1043" s="104">
        <f>'Cali Frames'!D$168</f>
        <v>317.065</v>
      </c>
      <c r="AG1043" s="115"/>
      <c r="AH1043" s="498">
        <f>(M1043*0.05)</f>
        <v>68.75</v>
      </c>
      <c r="AI1043" s="498"/>
      <c r="AJ1043" s="104">
        <f t="shared" si="369"/>
        <v>536.52611111111105</v>
      </c>
      <c r="AK1043" s="650">
        <f t="shared" ref="AK1043:AK1074" si="370">(M1043-AJ1043)/M1043</f>
        <v>0.60979919191919196</v>
      </c>
      <c r="AL1043" s="225">
        <f>Table1[[#This Row],[WSP/Dealer]]/Table1[[#This Row],[OD Sq Inch]]</f>
        <v>0.29969485614646907</v>
      </c>
      <c r="AM1043" s="103">
        <f>Table1[[#This Row],[OD Wdth]]*Table1[[#This Row],[OD Hgt]]</f>
        <v>4588</v>
      </c>
      <c r="AN1043" s="216">
        <f>Table1[[#This Row],[Min VO]]+Table1[[#This Row],[Max VO]]</f>
        <v>132</v>
      </c>
      <c r="AO1043" s="101"/>
      <c r="AP1043" s="101"/>
      <c r="AQ1043" s="104"/>
      <c r="AR1043" s="104"/>
      <c r="AS1043" s="104"/>
      <c r="AT1043" s="104"/>
      <c r="AU1043" s="830" t="str">
        <f t="shared" si="367"/>
        <v>-</v>
      </c>
    </row>
    <row r="1044" spans="1:47" s="63" customFormat="1" hidden="1" x14ac:dyDescent="0.2">
      <c r="A1044" s="68" t="s">
        <v>101</v>
      </c>
      <c r="B1044" s="1152" t="s">
        <v>102</v>
      </c>
      <c r="C1044" s="78" t="s">
        <v>2590</v>
      </c>
      <c r="D1044" s="94"/>
      <c r="E1044" s="84" t="s">
        <v>2591</v>
      </c>
      <c r="F1044" s="84" t="s">
        <v>105</v>
      </c>
      <c r="G1044" s="68" t="s">
        <v>2592</v>
      </c>
      <c r="H1044" s="68" t="s">
        <v>2592</v>
      </c>
      <c r="I1044" s="68" t="s">
        <v>108</v>
      </c>
      <c r="J1044" s="140" t="s">
        <v>53</v>
      </c>
      <c r="K1044" s="68" t="s">
        <v>119</v>
      </c>
      <c r="L1044" s="68" t="s">
        <v>120</v>
      </c>
      <c r="M1044" s="141">
        <v>188</v>
      </c>
      <c r="N1044" s="93"/>
      <c r="O1044" s="68" t="s">
        <v>109</v>
      </c>
      <c r="P1044" s="68">
        <v>24</v>
      </c>
      <c r="Q1044" s="68">
        <v>17</v>
      </c>
      <c r="R1044" s="68">
        <v>17</v>
      </c>
      <c r="S1044" s="623">
        <v>24</v>
      </c>
      <c r="T1044" s="68">
        <v>24</v>
      </c>
      <c r="U1044" s="68">
        <v>17</v>
      </c>
      <c r="V1044" s="917">
        <f t="shared" si="365"/>
        <v>32</v>
      </c>
      <c r="W1044" s="917">
        <f t="shared" si="366"/>
        <v>25</v>
      </c>
      <c r="X1044" s="68">
        <v>40</v>
      </c>
      <c r="Y1044" s="686">
        <f>Table1[[#This Row],[Print Wth]]</f>
        <v>32</v>
      </c>
      <c r="Z1044" s="686">
        <f>Table1[[#This Row],[Print Ht]]</f>
        <v>25</v>
      </c>
      <c r="AA1044" s="1027">
        <f>Table1[[#This Row],[Cut Width]]*Table1[[#This Row],[Cut Height]]/144</f>
        <v>5.5555555555555554</v>
      </c>
      <c r="AB1044" s="1130">
        <f>Table1[[#This Row],[Print Wth]]*Table1[[#This Row],[Print Ht]]/144*EPSONM</f>
        <v>25</v>
      </c>
      <c r="AC1044" s="278">
        <f>Table1[[#This Row],[Substrate SF]]*Canvas</f>
        <v>3.6666666666666665</v>
      </c>
      <c r="AD1044" s="278">
        <f>Table1[[#This Row],[Ink g/mL]]*EPSONC</f>
        <v>5.5</v>
      </c>
      <c r="AE1044" s="74">
        <f>IF(Table1[[#This Row],[Work Center]]="SwissQ",Materials!G$37,IF(Table1[[#This Row],[Work Center]]="Inca",Materials!G$29,IF(Table1[[#This Row],[Work Center]]="Canon",Materials!G$49,Materials!G$45)))</f>
        <v>5</v>
      </c>
      <c r="AF1044" s="73">
        <f>'Cali FPS'!C187</f>
        <v>79.75</v>
      </c>
      <c r="AG1044" s="84"/>
      <c r="AH1044" s="278">
        <v>0</v>
      </c>
      <c r="AI1044" s="278"/>
      <c r="AJ1044" s="278">
        <f t="shared" si="369"/>
        <v>93.916666666666671</v>
      </c>
      <c r="AK1044" s="1192">
        <f t="shared" si="370"/>
        <v>0.50044326241134751</v>
      </c>
      <c r="AL1044" s="278">
        <f>Table1[[#This Row],[WSP/Dealer]]/Table1[[#This Row],[OD Sq Inch]]</f>
        <v>0.46078431372549017</v>
      </c>
      <c r="AM1044" s="274">
        <f>Table1[[#This Row],[OD Wdth]]*Table1[[#This Row],[OD Hgt]]</f>
        <v>408</v>
      </c>
      <c r="AN1044" s="274">
        <f>Table1[[#This Row],[Min VO]]+Table1[[#This Row],[Max VO]]</f>
        <v>41</v>
      </c>
      <c r="AO1044" s="84"/>
      <c r="AP1044" s="84"/>
      <c r="AQ1044" s="74"/>
      <c r="AR1044" s="74"/>
      <c r="AS1044" s="74"/>
      <c r="AT1044" s="74"/>
      <c r="AU1044" s="1357" t="str">
        <f t="shared" si="367"/>
        <v>-</v>
      </c>
    </row>
    <row r="1045" spans="1:47" s="63" customFormat="1" hidden="1" x14ac:dyDescent="0.2">
      <c r="A1045" s="274"/>
      <c r="B1045" s="279"/>
      <c r="C1045" s="317" t="s">
        <v>2593</v>
      </c>
      <c r="D1045" s="94"/>
      <c r="E1045" s="275" t="s">
        <v>2594</v>
      </c>
      <c r="F1045" s="275" t="s">
        <v>448</v>
      </c>
      <c r="G1045" s="274" t="s">
        <v>2595</v>
      </c>
      <c r="H1045" s="274"/>
      <c r="I1045" s="274" t="s">
        <v>52</v>
      </c>
      <c r="J1045" s="344" t="s">
        <v>53</v>
      </c>
      <c r="K1045" s="274" t="s">
        <v>82</v>
      </c>
      <c r="L1045" s="274" t="s">
        <v>334</v>
      </c>
      <c r="M1045" s="178" t="s">
        <v>2493</v>
      </c>
      <c r="N1045" s="71"/>
      <c r="O1045" s="274" t="s">
        <v>56</v>
      </c>
      <c r="P1045" s="274"/>
      <c r="Q1045" s="274"/>
      <c r="R1045" s="274"/>
      <c r="S1045" s="274"/>
      <c r="T1045" s="274"/>
      <c r="U1045" s="274"/>
      <c r="V1045" s="686"/>
      <c r="W1045" s="686"/>
      <c r="X1045" s="343"/>
      <c r="Y1045" s="274"/>
      <c r="Z1045" s="274"/>
      <c r="AA1045" s="727"/>
      <c r="AB1045" s="341"/>
      <c r="AC1045" s="278"/>
      <c r="AD1045" s="320"/>
      <c r="AE1045" s="320"/>
      <c r="AF1045" s="321"/>
      <c r="AG1045" s="320"/>
      <c r="AH1045" s="498" t="e">
        <f>(M1045*0.05)</f>
        <v>#VALUE!</v>
      </c>
      <c r="AI1045" s="498"/>
      <c r="AJ1045" s="278" t="e">
        <f t="shared" si="369"/>
        <v>#VALUE!</v>
      </c>
      <c r="AK1045" s="650" t="e">
        <f t="shared" si="370"/>
        <v>#VALUE!</v>
      </c>
      <c r="AL1045" s="225" t="e">
        <f>Table1[[#This Row],[WSP/Dealer]]/Table1[[#This Row],[OD Sq Inch]]</f>
        <v>#VALUE!</v>
      </c>
      <c r="AM1045" s="275"/>
      <c r="AN1045" s="274">
        <f>Table1[[#This Row],[Min VO]]+Table1[[#This Row],[Max VO]]</f>
        <v>0</v>
      </c>
      <c r="AO1045" s="275"/>
      <c r="AP1045" s="275"/>
      <c r="AQ1045" s="320"/>
      <c r="AR1045" s="320"/>
      <c r="AS1045" s="320"/>
      <c r="AT1045" s="278"/>
      <c r="AU1045" s="1368" t="str">
        <f t="shared" si="367"/>
        <v>-</v>
      </c>
    </row>
    <row r="1046" spans="1:47" s="63" customFormat="1" hidden="1" x14ac:dyDescent="0.2">
      <c r="A1046" s="101" t="s">
        <v>101</v>
      </c>
      <c r="B1046" s="1062" t="s">
        <v>111</v>
      </c>
      <c r="C1046" s="1678" t="s">
        <v>2596</v>
      </c>
      <c r="D1046" s="168"/>
      <c r="E1046" s="115" t="s">
        <v>2597</v>
      </c>
      <c r="F1046" s="115" t="s">
        <v>105</v>
      </c>
      <c r="G1046" s="101" t="s">
        <v>2598</v>
      </c>
      <c r="H1046" s="101" t="s">
        <v>2599</v>
      </c>
      <c r="I1046" s="101" t="s">
        <v>52</v>
      </c>
      <c r="J1046" s="487" t="s">
        <v>53</v>
      </c>
      <c r="K1046" s="101" t="s">
        <v>69</v>
      </c>
      <c r="L1046" s="101" t="s">
        <v>315</v>
      </c>
      <c r="M1046" s="141">
        <v>349</v>
      </c>
      <c r="N1046" s="102"/>
      <c r="O1046" s="101" t="s">
        <v>64</v>
      </c>
      <c r="P1046" s="101">
        <v>24</v>
      </c>
      <c r="Q1046" s="101">
        <v>40</v>
      </c>
      <c r="R1046" s="101">
        <v>24</v>
      </c>
      <c r="S1046" s="101">
        <v>40</v>
      </c>
      <c r="T1046" s="101">
        <v>21</v>
      </c>
      <c r="U1046" s="101">
        <v>41</v>
      </c>
      <c r="V1046" s="106">
        <f t="shared" ref="V1046:V1055" si="371">IF(J1046="Canvas",P1046+Border,P1046)</f>
        <v>32</v>
      </c>
      <c r="W1046" s="106">
        <f t="shared" ref="W1046:W1055" si="372">IF(J1046="Canvas",Q1046+Border,Q1046)</f>
        <v>48</v>
      </c>
      <c r="X1046" s="137">
        <v>40</v>
      </c>
      <c r="Y1046" s="881">
        <f>Table1[[#This Row],[Print Wth]]</f>
        <v>32</v>
      </c>
      <c r="Z1046" s="881">
        <f>Table1[[#This Row],[Print Ht]]</f>
        <v>48</v>
      </c>
      <c r="AA1046" s="892">
        <f>Table1[[#This Row],[Cut Width]]*Table1[[#This Row],[Cut Height]]/144</f>
        <v>10.666666666666666</v>
      </c>
      <c r="AB1046" s="898">
        <f>Table1[[#This Row],[Print Wth]]*Table1[[#This Row],[Print Ht]]/144*Swiss1ML</f>
        <v>301.86666666666667</v>
      </c>
      <c r="AC1046" s="867">
        <f>Table1[[#This Row],[Substrate SF]]*Canvas</f>
        <v>7.04</v>
      </c>
      <c r="AD1046" s="865">
        <f>(Table1[[#This Row],[Print Wth]]*Table1[[#This Row],[Print Ht]])/144*SWISSC1</f>
        <v>29.866666666666664</v>
      </c>
      <c r="AE1046" s="863">
        <f>IF(Table1[[#This Row],[Work Center]]="SwissQ",Materials!G$37,IF(Table1[[#This Row],[Work Center]]="Inca",Materials!G$29,IF(Table1[[#This Row],[Work Center]]="Canon",Materials!G$49,Materials!G$45)))</f>
        <v>20</v>
      </c>
      <c r="AF1046" s="102">
        <f>'Cali Frames'!D511</f>
        <v>117.2</v>
      </c>
      <c r="AG1046" s="121"/>
      <c r="AH1046" s="405">
        <v>0</v>
      </c>
      <c r="AI1046" s="405"/>
      <c r="AJ1046" s="406">
        <f t="shared" si="369"/>
        <v>174.10666666666668</v>
      </c>
      <c r="AK1046" s="1068">
        <f t="shared" si="370"/>
        <v>0.50112702960840494</v>
      </c>
      <c r="AL1046" s="406">
        <f>Table1[[#This Row],[WSP/Dealer]]/Table1[[#This Row],[OD Sq Inch]]</f>
        <v>0.40534262485481998</v>
      </c>
      <c r="AM1046" s="399">
        <f>Table1[[#This Row],[OD Wdth]]*Table1[[#This Row],[OD Hgt]]</f>
        <v>861</v>
      </c>
      <c r="AN1046" s="400">
        <f>Table1[[#This Row],[Min VO]]+Table1[[#This Row],[Max VO]]</f>
        <v>64</v>
      </c>
      <c r="AO1046" s="115"/>
      <c r="AP1046" s="115"/>
      <c r="AQ1046" s="121"/>
      <c r="AR1046" s="121"/>
      <c r="AS1046" s="121"/>
      <c r="AT1046" s="104"/>
      <c r="AU1046" s="1359" t="str">
        <f t="shared" si="367"/>
        <v>-</v>
      </c>
    </row>
    <row r="1047" spans="1:47" s="103" customFormat="1" hidden="1" x14ac:dyDescent="0.2">
      <c r="A1047" s="101" t="s">
        <v>101</v>
      </c>
      <c r="B1047" s="1062" t="s">
        <v>111</v>
      </c>
      <c r="C1047" s="1678" t="s">
        <v>2600</v>
      </c>
      <c r="D1047" s="168"/>
      <c r="E1047" s="115" t="s">
        <v>2597</v>
      </c>
      <c r="F1047" s="115" t="s">
        <v>105</v>
      </c>
      <c r="G1047" s="101" t="s">
        <v>2598</v>
      </c>
      <c r="H1047" s="101" t="s">
        <v>2601</v>
      </c>
      <c r="I1047" s="101" t="s">
        <v>52</v>
      </c>
      <c r="J1047" s="487" t="s">
        <v>53</v>
      </c>
      <c r="K1047" s="101" t="s">
        <v>814</v>
      </c>
      <c r="L1047" s="101" t="s">
        <v>815</v>
      </c>
      <c r="M1047" s="141">
        <v>349</v>
      </c>
      <c r="N1047" s="102"/>
      <c r="O1047" s="101" t="s">
        <v>64</v>
      </c>
      <c r="P1047" s="101">
        <v>24</v>
      </c>
      <c r="Q1047" s="101">
        <v>40</v>
      </c>
      <c r="R1047" s="101">
        <v>24</v>
      </c>
      <c r="S1047" s="101">
        <v>40</v>
      </c>
      <c r="T1047" s="101">
        <v>26</v>
      </c>
      <c r="U1047" s="101">
        <v>42</v>
      </c>
      <c r="V1047" s="106">
        <f t="shared" si="371"/>
        <v>32</v>
      </c>
      <c r="W1047" s="106">
        <f t="shared" si="372"/>
        <v>48</v>
      </c>
      <c r="X1047" s="137">
        <v>40</v>
      </c>
      <c r="Y1047" s="881">
        <f>Table1[[#This Row],[Print Wth]]</f>
        <v>32</v>
      </c>
      <c r="Z1047" s="881">
        <f>Table1[[#This Row],[Print Ht]]</f>
        <v>48</v>
      </c>
      <c r="AA1047" s="892">
        <f>Table1[[#This Row],[Cut Width]]*Table1[[#This Row],[Cut Height]]/144</f>
        <v>10.666666666666666</v>
      </c>
      <c r="AB1047" s="898">
        <f>Table1[[#This Row],[Print Wth]]*Table1[[#This Row],[Print Ht]]/144*Swiss1ML</f>
        <v>301.86666666666667</v>
      </c>
      <c r="AC1047" s="865">
        <f>Table1[[#This Row],[Substrate SF]]*Canvas</f>
        <v>7.04</v>
      </c>
      <c r="AD1047" s="865">
        <f>(Table1[[#This Row],[Print Wth]]*Table1[[#This Row],[Print Ht]])/144*SWISSC1</f>
        <v>29.866666666666664</v>
      </c>
      <c r="AE1047" s="863">
        <f>IF(Table1[[#This Row],[Work Center]]="SwissQ",Materials!G$37,IF(Table1[[#This Row],[Work Center]]="Inca",Materials!G$29,IF(Table1[[#This Row],[Work Center]]="Canon",Materials!G$49,Materials!G$45)))</f>
        <v>20</v>
      </c>
      <c r="AF1047" s="102">
        <f>'Cali Frames'!D193</f>
        <v>126.35</v>
      </c>
      <c r="AG1047" s="121"/>
      <c r="AH1047" s="406">
        <v>0</v>
      </c>
      <c r="AI1047" s="406"/>
      <c r="AJ1047" s="406">
        <f t="shared" si="369"/>
        <v>183.25666666666666</v>
      </c>
      <c r="AK1047" s="1065">
        <f t="shared" si="370"/>
        <v>0.47490926456542504</v>
      </c>
      <c r="AL1047" s="406">
        <f>Table1[[#This Row],[WSP/Dealer]]/Table1[[#This Row],[OD Sq Inch]]</f>
        <v>0.31959706959706957</v>
      </c>
      <c r="AM1047" s="399">
        <f>Table1[[#This Row],[OD Wdth]]*Table1[[#This Row],[OD Hgt]]</f>
        <v>1092</v>
      </c>
      <c r="AN1047" s="400">
        <f>Table1[[#This Row],[Min VO]]+Table1[[#This Row],[Max VO]]</f>
        <v>64</v>
      </c>
      <c r="AO1047" s="115"/>
      <c r="AP1047" s="115"/>
      <c r="AQ1047" s="121"/>
      <c r="AR1047" s="121"/>
      <c r="AS1047" s="121"/>
      <c r="AT1047" s="104"/>
      <c r="AU1047" s="1359" t="str">
        <f t="shared" si="367"/>
        <v>-</v>
      </c>
    </row>
    <row r="1048" spans="1:47" s="63" customFormat="1" x14ac:dyDescent="0.2">
      <c r="A1048" s="86" t="s">
        <v>58</v>
      </c>
      <c r="B1048" s="1061" t="s">
        <v>406</v>
      </c>
      <c r="C1048" s="100" t="s">
        <v>2602</v>
      </c>
      <c r="D1048" s="94" t="s">
        <v>2603</v>
      </c>
      <c r="E1048" s="85" t="s">
        <v>2604</v>
      </c>
      <c r="F1048" s="85" t="s">
        <v>1981</v>
      </c>
      <c r="G1048" s="86" t="s">
        <v>2605</v>
      </c>
      <c r="H1048" s="86" t="s">
        <v>2537</v>
      </c>
      <c r="I1048" s="86" t="s">
        <v>52</v>
      </c>
      <c r="J1048" s="86" t="s">
        <v>280</v>
      </c>
      <c r="K1048" s="86" t="s">
        <v>2072</v>
      </c>
      <c r="L1048" s="86" t="s">
        <v>2073</v>
      </c>
      <c r="M1048" s="87">
        <v>880</v>
      </c>
      <c r="N1048" s="639">
        <v>880</v>
      </c>
      <c r="O1048" s="145" t="s">
        <v>575</v>
      </c>
      <c r="P1048" s="101">
        <v>24</v>
      </c>
      <c r="Q1048" s="101">
        <v>20</v>
      </c>
      <c r="R1048" s="60">
        <v>20</v>
      </c>
      <c r="S1048" s="273">
        <v>24</v>
      </c>
      <c r="T1048" s="101">
        <v>27</v>
      </c>
      <c r="U1048" s="101" t="str">
        <f>RIGHT(H1048,2)</f>
        <v>23</v>
      </c>
      <c r="V1048" s="608">
        <f t="shared" si="371"/>
        <v>24</v>
      </c>
      <c r="W1048" s="608">
        <f t="shared" si="372"/>
        <v>20</v>
      </c>
      <c r="X1048" s="137" t="s">
        <v>675</v>
      </c>
      <c r="Y1048" s="101"/>
      <c r="Z1048" s="101"/>
      <c r="AA1048" s="649">
        <f t="shared" ref="AA1048:AA1055" si="373">V1048*W1048/144</f>
        <v>3.3333333333333335</v>
      </c>
      <c r="AB1048" s="125">
        <f>AA1048*Swiss1</f>
        <v>94.333333333333343</v>
      </c>
      <c r="AC1048" s="104">
        <f>PETG48/8</f>
        <v>6.0824999999999996</v>
      </c>
      <c r="AD1048" s="107">
        <f>Table1[[#This Row],[Substrate SF]]*Materials!C$37</f>
        <v>9.3333333333333339</v>
      </c>
      <c r="AE1048" s="104">
        <f>IF(Table1[[#This Row],[Work Center]]="SwissQ",Materials!G$37,IF(Table1[[#This Row],[Work Center]]="Inca",Materials!G$29,IF(Table1[[#This Row],[Work Center]]="Canon",Materials!G$49,Materials!G$45)))</f>
        <v>5</v>
      </c>
      <c r="AF1048" s="104">
        <f>'Cali Frames'!D$178</f>
        <v>288.12</v>
      </c>
      <c r="AG1048" s="115"/>
      <c r="AH1048" s="498">
        <f t="shared" ref="AH1048:AH1055" si="374">(M1048*0.05)</f>
        <v>44</v>
      </c>
      <c r="AI1048" s="498"/>
      <c r="AJ1048" s="104">
        <f t="shared" si="369"/>
        <v>352.53583333333336</v>
      </c>
      <c r="AK1048" s="650">
        <f t="shared" si="370"/>
        <v>0.59939109848484851</v>
      </c>
      <c r="AL1048" s="225">
        <f>Table1[[#This Row],[WSP/Dealer]]/Table1[[#This Row],[OD Sq Inch]]</f>
        <v>1.4170692431561998</v>
      </c>
      <c r="AM1048" s="103">
        <f>Table1[[#This Row],[OD Wdth]]*Table1[[#This Row],[OD Hgt]]</f>
        <v>621</v>
      </c>
      <c r="AN1048" s="216">
        <f>Table1[[#This Row],[Min VO]]+Table1[[#This Row],[Max VO]]</f>
        <v>44</v>
      </c>
      <c r="AO1048" s="101"/>
      <c r="AP1048" s="101"/>
      <c r="AQ1048" s="104"/>
      <c r="AR1048" s="104"/>
      <c r="AS1048" s="104"/>
      <c r="AT1048" s="104"/>
      <c r="AU1048" s="830" t="str">
        <f t="shared" si="367"/>
        <v>-</v>
      </c>
    </row>
    <row r="1049" spans="1:47" s="63" customFormat="1" x14ac:dyDescent="0.2">
      <c r="A1049" s="86" t="s">
        <v>58</v>
      </c>
      <c r="B1049" s="1061" t="s">
        <v>406</v>
      </c>
      <c r="C1049" s="78" t="s">
        <v>2606</v>
      </c>
      <c r="D1049" s="94" t="s">
        <v>2603</v>
      </c>
      <c r="E1049" s="85" t="s">
        <v>2604</v>
      </c>
      <c r="F1049" s="85" t="s">
        <v>1981</v>
      </c>
      <c r="G1049" s="86" t="s">
        <v>2605</v>
      </c>
      <c r="H1049" s="86" t="s">
        <v>2537</v>
      </c>
      <c r="I1049" s="86" t="s">
        <v>52</v>
      </c>
      <c r="J1049" s="86" t="s">
        <v>280</v>
      </c>
      <c r="K1049" s="86" t="s">
        <v>814</v>
      </c>
      <c r="L1049" s="86" t="s">
        <v>815</v>
      </c>
      <c r="M1049" s="87">
        <v>880</v>
      </c>
      <c r="N1049" s="639">
        <v>880</v>
      </c>
      <c r="O1049" s="145" t="s">
        <v>575</v>
      </c>
      <c r="P1049" s="63">
        <v>24</v>
      </c>
      <c r="Q1049" s="63">
        <v>20</v>
      </c>
      <c r="R1049" s="68">
        <v>20</v>
      </c>
      <c r="S1049" s="65">
        <v>24</v>
      </c>
      <c r="T1049" s="63">
        <v>27</v>
      </c>
      <c r="U1049" s="63" t="str">
        <f>RIGHT(H1049,2)</f>
        <v>23</v>
      </c>
      <c r="V1049" s="66">
        <f t="shared" si="371"/>
        <v>24</v>
      </c>
      <c r="W1049" s="66">
        <f t="shared" si="372"/>
        <v>20</v>
      </c>
      <c r="X1049" s="189" t="s">
        <v>675</v>
      </c>
      <c r="Y1049" s="68"/>
      <c r="Z1049" s="68"/>
      <c r="AA1049" s="699">
        <f t="shared" si="373"/>
        <v>3.3333333333333335</v>
      </c>
      <c r="AB1049" s="125">
        <f>AA1049*Swiss1</f>
        <v>94.333333333333343</v>
      </c>
      <c r="AC1049" s="74">
        <f>PETG48/8</f>
        <v>6.0824999999999996</v>
      </c>
      <c r="AD1049" s="67">
        <f>Table1[[#This Row],[Substrate SF]]*Materials!C$37</f>
        <v>9.3333333333333339</v>
      </c>
      <c r="AE1049" s="104">
        <f>IF(Table1[[#This Row],[Work Center]]="SwissQ",Materials!G$37,IF(Table1[[#This Row],[Work Center]]="Inca",Materials!G$29,IF(Table1[[#This Row],[Work Center]]="Canon",Materials!G$49,Materials!G$45)))</f>
        <v>5</v>
      </c>
      <c r="AF1049" s="74">
        <f>'Cali Frames'!D$197</f>
        <v>121.71</v>
      </c>
      <c r="AG1049" s="115"/>
      <c r="AH1049" s="112">
        <f t="shared" si="374"/>
        <v>44</v>
      </c>
      <c r="AI1049" s="112"/>
      <c r="AJ1049" s="67">
        <f t="shared" si="369"/>
        <v>186.12583333333333</v>
      </c>
      <c r="AK1049" s="62">
        <f t="shared" si="370"/>
        <v>0.78849337121212126</v>
      </c>
      <c r="AL1049" s="225">
        <f>Table1[[#This Row],[WSP/Dealer]]/Table1[[#This Row],[OD Sq Inch]]</f>
        <v>1.4170692431561998</v>
      </c>
      <c r="AM1049" s="218">
        <f>Table1[[#This Row],[OD Wdth]]*Table1[[#This Row],[OD Hgt]]</f>
        <v>621</v>
      </c>
      <c r="AN1049" s="216">
        <f>Table1[[#This Row],[Min VO]]+Table1[[#This Row],[Max VO]]</f>
        <v>44</v>
      </c>
      <c r="AP1049" s="68"/>
      <c r="AQ1049" s="74"/>
      <c r="AR1049" s="74"/>
      <c r="AS1049" s="74"/>
      <c r="AT1049" s="74"/>
      <c r="AU1049" s="661" t="str">
        <f t="shared" si="367"/>
        <v>-</v>
      </c>
    </row>
    <row r="1050" spans="1:47" s="103" customFormat="1" hidden="1" x14ac:dyDescent="0.2">
      <c r="A1050" s="101" t="s">
        <v>110</v>
      </c>
      <c r="B1050" s="1067" t="s">
        <v>134</v>
      </c>
      <c r="C1050" s="100" t="s">
        <v>2607</v>
      </c>
      <c r="D1050" s="168"/>
      <c r="E1050" s="115" t="s">
        <v>2604</v>
      </c>
      <c r="F1050" s="115" t="s">
        <v>1981</v>
      </c>
      <c r="G1050" s="101" t="s">
        <v>2536</v>
      </c>
      <c r="H1050" s="101" t="s">
        <v>2537</v>
      </c>
      <c r="I1050" s="101" t="s">
        <v>52</v>
      </c>
      <c r="J1050" s="487" t="s">
        <v>280</v>
      </c>
      <c r="K1050" s="101" t="s">
        <v>814</v>
      </c>
      <c r="L1050" s="101" t="s">
        <v>815</v>
      </c>
      <c r="M1050" s="299">
        <v>600</v>
      </c>
      <c r="N1050" s="114"/>
      <c r="O1050" s="101" t="s">
        <v>575</v>
      </c>
      <c r="P1050" s="103">
        <v>24</v>
      </c>
      <c r="Q1050" s="103">
        <v>20</v>
      </c>
      <c r="R1050" s="101">
        <v>20</v>
      </c>
      <c r="S1050" s="116">
        <v>24</v>
      </c>
      <c r="T1050" s="103">
        <v>23</v>
      </c>
      <c r="U1050" s="103">
        <v>27</v>
      </c>
      <c r="V1050" s="106">
        <f t="shared" si="371"/>
        <v>24</v>
      </c>
      <c r="W1050" s="106">
        <f t="shared" si="372"/>
        <v>20</v>
      </c>
      <c r="X1050" s="137" t="s">
        <v>283</v>
      </c>
      <c r="Y1050" s="101">
        <v>24</v>
      </c>
      <c r="Z1050" s="101">
        <v>20</v>
      </c>
      <c r="AA1050" s="649">
        <f t="shared" si="373"/>
        <v>3.3333333333333335</v>
      </c>
      <c r="AB1050" s="184">
        <f>AA1050*Swiss1</f>
        <v>94.333333333333343</v>
      </c>
      <c r="AC1050" s="107">
        <f>AA1050*Canvas</f>
        <v>2.2000000000000002</v>
      </c>
      <c r="AD1050" s="107">
        <f>Table1[[#This Row],[Substrate SF]]*SWISSC1</f>
        <v>9.3333333333333339</v>
      </c>
      <c r="AE1050" s="104">
        <f>IF(Table1[[#This Row],[Work Center]]="SwissQ",Materials!G$37,IF(Table1[[#This Row],[Work Center]]="Inca",Materials!G$29,IF(Table1[[#This Row],[Work Center]]="Canon",Materials!G$49,Materials!G$45)))</f>
        <v>5</v>
      </c>
      <c r="AF1050" s="102">
        <f>'Cali Frames'!D197</f>
        <v>121.71</v>
      </c>
      <c r="AG1050" s="115"/>
      <c r="AH1050" s="405">
        <f t="shared" si="374"/>
        <v>30</v>
      </c>
      <c r="AI1050" s="405">
        <f>IF(A1050="Codarus",(M1050*0.13))</f>
        <v>78</v>
      </c>
      <c r="AJ1050" s="104">
        <f>SUM(AC1050:AI1050)</f>
        <v>246.24333333333334</v>
      </c>
      <c r="AK1050" s="108">
        <f t="shared" si="370"/>
        <v>0.58959444444444442</v>
      </c>
      <c r="AL1050" s="660">
        <f>Table1[[#This Row],[WSP/Dealer]]/Table1[[#This Row],[OD Sq Inch]]</f>
        <v>0.96618357487922701</v>
      </c>
      <c r="AM1050" s="399">
        <f>Table1[[#This Row],[OD Wdth]]*Table1[[#This Row],[OD Hgt]]</f>
        <v>621</v>
      </c>
      <c r="AN1050" s="400">
        <f>Table1[[#This Row],[Min VO]]+Table1[[#This Row],[Max VO]]</f>
        <v>44</v>
      </c>
      <c r="AO1050" s="115"/>
      <c r="AP1050" s="121">
        <v>1200</v>
      </c>
      <c r="AQ1050" s="104">
        <f>(Table1[[#This Row],[Desgnr/Retail P]]*0.05)</f>
        <v>60</v>
      </c>
      <c r="AR1050" s="121">
        <f>IF(A1050="Codarus",(AP1050*0.13))</f>
        <v>156</v>
      </c>
      <c r="AS1050" s="121">
        <f>SUM(Table1[[#This Row],[Substrate $]:[GP FINISH]])+Table1[[#This Row],[Retail Royalty]]+Table1[[#This Row],[Retail$Comm]]</f>
        <v>354.24333333333334</v>
      </c>
      <c r="AT1050" s="830">
        <f>IF(AP1050=0,"-",(AP1050-AS1050)/AP1050)</f>
        <v>0.70479722222222219</v>
      </c>
      <c r="AU1050" s="1359">
        <f t="shared" si="367"/>
        <v>0.98825337962962956</v>
      </c>
    </row>
    <row r="1051" spans="1:47" s="103" customFormat="1" x14ac:dyDescent="0.2">
      <c r="A1051" s="145" t="s">
        <v>58</v>
      </c>
      <c r="B1051" s="1061" t="s">
        <v>533</v>
      </c>
      <c r="C1051" s="146" t="s">
        <v>2608</v>
      </c>
      <c r="D1051" s="94" t="s">
        <v>2609</v>
      </c>
      <c r="E1051" s="146" t="s">
        <v>2610</v>
      </c>
      <c r="F1051" s="154" t="s">
        <v>454</v>
      </c>
      <c r="G1051" s="145" t="s">
        <v>2611</v>
      </c>
      <c r="H1051" s="145" t="s">
        <v>2611</v>
      </c>
      <c r="I1051" s="145" t="s">
        <v>52</v>
      </c>
      <c r="J1051" s="145" t="s">
        <v>53</v>
      </c>
      <c r="K1051" s="145" t="s">
        <v>54</v>
      </c>
      <c r="L1051" s="145" t="s">
        <v>55</v>
      </c>
      <c r="M1051" s="151">
        <v>540</v>
      </c>
      <c r="N1051" s="639">
        <v>550</v>
      </c>
      <c r="O1051" s="145" t="s">
        <v>64</v>
      </c>
      <c r="P1051" s="144">
        <v>48</v>
      </c>
      <c r="Q1051" s="144">
        <v>24</v>
      </c>
      <c r="R1051" s="145">
        <v>24</v>
      </c>
      <c r="S1051" s="144">
        <v>48</v>
      </c>
      <c r="T1051" s="1777">
        <f>Table1[[#This Row],[VO Wdth]]</f>
        <v>48</v>
      </c>
      <c r="U1051" s="1777">
        <f>Table1[[#This Row],[VO Hgt]]</f>
        <v>24</v>
      </c>
      <c r="V1051" s="913">
        <f t="shared" si="371"/>
        <v>56</v>
      </c>
      <c r="W1051" s="913">
        <f t="shared" si="372"/>
        <v>32</v>
      </c>
      <c r="X1051" s="157" t="s">
        <v>57</v>
      </c>
      <c r="Y1051" s="145">
        <v>56</v>
      </c>
      <c r="Z1051" s="145">
        <v>64</v>
      </c>
      <c r="AA1051" s="722">
        <f t="shared" si="373"/>
        <v>12.444444444444445</v>
      </c>
      <c r="AB1051" s="125">
        <f>AA1051*Swiss1</f>
        <v>352.17777777777781</v>
      </c>
      <c r="AC1051" s="150">
        <f>Table1[[#This Row],[Substrate SF]]*Paper</f>
        <v>16.837333333333333</v>
      </c>
      <c r="AD1051" s="107">
        <f>Table1[[#This Row],[Substrate SF]]*Materials!C$37</f>
        <v>34.844444444444441</v>
      </c>
      <c r="AE1051" s="104">
        <f>IF(Table1[[#This Row],[Work Center]]="SwissQ",Materials!G$37,IF(Table1[[#This Row],[Work Center]]="Inca",Materials!G$29,IF(Table1[[#This Row],[Work Center]]="Canon",Materials!G$49,Materials!G$45)))</f>
        <v>20</v>
      </c>
      <c r="AF1051" s="143">
        <f>'Cali FPS'!C$38</f>
        <v>78.137500000000003</v>
      </c>
      <c r="AG1051" s="115"/>
      <c r="AH1051" s="112">
        <f t="shared" si="374"/>
        <v>27</v>
      </c>
      <c r="AI1051" s="112"/>
      <c r="AJ1051" s="143">
        <f>SUM(AC1051:AH1051)</f>
        <v>176.81927777777776</v>
      </c>
      <c r="AK1051" s="62">
        <f t="shared" si="370"/>
        <v>0.67255689300411525</v>
      </c>
      <c r="AL1051" s="225">
        <f>Table1[[#This Row],[WSP/Dealer]]/Table1[[#This Row],[OD Sq Inch]]</f>
        <v>0.46875</v>
      </c>
      <c r="AM1051" s="103">
        <f>Table1[[#This Row],[OD Wdth]]*Table1[[#This Row],[OD Hgt]]</f>
        <v>1152</v>
      </c>
      <c r="AN1051" s="216">
        <f>Table1[[#This Row],[Min VO]]+Table1[[#This Row],[Max VO]]</f>
        <v>72</v>
      </c>
      <c r="AO1051" s="144"/>
      <c r="AP1051" s="145"/>
      <c r="AQ1051" s="143"/>
      <c r="AR1051" s="143"/>
      <c r="AS1051" s="143"/>
      <c r="AT1051" s="143"/>
      <c r="AU1051" s="1814" t="str">
        <f t="shared" si="367"/>
        <v>-</v>
      </c>
    </row>
    <row r="1052" spans="1:47" s="103" customFormat="1" x14ac:dyDescent="0.2">
      <c r="A1052" s="145" t="s">
        <v>58</v>
      </c>
      <c r="B1052" s="1061" t="s">
        <v>533</v>
      </c>
      <c r="C1052" s="146" t="s">
        <v>2612</v>
      </c>
      <c r="D1052" s="94" t="s">
        <v>2613</v>
      </c>
      <c r="E1052" s="146" t="s">
        <v>2614</v>
      </c>
      <c r="F1052" s="147" t="s">
        <v>454</v>
      </c>
      <c r="G1052" s="156" t="s">
        <v>2611</v>
      </c>
      <c r="H1052" s="156" t="s">
        <v>2611</v>
      </c>
      <c r="I1052" s="156" t="s">
        <v>52</v>
      </c>
      <c r="J1052" s="156" t="s">
        <v>53</v>
      </c>
      <c r="K1052" s="156" t="s">
        <v>54</v>
      </c>
      <c r="L1052" s="156" t="s">
        <v>55</v>
      </c>
      <c r="M1052" s="151">
        <v>540</v>
      </c>
      <c r="N1052" s="639">
        <v>550</v>
      </c>
      <c r="O1052" s="145" t="s">
        <v>64</v>
      </c>
      <c r="P1052" s="145">
        <v>48</v>
      </c>
      <c r="Q1052" s="145">
        <v>24</v>
      </c>
      <c r="R1052" s="145">
        <v>24</v>
      </c>
      <c r="S1052" s="145">
        <v>48</v>
      </c>
      <c r="T1052" s="698">
        <f>Table1[[#This Row],[VO Wdth]]</f>
        <v>48</v>
      </c>
      <c r="U1052" s="698">
        <f>Table1[[#This Row],[VO Hgt]]</f>
        <v>24</v>
      </c>
      <c r="V1052" s="913">
        <f t="shared" si="371"/>
        <v>56</v>
      </c>
      <c r="W1052" s="913">
        <f t="shared" si="372"/>
        <v>32</v>
      </c>
      <c r="X1052" s="157" t="s">
        <v>57</v>
      </c>
      <c r="Y1052" s="145">
        <v>56</v>
      </c>
      <c r="Z1052" s="145">
        <v>64</v>
      </c>
      <c r="AA1052" s="722">
        <f t="shared" si="373"/>
        <v>12.444444444444445</v>
      </c>
      <c r="AB1052" s="125">
        <f>AA1052*Swiss1</f>
        <v>352.17777777777781</v>
      </c>
      <c r="AC1052" s="143">
        <f>Table1[[#This Row],[Substrate SF]]*Paper</f>
        <v>16.837333333333333</v>
      </c>
      <c r="AD1052" s="107">
        <f>Table1[[#This Row],[Substrate SF]]*Materials!C$37</f>
        <v>34.844444444444441</v>
      </c>
      <c r="AE1052" s="104">
        <f>IF(Table1[[#This Row],[Work Center]]="SwissQ",Materials!G$37,IF(Table1[[#This Row],[Work Center]]="Inca",Materials!G$29,IF(Table1[[#This Row],[Work Center]]="Canon",Materials!G$49,Materials!G$45)))</f>
        <v>20</v>
      </c>
      <c r="AF1052" s="143">
        <f>'Cali FPS'!C$38</f>
        <v>78.137500000000003</v>
      </c>
      <c r="AG1052" s="115"/>
      <c r="AH1052" s="498">
        <f t="shared" si="374"/>
        <v>27</v>
      </c>
      <c r="AI1052" s="498"/>
      <c r="AJ1052" s="150">
        <f>SUM(AC1052:AH1052)</f>
        <v>176.81927777777776</v>
      </c>
      <c r="AK1052" s="650">
        <f t="shared" si="370"/>
        <v>0.67255689300411525</v>
      </c>
      <c r="AL1052" s="225">
        <f>Table1[[#This Row],[WSP/Dealer]]/Table1[[#This Row],[OD Sq Inch]]</f>
        <v>0.46875</v>
      </c>
      <c r="AM1052" s="97">
        <f>Table1[[#This Row],[OD Wdth]]*Table1[[#This Row],[OD Hgt]]</f>
        <v>1152</v>
      </c>
      <c r="AN1052" s="216">
        <f>Table1[[#This Row],[Min VO]]+Table1[[#This Row],[Max VO]]</f>
        <v>72</v>
      </c>
      <c r="AO1052" s="145"/>
      <c r="AP1052" s="145"/>
      <c r="AQ1052" s="143"/>
      <c r="AR1052" s="143"/>
      <c r="AS1052" s="143"/>
      <c r="AT1052" s="143"/>
      <c r="AU1052" s="1371" t="str">
        <f t="shared" si="367"/>
        <v>-</v>
      </c>
    </row>
    <row r="1053" spans="1:47" s="103" customFormat="1" hidden="1" x14ac:dyDescent="0.2">
      <c r="A1053" s="400" t="s">
        <v>110</v>
      </c>
      <c r="B1053" s="1062" t="s">
        <v>134</v>
      </c>
      <c r="C1053" s="689" t="s">
        <v>2615</v>
      </c>
      <c r="D1053" s="168"/>
      <c r="E1053" s="536" t="s">
        <v>2616</v>
      </c>
      <c r="F1053" s="401" t="s">
        <v>531</v>
      </c>
      <c r="G1053" s="789" t="s">
        <v>2617</v>
      </c>
      <c r="H1053" s="789" t="s">
        <v>2617</v>
      </c>
      <c r="I1053" s="789" t="s">
        <v>52</v>
      </c>
      <c r="J1053" s="1103" t="s">
        <v>53</v>
      </c>
      <c r="K1053" s="789" t="s">
        <v>54</v>
      </c>
      <c r="L1053" s="789" t="s">
        <v>55</v>
      </c>
      <c r="M1053" s="832">
        <v>1300</v>
      </c>
      <c r="N1053" s="832"/>
      <c r="O1053" s="400" t="s">
        <v>56</v>
      </c>
      <c r="P1053" s="400">
        <v>56</v>
      </c>
      <c r="Q1053" s="400">
        <v>72</v>
      </c>
      <c r="R1053" s="400">
        <v>56</v>
      </c>
      <c r="S1053" s="400">
        <v>72</v>
      </c>
      <c r="T1053" s="1244">
        <v>56</v>
      </c>
      <c r="U1053" s="1244">
        <v>72</v>
      </c>
      <c r="V1053" s="608">
        <f t="shared" si="371"/>
        <v>64</v>
      </c>
      <c r="W1053" s="608">
        <f t="shared" si="372"/>
        <v>80</v>
      </c>
      <c r="X1053" s="525">
        <v>69</v>
      </c>
      <c r="Y1053" s="400">
        <v>64</v>
      </c>
      <c r="Z1053" s="400">
        <v>80</v>
      </c>
      <c r="AA1053" s="649">
        <f t="shared" si="373"/>
        <v>35.555555555555557</v>
      </c>
      <c r="AB1053" s="184">
        <f>AA1053*IncaG</f>
        <v>748.08888888888885</v>
      </c>
      <c r="AC1053" s="104">
        <f>AA1053*Canvas</f>
        <v>23.466666666666669</v>
      </c>
      <c r="AD1053" s="1066">
        <f>Table1[[#This Row],[Substrate SF]]*IncaC</f>
        <v>59.847111111111111</v>
      </c>
      <c r="AE1053" s="406">
        <f>IF(Table1[[#This Row],[Work Center]]="SwissQ",Materials!G$37,IF(Table1[[#This Row],[Work Center]]="Inca",Materials!G$29,IF(Table1[[#This Row],[Work Center]]="Canon",Materials!G$49,Materials!G$45)))</f>
        <v>8</v>
      </c>
      <c r="AF1053" s="403">
        <f>'Cali FPS'!C150</f>
        <v>232</v>
      </c>
      <c r="AG1053" s="401"/>
      <c r="AH1053" s="406">
        <f t="shared" si="374"/>
        <v>65</v>
      </c>
      <c r="AI1053" s="406">
        <f>IF(A1053="Codarus",(M1053*0.13))</f>
        <v>169</v>
      </c>
      <c r="AJ1053" s="107">
        <f>SUM(AC1053:AI1053)</f>
        <v>557.31377777777777</v>
      </c>
      <c r="AK1053" s="830">
        <f t="shared" si="370"/>
        <v>0.57129709401709405</v>
      </c>
      <c r="AL1053" s="660">
        <f>Table1[[#This Row],[WSP/Dealer]]/Table1[[#This Row],[OD Sq Inch]]</f>
        <v>0.32242063492063494</v>
      </c>
      <c r="AM1053" s="399">
        <f>Table1[[#This Row],[OD Wdth]]*Table1[[#This Row],[OD Hgt]]</f>
        <v>4032</v>
      </c>
      <c r="AN1053" s="400">
        <f>Table1[[#This Row],[Min VO]]+Table1[[#This Row],[Max VO]]</f>
        <v>128</v>
      </c>
      <c r="AO1053" s="401"/>
      <c r="AP1053" s="1000">
        <v>2600</v>
      </c>
      <c r="AQ1053" s="121">
        <f>(Table1[[#This Row],[Desgnr/Retail P]]*0.05)</f>
        <v>130</v>
      </c>
      <c r="AR1053" s="121">
        <f>IF(A1053="Codarus",(AP1053*0.13))</f>
        <v>338</v>
      </c>
      <c r="AS1053" s="121">
        <f>SUM(Table1[[#This Row],[Substrate $]:[GP FINISH]])+Table1[[#This Row],[Retail Royalty]]+Table1[[#This Row],[Retail$Comm]]</f>
        <v>791.31377777777777</v>
      </c>
      <c r="AT1053" s="830">
        <f>IF(AP1053=0,"-",(AP1053-AS1053)/AP1053)</f>
        <v>0.69564854700854695</v>
      </c>
      <c r="AU1053" s="1366">
        <f t="shared" si="367"/>
        <v>0.99464885733070352</v>
      </c>
    </row>
    <row r="1054" spans="1:47" s="103" customFormat="1" hidden="1" x14ac:dyDescent="0.2">
      <c r="A1054" s="400" t="s">
        <v>110</v>
      </c>
      <c r="B1054" s="1062" t="s">
        <v>134</v>
      </c>
      <c r="C1054" s="168" t="s">
        <v>2618</v>
      </c>
      <c r="D1054" s="168"/>
      <c r="E1054" s="169" t="s">
        <v>2619</v>
      </c>
      <c r="F1054" s="115" t="s">
        <v>531</v>
      </c>
      <c r="G1054" s="407" t="s">
        <v>379</v>
      </c>
      <c r="H1054" s="407" t="s">
        <v>379</v>
      </c>
      <c r="I1054" s="407" t="s">
        <v>52</v>
      </c>
      <c r="J1054" s="658" t="s">
        <v>53</v>
      </c>
      <c r="K1054" s="407" t="s">
        <v>54</v>
      </c>
      <c r="L1054" s="407" t="s">
        <v>55</v>
      </c>
      <c r="M1054" s="114">
        <v>1100</v>
      </c>
      <c r="N1054" s="114"/>
      <c r="O1054" s="101" t="s">
        <v>56</v>
      </c>
      <c r="P1054" s="101">
        <v>48</v>
      </c>
      <c r="Q1054" s="101">
        <v>72</v>
      </c>
      <c r="R1054" s="101">
        <v>48</v>
      </c>
      <c r="S1054" s="101">
        <v>72</v>
      </c>
      <c r="T1054" s="697">
        <v>48</v>
      </c>
      <c r="U1054" s="697">
        <v>72</v>
      </c>
      <c r="V1054" s="608">
        <f t="shared" si="371"/>
        <v>56</v>
      </c>
      <c r="W1054" s="608">
        <f t="shared" si="372"/>
        <v>80</v>
      </c>
      <c r="X1054" s="137">
        <v>59</v>
      </c>
      <c r="Y1054" s="101">
        <v>56</v>
      </c>
      <c r="Z1054" s="101">
        <v>80</v>
      </c>
      <c r="AA1054" s="649">
        <f t="shared" si="373"/>
        <v>31.111111111111111</v>
      </c>
      <c r="AB1054" s="184">
        <f>AA1054*IncaG</f>
        <v>654.57777777777778</v>
      </c>
      <c r="AC1054" s="104">
        <f>AA1054*Canvas</f>
        <v>20.533333333333335</v>
      </c>
      <c r="AD1054" s="1066">
        <f>Table1[[#This Row],[Substrate SF]]*IncaC</f>
        <v>52.36622222222222</v>
      </c>
      <c r="AE1054" s="406">
        <f>IF(Table1[[#This Row],[Work Center]]="SwissQ",Materials!G$37,IF(Table1[[#This Row],[Work Center]]="Inca",Materials!G$29,IF(Table1[[#This Row],[Work Center]]="Canon",Materials!G$49,Materials!G$45)))</f>
        <v>8</v>
      </c>
      <c r="AF1054" s="102">
        <f>'Cali FPS'!C126</f>
        <v>189.88</v>
      </c>
      <c r="AG1054" s="115"/>
      <c r="AH1054" s="406">
        <f t="shared" si="374"/>
        <v>55</v>
      </c>
      <c r="AI1054" s="406">
        <f>IF(A1054="Codarus",(M1054*0.13))</f>
        <v>143</v>
      </c>
      <c r="AJ1054" s="104">
        <f>SUM(AC1054:AI1054)</f>
        <v>468.77955555555553</v>
      </c>
      <c r="AK1054" s="830">
        <f t="shared" si="370"/>
        <v>0.57383676767676761</v>
      </c>
      <c r="AL1054" s="660">
        <f>Table1[[#This Row],[WSP/Dealer]]/Table1[[#This Row],[OD Sq Inch]]</f>
        <v>0.31828703703703703</v>
      </c>
      <c r="AM1054" s="399">
        <f>Table1[[#This Row],[OD Wdth]]*Table1[[#This Row],[OD Hgt]]</f>
        <v>3456</v>
      </c>
      <c r="AN1054" s="400">
        <f>Table1[[#This Row],[Min VO]]+Table1[[#This Row],[Max VO]]</f>
        <v>120</v>
      </c>
      <c r="AO1054" s="115"/>
      <c r="AP1054" s="121">
        <v>2200</v>
      </c>
      <c r="AQ1054" s="121">
        <f>(Table1[[#This Row],[Desgnr/Retail P]]*0.05)</f>
        <v>110</v>
      </c>
      <c r="AR1054" s="121">
        <f>IF(A1054="Codarus",(AP1054*0.13))</f>
        <v>286</v>
      </c>
      <c r="AS1054" s="121">
        <f>SUM(Table1[[#This Row],[Substrate $]:[GP FINISH]])+Table1[[#This Row],[Retail Royalty]]+Table1[[#This Row],[Retail$Comm]]</f>
        <v>666.77955555555559</v>
      </c>
      <c r="AT1054" s="830">
        <f>IF(AP1054=0,"-",(AP1054-AS1054)/AP1054)</f>
        <v>0.69691838383838378</v>
      </c>
      <c r="AU1054" s="1359">
        <f t="shared" si="367"/>
        <v>0.99366437832874199</v>
      </c>
    </row>
    <row r="1055" spans="1:47" s="46" customFormat="1" hidden="1" x14ac:dyDescent="0.2">
      <c r="A1055" s="1202" t="s">
        <v>2620</v>
      </c>
      <c r="B1055" s="1322" t="s">
        <v>801</v>
      </c>
      <c r="C1055" s="689" t="s">
        <v>2621</v>
      </c>
      <c r="D1055" s="94"/>
      <c r="E1055" s="536" t="s">
        <v>2622</v>
      </c>
      <c r="F1055" s="401" t="s">
        <v>531</v>
      </c>
      <c r="G1055" s="789" t="s">
        <v>2623</v>
      </c>
      <c r="H1055" s="789" t="s">
        <v>2623</v>
      </c>
      <c r="I1055" s="789" t="s">
        <v>52</v>
      </c>
      <c r="J1055" s="1103" t="s">
        <v>53</v>
      </c>
      <c r="K1055" s="789" t="s">
        <v>54</v>
      </c>
      <c r="L1055" s="789" t="s">
        <v>55</v>
      </c>
      <c r="M1055" s="488">
        <v>1500</v>
      </c>
      <c r="N1055" s="832"/>
      <c r="O1055" s="400" t="s">
        <v>64</v>
      </c>
      <c r="P1055" s="400">
        <v>57</v>
      </c>
      <c r="Q1055" s="400">
        <v>72</v>
      </c>
      <c r="R1055" s="400">
        <v>57</v>
      </c>
      <c r="S1055" s="400">
        <v>72</v>
      </c>
      <c r="T1055" s="1244">
        <v>57</v>
      </c>
      <c r="U1055" s="1244">
        <v>72</v>
      </c>
      <c r="V1055" s="1178">
        <f t="shared" si="371"/>
        <v>65</v>
      </c>
      <c r="W1055" s="1178">
        <f t="shared" si="372"/>
        <v>80</v>
      </c>
      <c r="X1055" s="400">
        <v>80</v>
      </c>
      <c r="Y1055" s="400">
        <v>65</v>
      </c>
      <c r="Z1055" s="400">
        <v>80</v>
      </c>
      <c r="AA1055" s="724">
        <f t="shared" si="373"/>
        <v>36.111111111111114</v>
      </c>
      <c r="AB1055" s="633">
        <f>AA1055*Swiss1</f>
        <v>1021.9444444444446</v>
      </c>
      <c r="AC1055" s="406">
        <f>MDFSHEET</f>
        <v>24.35</v>
      </c>
      <c r="AD1055" s="405">
        <f>Table1[[#This Row],[Substrate SF]]*Materials!C$37</f>
        <v>101.11111111111111</v>
      </c>
      <c r="AE1055" s="104">
        <f>IF(Table1[[#This Row],[Work Center]]="SwissQ",Materials!G$37,IF(Table1[[#This Row],[Work Center]]="Inca",Materials!G$29,IF(Table1[[#This Row],[Work Center]]="Canon",Materials!G$49,Materials!G$45)))</f>
        <v>20</v>
      </c>
      <c r="AF1055" s="403">
        <f>'Cali FPS'!C155</f>
        <v>234.24</v>
      </c>
      <c r="AG1055" s="401"/>
      <c r="AH1055" s="104">
        <f t="shared" si="374"/>
        <v>75</v>
      </c>
      <c r="AI1055" s="104"/>
      <c r="AJ1055" s="406">
        <f t="shared" ref="AJ1055:AJ1084" si="375">SUM(AC1055:AH1055)</f>
        <v>454.70111111111112</v>
      </c>
      <c r="AK1055" s="830">
        <f t="shared" si="370"/>
        <v>0.696865925925926</v>
      </c>
      <c r="AL1055" s="660">
        <f>Table1[[#This Row],[WSP/Dealer]]/Table1[[#This Row],[OD Sq Inch]]</f>
        <v>0.36549707602339182</v>
      </c>
      <c r="AM1055" s="400">
        <f>Table1[[#This Row],[OD Wdth]]*Table1[[#This Row],[OD Hgt]]</f>
        <v>4104</v>
      </c>
      <c r="AN1055" s="266">
        <f>Table1[[#This Row],[Min VO]]+Table1[[#This Row],[Max VO]]</f>
        <v>129</v>
      </c>
      <c r="AO1055" s="401"/>
      <c r="AP1055" s="401"/>
      <c r="AQ1055" s="1000"/>
      <c r="AR1055" s="1000"/>
      <c r="AS1055" s="1000"/>
      <c r="AT1055" s="406"/>
      <c r="AU1055" s="1366" t="str">
        <f t="shared" si="367"/>
        <v>-</v>
      </c>
    </row>
    <row r="1056" spans="1:47" s="103" customFormat="1" hidden="1" x14ac:dyDescent="0.2">
      <c r="A1056" s="68" t="s">
        <v>101</v>
      </c>
      <c r="B1056" s="1072" t="s">
        <v>102</v>
      </c>
      <c r="C1056" s="257" t="s">
        <v>2624</v>
      </c>
      <c r="D1056" s="94"/>
      <c r="E1056" s="84" t="s">
        <v>2625</v>
      </c>
      <c r="F1056" s="84" t="s">
        <v>105</v>
      </c>
      <c r="G1056" s="68" t="s">
        <v>2170</v>
      </c>
      <c r="H1056" s="68" t="s">
        <v>2626</v>
      </c>
      <c r="I1056" s="68" t="s">
        <v>108</v>
      </c>
      <c r="J1056" s="140" t="s">
        <v>53</v>
      </c>
      <c r="K1056" s="68" t="s">
        <v>814</v>
      </c>
      <c r="L1056" s="68" t="s">
        <v>815</v>
      </c>
      <c r="M1056" s="141">
        <v>261</v>
      </c>
      <c r="N1056" s="93"/>
      <c r="O1056" s="68" t="s">
        <v>109</v>
      </c>
      <c r="P1056" s="623">
        <v>11</v>
      </c>
      <c r="Q1056" s="623">
        <v>13</v>
      </c>
      <c r="R1056" s="68">
        <v>11</v>
      </c>
      <c r="S1056" s="623">
        <v>13</v>
      </c>
      <c r="T1056" s="623">
        <v>14</v>
      </c>
      <c r="U1056" s="623">
        <v>17</v>
      </c>
      <c r="V1056" s="66">
        <f>IF(J1056="Canvas",P1056+BorderGW,P1056)</f>
        <v>19</v>
      </c>
      <c r="W1056" s="66">
        <f>IF(J1056="Canvas",Q1056+BorderGW,Q1056)</f>
        <v>21</v>
      </c>
      <c r="X1056" s="68">
        <v>40</v>
      </c>
      <c r="Y1056" s="686">
        <f>Table1[[#This Row],[Print Wth]]</f>
        <v>19</v>
      </c>
      <c r="Z1056" s="686">
        <f>Table1[[#This Row],[Print Ht]]</f>
        <v>21</v>
      </c>
      <c r="AA1056" s="727">
        <f>Table1[[#This Row],[Cut Width]]*Table1[[#This Row],[Cut Height]]/144</f>
        <v>2.7708333333333335</v>
      </c>
      <c r="AB1056" s="341">
        <f>Table1[[#This Row],[Print Wth]]*Table1[[#This Row],[Print Ht]]/144*EPSONM</f>
        <v>12.46875</v>
      </c>
      <c r="AC1056" s="263">
        <f>Table1[[#This Row],[Substrate SF]]*Canvas</f>
        <v>1.8287500000000001</v>
      </c>
      <c r="AD1056" s="263">
        <f>Table1[[#This Row],[Ink g/mL]]*EPSONC</f>
        <v>2.743125</v>
      </c>
      <c r="AE1056" s="278">
        <f>IF(Table1[[#This Row],[Work Center]]="SwissQ",Materials!G$37,IF(Table1[[#This Row],[Work Center]]="Inca",Materials!G$29,IF(Table1[[#This Row],[Work Center]]="Canon",Materials!G$49,Materials!G$45)))</f>
        <v>5</v>
      </c>
      <c r="AF1056" s="73">
        <f>'Cali Frames'!D184</f>
        <v>121.1</v>
      </c>
      <c r="AG1056" s="84"/>
      <c r="AH1056" s="67">
        <v>0</v>
      </c>
      <c r="AI1056" s="67"/>
      <c r="AJ1056" s="263">
        <f t="shared" si="375"/>
        <v>130.671875</v>
      </c>
      <c r="AK1056" s="661">
        <f t="shared" si="370"/>
        <v>0.49934147509578541</v>
      </c>
      <c r="AL1056" s="240">
        <f>Table1[[#This Row],[WSP/Dealer]]/Table1[[#This Row],[OD Sq Inch]]</f>
        <v>1.096638655462185</v>
      </c>
      <c r="AM1056" s="170">
        <f>Table1[[#This Row],[OD Wdth]]*Table1[[#This Row],[OD Hgt]]</f>
        <v>238</v>
      </c>
      <c r="AN1056" s="238">
        <f>Table1[[#This Row],[Min VO]]+Table1[[#This Row],[Max VO]]</f>
        <v>24</v>
      </c>
      <c r="AO1056" s="84"/>
      <c r="AP1056" s="84"/>
      <c r="AQ1056" s="74">
        <f>(Table1[[#This Row],[Desgnr/Retail P]]*0.05)</f>
        <v>0</v>
      </c>
      <c r="AR1056" s="74" t="b">
        <f>IF(A1056="Codarus",(AP1056*0.13))</f>
        <v>0</v>
      </c>
      <c r="AS1056" s="74" t="e" cm="1">
        <f t="array" ref="AS1056">SUM(AC1056:AG1056+AQ+AR)</f>
        <v>#NAME?</v>
      </c>
      <c r="AT1056" s="74" t="e">
        <f>(AP1056-AS1056)/AP1056</f>
        <v>#NAME?</v>
      </c>
      <c r="AU1056" s="1357" t="str">
        <f t="shared" si="367"/>
        <v>-</v>
      </c>
    </row>
    <row r="1057" spans="1:47" s="63" customFormat="1" hidden="1" x14ac:dyDescent="0.2">
      <c r="A1057" s="374" t="s">
        <v>187</v>
      </c>
      <c r="B1057" s="1061" t="s">
        <v>261</v>
      </c>
      <c r="C1057" s="317" t="s">
        <v>2627</v>
      </c>
      <c r="D1057" s="94"/>
      <c r="E1057" s="375" t="s">
        <v>2628</v>
      </c>
      <c r="F1057" s="375" t="s">
        <v>585</v>
      </c>
      <c r="G1057" s="274" t="s">
        <v>2148</v>
      </c>
      <c r="H1057" s="274" t="s">
        <v>2148</v>
      </c>
      <c r="I1057" s="274" t="s">
        <v>52</v>
      </c>
      <c r="J1057" s="344" t="s">
        <v>280</v>
      </c>
      <c r="K1057" s="274" t="s">
        <v>281</v>
      </c>
      <c r="L1057" s="274" t="s">
        <v>282</v>
      </c>
      <c r="M1057" s="318">
        <v>2730</v>
      </c>
      <c r="N1057" s="71"/>
      <c r="O1057" s="274" t="s">
        <v>64</v>
      </c>
      <c r="P1057" s="274">
        <v>36</v>
      </c>
      <c r="Q1057" s="274">
        <v>48</v>
      </c>
      <c r="R1057" s="274">
        <v>36</v>
      </c>
      <c r="S1057" s="274">
        <v>48</v>
      </c>
      <c r="T1057" s="274">
        <v>36</v>
      </c>
      <c r="U1057" s="274">
        <v>48</v>
      </c>
      <c r="V1057" s="686">
        <v>36</v>
      </c>
      <c r="W1057" s="686">
        <v>48</v>
      </c>
      <c r="X1057" s="343" t="s">
        <v>283</v>
      </c>
      <c r="Y1057" s="274"/>
      <c r="Z1057" s="274"/>
      <c r="AA1057" s="727">
        <f t="shared" ref="AA1057:AA1071" si="376">V1057*W1057/144</f>
        <v>12</v>
      </c>
      <c r="AB1057" s="341">
        <f>AA1057*Swiss1</f>
        <v>339.6</v>
      </c>
      <c r="AC1057" s="278">
        <f>MDFSHEET</f>
        <v>24.35</v>
      </c>
      <c r="AD1057" s="263">
        <f>Table1[[#This Row],[Substrate SF]]*Materials!C$37</f>
        <v>33.599999999999994</v>
      </c>
      <c r="AE1057" s="104">
        <f>IF(Table1[[#This Row],[Work Center]]="SwissQ",Materials!G$37,IF(Table1[[#This Row],[Work Center]]="Inca",Materials!G$29,IF(Table1[[#This Row],[Work Center]]="Canon",Materials!G$49,Materials!G$45)))</f>
        <v>20</v>
      </c>
      <c r="AF1057" s="321">
        <f>'Cali Frames'!D548</f>
        <v>143.535</v>
      </c>
      <c r="AG1057" s="320"/>
      <c r="AH1057" s="498">
        <f t="shared" ref="AH1057:AH1085" si="377">(M1057*0.05)</f>
        <v>136.5</v>
      </c>
      <c r="AI1057" s="498"/>
      <c r="AJ1057" s="278">
        <f t="shared" si="375"/>
        <v>357.98500000000001</v>
      </c>
      <c r="AK1057" s="650">
        <f t="shared" si="370"/>
        <v>0.86886996336996336</v>
      </c>
      <c r="AL1057" s="225">
        <f>Table1[[#This Row],[WSP/Dealer]]/Table1[[#This Row],[OD Sq Inch]]</f>
        <v>1.5798611111111112</v>
      </c>
      <c r="AM1057" s="170">
        <f>Table1[[#This Row],[OD Wdth]]*Table1[[#This Row],[OD Hgt]]</f>
        <v>1728</v>
      </c>
      <c r="AN1057" s="238">
        <f>Table1[[#This Row],[Min VO]]+Table1[[#This Row],[Max VO]]</f>
        <v>84</v>
      </c>
      <c r="AO1057" s="275"/>
      <c r="AP1057" s="275"/>
      <c r="AQ1057" s="320"/>
      <c r="AR1057" s="320"/>
      <c r="AS1057" s="320"/>
      <c r="AT1057" s="278"/>
      <c r="AU1057" s="1368" t="str">
        <f t="shared" si="367"/>
        <v>-</v>
      </c>
    </row>
    <row r="1058" spans="1:47" s="103" customFormat="1" x14ac:dyDescent="0.2">
      <c r="A1058" s="180" t="s">
        <v>58</v>
      </c>
      <c r="B1058" s="1061" t="s">
        <v>587</v>
      </c>
      <c r="C1058" s="281" t="s">
        <v>2629</v>
      </c>
      <c r="D1058" s="94"/>
      <c r="E1058" s="291" t="s">
        <v>2628</v>
      </c>
      <c r="F1058" s="291" t="s">
        <v>585</v>
      </c>
      <c r="G1058" s="180" t="s">
        <v>2148</v>
      </c>
      <c r="H1058" s="180" t="s">
        <v>2148</v>
      </c>
      <c r="I1058" s="180" t="s">
        <v>52</v>
      </c>
      <c r="J1058" s="310" t="s">
        <v>280</v>
      </c>
      <c r="K1058" s="180" t="s">
        <v>281</v>
      </c>
      <c r="L1058" s="180" t="s">
        <v>282</v>
      </c>
      <c r="M1058" s="292">
        <v>800</v>
      </c>
      <c r="N1058" s="639">
        <v>800</v>
      </c>
      <c r="O1058" s="180" t="s">
        <v>64</v>
      </c>
      <c r="P1058" s="180">
        <v>36</v>
      </c>
      <c r="Q1058" s="180">
        <v>48</v>
      </c>
      <c r="R1058" s="180">
        <v>36</v>
      </c>
      <c r="S1058" s="180">
        <v>48</v>
      </c>
      <c r="T1058" s="180">
        <v>36</v>
      </c>
      <c r="U1058" s="180">
        <v>48</v>
      </c>
      <c r="V1058" s="174">
        <v>36</v>
      </c>
      <c r="W1058" s="174">
        <v>48</v>
      </c>
      <c r="X1058" s="289" t="s">
        <v>283</v>
      </c>
      <c r="Y1058" s="180"/>
      <c r="Z1058" s="180"/>
      <c r="AA1058" s="678">
        <f t="shared" si="376"/>
        <v>12</v>
      </c>
      <c r="AB1058" s="329">
        <f>AA1058*Swiss1</f>
        <v>339.6</v>
      </c>
      <c r="AC1058" s="176">
        <f>MDFSHEET</f>
        <v>24.35</v>
      </c>
      <c r="AD1058" s="175">
        <f>Table1[[#This Row],[Substrate SF]]*Materials!C$37</f>
        <v>33.599999999999994</v>
      </c>
      <c r="AE1058" s="104">
        <f>IF(Table1[[#This Row],[Work Center]]="SwissQ",Materials!G$37,IF(Table1[[#This Row],[Work Center]]="Inca",Materials!G$29,IF(Table1[[#This Row],[Work Center]]="Canon",Materials!G$49,Materials!G$45)))</f>
        <v>20</v>
      </c>
      <c r="AF1058" s="290">
        <f>'Cali Frames'!D547</f>
        <v>142.13499999999999</v>
      </c>
      <c r="AG1058" s="296"/>
      <c r="AH1058" s="112">
        <f t="shared" si="377"/>
        <v>40</v>
      </c>
      <c r="AI1058" s="112"/>
      <c r="AJ1058" s="176">
        <f t="shared" si="375"/>
        <v>260.08499999999998</v>
      </c>
      <c r="AK1058" s="62">
        <f t="shared" si="370"/>
        <v>0.67489374999999996</v>
      </c>
      <c r="AL1058" s="225">
        <f>Table1[[#This Row],[WSP/Dealer]]/Table1[[#This Row],[OD Sq Inch]]</f>
        <v>0.46296296296296297</v>
      </c>
      <c r="AM1058" s="173">
        <f>Table1[[#This Row],[OD Wdth]]*Table1[[#This Row],[OD Hgt]]</f>
        <v>1728</v>
      </c>
      <c r="AN1058" s="216">
        <f>Table1[[#This Row],[Min VO]]+Table1[[#This Row],[Max VO]]</f>
        <v>84</v>
      </c>
      <c r="AO1058" s="284"/>
      <c r="AP1058" s="284"/>
      <c r="AQ1058" s="296"/>
      <c r="AR1058" s="296"/>
      <c r="AS1058" s="296"/>
      <c r="AT1058" s="176"/>
      <c r="AU1058" s="1358" t="str">
        <f t="shared" si="367"/>
        <v>-</v>
      </c>
    </row>
    <row r="1059" spans="1:47" s="46" customFormat="1" hidden="1" x14ac:dyDescent="0.2">
      <c r="A1059" s="374" t="s">
        <v>187</v>
      </c>
      <c r="B1059" s="1061" t="s">
        <v>261</v>
      </c>
      <c r="C1059" s="436" t="s">
        <v>2630</v>
      </c>
      <c r="D1059" s="94"/>
      <c r="E1059" s="436" t="s">
        <v>2631</v>
      </c>
      <c r="F1059" s="375" t="s">
        <v>585</v>
      </c>
      <c r="G1059" s="274" t="s">
        <v>2148</v>
      </c>
      <c r="H1059" s="274" t="s">
        <v>2148</v>
      </c>
      <c r="I1059" s="274" t="s">
        <v>108</v>
      </c>
      <c r="J1059" s="68" t="s">
        <v>197</v>
      </c>
      <c r="K1059" s="274" t="s">
        <v>198</v>
      </c>
      <c r="L1059" s="274" t="s">
        <v>199</v>
      </c>
      <c r="M1059" s="696">
        <v>90</v>
      </c>
      <c r="N1059" s="71"/>
      <c r="O1059" s="274" t="s">
        <v>64</v>
      </c>
      <c r="P1059" s="274">
        <v>36</v>
      </c>
      <c r="Q1059" s="274">
        <v>48</v>
      </c>
      <c r="R1059" s="274">
        <v>36</v>
      </c>
      <c r="S1059" s="274">
        <v>48</v>
      </c>
      <c r="T1059" s="274">
        <v>36</v>
      </c>
      <c r="U1059" s="274">
        <v>48</v>
      </c>
      <c r="V1059" s="277">
        <f>Table1[[#This Row],[VO Wdth]]+Materials!$C$7</f>
        <v>38</v>
      </c>
      <c r="W1059" s="277">
        <f>Table1[[#This Row],[VO Hgt]]+Materials!$C$7</f>
        <v>50</v>
      </c>
      <c r="X1059" s="343" t="s">
        <v>197</v>
      </c>
      <c r="Y1059" s="68"/>
      <c r="Z1059" s="68"/>
      <c r="AA1059" s="699">
        <f t="shared" si="376"/>
        <v>13.194444444444445</v>
      </c>
      <c r="AB1059" s="341">
        <f>AA1059*SWISSRML</f>
        <v>26.388888888888889</v>
      </c>
      <c r="AC1059" s="74">
        <f>Table1[[#This Row],[Substrate SF]]*POster</f>
        <v>9.8166666666666664</v>
      </c>
      <c r="AD1059" s="263">
        <f>Table1[[#This Row],[Substrate SF]]*SWISSRC</f>
        <v>2.9027777777777777</v>
      </c>
      <c r="AE1059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059" s="73">
        <v>0</v>
      </c>
      <c r="AG1059" s="126">
        <f>Materials!D$76</f>
        <v>10.82</v>
      </c>
      <c r="AH1059" s="498">
        <f t="shared" si="377"/>
        <v>4.5</v>
      </c>
      <c r="AI1059" s="498"/>
      <c r="AJ1059" s="263">
        <f t="shared" si="375"/>
        <v>38.039444444444442</v>
      </c>
      <c r="AK1059" s="650">
        <f t="shared" si="370"/>
        <v>0.57733950617283958</v>
      </c>
      <c r="AL1059" s="225">
        <f>Table1[[#This Row],[WSP/Dealer]]/Table1[[#This Row],[OD Sq Inch]]</f>
        <v>5.2083333333333336E-2</v>
      </c>
      <c r="AM1059" s="170">
        <f>Table1[[#This Row],[OD Wdth]]*Table1[[#This Row],[OD Hgt]]</f>
        <v>1728</v>
      </c>
      <c r="AN1059" s="84"/>
      <c r="AO1059" s="84"/>
      <c r="AP1059" s="84"/>
      <c r="AQ1059" s="126"/>
      <c r="AR1059" s="126"/>
      <c r="AS1059" s="126"/>
      <c r="AT1059" s="74"/>
      <c r="AU1059" s="1357" t="str">
        <f t="shared" si="367"/>
        <v>-</v>
      </c>
    </row>
    <row r="1060" spans="1:47" s="159" customFormat="1" hidden="1" x14ac:dyDescent="0.2">
      <c r="A1060" s="60" t="s">
        <v>318</v>
      </c>
      <c r="B1060" s="1071" t="s">
        <v>305</v>
      </c>
      <c r="C1060" s="434" t="s">
        <v>2632</v>
      </c>
      <c r="D1060" s="79"/>
      <c r="E1060" s="99" t="s">
        <v>2633</v>
      </c>
      <c r="F1060" s="99" t="s">
        <v>322</v>
      </c>
      <c r="G1060" s="60" t="s">
        <v>395</v>
      </c>
      <c r="H1060" s="60" t="s">
        <v>396</v>
      </c>
      <c r="I1060" s="60" t="s">
        <v>52</v>
      </c>
      <c r="J1060" s="59" t="s">
        <v>53</v>
      </c>
      <c r="K1060" s="60" t="s">
        <v>69</v>
      </c>
      <c r="L1060" s="60" t="s">
        <v>70</v>
      </c>
      <c r="M1060" s="124">
        <v>900</v>
      </c>
      <c r="N1060" s="124"/>
      <c r="O1060" s="60" t="s">
        <v>64</v>
      </c>
      <c r="P1060" s="60">
        <v>60</v>
      </c>
      <c r="Q1060" s="60">
        <v>60</v>
      </c>
      <c r="R1060" s="60">
        <v>60</v>
      </c>
      <c r="S1060" s="46">
        <v>60</v>
      </c>
      <c r="T1060" s="46">
        <v>61</v>
      </c>
      <c r="U1060" s="46">
        <v>61</v>
      </c>
      <c r="V1060" s="47">
        <f t="shared" ref="V1060:V1065" si="378">IF(J1060="Canvas",P1060+BorderGW,P1060)</f>
        <v>68</v>
      </c>
      <c r="W1060" s="47">
        <f t="shared" ref="W1060:W1065" si="379">IF(J1060="Canvas",Q1060+BorderGW,Q1060)</f>
        <v>68</v>
      </c>
      <c r="X1060" s="60">
        <v>69</v>
      </c>
      <c r="Y1060" s="60">
        <v>68</v>
      </c>
      <c r="Z1060" s="60">
        <v>68</v>
      </c>
      <c r="AA1060" s="678">
        <f t="shared" si="376"/>
        <v>32.111111111111114</v>
      </c>
      <c r="AB1060" s="329">
        <f>AA1060*Swiss1</f>
        <v>908.74444444444453</v>
      </c>
      <c r="AC1060" s="176">
        <f>MDFSHEET*0.25</f>
        <v>6.0875000000000004</v>
      </c>
      <c r="AD1060" s="175">
        <f>Table1[[#This Row],[Substrate SF]]*Materials!C$37</f>
        <v>89.911111111111111</v>
      </c>
      <c r="AE1060" s="69">
        <f>IF(Table1[[#This Row],[Work Center]]="SwissQ",Materials!G$37,IF(Table1[[#This Row],[Work Center]]="Inca",Materials!G$29,IF(Table1[[#This Row],[Work Center]]="Canon",Materials!G$49,Materials!G$45)))</f>
        <v>20</v>
      </c>
      <c r="AF1060" s="72">
        <f>'Cali Frames'!D349</f>
        <v>349.42</v>
      </c>
      <c r="AG1060" s="540"/>
      <c r="AH1060" s="175">
        <f t="shared" si="377"/>
        <v>45</v>
      </c>
      <c r="AI1060" s="175"/>
      <c r="AJ1060" s="175">
        <f t="shared" si="375"/>
        <v>510.41861111111115</v>
      </c>
      <c r="AK1060" s="676">
        <f t="shared" si="370"/>
        <v>0.43286820987654318</v>
      </c>
      <c r="AL1060" s="176">
        <f>Table1[[#This Row],[WSP/Dealer]]/Table1[[#This Row],[OD Sq Inch]]</f>
        <v>0.24187046492878259</v>
      </c>
      <c r="AM1060" s="173">
        <f>Table1[[#This Row],[OD Wdth]]*Table1[[#This Row],[OD Hgt]]</f>
        <v>3721</v>
      </c>
      <c r="AN1060" s="180">
        <f>Table1[[#This Row],[Min VO]]+Table1[[#This Row],[Max VO]]</f>
        <v>120</v>
      </c>
      <c r="AO1060" s="95"/>
      <c r="AP1060" s="83"/>
      <c r="AQ1060" s="540">
        <f>(Table1[[#This Row],[Desgnr/Retail P]]*0.05)</f>
        <v>0</v>
      </c>
      <c r="AR1060" s="540" t="b">
        <f>IF(A1060="Codarus",(AP1060*0.13))</f>
        <v>0</v>
      </c>
      <c r="AS1060" s="540" t="e" cm="1">
        <f t="array" ref="AS1060">SUM(AC1060:AG1060+AQ+AR)</f>
        <v>#NAME?</v>
      </c>
      <c r="AT1060" s="69" t="e">
        <f>(AP1060-AS1060)/AP1060</f>
        <v>#NAME?</v>
      </c>
      <c r="AU1060" s="1355" t="str">
        <f t="shared" si="367"/>
        <v>-</v>
      </c>
    </row>
    <row r="1061" spans="1:47" s="170" customFormat="1" hidden="1" x14ac:dyDescent="0.2">
      <c r="A1061" s="373" t="s">
        <v>187</v>
      </c>
      <c r="B1061" s="1061" t="s">
        <v>261</v>
      </c>
      <c r="C1061" s="257" t="s">
        <v>2634</v>
      </c>
      <c r="D1061" s="94"/>
      <c r="E1061" s="84" t="s">
        <v>2635</v>
      </c>
      <c r="F1061" s="84" t="s">
        <v>386</v>
      </c>
      <c r="G1061" s="68" t="s">
        <v>1342</v>
      </c>
      <c r="H1061" s="68" t="s">
        <v>1343</v>
      </c>
      <c r="I1061" s="68" t="s">
        <v>52</v>
      </c>
      <c r="J1061" s="68" t="s">
        <v>53</v>
      </c>
      <c r="K1061" s="68" t="s">
        <v>69</v>
      </c>
      <c r="L1061" s="68" t="s">
        <v>70</v>
      </c>
      <c r="M1061" s="93">
        <v>2450</v>
      </c>
      <c r="N1061" s="71"/>
      <c r="O1061" s="68" t="s">
        <v>56</v>
      </c>
      <c r="P1061" s="623">
        <v>48</v>
      </c>
      <c r="Q1061" s="623">
        <v>36</v>
      </c>
      <c r="R1061" s="68">
        <v>36</v>
      </c>
      <c r="S1061" s="623">
        <v>48</v>
      </c>
      <c r="T1061" s="623">
        <f>Table1[[#This Row],[VO Wdth]]</f>
        <v>48</v>
      </c>
      <c r="U1061" s="623">
        <f>Table1[[#This Row],[VO Hgt]]</f>
        <v>36</v>
      </c>
      <c r="V1061" s="917">
        <f t="shared" si="378"/>
        <v>56</v>
      </c>
      <c r="W1061" s="917">
        <f t="shared" si="379"/>
        <v>44</v>
      </c>
      <c r="X1061" s="189">
        <v>59</v>
      </c>
      <c r="Y1061" s="68"/>
      <c r="Z1061" s="68"/>
      <c r="AA1061" s="699">
        <f t="shared" si="376"/>
        <v>17.111111111111111</v>
      </c>
      <c r="AB1061" s="297">
        <f>AA1061*IncaG</f>
        <v>360.01777777777778</v>
      </c>
      <c r="AC1061" s="74">
        <f>AA1061*Canvas</f>
        <v>11.293333333333333</v>
      </c>
      <c r="AD1061" s="67">
        <f>AA1061*IncaC</f>
        <v>28.801422222222222</v>
      </c>
      <c r="AE1061" s="104">
        <f>IF(Table1[[#This Row],[Work Center]]="SwissQ",Materials!G$37,IF(Table1[[#This Row],[Work Center]]="Inca",Materials!G$29,IF(Table1[[#This Row],[Work Center]]="Canon",Materials!G$49,Materials!G$45)))</f>
        <v>8</v>
      </c>
      <c r="AF1061" s="74">
        <f>'Cali FPS'!C$71</f>
        <v>114.31</v>
      </c>
      <c r="AG1061" s="115"/>
      <c r="AH1061" s="498">
        <f t="shared" si="377"/>
        <v>122.5</v>
      </c>
      <c r="AI1061" s="498"/>
      <c r="AJ1061" s="74">
        <f t="shared" si="375"/>
        <v>284.90475555555554</v>
      </c>
      <c r="AK1061" s="650">
        <f t="shared" si="370"/>
        <v>0.88371234467120197</v>
      </c>
      <c r="AL1061" s="225">
        <f>Table1[[#This Row],[WSP/Dealer]]/Table1[[#This Row],[OD Sq Inch]]</f>
        <v>1.4178240740740742</v>
      </c>
      <c r="AM1061" s="216">
        <f>Table1[[#This Row],[OD Wdth]]*Table1[[#This Row],[OD Hgt]]</f>
        <v>1728</v>
      </c>
      <c r="AN1061" s="216">
        <f>Table1[[#This Row],[Min VO]]+Table1[[#This Row],[Max VO]]</f>
        <v>84</v>
      </c>
      <c r="AO1061" s="68"/>
      <c r="AP1061" s="68"/>
      <c r="AQ1061" s="74"/>
      <c r="AR1061" s="74"/>
      <c r="AS1061" s="74"/>
      <c r="AT1061" s="74"/>
      <c r="AU1061" s="1001" t="str">
        <f t="shared" si="367"/>
        <v>-</v>
      </c>
    </row>
    <row r="1062" spans="1:47" s="159" customFormat="1" hidden="1" x14ac:dyDescent="0.2">
      <c r="A1062" s="373" t="s">
        <v>187</v>
      </c>
      <c r="B1062" s="279" t="s">
        <v>261</v>
      </c>
      <c r="C1062" s="257" t="s">
        <v>2636</v>
      </c>
      <c r="D1062" s="94"/>
      <c r="E1062" s="84" t="s">
        <v>2635</v>
      </c>
      <c r="F1062" s="84" t="s">
        <v>386</v>
      </c>
      <c r="G1062" s="68" t="s">
        <v>1342</v>
      </c>
      <c r="H1062" s="68" t="s">
        <v>1342</v>
      </c>
      <c r="I1062" s="68" t="s">
        <v>52</v>
      </c>
      <c r="J1062" s="68" t="s">
        <v>53</v>
      </c>
      <c r="K1062" s="68" t="s">
        <v>54</v>
      </c>
      <c r="L1062" s="68" t="s">
        <v>55</v>
      </c>
      <c r="M1062" s="93">
        <v>2095</v>
      </c>
      <c r="N1062" s="71"/>
      <c r="O1062" s="68" t="s">
        <v>56</v>
      </c>
      <c r="P1062" s="623">
        <v>48</v>
      </c>
      <c r="Q1062" s="623">
        <v>36</v>
      </c>
      <c r="R1062" s="68">
        <v>36</v>
      </c>
      <c r="S1062" s="623">
        <v>48</v>
      </c>
      <c r="T1062" s="623">
        <f>Table1[[#This Row],[VO Wdth]]</f>
        <v>48</v>
      </c>
      <c r="U1062" s="623">
        <f>Table1[[#This Row],[VO Hgt]]</f>
        <v>36</v>
      </c>
      <c r="V1062" s="66">
        <f t="shared" si="378"/>
        <v>56</v>
      </c>
      <c r="W1062" s="66">
        <f t="shared" si="379"/>
        <v>44</v>
      </c>
      <c r="X1062" s="189">
        <v>59</v>
      </c>
      <c r="Y1062" s="68"/>
      <c r="Z1062" s="68"/>
      <c r="AA1062" s="699">
        <f t="shared" si="376"/>
        <v>17.111111111111111</v>
      </c>
      <c r="AB1062" s="297">
        <f>AA1062*IncaG</f>
        <v>360.01777777777778</v>
      </c>
      <c r="AC1062" s="74">
        <f>AA1062*Canvas</f>
        <v>11.293333333333333</v>
      </c>
      <c r="AD1062" s="67">
        <f>AA1062*IncaC</f>
        <v>28.801422222222222</v>
      </c>
      <c r="AE1062" s="104">
        <f>IF(Table1[[#This Row],[Work Center]]="SwissQ",Materials!G$37,IF(Table1[[#This Row],[Work Center]]="Inca",Materials!G$29,IF(Table1[[#This Row],[Work Center]]="Canon",Materials!G$49,Materials!G$45)))</f>
        <v>8</v>
      </c>
      <c r="AF1062" s="74">
        <f>'Cali FPS'!C$71</f>
        <v>114.31</v>
      </c>
      <c r="AG1062" s="115"/>
      <c r="AH1062" s="498">
        <f t="shared" si="377"/>
        <v>104.75</v>
      </c>
      <c r="AI1062" s="498"/>
      <c r="AJ1062" s="74">
        <f t="shared" si="375"/>
        <v>267.15475555555554</v>
      </c>
      <c r="AK1062" s="650">
        <f t="shared" si="370"/>
        <v>0.87247983028374432</v>
      </c>
      <c r="AL1062" s="225">
        <f>Table1[[#This Row],[WSP/Dealer]]/Table1[[#This Row],[OD Sq Inch]]</f>
        <v>1.2123842592592593</v>
      </c>
      <c r="AM1062" s="218">
        <f>Table1[[#This Row],[OD Wdth]]*Table1[[#This Row],[OD Hgt]]</f>
        <v>1728</v>
      </c>
      <c r="AN1062" s="216">
        <f>Table1[[#This Row],[Min VO]]+Table1[[#This Row],[Max VO]]</f>
        <v>84</v>
      </c>
      <c r="AO1062" s="68"/>
      <c r="AP1062" s="68"/>
      <c r="AQ1062" s="74"/>
      <c r="AR1062" s="74"/>
      <c r="AS1062" s="74"/>
      <c r="AT1062" s="74"/>
      <c r="AU1062" s="1001" t="str">
        <f t="shared" si="367"/>
        <v>-</v>
      </c>
    </row>
    <row r="1063" spans="1:47" s="399" customFormat="1" hidden="1" x14ac:dyDescent="0.2">
      <c r="A1063" s="373" t="s">
        <v>187</v>
      </c>
      <c r="B1063" s="1061" t="s">
        <v>261</v>
      </c>
      <c r="C1063" s="257" t="s">
        <v>2637</v>
      </c>
      <c r="D1063" s="94"/>
      <c r="E1063" s="84" t="s">
        <v>2635</v>
      </c>
      <c r="F1063" s="84" t="s">
        <v>386</v>
      </c>
      <c r="G1063" s="68" t="s">
        <v>1342</v>
      </c>
      <c r="H1063" s="68" t="s">
        <v>1343</v>
      </c>
      <c r="I1063" s="68" t="s">
        <v>52</v>
      </c>
      <c r="J1063" s="68" t="s">
        <v>53</v>
      </c>
      <c r="K1063" s="68" t="s">
        <v>69</v>
      </c>
      <c r="L1063" s="68" t="s">
        <v>73</v>
      </c>
      <c r="M1063" s="93">
        <v>2450</v>
      </c>
      <c r="N1063" s="71"/>
      <c r="O1063" s="68" t="s">
        <v>56</v>
      </c>
      <c r="P1063" s="623">
        <v>48</v>
      </c>
      <c r="Q1063" s="623">
        <v>36</v>
      </c>
      <c r="R1063" s="68">
        <v>36</v>
      </c>
      <c r="S1063" s="623">
        <v>48</v>
      </c>
      <c r="T1063" s="623">
        <f>Table1[[#This Row],[VO Wdth]]</f>
        <v>48</v>
      </c>
      <c r="U1063" s="623">
        <f>Table1[[#This Row],[VO Hgt]]</f>
        <v>36</v>
      </c>
      <c r="V1063" s="917">
        <f t="shared" si="378"/>
        <v>56</v>
      </c>
      <c r="W1063" s="917">
        <f t="shared" si="379"/>
        <v>44</v>
      </c>
      <c r="X1063" s="189">
        <v>59</v>
      </c>
      <c r="Y1063" s="68"/>
      <c r="Z1063" s="68"/>
      <c r="AA1063" s="699">
        <f t="shared" si="376"/>
        <v>17.111111111111111</v>
      </c>
      <c r="AB1063" s="297">
        <f>AA1063*IncaG</f>
        <v>360.01777777777778</v>
      </c>
      <c r="AC1063" s="74">
        <f>AA1063*Canvas</f>
        <v>11.293333333333333</v>
      </c>
      <c r="AD1063" s="74">
        <f>AA1063*IncaC</f>
        <v>28.801422222222222</v>
      </c>
      <c r="AE1063" s="104">
        <f>IF(Table1[[#This Row],[Work Center]]="SwissQ",Materials!G$37,IF(Table1[[#This Row],[Work Center]]="Inca",Materials!G$29,IF(Table1[[#This Row],[Work Center]]="Canon",Materials!G$49,Materials!G$45)))</f>
        <v>8</v>
      </c>
      <c r="AF1063" s="74">
        <f>'Cali FPS'!C$71</f>
        <v>114.31</v>
      </c>
      <c r="AG1063" s="115"/>
      <c r="AH1063" s="112">
        <f t="shared" si="377"/>
        <v>122.5</v>
      </c>
      <c r="AI1063" s="112"/>
      <c r="AJ1063" s="74">
        <f t="shared" si="375"/>
        <v>284.90475555555554</v>
      </c>
      <c r="AK1063" s="62">
        <f t="shared" si="370"/>
        <v>0.88371234467120197</v>
      </c>
      <c r="AL1063" s="225">
        <f>Table1[[#This Row],[WSP/Dealer]]/Table1[[#This Row],[OD Sq Inch]]</f>
        <v>1.4178240740740742</v>
      </c>
      <c r="AM1063" s="216">
        <f>Table1[[#This Row],[OD Wdth]]*Table1[[#This Row],[OD Hgt]]</f>
        <v>1728</v>
      </c>
      <c r="AN1063" s="216">
        <f>Table1[[#This Row],[Min VO]]+Table1[[#This Row],[Max VO]]</f>
        <v>84</v>
      </c>
      <c r="AO1063" s="68"/>
      <c r="AP1063" s="68"/>
      <c r="AQ1063" s="74"/>
      <c r="AR1063" s="74"/>
      <c r="AS1063" s="74"/>
      <c r="AT1063" s="74"/>
      <c r="AU1063" s="1001" t="str">
        <f t="shared" si="367"/>
        <v>-</v>
      </c>
    </row>
    <row r="1064" spans="1:47" s="170" customFormat="1" x14ac:dyDescent="0.2">
      <c r="A1064" s="86" t="s">
        <v>58</v>
      </c>
      <c r="B1064" s="1061" t="s">
        <v>591</v>
      </c>
      <c r="C1064" s="75" t="s">
        <v>2638</v>
      </c>
      <c r="D1064" s="94" t="s">
        <v>2639</v>
      </c>
      <c r="E1064" s="85" t="s">
        <v>2635</v>
      </c>
      <c r="F1064" s="85" t="s">
        <v>386</v>
      </c>
      <c r="G1064" s="86" t="s">
        <v>1342</v>
      </c>
      <c r="H1064" s="86" t="s">
        <v>1342</v>
      </c>
      <c r="I1064" s="86" t="s">
        <v>52</v>
      </c>
      <c r="J1064" s="86" t="s">
        <v>53</v>
      </c>
      <c r="K1064" s="86" t="s">
        <v>54</v>
      </c>
      <c r="L1064" s="86" t="s">
        <v>55</v>
      </c>
      <c r="M1064" s="87">
        <v>650</v>
      </c>
      <c r="N1064" s="639">
        <v>720</v>
      </c>
      <c r="O1064" s="101" t="s">
        <v>56</v>
      </c>
      <c r="P1064" s="273">
        <v>48</v>
      </c>
      <c r="Q1064" s="273">
        <v>36</v>
      </c>
      <c r="R1064" s="60">
        <v>36</v>
      </c>
      <c r="S1064" s="273">
        <v>48</v>
      </c>
      <c r="T1064" s="273">
        <f>Table1[[#This Row],[VO Wdth]]</f>
        <v>48</v>
      </c>
      <c r="U1064" s="273">
        <f>Table1[[#This Row],[VO Hgt]]</f>
        <v>36</v>
      </c>
      <c r="V1064" s="608">
        <f t="shared" si="378"/>
        <v>56</v>
      </c>
      <c r="W1064" s="608">
        <f t="shared" si="379"/>
        <v>44</v>
      </c>
      <c r="X1064" s="137">
        <v>59</v>
      </c>
      <c r="Y1064" s="101"/>
      <c r="Z1064" s="101"/>
      <c r="AA1064" s="649">
        <f t="shared" si="376"/>
        <v>17.111111111111111</v>
      </c>
      <c r="AB1064" s="184">
        <f>AA1064*IncaG</f>
        <v>360.01777777777778</v>
      </c>
      <c r="AC1064" s="104">
        <f>AA1064*Canvas</f>
        <v>11.293333333333333</v>
      </c>
      <c r="AD1064" s="104">
        <f>AA1064*IncaC</f>
        <v>28.801422222222222</v>
      </c>
      <c r="AE1064" s="104">
        <f>IF(Table1[[#This Row],[Work Center]]="SwissQ",Materials!G$37,IF(Table1[[#This Row],[Work Center]]="Inca",Materials!G$29,IF(Table1[[#This Row],[Work Center]]="Canon",Materials!G$49,Materials!G$45)))</f>
        <v>8</v>
      </c>
      <c r="AF1064" s="104">
        <f>'Cali FPS'!C$71</f>
        <v>114.31</v>
      </c>
      <c r="AG1064" s="115"/>
      <c r="AH1064" s="498">
        <f t="shared" si="377"/>
        <v>32.5</v>
      </c>
      <c r="AI1064" s="498"/>
      <c r="AJ1064" s="104">
        <f t="shared" si="375"/>
        <v>194.90475555555554</v>
      </c>
      <c r="AK1064" s="650">
        <f t="shared" si="370"/>
        <v>0.70014652991452997</v>
      </c>
      <c r="AL1064" s="225">
        <f>Table1[[#This Row],[WSP/Dealer]]/Table1[[#This Row],[OD Sq Inch]]</f>
        <v>0.37615740740740738</v>
      </c>
      <c r="AM1064" s="110">
        <f>Table1[[#This Row],[OD Wdth]]*Table1[[#This Row],[OD Hgt]]</f>
        <v>1728</v>
      </c>
      <c r="AN1064" s="216">
        <f>Table1[[#This Row],[Min VO]]+Table1[[#This Row],[Max VO]]</f>
        <v>84</v>
      </c>
      <c r="AO1064" s="101"/>
      <c r="AP1064" s="101"/>
      <c r="AQ1064" s="104"/>
      <c r="AR1064" s="104"/>
      <c r="AS1064" s="104"/>
      <c r="AT1064" s="104"/>
      <c r="AU1064" s="830" t="str">
        <f t="shared" si="367"/>
        <v>-</v>
      </c>
    </row>
    <row r="1065" spans="1:47" s="103" customFormat="1" hidden="1" x14ac:dyDescent="0.2">
      <c r="A1065" s="373" t="s">
        <v>187</v>
      </c>
      <c r="B1065" s="1061" t="s">
        <v>261</v>
      </c>
      <c r="C1065" s="257" t="s">
        <v>2640</v>
      </c>
      <c r="D1065" s="94"/>
      <c r="E1065" s="84" t="s">
        <v>2641</v>
      </c>
      <c r="F1065" s="84" t="s">
        <v>386</v>
      </c>
      <c r="G1065" s="68" t="s">
        <v>1342</v>
      </c>
      <c r="H1065" s="68" t="s">
        <v>1342</v>
      </c>
      <c r="I1065" s="68" t="s">
        <v>108</v>
      </c>
      <c r="J1065" s="68" t="s">
        <v>197</v>
      </c>
      <c r="K1065" s="238" t="s">
        <v>198</v>
      </c>
      <c r="L1065" s="238" t="s">
        <v>199</v>
      </c>
      <c r="M1065" s="550">
        <v>90</v>
      </c>
      <c r="N1065" s="71"/>
      <c r="O1065" s="68" t="s">
        <v>56</v>
      </c>
      <c r="P1065" s="623">
        <v>48</v>
      </c>
      <c r="Q1065" s="623">
        <v>36</v>
      </c>
      <c r="R1065" s="68">
        <v>36</v>
      </c>
      <c r="S1065" s="623">
        <v>48</v>
      </c>
      <c r="T1065" s="623">
        <f>Table1[[#This Row],[VO Wdth]]</f>
        <v>48</v>
      </c>
      <c r="U1065" s="623">
        <f>Table1[[#This Row],[VO Hgt]]</f>
        <v>36</v>
      </c>
      <c r="V1065" s="917">
        <f t="shared" si="378"/>
        <v>48</v>
      </c>
      <c r="W1065" s="917">
        <f t="shared" si="379"/>
        <v>36</v>
      </c>
      <c r="X1065" s="189" t="s">
        <v>197</v>
      </c>
      <c r="Y1065" s="68"/>
      <c r="Z1065" s="68"/>
      <c r="AA1065" s="699">
        <f t="shared" si="376"/>
        <v>12</v>
      </c>
      <c r="AB1065" s="297">
        <f>AA1065*IncaGR</f>
        <v>12.24</v>
      </c>
      <c r="AC1065" s="74">
        <f>AA1065*Canvas</f>
        <v>7.92</v>
      </c>
      <c r="AD1065" s="208">
        <f>Table1[[#This Row],[Ink g/mL]]*IncaCR</f>
        <v>0.97920000000000007</v>
      </c>
      <c r="AE1065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065" s="260"/>
      <c r="AG1065" s="126">
        <f>Materials!D$76</f>
        <v>10.82</v>
      </c>
      <c r="AH1065" s="498">
        <f t="shared" si="377"/>
        <v>4.5</v>
      </c>
      <c r="AI1065" s="498"/>
      <c r="AJ1065" s="74">
        <f t="shared" si="375"/>
        <v>34.219200000000001</v>
      </c>
      <c r="AK1065" s="650">
        <f t="shared" si="370"/>
        <v>0.61978666666666671</v>
      </c>
      <c r="AL1065" s="225">
        <f>Table1[[#This Row],[WSP/Dealer]]/Table1[[#This Row],[OD Sq Inch]]</f>
        <v>5.2083333333333336E-2</v>
      </c>
      <c r="AM1065" s="218">
        <f>Table1[[#This Row],[OD Wdth]]*Table1[[#This Row],[OD Hgt]]</f>
        <v>1728</v>
      </c>
      <c r="AN1065" s="216">
        <f>Table1[[#This Row],[Min VO]]+Table1[[#This Row],[Max VO]]</f>
        <v>84</v>
      </c>
      <c r="AO1065" s="68"/>
      <c r="AP1065" s="68"/>
      <c r="AQ1065" s="74"/>
      <c r="AR1065" s="74"/>
      <c r="AS1065" s="74"/>
      <c r="AT1065" s="74"/>
      <c r="AU1065" s="1001" t="str">
        <f t="shared" si="367"/>
        <v>-</v>
      </c>
    </row>
    <row r="1066" spans="1:47" s="103" customFormat="1" hidden="1" x14ac:dyDescent="0.2">
      <c r="A1066" s="374" t="s">
        <v>187</v>
      </c>
      <c r="B1066" s="1061" t="s">
        <v>261</v>
      </c>
      <c r="C1066" s="317" t="s">
        <v>2642</v>
      </c>
      <c r="D1066" s="94"/>
      <c r="E1066" s="375" t="s">
        <v>2643</v>
      </c>
      <c r="F1066" s="375" t="s">
        <v>585</v>
      </c>
      <c r="G1066" s="274" t="s">
        <v>586</v>
      </c>
      <c r="H1066" s="274" t="s">
        <v>586</v>
      </c>
      <c r="I1066" s="274" t="s">
        <v>52</v>
      </c>
      <c r="J1066" s="344" t="s">
        <v>280</v>
      </c>
      <c r="K1066" s="274" t="s">
        <v>281</v>
      </c>
      <c r="L1066" s="274" t="s">
        <v>282</v>
      </c>
      <c r="M1066" s="178">
        <v>1530</v>
      </c>
      <c r="N1066" s="71"/>
      <c r="O1066" s="274" t="s">
        <v>64</v>
      </c>
      <c r="P1066" s="274">
        <v>24</v>
      </c>
      <c r="Q1066" s="274">
        <v>30</v>
      </c>
      <c r="R1066" s="274">
        <v>24</v>
      </c>
      <c r="S1066" s="274">
        <v>30</v>
      </c>
      <c r="T1066" s="274">
        <v>24</v>
      </c>
      <c r="U1066" s="274">
        <v>30</v>
      </c>
      <c r="V1066" s="686">
        <v>24</v>
      </c>
      <c r="W1066" s="686">
        <v>30</v>
      </c>
      <c r="X1066" s="343" t="s">
        <v>283</v>
      </c>
      <c r="Y1066" s="274"/>
      <c r="Z1066" s="274"/>
      <c r="AA1066" s="727">
        <f t="shared" si="376"/>
        <v>5</v>
      </c>
      <c r="AB1066" s="341">
        <f>AA1066*Swiss1</f>
        <v>141.5</v>
      </c>
      <c r="AC1066" s="278">
        <f>MDFSHEET*0.25</f>
        <v>6.0875000000000004</v>
      </c>
      <c r="AD1066" s="263">
        <f>Table1[[#This Row],[Substrate SF]]*Materials!C$37</f>
        <v>14</v>
      </c>
      <c r="AE1066" s="104">
        <f>IF(Table1[[#This Row],[Work Center]]="SwissQ",Materials!G$37,IF(Table1[[#This Row],[Work Center]]="Inca",Materials!G$29,IF(Table1[[#This Row],[Work Center]]="Canon",Materials!G$49,Materials!G$45)))</f>
        <v>20</v>
      </c>
      <c r="AF1066" s="321">
        <f>'Cali Frames'!D541</f>
        <v>126.02</v>
      </c>
      <c r="AG1066" s="320"/>
      <c r="AH1066" s="498">
        <f t="shared" si="377"/>
        <v>76.5</v>
      </c>
      <c r="AI1066" s="498"/>
      <c r="AJ1066" s="278">
        <f t="shared" si="375"/>
        <v>242.60749999999999</v>
      </c>
      <c r="AK1066" s="650">
        <f t="shared" si="370"/>
        <v>0.84143300653594766</v>
      </c>
      <c r="AL1066" s="225">
        <f>Table1[[#This Row],[WSP/Dealer]]/Table1[[#This Row],[OD Sq Inch]]</f>
        <v>2.125</v>
      </c>
      <c r="AM1066" s="274">
        <f>Table1[[#This Row],[OD Wdth]]*Table1[[#This Row],[OD Hgt]]</f>
        <v>720</v>
      </c>
      <c r="AN1066" s="238">
        <f>Table1[[#This Row],[Min VO]]+Table1[[#This Row],[Max VO]]</f>
        <v>54</v>
      </c>
      <c r="AO1066" s="275"/>
      <c r="AP1066" s="275"/>
      <c r="AQ1066" s="320"/>
      <c r="AR1066" s="320"/>
      <c r="AS1066" s="320"/>
      <c r="AT1066" s="278"/>
      <c r="AU1066" s="1368" t="str">
        <f t="shared" si="367"/>
        <v>-</v>
      </c>
    </row>
    <row r="1067" spans="1:47" s="103" customFormat="1" x14ac:dyDescent="0.2">
      <c r="A1067" s="180" t="s">
        <v>58</v>
      </c>
      <c r="B1067" s="279" t="s">
        <v>587</v>
      </c>
      <c r="C1067" s="281" t="s">
        <v>2644</v>
      </c>
      <c r="D1067" s="94"/>
      <c r="E1067" s="291" t="s">
        <v>2643</v>
      </c>
      <c r="F1067" s="291" t="s">
        <v>585</v>
      </c>
      <c r="G1067" s="180" t="s">
        <v>586</v>
      </c>
      <c r="H1067" s="180" t="s">
        <v>586</v>
      </c>
      <c r="I1067" s="180" t="s">
        <v>52</v>
      </c>
      <c r="J1067" s="310" t="s">
        <v>280</v>
      </c>
      <c r="K1067" s="180" t="s">
        <v>281</v>
      </c>
      <c r="L1067" s="180" t="s">
        <v>282</v>
      </c>
      <c r="M1067" s="292">
        <v>450</v>
      </c>
      <c r="N1067" s="639">
        <v>450</v>
      </c>
      <c r="O1067" s="180" t="s">
        <v>64</v>
      </c>
      <c r="P1067" s="180">
        <v>24</v>
      </c>
      <c r="Q1067" s="180">
        <v>30</v>
      </c>
      <c r="R1067" s="180">
        <v>24</v>
      </c>
      <c r="S1067" s="180">
        <v>30</v>
      </c>
      <c r="T1067" s="180">
        <v>24</v>
      </c>
      <c r="U1067" s="180">
        <v>30</v>
      </c>
      <c r="V1067" s="947">
        <v>24</v>
      </c>
      <c r="W1067" s="947">
        <v>30</v>
      </c>
      <c r="X1067" s="289" t="s">
        <v>283</v>
      </c>
      <c r="Y1067" s="180"/>
      <c r="Z1067" s="180"/>
      <c r="AA1067" s="678">
        <f t="shared" si="376"/>
        <v>5</v>
      </c>
      <c r="AB1067" s="329">
        <f>AA1067*Swiss1</f>
        <v>141.5</v>
      </c>
      <c r="AC1067" s="176">
        <f>MDFSHEET*0.25</f>
        <v>6.0875000000000004</v>
      </c>
      <c r="AD1067" s="175">
        <f>Table1[[#This Row],[Substrate SF]]*Materials!C$37</f>
        <v>14</v>
      </c>
      <c r="AE1067" s="104">
        <f>IF(Table1[[#This Row],[Work Center]]="SwissQ",Materials!G$37,IF(Table1[[#This Row],[Work Center]]="Inca",Materials!G$29,IF(Table1[[#This Row],[Work Center]]="Canon",Materials!G$49,Materials!G$45)))</f>
        <v>20</v>
      </c>
      <c r="AF1067" s="290">
        <f>'Cali Frames'!D539</f>
        <v>101.955</v>
      </c>
      <c r="AG1067" s="296"/>
      <c r="AH1067" s="498">
        <f t="shared" si="377"/>
        <v>22.5</v>
      </c>
      <c r="AI1067" s="498"/>
      <c r="AJ1067" s="176">
        <f t="shared" si="375"/>
        <v>164.54249999999999</v>
      </c>
      <c r="AK1067" s="650">
        <f t="shared" si="370"/>
        <v>0.63434999999999997</v>
      </c>
      <c r="AL1067" s="225">
        <f>Table1[[#This Row],[WSP/Dealer]]/Table1[[#This Row],[OD Sq Inch]]</f>
        <v>0.625</v>
      </c>
      <c r="AM1067" s="180">
        <f>Table1[[#This Row],[OD Wdth]]*Table1[[#This Row],[OD Hgt]]</f>
        <v>720</v>
      </c>
      <c r="AN1067" s="216">
        <f>Table1[[#This Row],[Min VO]]+Table1[[#This Row],[Max VO]]</f>
        <v>54</v>
      </c>
      <c r="AO1067" s="284"/>
      <c r="AP1067" s="284"/>
      <c r="AQ1067" s="296"/>
      <c r="AR1067" s="296"/>
      <c r="AS1067" s="296"/>
      <c r="AT1067" s="176"/>
      <c r="AU1067" s="1358" t="str">
        <f t="shared" si="367"/>
        <v>-</v>
      </c>
    </row>
    <row r="1068" spans="1:47" s="103" customFormat="1" hidden="1" x14ac:dyDescent="0.2">
      <c r="A1068" s="437" t="s">
        <v>187</v>
      </c>
      <c r="B1068" s="1061" t="s">
        <v>261</v>
      </c>
      <c r="C1068" s="436" t="s">
        <v>2645</v>
      </c>
      <c r="D1068" s="94"/>
      <c r="E1068" s="436" t="s">
        <v>2646</v>
      </c>
      <c r="F1068" s="375" t="s">
        <v>585</v>
      </c>
      <c r="G1068" s="258" t="s">
        <v>354</v>
      </c>
      <c r="H1068" s="274" t="s">
        <v>586</v>
      </c>
      <c r="I1068" s="274" t="s">
        <v>108</v>
      </c>
      <c r="J1068" s="68" t="s">
        <v>197</v>
      </c>
      <c r="K1068" s="274" t="s">
        <v>198</v>
      </c>
      <c r="L1068" s="274" t="s">
        <v>199</v>
      </c>
      <c r="M1068" s="455">
        <v>60</v>
      </c>
      <c r="N1068" s="71"/>
      <c r="O1068" s="274" t="s">
        <v>64</v>
      </c>
      <c r="P1068" s="274">
        <v>24</v>
      </c>
      <c r="Q1068" s="274">
        <v>30</v>
      </c>
      <c r="R1068" s="274">
        <v>24</v>
      </c>
      <c r="S1068" s="274">
        <v>30</v>
      </c>
      <c r="T1068" s="274">
        <v>24</v>
      </c>
      <c r="U1068" s="274">
        <v>30</v>
      </c>
      <c r="V1068" s="686">
        <f>Table1[[#This Row],[VO Wdth]]+Materials!$C$7</f>
        <v>26</v>
      </c>
      <c r="W1068" s="686">
        <f>Table1[[#This Row],[VO Hgt]]+Materials!$C$7</f>
        <v>32</v>
      </c>
      <c r="X1068" s="343" t="s">
        <v>197</v>
      </c>
      <c r="Y1068" s="68"/>
      <c r="Z1068" s="68"/>
      <c r="AA1068" s="699">
        <f t="shared" si="376"/>
        <v>5.7777777777777777</v>
      </c>
      <c r="AB1068" s="341">
        <f>AA1068*SWISSRML</f>
        <v>11.555555555555555</v>
      </c>
      <c r="AC1068" s="74">
        <f>Table1[[#This Row],[Substrate SF]]*POster</f>
        <v>4.2986666666666666</v>
      </c>
      <c r="AD1068" s="263">
        <f>Table1[[#This Row],[Substrate SF]]*SWISSRC</f>
        <v>1.2711111111111111</v>
      </c>
      <c r="AE106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068" s="73">
        <v>0</v>
      </c>
      <c r="AG1068" s="126">
        <f>Materials!D$76</f>
        <v>10.82</v>
      </c>
      <c r="AH1068" s="498">
        <f t="shared" si="377"/>
        <v>3</v>
      </c>
      <c r="AI1068" s="498"/>
      <c r="AJ1068" s="278">
        <f t="shared" si="375"/>
        <v>29.389777777777777</v>
      </c>
      <c r="AK1068" s="650">
        <f t="shared" si="370"/>
        <v>0.51017037037037039</v>
      </c>
      <c r="AL1068" s="225">
        <f>Table1[[#This Row],[WSP/Dealer]]/Table1[[#This Row],[OD Sq Inch]]</f>
        <v>8.3333333333333329E-2</v>
      </c>
      <c r="AM1068" s="170">
        <f>Table1[[#This Row],[OD Wdth]]*Table1[[#This Row],[OD Hgt]]</f>
        <v>720</v>
      </c>
      <c r="AN1068" s="84"/>
      <c r="AO1068" s="84"/>
      <c r="AP1068" s="84"/>
      <c r="AQ1068" s="126"/>
      <c r="AR1068" s="126"/>
      <c r="AS1068" s="126"/>
      <c r="AT1068" s="74"/>
      <c r="AU1068" s="1357" t="str">
        <f t="shared" si="367"/>
        <v>-</v>
      </c>
    </row>
    <row r="1069" spans="1:47" s="103" customFormat="1" hidden="1" x14ac:dyDescent="0.2">
      <c r="A1069" s="374" t="s">
        <v>187</v>
      </c>
      <c r="B1069" s="1061" t="s">
        <v>261</v>
      </c>
      <c r="C1069" s="317" t="s">
        <v>2647</v>
      </c>
      <c r="D1069" s="94"/>
      <c r="E1069" s="375" t="s">
        <v>2648</v>
      </c>
      <c r="F1069" s="375" t="s">
        <v>585</v>
      </c>
      <c r="G1069" s="274" t="s">
        <v>1048</v>
      </c>
      <c r="H1069" s="274" t="s">
        <v>1048</v>
      </c>
      <c r="I1069" s="274" t="s">
        <v>52</v>
      </c>
      <c r="J1069" s="344" t="s">
        <v>280</v>
      </c>
      <c r="K1069" s="274" t="s">
        <v>281</v>
      </c>
      <c r="L1069" s="274" t="s">
        <v>282</v>
      </c>
      <c r="M1069" s="178">
        <v>2950</v>
      </c>
      <c r="N1069" s="71">
        <v>1100</v>
      </c>
      <c r="O1069" s="274" t="s">
        <v>64</v>
      </c>
      <c r="P1069" s="274">
        <v>48</v>
      </c>
      <c r="Q1069" s="274">
        <v>60</v>
      </c>
      <c r="R1069" s="274">
        <v>48</v>
      </c>
      <c r="S1069" s="274">
        <v>60</v>
      </c>
      <c r="T1069" s="274">
        <v>48</v>
      </c>
      <c r="U1069" s="274">
        <v>60</v>
      </c>
      <c r="V1069" s="686">
        <v>48</v>
      </c>
      <c r="W1069" s="686">
        <v>60</v>
      </c>
      <c r="X1069" s="343" t="s">
        <v>283</v>
      </c>
      <c r="Y1069" s="274"/>
      <c r="Z1069" s="274"/>
      <c r="AA1069" s="727">
        <f t="shared" si="376"/>
        <v>20</v>
      </c>
      <c r="AB1069" s="341">
        <f>AA1069*Swiss1</f>
        <v>566</v>
      </c>
      <c r="AC1069" s="278">
        <f>MDFSHEET*0.63</f>
        <v>15.3405</v>
      </c>
      <c r="AD1069" s="263">
        <f>Table1[[#This Row],[Substrate SF]]*Materials!C$37</f>
        <v>56</v>
      </c>
      <c r="AE1069" s="104">
        <f>IF(Table1[[#This Row],[Work Center]]="SwissQ",Materials!G$37,IF(Table1[[#This Row],[Work Center]]="Inca",Materials!G$29,IF(Table1[[#This Row],[Work Center]]="Canon",Materials!G$49,Materials!G$45)))</f>
        <v>20</v>
      </c>
      <c r="AF1069" s="321">
        <f>'Cali Frames'!D552</f>
        <v>182.89</v>
      </c>
      <c r="AG1069" s="320"/>
      <c r="AH1069" s="112">
        <f t="shared" si="377"/>
        <v>147.5</v>
      </c>
      <c r="AI1069" s="112"/>
      <c r="AJ1069" s="263">
        <f t="shared" si="375"/>
        <v>421.73050000000001</v>
      </c>
      <c r="AK1069" s="62">
        <f t="shared" si="370"/>
        <v>0.85704050847457625</v>
      </c>
      <c r="AL1069" s="225">
        <f>Table1[[#This Row],[WSP/Dealer]]/Table1[[#This Row],[OD Sq Inch]]</f>
        <v>1.0243055555555556</v>
      </c>
      <c r="AM1069" s="170">
        <f>Table1[[#This Row],[OD Wdth]]*Table1[[#This Row],[OD Hgt]]</f>
        <v>2880</v>
      </c>
      <c r="AN1069" s="238">
        <f>Table1[[#This Row],[Min VO]]+Table1[[#This Row],[Max VO]]</f>
        <v>108</v>
      </c>
      <c r="AO1069" s="275"/>
      <c r="AP1069" s="275"/>
      <c r="AQ1069" s="320"/>
      <c r="AR1069" s="320"/>
      <c r="AS1069" s="320"/>
      <c r="AT1069" s="278"/>
      <c r="AU1069" s="1368" t="str">
        <f t="shared" si="367"/>
        <v>-</v>
      </c>
    </row>
    <row r="1070" spans="1:47" s="103" customFormat="1" x14ac:dyDescent="0.2">
      <c r="A1070" s="180" t="s">
        <v>58</v>
      </c>
      <c r="B1070" s="1061" t="s">
        <v>587</v>
      </c>
      <c r="C1070" s="281" t="s">
        <v>2647</v>
      </c>
      <c r="D1070" s="94"/>
      <c r="E1070" s="291" t="s">
        <v>2648</v>
      </c>
      <c r="F1070" s="291" t="s">
        <v>585</v>
      </c>
      <c r="G1070" s="180" t="s">
        <v>1048</v>
      </c>
      <c r="H1070" s="180" t="s">
        <v>1048</v>
      </c>
      <c r="I1070" s="180" t="s">
        <v>52</v>
      </c>
      <c r="J1070" s="310" t="s">
        <v>280</v>
      </c>
      <c r="K1070" s="180" t="s">
        <v>281</v>
      </c>
      <c r="L1070" s="180" t="s">
        <v>282</v>
      </c>
      <c r="M1070" s="285">
        <v>1100</v>
      </c>
      <c r="N1070" s="639">
        <v>1100</v>
      </c>
      <c r="O1070" s="180" t="s">
        <v>64</v>
      </c>
      <c r="P1070" s="180">
        <v>48</v>
      </c>
      <c r="Q1070" s="180">
        <v>60</v>
      </c>
      <c r="R1070" s="180">
        <v>48</v>
      </c>
      <c r="S1070" s="180">
        <v>60</v>
      </c>
      <c r="T1070" s="180">
        <v>48</v>
      </c>
      <c r="U1070" s="180">
        <v>60</v>
      </c>
      <c r="V1070" s="174">
        <v>48</v>
      </c>
      <c r="W1070" s="174">
        <v>60</v>
      </c>
      <c r="X1070" s="289" t="s">
        <v>283</v>
      </c>
      <c r="Y1070" s="180"/>
      <c r="Z1070" s="180"/>
      <c r="AA1070" s="678">
        <f t="shared" si="376"/>
        <v>20</v>
      </c>
      <c r="AB1070" s="329">
        <f>AA1070*Swiss1</f>
        <v>566</v>
      </c>
      <c r="AC1070" s="176">
        <f>MDFSHEET*0.63</f>
        <v>15.3405</v>
      </c>
      <c r="AD1070" s="175">
        <f>Table1[[#This Row],[Substrate SF]]*Materials!C$37</f>
        <v>56</v>
      </c>
      <c r="AE1070" s="104">
        <f>IF(Table1[[#This Row],[Work Center]]="SwissQ",Materials!G$37,IF(Table1[[#This Row],[Work Center]]="Inca",Materials!G$29,IF(Table1[[#This Row],[Work Center]]="Canon",Materials!G$49,Materials!G$45)))</f>
        <v>20</v>
      </c>
      <c r="AF1070" s="290">
        <f>'Cali Frames'!D552</f>
        <v>182.89</v>
      </c>
      <c r="AG1070" s="296"/>
      <c r="AH1070" s="112">
        <f t="shared" si="377"/>
        <v>55</v>
      </c>
      <c r="AI1070" s="112"/>
      <c r="AJ1070" s="175">
        <f t="shared" si="375"/>
        <v>329.23050000000001</v>
      </c>
      <c r="AK1070" s="62">
        <f t="shared" si="370"/>
        <v>0.70069954545454549</v>
      </c>
      <c r="AL1070" s="225">
        <f>Table1[[#This Row],[WSP/Dealer]]/Table1[[#This Row],[OD Sq Inch]]</f>
        <v>0.38194444444444442</v>
      </c>
      <c r="AM1070" s="173">
        <f>Table1[[#This Row],[OD Wdth]]*Table1[[#This Row],[OD Hgt]]</f>
        <v>2880</v>
      </c>
      <c r="AN1070" s="216">
        <f>Table1[[#This Row],[Min VO]]+Table1[[#This Row],[Max VO]]</f>
        <v>108</v>
      </c>
      <c r="AO1070" s="284"/>
      <c r="AP1070" s="284"/>
      <c r="AQ1070" s="296"/>
      <c r="AR1070" s="296"/>
      <c r="AS1070" s="296"/>
      <c r="AT1070" s="176"/>
      <c r="AU1070" s="1358" t="str">
        <f t="shared" si="367"/>
        <v>-</v>
      </c>
    </row>
    <row r="1071" spans="1:47" s="63" customFormat="1" x14ac:dyDescent="0.2">
      <c r="A1071" s="86" t="s">
        <v>58</v>
      </c>
      <c r="B1071" s="1061" t="s">
        <v>406</v>
      </c>
      <c r="C1071" s="100" t="s">
        <v>2649</v>
      </c>
      <c r="D1071" s="94" t="s">
        <v>2650</v>
      </c>
      <c r="E1071" s="85" t="s">
        <v>2651</v>
      </c>
      <c r="F1071" s="85" t="s">
        <v>386</v>
      </c>
      <c r="G1071" s="86" t="s">
        <v>115</v>
      </c>
      <c r="H1071" s="86" t="s">
        <v>115</v>
      </c>
      <c r="I1071" s="86" t="s">
        <v>52</v>
      </c>
      <c r="J1071" s="86" t="s">
        <v>53</v>
      </c>
      <c r="K1071" s="86" t="s">
        <v>54</v>
      </c>
      <c r="L1071" s="86" t="s">
        <v>55</v>
      </c>
      <c r="M1071" s="87">
        <v>720.5</v>
      </c>
      <c r="N1071" s="639">
        <v>830</v>
      </c>
      <c r="O1071" s="551" t="s">
        <v>56</v>
      </c>
      <c r="P1071" s="103">
        <v>48</v>
      </c>
      <c r="Q1071" s="103">
        <v>48</v>
      </c>
      <c r="R1071" s="60">
        <v>48</v>
      </c>
      <c r="S1071" s="61">
        <v>48</v>
      </c>
      <c r="T1071" s="61">
        <f>Table1[[#This Row],[VO Wdth]]</f>
        <v>48</v>
      </c>
      <c r="U1071" s="61">
        <f>Table1[[#This Row],[VO Hgt]]</f>
        <v>48</v>
      </c>
      <c r="V1071" s="608">
        <f>IF(J1071="Canvas",P1071+BorderGW,P1071)</f>
        <v>56</v>
      </c>
      <c r="W1071" s="608">
        <f>IF(J1071="Canvas",Q1071+BorderGW,Q1071)</f>
        <v>56</v>
      </c>
      <c r="X1071" s="137">
        <v>122</v>
      </c>
      <c r="Y1071" s="101"/>
      <c r="Z1071" s="101"/>
      <c r="AA1071" s="649">
        <f t="shared" si="376"/>
        <v>21.777777777777779</v>
      </c>
      <c r="AB1071" s="184">
        <f>AA1071*IncaG</f>
        <v>458.20444444444445</v>
      </c>
      <c r="AC1071" s="104">
        <f>AA1071*Canvas</f>
        <v>14.373333333333335</v>
      </c>
      <c r="AD1071" s="107">
        <f>AA1071*IncaC</f>
        <v>36.656355555555557</v>
      </c>
      <c r="AE1071" s="104">
        <f>IF(Table1[[#This Row],[Work Center]]="SwissQ",Materials!G$37,IF(Table1[[#This Row],[Work Center]]="Inca",Materials!G$29,IF(Table1[[#This Row],[Work Center]]="Canon",Materials!G$49,Materials!G$45)))</f>
        <v>8</v>
      </c>
      <c r="AF1071" s="104">
        <f>'Cali FPS'!C$117</f>
        <v>119.7</v>
      </c>
      <c r="AG1071" s="115"/>
      <c r="AH1071" s="112">
        <f t="shared" si="377"/>
        <v>36.024999999999999</v>
      </c>
      <c r="AI1071" s="112"/>
      <c r="AJ1071" s="104">
        <f t="shared" si="375"/>
        <v>214.75468888888889</v>
      </c>
      <c r="AK1071" s="62">
        <f t="shared" si="370"/>
        <v>0.70193658724651087</v>
      </c>
      <c r="AL1071" s="225">
        <f>Table1[[#This Row],[WSP/Dealer]]/Table1[[#This Row],[OD Sq Inch]]</f>
        <v>0.3127170138888889</v>
      </c>
      <c r="AM1071" s="218">
        <f>Table1[[#This Row],[OD Wdth]]*Table1[[#This Row],[OD Hgt]]</f>
        <v>2304</v>
      </c>
      <c r="AN1071" s="216">
        <f>Table1[[#This Row],[Min VO]]+Table1[[#This Row],[Max VO]]</f>
        <v>96</v>
      </c>
      <c r="AO1071" s="103"/>
      <c r="AP1071" s="101"/>
      <c r="AQ1071" s="104"/>
      <c r="AR1071" s="104"/>
      <c r="AS1071" s="104"/>
      <c r="AT1071" s="104"/>
      <c r="AU1071" s="108" t="str">
        <f t="shared" si="367"/>
        <v>-</v>
      </c>
    </row>
    <row r="1072" spans="1:47" s="170" customFormat="1" hidden="1" x14ac:dyDescent="0.2">
      <c r="A1072" s="60" t="s">
        <v>101</v>
      </c>
      <c r="B1072" s="1061" t="s">
        <v>102</v>
      </c>
      <c r="C1072" s="76" t="s">
        <v>2652</v>
      </c>
      <c r="D1072" s="94"/>
      <c r="E1072" s="83" t="s">
        <v>2653</v>
      </c>
      <c r="F1072" s="83" t="s">
        <v>374</v>
      </c>
      <c r="G1072" s="60" t="s">
        <v>395</v>
      </c>
      <c r="H1072" s="60" t="s">
        <v>395</v>
      </c>
      <c r="I1072" s="60" t="s">
        <v>52</v>
      </c>
      <c r="J1072" s="59" t="s">
        <v>53</v>
      </c>
      <c r="K1072" s="60" t="s">
        <v>54</v>
      </c>
      <c r="L1072" s="60" t="s">
        <v>55</v>
      </c>
      <c r="M1072" s="141">
        <v>750</v>
      </c>
      <c r="N1072" s="656"/>
      <c r="O1072" s="60" t="s">
        <v>64</v>
      </c>
      <c r="P1072" s="60">
        <v>60</v>
      </c>
      <c r="Q1072" s="60">
        <v>60</v>
      </c>
      <c r="R1072" s="60">
        <v>60</v>
      </c>
      <c r="S1072" s="273">
        <v>60</v>
      </c>
      <c r="T1072" s="60">
        <v>60</v>
      </c>
      <c r="U1072" s="60">
        <v>60</v>
      </c>
      <c r="V1072" s="946">
        <f>IF(J1072="Canvas",P1072+Materials!C$5,P1072)</f>
        <v>67</v>
      </c>
      <c r="W1072" s="946">
        <f>IF(J1072="Canvas",Q1072+Materials!C$5,Q1072)</f>
        <v>67</v>
      </c>
      <c r="X1072" s="138"/>
      <c r="Y1072" s="881">
        <f>Table1[[#This Row],[Print Wth]]</f>
        <v>67</v>
      </c>
      <c r="Z1072" s="881">
        <f>Table1[[#This Row],[Print Ht]]</f>
        <v>67</v>
      </c>
      <c r="AA1072" s="892">
        <f>Table1[[#This Row],[Cut Width]]*Table1[[#This Row],[Cut Height]]/144</f>
        <v>31.173611111111111</v>
      </c>
      <c r="AB1072" s="898">
        <f>Table1[[#This Row],[Print Wth]]*Table1[[#This Row],[Print Ht]]/144*Swiss1ML</f>
        <v>882.21319444444441</v>
      </c>
      <c r="AC1072" s="867">
        <f>Table1[[#This Row],[Substrate SF]]*Canvas</f>
        <v>20.574583333333333</v>
      </c>
      <c r="AD1072" s="865">
        <f>(Table1[[#This Row],[Print Wth]]*Table1[[#This Row],[Print Ht]])/144*SWISSC1</f>
        <v>87.286111111111111</v>
      </c>
      <c r="AE1072" s="863">
        <f>IF(Table1[[#This Row],[Work Center]]="SwissQ",Materials!G$37,IF(Table1[[#This Row],[Work Center]]="Inca",Materials!G$29,IF(Table1[[#This Row],[Work Center]]="Canon",Materials!G$49,Materials!G$45)))</f>
        <v>20</v>
      </c>
      <c r="AF1072" s="1344">
        <f>'Cali FPS'!C158</f>
        <v>196.875</v>
      </c>
      <c r="AG1072" s="1130"/>
      <c r="AH1072" s="498">
        <f t="shared" si="377"/>
        <v>37.5</v>
      </c>
      <c r="AI1072" s="278"/>
      <c r="AJ1072" s="225">
        <f t="shared" si="375"/>
        <v>362.23569444444445</v>
      </c>
      <c r="AK1072" s="650">
        <f t="shared" si="370"/>
        <v>0.5170190740740741</v>
      </c>
      <c r="AL1072" s="225">
        <f>Table1[[#This Row],[WSP/Dealer]]/Table1[[#This Row],[OD Sq Inch]]</f>
        <v>0.20833333333333334</v>
      </c>
      <c r="AM1072" s="173">
        <f>Table1[[#This Row],[OD Wdth]]*Table1[[#This Row],[OD Hgt]]</f>
        <v>3600</v>
      </c>
      <c r="AN1072" s="180">
        <f>Table1[[#This Row],[Min VO]]+Table1[[#This Row],[Max VO]]</f>
        <v>120</v>
      </c>
      <c r="AO1072" s="83"/>
      <c r="AP1072" s="83"/>
      <c r="AQ1072" s="540"/>
      <c r="AR1072" s="540"/>
      <c r="AS1072" s="540"/>
      <c r="AT1072" s="69"/>
      <c r="AU1072" s="1361" t="str">
        <f t="shared" si="367"/>
        <v>-</v>
      </c>
    </row>
    <row r="1073" spans="1:47" s="46" customFormat="1" x14ac:dyDescent="0.2">
      <c r="A1073" s="86" t="s">
        <v>58</v>
      </c>
      <c r="B1073" s="1061" t="s">
        <v>406</v>
      </c>
      <c r="C1073" s="100" t="s">
        <v>2654</v>
      </c>
      <c r="D1073" s="94" t="s">
        <v>2655</v>
      </c>
      <c r="E1073" s="85" t="s">
        <v>2656</v>
      </c>
      <c r="F1073" s="85" t="s">
        <v>301</v>
      </c>
      <c r="G1073" s="86" t="s">
        <v>572</v>
      </c>
      <c r="H1073" s="86" t="s">
        <v>573</v>
      </c>
      <c r="I1073" s="86" t="s">
        <v>52</v>
      </c>
      <c r="J1073" s="86" t="s">
        <v>280</v>
      </c>
      <c r="K1073" s="86" t="s">
        <v>69</v>
      </c>
      <c r="L1073" s="86" t="s">
        <v>70</v>
      </c>
      <c r="M1073" s="87">
        <v>968</v>
      </c>
      <c r="N1073" s="639">
        <v>970</v>
      </c>
      <c r="O1073" s="551" t="s">
        <v>56</v>
      </c>
      <c r="P1073" s="101">
        <v>60</v>
      </c>
      <c r="Q1073" s="101">
        <v>40</v>
      </c>
      <c r="R1073" s="60">
        <v>40</v>
      </c>
      <c r="S1073" s="273">
        <v>60</v>
      </c>
      <c r="T1073" s="101">
        <v>61</v>
      </c>
      <c r="U1073" s="101" t="str">
        <f>RIGHT(H1073,2)</f>
        <v>41</v>
      </c>
      <c r="V1073" s="106">
        <f>IF(J1073="Canvas",P1073+Border,P1073)</f>
        <v>60</v>
      </c>
      <c r="W1073" s="106">
        <f>IF(J1073="Canvas",Q1073+Border,Q1073)</f>
        <v>40</v>
      </c>
      <c r="X1073" s="137" t="s">
        <v>2471</v>
      </c>
      <c r="Y1073" s="101"/>
      <c r="Z1073" s="101"/>
      <c r="AA1073" s="649">
        <f t="shared" ref="AA1073:AA1085" si="380">V1073*W1073/144</f>
        <v>16.666666666666668</v>
      </c>
      <c r="AB1073" s="184">
        <f>AA1073*IncaG</f>
        <v>350.66666666666669</v>
      </c>
      <c r="AC1073" s="104">
        <f>PETG60/2</f>
        <v>29.16</v>
      </c>
      <c r="AD1073" s="107">
        <f>AA1073*IncaC</f>
        <v>28.053333333333335</v>
      </c>
      <c r="AE1073" s="104">
        <f>IF(Table1[[#This Row],[Work Center]]="SwissQ",Materials!G$37,IF(Table1[[#This Row],[Work Center]]="Inca",Materials!G$29,IF(Table1[[#This Row],[Work Center]]="Canon",Materials!G$49,Materials!G$45)))</f>
        <v>8</v>
      </c>
      <c r="AF1073" s="104" t="e">
        <f>'Cali Frames'!#REF!</f>
        <v>#REF!</v>
      </c>
      <c r="AG1073" s="115"/>
      <c r="AH1073" s="498">
        <f t="shared" si="377"/>
        <v>48.400000000000006</v>
      </c>
      <c r="AI1073" s="498"/>
      <c r="AJ1073" s="104" t="e">
        <f t="shared" si="375"/>
        <v>#REF!</v>
      </c>
      <c r="AK1073" s="650" t="e">
        <f t="shared" si="370"/>
        <v>#REF!</v>
      </c>
      <c r="AL1073" s="225">
        <f>Table1[[#This Row],[WSP/Dealer]]/Table1[[#This Row],[OD Sq Inch]]</f>
        <v>0.38704518192722909</v>
      </c>
      <c r="AM1073" s="218">
        <f>Table1[[#This Row],[OD Wdth]]*Table1[[#This Row],[OD Hgt]]</f>
        <v>2501</v>
      </c>
      <c r="AN1073" s="216">
        <f>Table1[[#This Row],[Min VO]]+Table1[[#This Row],[Max VO]]</f>
        <v>100</v>
      </c>
      <c r="AO1073" s="101"/>
      <c r="AP1073" s="101"/>
      <c r="AQ1073" s="104"/>
      <c r="AR1073" s="104"/>
      <c r="AS1073" s="104"/>
      <c r="AT1073" s="104"/>
      <c r="AU1073" s="830" t="str">
        <f t="shared" si="367"/>
        <v>-</v>
      </c>
    </row>
    <row r="1074" spans="1:47" s="117" customFormat="1" x14ac:dyDescent="0.2">
      <c r="A1074" s="86" t="s">
        <v>58</v>
      </c>
      <c r="B1074" s="1061" t="s">
        <v>406</v>
      </c>
      <c r="C1074" s="80" t="s">
        <v>2657</v>
      </c>
      <c r="D1074" s="94" t="s">
        <v>2658</v>
      </c>
      <c r="E1074" s="85" t="s">
        <v>2659</v>
      </c>
      <c r="F1074" s="85" t="s">
        <v>301</v>
      </c>
      <c r="G1074" s="86" t="s">
        <v>660</v>
      </c>
      <c r="H1074" s="86" t="s">
        <v>573</v>
      </c>
      <c r="I1074" s="86" t="s">
        <v>52</v>
      </c>
      <c r="J1074" s="86" t="s">
        <v>53</v>
      </c>
      <c r="K1074" s="86" t="s">
        <v>69</v>
      </c>
      <c r="L1074" s="86" t="s">
        <v>70</v>
      </c>
      <c r="M1074" s="87">
        <v>968</v>
      </c>
      <c r="N1074" s="639">
        <v>970</v>
      </c>
      <c r="O1074" s="551" t="s">
        <v>56</v>
      </c>
      <c r="P1074" s="101">
        <v>60</v>
      </c>
      <c r="Q1074" s="101">
        <v>40</v>
      </c>
      <c r="R1074" s="60">
        <v>40</v>
      </c>
      <c r="S1074" s="273">
        <v>60</v>
      </c>
      <c r="T1074" s="101">
        <v>61</v>
      </c>
      <c r="U1074" s="101">
        <v>41</v>
      </c>
      <c r="V1074" s="106">
        <f>IF(J1074="Canvas",P1074+Border,P1074)</f>
        <v>68</v>
      </c>
      <c r="W1074" s="106">
        <f>IF(J1074="Canvas",Q1074+Border,Q1074)</f>
        <v>48</v>
      </c>
      <c r="X1074" s="137">
        <v>122</v>
      </c>
      <c r="Y1074" s="101"/>
      <c r="Z1074" s="101"/>
      <c r="AA1074" s="649">
        <f t="shared" si="380"/>
        <v>22.666666666666668</v>
      </c>
      <c r="AB1074" s="184">
        <f>AA1074*IncaG</f>
        <v>476.90666666666669</v>
      </c>
      <c r="AC1074" s="104">
        <f>AA1074*Canvas</f>
        <v>14.96</v>
      </c>
      <c r="AD1074" s="107">
        <f>AA1074*IncaC</f>
        <v>38.152533333333338</v>
      </c>
      <c r="AE1074" s="104">
        <f>IF(Table1[[#This Row],[Work Center]]="SwissQ",Materials!G$37,IF(Table1[[#This Row],[Work Center]]="Inca",Materials!G$29,IF(Table1[[#This Row],[Work Center]]="Canon",Materials!G$49,Materials!G$45)))</f>
        <v>8</v>
      </c>
      <c r="AF1074" s="104" t="e">
        <f>'Cali Frames'!#REF!</f>
        <v>#REF!</v>
      </c>
      <c r="AG1074" s="115"/>
      <c r="AH1074" s="498">
        <f t="shared" si="377"/>
        <v>48.400000000000006</v>
      </c>
      <c r="AI1074" s="498"/>
      <c r="AJ1074" s="107" t="e">
        <f t="shared" si="375"/>
        <v>#REF!</v>
      </c>
      <c r="AK1074" s="650" t="e">
        <f t="shared" si="370"/>
        <v>#REF!</v>
      </c>
      <c r="AL1074" s="225">
        <f>Table1[[#This Row],[WSP/Dealer]]/Table1[[#This Row],[OD Sq Inch]]</f>
        <v>0.38704518192722909</v>
      </c>
      <c r="AM1074" s="218">
        <f>Table1[[#This Row],[OD Wdth]]*Table1[[#This Row],[OD Hgt]]</f>
        <v>2501</v>
      </c>
      <c r="AN1074" s="216">
        <f>Table1[[#This Row],[Min VO]]+Table1[[#This Row],[Max VO]]</f>
        <v>100</v>
      </c>
      <c r="AO1074" s="101"/>
      <c r="AP1074" s="101"/>
      <c r="AQ1074" s="104"/>
      <c r="AR1074" s="104"/>
      <c r="AS1074" s="104"/>
      <c r="AT1074" s="104"/>
      <c r="AU1074" s="830" t="str">
        <f t="shared" si="367"/>
        <v>-</v>
      </c>
    </row>
    <row r="1075" spans="1:47" s="64" customFormat="1" hidden="1" x14ac:dyDescent="0.2">
      <c r="A1075" s="68" t="s">
        <v>272</v>
      </c>
      <c r="B1075" s="1061" t="s">
        <v>261</v>
      </c>
      <c r="C1075" s="78" t="s">
        <v>2660</v>
      </c>
      <c r="D1075" s="94"/>
      <c r="E1075" s="84" t="s">
        <v>2659</v>
      </c>
      <c r="F1075" s="84" t="s">
        <v>301</v>
      </c>
      <c r="G1075" s="68" t="s">
        <v>660</v>
      </c>
      <c r="H1075" s="68" t="s">
        <v>573</v>
      </c>
      <c r="I1075" s="68" t="s">
        <v>108</v>
      </c>
      <c r="J1075" s="68" t="s">
        <v>53</v>
      </c>
      <c r="K1075" s="68" t="s">
        <v>54</v>
      </c>
      <c r="L1075" s="68" t="s">
        <v>55</v>
      </c>
      <c r="M1075" s="93">
        <v>425</v>
      </c>
      <c r="N1075" s="93"/>
      <c r="O1075" s="68" t="s">
        <v>56</v>
      </c>
      <c r="P1075" s="68">
        <v>60</v>
      </c>
      <c r="Q1075" s="68">
        <v>40</v>
      </c>
      <c r="R1075" s="68">
        <v>40</v>
      </c>
      <c r="S1075" s="623">
        <v>60</v>
      </c>
      <c r="T1075" s="68">
        <v>60</v>
      </c>
      <c r="U1075" s="68">
        <v>40</v>
      </c>
      <c r="V1075" s="917">
        <f>IF(J1075="Canvas",P1075+Border,P1075)</f>
        <v>68</v>
      </c>
      <c r="W1075" s="917">
        <f>IF(J1075="Canvas",Q1075+Border,Q1075)</f>
        <v>48</v>
      </c>
      <c r="X1075" s="189">
        <v>69</v>
      </c>
      <c r="Y1075" s="68"/>
      <c r="Z1075" s="68"/>
      <c r="AA1075" s="699">
        <f t="shared" si="380"/>
        <v>22.666666666666668</v>
      </c>
      <c r="AB1075" s="297">
        <f>AA1075*IncaG</f>
        <v>476.90666666666669</v>
      </c>
      <c r="AC1075" s="74">
        <f>AA1075*Canvas</f>
        <v>14.96</v>
      </c>
      <c r="AD1075" s="74">
        <f>AA1075*IncaC</f>
        <v>38.152533333333338</v>
      </c>
      <c r="AE1075" s="104">
        <f>IF(Table1[[#This Row],[Work Center]]="SwissQ",Materials!G$37,IF(Table1[[#This Row],[Work Center]]="Inca",Materials!G$29,IF(Table1[[#This Row],[Work Center]]="Canon",Materials!G$49,Materials!G$45)))</f>
        <v>8</v>
      </c>
      <c r="AF1075" s="74">
        <f>'Cali FPS'!C89</f>
        <v>112.01750000000001</v>
      </c>
      <c r="AG1075" s="84"/>
      <c r="AH1075" s="498">
        <f t="shared" si="377"/>
        <v>21.25</v>
      </c>
      <c r="AI1075" s="498"/>
      <c r="AJ1075" s="74">
        <f t="shared" si="375"/>
        <v>194.38003333333336</v>
      </c>
      <c r="AK1075" s="650">
        <f t="shared" ref="AK1075:AK1106" si="381">(M1075-AJ1075)/M1075</f>
        <v>0.54263521568627449</v>
      </c>
      <c r="AL1075" s="225">
        <f>Table1[[#This Row],[WSP/Dealer]]/Table1[[#This Row],[OD Sq Inch]]</f>
        <v>0.17708333333333334</v>
      </c>
      <c r="AM1075" s="238">
        <f>Table1[[#This Row],[OD Wdth]]*Table1[[#This Row],[OD Hgt]]</f>
        <v>2400</v>
      </c>
      <c r="AN1075" s="238">
        <f>Table1[[#This Row],[Min VO]]+Table1[[#This Row],[Max VO]]</f>
        <v>100</v>
      </c>
      <c r="AO1075" s="68"/>
      <c r="AP1075" s="68"/>
      <c r="AQ1075" s="74"/>
      <c r="AR1075" s="74"/>
      <c r="AS1075" s="74"/>
      <c r="AT1075" s="74"/>
      <c r="AU1075" s="1001" t="str">
        <f t="shared" si="367"/>
        <v>-</v>
      </c>
    </row>
    <row r="1076" spans="1:47" s="64" customFormat="1" hidden="1" x14ac:dyDescent="0.2">
      <c r="A1076" s="374" t="s">
        <v>187</v>
      </c>
      <c r="B1076" s="1061" t="s">
        <v>261</v>
      </c>
      <c r="C1076" s="317" t="s">
        <v>2661</v>
      </c>
      <c r="D1076" s="94"/>
      <c r="E1076" s="375" t="s">
        <v>2662</v>
      </c>
      <c r="F1076" s="375" t="s">
        <v>585</v>
      </c>
      <c r="G1076" s="274" t="s">
        <v>586</v>
      </c>
      <c r="H1076" s="274" t="s">
        <v>586</v>
      </c>
      <c r="I1076" s="274" t="s">
        <v>52</v>
      </c>
      <c r="J1076" s="344" t="s">
        <v>280</v>
      </c>
      <c r="K1076" s="274" t="s">
        <v>281</v>
      </c>
      <c r="L1076" s="274" t="s">
        <v>282</v>
      </c>
      <c r="M1076" s="178">
        <v>1530</v>
      </c>
      <c r="N1076" s="71"/>
      <c r="O1076" s="274" t="s">
        <v>64</v>
      </c>
      <c r="P1076" s="274">
        <v>24</v>
      </c>
      <c r="Q1076" s="274">
        <v>30</v>
      </c>
      <c r="R1076" s="274">
        <v>24</v>
      </c>
      <c r="S1076" s="274">
        <v>30</v>
      </c>
      <c r="T1076" s="274">
        <v>24</v>
      </c>
      <c r="U1076" s="274">
        <v>30</v>
      </c>
      <c r="V1076" s="686">
        <v>24</v>
      </c>
      <c r="W1076" s="686">
        <v>30</v>
      </c>
      <c r="X1076" s="343" t="s">
        <v>283</v>
      </c>
      <c r="Y1076" s="274"/>
      <c r="Z1076" s="274"/>
      <c r="AA1076" s="727">
        <f t="shared" si="380"/>
        <v>5</v>
      </c>
      <c r="AB1076" s="341">
        <f>AA1076*Swiss1</f>
        <v>141.5</v>
      </c>
      <c r="AC1076" s="278">
        <f>MDFSHEET*0.25</f>
        <v>6.0875000000000004</v>
      </c>
      <c r="AD1076" s="263">
        <f>Table1[[#This Row],[Substrate SF]]*Materials!C$37</f>
        <v>14</v>
      </c>
      <c r="AE1076" s="104">
        <f>IF(Table1[[#This Row],[Work Center]]="SwissQ",Materials!G$37,IF(Table1[[#This Row],[Work Center]]="Inca",Materials!G$29,IF(Table1[[#This Row],[Work Center]]="Canon",Materials!G$49,Materials!G$45)))</f>
        <v>20</v>
      </c>
      <c r="AF1076" s="321">
        <f>'Cali Frames'!D539</f>
        <v>101.955</v>
      </c>
      <c r="AG1076" s="320"/>
      <c r="AH1076" s="498">
        <f t="shared" si="377"/>
        <v>76.5</v>
      </c>
      <c r="AI1076" s="498"/>
      <c r="AJ1076" s="278">
        <f t="shared" si="375"/>
        <v>218.54249999999999</v>
      </c>
      <c r="AK1076" s="650">
        <f t="shared" si="381"/>
        <v>0.85716176470588235</v>
      </c>
      <c r="AL1076" s="225">
        <f>Table1[[#This Row],[WSP/Dealer]]/Table1[[#This Row],[OD Sq Inch]]</f>
        <v>2.125</v>
      </c>
      <c r="AM1076" s="274">
        <f>Table1[[#This Row],[OD Wdth]]*Table1[[#This Row],[OD Hgt]]</f>
        <v>720</v>
      </c>
      <c r="AN1076" s="238">
        <f>Table1[[#This Row],[Min VO]]+Table1[[#This Row],[Max VO]]</f>
        <v>54</v>
      </c>
      <c r="AO1076" s="275"/>
      <c r="AP1076" s="275"/>
      <c r="AQ1076" s="320"/>
      <c r="AR1076" s="320"/>
      <c r="AS1076" s="320"/>
      <c r="AT1076" s="278"/>
      <c r="AU1076" s="1368" t="str">
        <f t="shared" si="367"/>
        <v>-</v>
      </c>
    </row>
    <row r="1077" spans="1:47" s="63" customFormat="1" x14ac:dyDescent="0.2">
      <c r="A1077" s="180" t="s">
        <v>58</v>
      </c>
      <c r="B1077" s="1061" t="s">
        <v>587</v>
      </c>
      <c r="C1077" s="281" t="s">
        <v>2663</v>
      </c>
      <c r="D1077" s="94"/>
      <c r="E1077" s="291" t="s">
        <v>2662</v>
      </c>
      <c r="F1077" s="291" t="s">
        <v>585</v>
      </c>
      <c r="G1077" s="180" t="s">
        <v>586</v>
      </c>
      <c r="H1077" s="180" t="s">
        <v>586</v>
      </c>
      <c r="I1077" s="180" t="s">
        <v>52</v>
      </c>
      <c r="J1077" s="310" t="s">
        <v>280</v>
      </c>
      <c r="K1077" s="180" t="s">
        <v>281</v>
      </c>
      <c r="L1077" s="180" t="s">
        <v>282</v>
      </c>
      <c r="M1077" s="292">
        <v>450</v>
      </c>
      <c r="N1077" s="639">
        <v>450</v>
      </c>
      <c r="O1077" s="180" t="s">
        <v>64</v>
      </c>
      <c r="P1077" s="180">
        <v>24</v>
      </c>
      <c r="Q1077" s="180">
        <v>30</v>
      </c>
      <c r="R1077" s="180">
        <v>24</v>
      </c>
      <c r="S1077" s="180">
        <v>30</v>
      </c>
      <c r="T1077" s="180">
        <v>24</v>
      </c>
      <c r="U1077" s="180">
        <v>30</v>
      </c>
      <c r="V1077" s="947">
        <v>24</v>
      </c>
      <c r="W1077" s="947">
        <v>30</v>
      </c>
      <c r="X1077" s="289" t="s">
        <v>283</v>
      </c>
      <c r="Y1077" s="180"/>
      <c r="Z1077" s="180"/>
      <c r="AA1077" s="678">
        <f t="shared" si="380"/>
        <v>5</v>
      </c>
      <c r="AB1077" s="329">
        <f>AA1077*Swiss1</f>
        <v>141.5</v>
      </c>
      <c r="AC1077" s="176">
        <f>MDFSHEET*0.25</f>
        <v>6.0875000000000004</v>
      </c>
      <c r="AD1077" s="175">
        <f>Table1[[#This Row],[Substrate SF]]*Materials!C$37</f>
        <v>14</v>
      </c>
      <c r="AE1077" s="104">
        <f>IF(Table1[[#This Row],[Work Center]]="SwissQ",Materials!G$37,IF(Table1[[#This Row],[Work Center]]="Inca",Materials!G$29,IF(Table1[[#This Row],[Work Center]]="Canon",Materials!G$49,Materials!G$45)))</f>
        <v>20</v>
      </c>
      <c r="AF1077" s="290">
        <f>'Cali Frames'!D539</f>
        <v>101.955</v>
      </c>
      <c r="AG1077" s="296"/>
      <c r="AH1077" s="498">
        <f t="shared" si="377"/>
        <v>22.5</v>
      </c>
      <c r="AI1077" s="498"/>
      <c r="AJ1077" s="176">
        <f t="shared" si="375"/>
        <v>164.54249999999999</v>
      </c>
      <c r="AK1077" s="650">
        <f t="shared" si="381"/>
        <v>0.63434999999999997</v>
      </c>
      <c r="AL1077" s="225">
        <f>Table1[[#This Row],[WSP/Dealer]]/Table1[[#This Row],[OD Sq Inch]]</f>
        <v>0.625</v>
      </c>
      <c r="AM1077" s="218">
        <f>Table1[[#This Row],[OD Wdth]]*Table1[[#This Row],[OD Hgt]]</f>
        <v>720</v>
      </c>
      <c r="AN1077" s="216">
        <f>Table1[[#This Row],[Min VO]]+Table1[[#This Row],[Max VO]]</f>
        <v>54</v>
      </c>
      <c r="AO1077" s="284"/>
      <c r="AP1077" s="284"/>
      <c r="AQ1077" s="296"/>
      <c r="AR1077" s="296"/>
      <c r="AS1077" s="296"/>
      <c r="AT1077" s="176"/>
      <c r="AU1077" s="1358" t="str">
        <f t="shared" si="367"/>
        <v>-</v>
      </c>
    </row>
    <row r="1078" spans="1:47" s="64" customFormat="1" hidden="1" x14ac:dyDescent="0.2">
      <c r="A1078" s="374" t="s">
        <v>187</v>
      </c>
      <c r="B1078" s="1061" t="s">
        <v>261</v>
      </c>
      <c r="C1078" s="1679" t="s">
        <v>2664</v>
      </c>
      <c r="D1078" s="94"/>
      <c r="E1078" s="436" t="s">
        <v>2665</v>
      </c>
      <c r="F1078" s="375" t="s">
        <v>585</v>
      </c>
      <c r="G1078" s="274" t="s">
        <v>586</v>
      </c>
      <c r="H1078" s="274" t="s">
        <v>586</v>
      </c>
      <c r="I1078" s="274" t="s">
        <v>108</v>
      </c>
      <c r="J1078" s="68" t="s">
        <v>197</v>
      </c>
      <c r="K1078" s="274" t="s">
        <v>198</v>
      </c>
      <c r="L1078" s="274" t="s">
        <v>199</v>
      </c>
      <c r="M1078" s="455">
        <v>60</v>
      </c>
      <c r="N1078" s="71"/>
      <c r="O1078" s="274" t="s">
        <v>64</v>
      </c>
      <c r="P1078" s="274">
        <v>24</v>
      </c>
      <c r="Q1078" s="274">
        <v>30</v>
      </c>
      <c r="R1078" s="274">
        <v>24</v>
      </c>
      <c r="S1078" s="274">
        <v>30</v>
      </c>
      <c r="T1078" s="274">
        <v>24</v>
      </c>
      <c r="U1078" s="274">
        <v>30</v>
      </c>
      <c r="V1078" s="686">
        <f>Table1[[#This Row],[VO Wdth]]+Materials!$C$7</f>
        <v>26</v>
      </c>
      <c r="W1078" s="686">
        <f>Table1[[#This Row],[VO Hgt]]+Materials!$C$7</f>
        <v>32</v>
      </c>
      <c r="X1078" s="343" t="s">
        <v>197</v>
      </c>
      <c r="Y1078" s="68"/>
      <c r="Z1078" s="68"/>
      <c r="AA1078" s="699">
        <f t="shared" si="380"/>
        <v>5.7777777777777777</v>
      </c>
      <c r="AB1078" s="341">
        <f>AA1078*SWISSRML</f>
        <v>11.555555555555555</v>
      </c>
      <c r="AC1078" s="74">
        <f>Table1[[#This Row],[Substrate SF]]*POster</f>
        <v>4.2986666666666666</v>
      </c>
      <c r="AD1078" s="278">
        <f>Table1[[#This Row],[Substrate SF]]*SWISSRC</f>
        <v>1.2711111111111111</v>
      </c>
      <c r="AE107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078" s="73">
        <v>0</v>
      </c>
      <c r="AG1078" s="126">
        <f>Materials!D$76</f>
        <v>10.82</v>
      </c>
      <c r="AH1078" s="498">
        <f t="shared" si="377"/>
        <v>3</v>
      </c>
      <c r="AI1078" s="498"/>
      <c r="AJ1078" s="278">
        <f t="shared" si="375"/>
        <v>29.389777777777777</v>
      </c>
      <c r="AK1078" s="650">
        <f t="shared" si="381"/>
        <v>0.51017037037037039</v>
      </c>
      <c r="AL1078" s="225">
        <f>Table1[[#This Row],[WSP/Dealer]]/Table1[[#This Row],[OD Sq Inch]]</f>
        <v>8.3333333333333329E-2</v>
      </c>
      <c r="AM1078" s="274">
        <f>Table1[[#This Row],[OD Wdth]]*Table1[[#This Row],[OD Hgt]]</f>
        <v>720</v>
      </c>
      <c r="AN1078" s="84"/>
      <c r="AO1078" s="84"/>
      <c r="AP1078" s="84"/>
      <c r="AQ1078" s="126"/>
      <c r="AR1078" s="126"/>
      <c r="AS1078" s="126"/>
      <c r="AT1078" s="74"/>
      <c r="AU1078" s="1357" t="str">
        <f t="shared" si="367"/>
        <v>-</v>
      </c>
    </row>
    <row r="1079" spans="1:47" s="307" customFormat="1" x14ac:dyDescent="0.2">
      <c r="A1079" s="86" t="s">
        <v>58</v>
      </c>
      <c r="B1079" s="1061" t="s">
        <v>1457</v>
      </c>
      <c r="C1079" s="183" t="s">
        <v>2666</v>
      </c>
      <c r="D1079" s="94" t="s">
        <v>2667</v>
      </c>
      <c r="E1079" s="85" t="s">
        <v>2668</v>
      </c>
      <c r="F1079" s="85" t="s">
        <v>289</v>
      </c>
      <c r="G1079" s="86" t="s">
        <v>637</v>
      </c>
      <c r="H1079" s="86" t="s">
        <v>1119</v>
      </c>
      <c r="I1079" s="86" t="s">
        <v>52</v>
      </c>
      <c r="J1079" s="86" t="s">
        <v>53</v>
      </c>
      <c r="K1079" s="86" t="s">
        <v>69</v>
      </c>
      <c r="L1079" s="86" t="s">
        <v>70</v>
      </c>
      <c r="M1079" s="87">
        <v>1050</v>
      </c>
      <c r="N1079" s="639">
        <v>1250</v>
      </c>
      <c r="O1079" s="101" t="s">
        <v>56</v>
      </c>
      <c r="P1079" s="61">
        <v>61</v>
      </c>
      <c r="Q1079" s="61">
        <v>49</v>
      </c>
      <c r="R1079" s="60">
        <v>49</v>
      </c>
      <c r="S1079" s="61">
        <v>61</v>
      </c>
      <c r="T1079" s="61">
        <v>62</v>
      </c>
      <c r="U1079" s="61">
        <v>50</v>
      </c>
      <c r="V1079" s="608">
        <f>IF(J1079="Canvas",P1079+BorderGW,P1079)</f>
        <v>69</v>
      </c>
      <c r="W1079" s="608">
        <f>IF(J1079="Canvas",Q1079+BorderGW,Q1079)</f>
        <v>57</v>
      </c>
      <c r="X1079" s="137">
        <v>69</v>
      </c>
      <c r="Y1079" s="101"/>
      <c r="Z1079" s="101"/>
      <c r="AA1079" s="649">
        <f t="shared" si="380"/>
        <v>27.3125</v>
      </c>
      <c r="AB1079" s="184">
        <f t="shared" ref="AB1079:AB1085" si="382">AA1079*IncaG</f>
        <v>574.65499999999997</v>
      </c>
      <c r="AC1079" s="104">
        <f t="shared" ref="AC1079:AC1085" si="383">AA1079*Canvas</f>
        <v>18.026250000000001</v>
      </c>
      <c r="AD1079" s="107">
        <f t="shared" ref="AD1079:AD1085" si="384">AA1079*IncaC</f>
        <v>45.9724</v>
      </c>
      <c r="AE1079" s="104">
        <f>IF(Table1[[#This Row],[Work Center]]="SwissQ",Materials!G$37,IF(Table1[[#This Row],[Work Center]]="Inca",Materials!G$29,IF(Table1[[#This Row],[Work Center]]="Canon",Materials!G$49,Materials!G$45)))</f>
        <v>8</v>
      </c>
      <c r="AF1079" s="104">
        <f>'Cali Frames'!D$335</f>
        <v>258.27999999999997</v>
      </c>
      <c r="AG1079" s="115"/>
      <c r="AH1079" s="112">
        <f t="shared" si="377"/>
        <v>52.5</v>
      </c>
      <c r="AI1079" s="112"/>
      <c r="AJ1079" s="107">
        <f t="shared" si="375"/>
        <v>382.77864999999997</v>
      </c>
      <c r="AK1079" s="62">
        <f t="shared" si="381"/>
        <v>0.63544890476190474</v>
      </c>
      <c r="AL1079" s="225">
        <f>Table1[[#This Row],[WSP/Dealer]]/Table1[[#This Row],[OD Sq Inch]]</f>
        <v>0.33870967741935482</v>
      </c>
      <c r="AM1079" s="218">
        <f>Table1[[#This Row],[OD Wdth]]*Table1[[#This Row],[OD Hgt]]</f>
        <v>3100</v>
      </c>
      <c r="AN1079" s="216">
        <f>Table1[[#This Row],[Min VO]]+Table1[[#This Row],[Max VO]]</f>
        <v>110</v>
      </c>
      <c r="AO1079" s="101"/>
      <c r="AP1079" s="101"/>
      <c r="AQ1079" s="104"/>
      <c r="AR1079" s="104"/>
      <c r="AS1079" s="104"/>
      <c r="AT1079" s="104"/>
      <c r="AU1079" s="830" t="str">
        <f t="shared" si="367"/>
        <v>-</v>
      </c>
    </row>
    <row r="1080" spans="1:47" s="103" customFormat="1" x14ac:dyDescent="0.2">
      <c r="A1080" s="86" t="s">
        <v>58</v>
      </c>
      <c r="B1080" s="1061" t="s">
        <v>1457</v>
      </c>
      <c r="C1080" s="183" t="s">
        <v>2669</v>
      </c>
      <c r="D1080" s="94" t="s">
        <v>2670</v>
      </c>
      <c r="E1080" s="85" t="s">
        <v>2671</v>
      </c>
      <c r="F1080" s="85" t="s">
        <v>289</v>
      </c>
      <c r="G1080" s="86" t="s">
        <v>637</v>
      </c>
      <c r="H1080" s="86" t="s">
        <v>1119</v>
      </c>
      <c r="I1080" s="86" t="s">
        <v>52</v>
      </c>
      <c r="J1080" s="86" t="s">
        <v>53</v>
      </c>
      <c r="K1080" s="86" t="s">
        <v>69</v>
      </c>
      <c r="L1080" s="86" t="s">
        <v>70</v>
      </c>
      <c r="M1080" s="87">
        <v>1050</v>
      </c>
      <c r="N1080" s="639">
        <v>1250</v>
      </c>
      <c r="O1080" s="101" t="s">
        <v>56</v>
      </c>
      <c r="P1080" s="273">
        <v>61</v>
      </c>
      <c r="Q1080" s="273">
        <v>49</v>
      </c>
      <c r="R1080" s="60">
        <v>49</v>
      </c>
      <c r="S1080" s="273">
        <v>61</v>
      </c>
      <c r="T1080" s="273">
        <v>62</v>
      </c>
      <c r="U1080" s="273">
        <v>50</v>
      </c>
      <c r="V1080" s="608">
        <f>IF(J1080="Canvas",P1080+BorderGW,P1080)</f>
        <v>69</v>
      </c>
      <c r="W1080" s="608">
        <f>IF(J1080="Canvas",Q1080+BorderGW,Q1080)</f>
        <v>57</v>
      </c>
      <c r="X1080" s="137">
        <v>69</v>
      </c>
      <c r="Y1080" s="101"/>
      <c r="Z1080" s="101"/>
      <c r="AA1080" s="649">
        <f t="shared" si="380"/>
        <v>27.3125</v>
      </c>
      <c r="AB1080" s="184">
        <f t="shared" si="382"/>
        <v>574.65499999999997</v>
      </c>
      <c r="AC1080" s="104">
        <f t="shared" si="383"/>
        <v>18.026250000000001</v>
      </c>
      <c r="AD1080" s="107">
        <f t="shared" si="384"/>
        <v>45.9724</v>
      </c>
      <c r="AE1080" s="104">
        <f>IF(Table1[[#This Row],[Work Center]]="SwissQ",Materials!G$37,IF(Table1[[#This Row],[Work Center]]="Inca",Materials!G$29,IF(Table1[[#This Row],[Work Center]]="Canon",Materials!G$49,Materials!G$45)))</f>
        <v>8</v>
      </c>
      <c r="AF1080" s="104">
        <f>'Cali Frames'!D$335</f>
        <v>258.27999999999997</v>
      </c>
      <c r="AG1080" s="115"/>
      <c r="AH1080" s="498">
        <f t="shared" si="377"/>
        <v>52.5</v>
      </c>
      <c r="AI1080" s="498"/>
      <c r="AJ1080" s="104">
        <f t="shared" si="375"/>
        <v>382.77864999999997</v>
      </c>
      <c r="AK1080" s="650">
        <f t="shared" si="381"/>
        <v>0.63544890476190474</v>
      </c>
      <c r="AL1080" s="225">
        <f>Table1[[#This Row],[WSP/Dealer]]/Table1[[#This Row],[OD Sq Inch]]</f>
        <v>0.33870967741935482</v>
      </c>
      <c r="AM1080" s="218">
        <f>Table1[[#This Row],[OD Wdth]]*Table1[[#This Row],[OD Hgt]]</f>
        <v>3100</v>
      </c>
      <c r="AN1080" s="216">
        <f>Table1[[#This Row],[Min VO]]+Table1[[#This Row],[Max VO]]</f>
        <v>110</v>
      </c>
      <c r="AO1080" s="101"/>
      <c r="AP1080" s="101"/>
      <c r="AQ1080" s="104"/>
      <c r="AR1080" s="104"/>
      <c r="AS1080" s="104"/>
      <c r="AT1080" s="104"/>
      <c r="AU1080" s="830" t="str">
        <f t="shared" si="367"/>
        <v>-</v>
      </c>
    </row>
    <row r="1081" spans="1:47" s="103" customFormat="1" x14ac:dyDescent="0.2">
      <c r="A1081" s="86" t="s">
        <v>58</v>
      </c>
      <c r="B1081" s="1061" t="s">
        <v>1457</v>
      </c>
      <c r="C1081" s="183" t="s">
        <v>2672</v>
      </c>
      <c r="D1081" s="94" t="s">
        <v>2673</v>
      </c>
      <c r="E1081" s="85" t="s">
        <v>2674</v>
      </c>
      <c r="F1081" s="85" t="s">
        <v>289</v>
      </c>
      <c r="G1081" s="86" t="s">
        <v>637</v>
      </c>
      <c r="H1081" s="86" t="s">
        <v>1119</v>
      </c>
      <c r="I1081" s="86" t="s">
        <v>52</v>
      </c>
      <c r="J1081" s="86" t="s">
        <v>53</v>
      </c>
      <c r="K1081" s="86" t="s">
        <v>69</v>
      </c>
      <c r="L1081" s="86" t="s">
        <v>70</v>
      </c>
      <c r="M1081" s="87">
        <v>1050</v>
      </c>
      <c r="N1081" s="639">
        <v>1250</v>
      </c>
      <c r="O1081" s="101" t="s">
        <v>56</v>
      </c>
      <c r="P1081" s="273">
        <v>61</v>
      </c>
      <c r="Q1081" s="273">
        <v>49</v>
      </c>
      <c r="R1081" s="60">
        <v>49</v>
      </c>
      <c r="S1081" s="273">
        <v>61</v>
      </c>
      <c r="T1081" s="273">
        <v>62</v>
      </c>
      <c r="U1081" s="273">
        <v>50</v>
      </c>
      <c r="V1081" s="608">
        <f>IF(J1081="Canvas",P1081+BorderGW,P1081)</f>
        <v>69</v>
      </c>
      <c r="W1081" s="608">
        <f>IF(J1081="Canvas",Q1081+BorderGW,Q1081)</f>
        <v>57</v>
      </c>
      <c r="X1081" s="137">
        <v>69</v>
      </c>
      <c r="Y1081" s="101"/>
      <c r="Z1081" s="101"/>
      <c r="AA1081" s="649">
        <f t="shared" si="380"/>
        <v>27.3125</v>
      </c>
      <c r="AB1081" s="184">
        <f t="shared" si="382"/>
        <v>574.65499999999997</v>
      </c>
      <c r="AC1081" s="104">
        <f t="shared" si="383"/>
        <v>18.026250000000001</v>
      </c>
      <c r="AD1081" s="107">
        <f t="shared" si="384"/>
        <v>45.9724</v>
      </c>
      <c r="AE1081" s="104">
        <f>IF(Table1[[#This Row],[Work Center]]="SwissQ",Materials!G$37,IF(Table1[[#This Row],[Work Center]]="Inca",Materials!G$29,IF(Table1[[#This Row],[Work Center]]="Canon",Materials!G$49,Materials!G$45)))</f>
        <v>8</v>
      </c>
      <c r="AF1081" s="104">
        <f>'Cali Frames'!D$335</f>
        <v>258.27999999999997</v>
      </c>
      <c r="AG1081" s="115"/>
      <c r="AH1081" s="498">
        <f t="shared" si="377"/>
        <v>52.5</v>
      </c>
      <c r="AI1081" s="498"/>
      <c r="AJ1081" s="104">
        <f t="shared" si="375"/>
        <v>382.77864999999997</v>
      </c>
      <c r="AK1081" s="650">
        <f t="shared" si="381"/>
        <v>0.63544890476190474</v>
      </c>
      <c r="AL1081" s="225">
        <f>Table1[[#This Row],[WSP/Dealer]]/Table1[[#This Row],[OD Sq Inch]]</f>
        <v>0.33870967741935482</v>
      </c>
      <c r="AM1081" s="103">
        <f>Table1[[#This Row],[OD Wdth]]*Table1[[#This Row],[OD Hgt]]</f>
        <v>3100</v>
      </c>
      <c r="AN1081" s="216">
        <f>Table1[[#This Row],[Min VO]]+Table1[[#This Row],[Max VO]]</f>
        <v>110</v>
      </c>
      <c r="AO1081" s="101"/>
      <c r="AP1081" s="101"/>
      <c r="AQ1081" s="104"/>
      <c r="AR1081" s="104"/>
      <c r="AS1081" s="104"/>
      <c r="AT1081" s="104"/>
      <c r="AU1081" s="830" t="str">
        <f t="shared" si="367"/>
        <v>-</v>
      </c>
    </row>
    <row r="1082" spans="1:47" s="63" customFormat="1" x14ac:dyDescent="0.2">
      <c r="A1082" s="86" t="s">
        <v>58</v>
      </c>
      <c r="B1082" s="1061" t="s">
        <v>1457</v>
      </c>
      <c r="C1082" s="183" t="s">
        <v>2675</v>
      </c>
      <c r="D1082" s="94" t="s">
        <v>2676</v>
      </c>
      <c r="E1082" s="85" t="s">
        <v>2677</v>
      </c>
      <c r="F1082" s="85" t="s">
        <v>289</v>
      </c>
      <c r="G1082" s="86" t="s">
        <v>637</v>
      </c>
      <c r="H1082" s="86" t="s">
        <v>1119</v>
      </c>
      <c r="I1082" s="86" t="s">
        <v>52</v>
      </c>
      <c r="J1082" s="86" t="s">
        <v>53</v>
      </c>
      <c r="K1082" s="86" t="s">
        <v>69</v>
      </c>
      <c r="L1082" s="86" t="s">
        <v>70</v>
      </c>
      <c r="M1082" s="87">
        <v>1050</v>
      </c>
      <c r="N1082" s="639">
        <v>1250</v>
      </c>
      <c r="O1082" s="101" t="s">
        <v>56</v>
      </c>
      <c r="P1082" s="273">
        <v>61</v>
      </c>
      <c r="Q1082" s="273">
        <v>49</v>
      </c>
      <c r="R1082" s="60">
        <v>49</v>
      </c>
      <c r="S1082" s="61">
        <v>61</v>
      </c>
      <c r="T1082" s="61">
        <v>62</v>
      </c>
      <c r="U1082" s="61">
        <v>50</v>
      </c>
      <c r="V1082" s="106">
        <f>IF(J1082="Canvas",P1082+BorderGW,P1082)</f>
        <v>69</v>
      </c>
      <c r="W1082" s="106">
        <f>IF(J1082="Canvas",Q1082+BorderGW,Q1082)</f>
        <v>57</v>
      </c>
      <c r="X1082" s="137">
        <v>69</v>
      </c>
      <c r="Y1082" s="101"/>
      <c r="Z1082" s="101"/>
      <c r="AA1082" s="649">
        <f t="shared" si="380"/>
        <v>27.3125</v>
      </c>
      <c r="AB1082" s="184">
        <f t="shared" si="382"/>
        <v>574.65499999999997</v>
      </c>
      <c r="AC1082" s="104">
        <f t="shared" si="383"/>
        <v>18.026250000000001</v>
      </c>
      <c r="AD1082" s="107">
        <f t="shared" si="384"/>
        <v>45.9724</v>
      </c>
      <c r="AE1082" s="104">
        <f>IF(Table1[[#This Row],[Work Center]]="SwissQ",Materials!G$37,IF(Table1[[#This Row],[Work Center]]="Inca",Materials!G$29,IF(Table1[[#This Row],[Work Center]]="Canon",Materials!G$49,Materials!G$45)))</f>
        <v>8</v>
      </c>
      <c r="AF1082" s="104">
        <f>'Cali Frames'!D$335</f>
        <v>258.27999999999997</v>
      </c>
      <c r="AG1082" s="115"/>
      <c r="AH1082" s="112">
        <f t="shared" si="377"/>
        <v>52.5</v>
      </c>
      <c r="AI1082" s="112"/>
      <c r="AJ1082" s="104">
        <f t="shared" si="375"/>
        <v>382.77864999999997</v>
      </c>
      <c r="AK1082" s="62">
        <f t="shared" si="381"/>
        <v>0.63544890476190474</v>
      </c>
      <c r="AL1082" s="225">
        <f>Table1[[#This Row],[WSP/Dealer]]/Table1[[#This Row],[OD Sq Inch]]</f>
        <v>0.33870967741935482</v>
      </c>
      <c r="AM1082" s="218">
        <f>Table1[[#This Row],[OD Wdth]]*Table1[[#This Row],[OD Hgt]]</f>
        <v>3100</v>
      </c>
      <c r="AN1082" s="216">
        <f>Table1[[#This Row],[Min VO]]+Table1[[#This Row],[Max VO]]</f>
        <v>110</v>
      </c>
      <c r="AO1082" s="103"/>
      <c r="AP1082" s="101"/>
      <c r="AQ1082" s="104"/>
      <c r="AR1082" s="104"/>
      <c r="AS1082" s="104"/>
      <c r="AT1082" s="104"/>
      <c r="AU1082" s="830" t="str">
        <f t="shared" si="367"/>
        <v>-</v>
      </c>
    </row>
    <row r="1083" spans="1:47" s="103" customFormat="1" hidden="1" x14ac:dyDescent="0.2">
      <c r="A1083" s="60" t="s">
        <v>272</v>
      </c>
      <c r="B1083" s="1061" t="s">
        <v>261</v>
      </c>
      <c r="C1083" s="80" t="s">
        <v>2678</v>
      </c>
      <c r="D1083" s="94"/>
      <c r="E1083" s="83" t="s">
        <v>2679</v>
      </c>
      <c r="F1083" s="83" t="s">
        <v>634</v>
      </c>
      <c r="G1083" s="60" t="s">
        <v>449</v>
      </c>
      <c r="H1083" s="60" t="s">
        <v>449</v>
      </c>
      <c r="I1083" s="60" t="s">
        <v>108</v>
      </c>
      <c r="J1083" s="60" t="s">
        <v>53</v>
      </c>
      <c r="K1083" s="60" t="s">
        <v>54</v>
      </c>
      <c r="L1083" s="60" t="s">
        <v>55</v>
      </c>
      <c r="M1083" s="124">
        <v>270</v>
      </c>
      <c r="N1083" s="124"/>
      <c r="O1083" s="60" t="s">
        <v>56</v>
      </c>
      <c r="P1083" s="60">
        <v>36</v>
      </c>
      <c r="Q1083" s="60">
        <v>36</v>
      </c>
      <c r="R1083" s="60">
        <v>36</v>
      </c>
      <c r="S1083" s="273">
        <v>36</v>
      </c>
      <c r="T1083" s="60">
        <v>36</v>
      </c>
      <c r="U1083" s="60">
        <v>36</v>
      </c>
      <c r="V1083" s="47">
        <f>IF(J1083="Canvas",P1083+Border,P1083)</f>
        <v>44</v>
      </c>
      <c r="W1083" s="47">
        <f>IF(J1083="Canvas",Q1083+Border,Q1083)</f>
        <v>44</v>
      </c>
      <c r="X1083" s="138">
        <v>53</v>
      </c>
      <c r="Y1083" s="60"/>
      <c r="Z1083" s="60"/>
      <c r="AA1083" s="717">
        <f t="shared" si="380"/>
        <v>13.444444444444445</v>
      </c>
      <c r="AB1083" s="125">
        <f t="shared" si="382"/>
        <v>282.87111111111108</v>
      </c>
      <c r="AC1083" s="69">
        <f t="shared" si="383"/>
        <v>8.8733333333333331</v>
      </c>
      <c r="AD1083" s="48">
        <f t="shared" si="384"/>
        <v>22.629688888888889</v>
      </c>
      <c r="AE1083" s="104">
        <f>IF(Table1[[#This Row],[Work Center]]="SwissQ",Materials!G$37,IF(Table1[[#This Row],[Work Center]]="Inca",Materials!G$29,IF(Table1[[#This Row],[Work Center]]="Canon",Materials!G$49,Materials!G$45)))</f>
        <v>8</v>
      </c>
      <c r="AF1083" s="69">
        <f>'Cali FPS'!C67</f>
        <v>83.46</v>
      </c>
      <c r="AG1083" s="83"/>
      <c r="AH1083" s="498">
        <f t="shared" si="377"/>
        <v>13.5</v>
      </c>
      <c r="AI1083" s="498"/>
      <c r="AJ1083" s="69">
        <f t="shared" si="375"/>
        <v>136.46302222222221</v>
      </c>
      <c r="AK1083" s="650">
        <f t="shared" si="381"/>
        <v>0.49458139917695476</v>
      </c>
      <c r="AL1083" s="225">
        <f>Table1[[#This Row],[WSP/Dealer]]/Table1[[#This Row],[OD Sq Inch]]</f>
        <v>0.20833333333333334</v>
      </c>
      <c r="AM1083" s="46">
        <f>Table1[[#This Row],[OD Wdth]]*Table1[[#This Row],[OD Hgt]]</f>
        <v>1296</v>
      </c>
      <c r="AN1083" s="60">
        <f>Table1[[#This Row],[Min VO]]+Table1[[#This Row],[Max VO]]</f>
        <v>72</v>
      </c>
      <c r="AO1083" s="60"/>
      <c r="AP1083" s="60"/>
      <c r="AQ1083" s="69"/>
      <c r="AR1083" s="69"/>
      <c r="AS1083" s="69"/>
      <c r="AT1083" s="69"/>
      <c r="AU1083" s="650" t="str">
        <f t="shared" si="367"/>
        <v>-</v>
      </c>
    </row>
    <row r="1084" spans="1:47" s="103" customFormat="1" x14ac:dyDescent="0.2">
      <c r="A1084" s="86" t="s">
        <v>58</v>
      </c>
      <c r="B1084" s="1061" t="s">
        <v>88</v>
      </c>
      <c r="C1084" s="122" t="s">
        <v>2680</v>
      </c>
      <c r="D1084" s="94" t="s">
        <v>2681</v>
      </c>
      <c r="E1084" s="85" t="s">
        <v>2682</v>
      </c>
      <c r="F1084" s="85" t="s">
        <v>634</v>
      </c>
      <c r="G1084" s="86" t="s">
        <v>115</v>
      </c>
      <c r="H1084" s="86" t="s">
        <v>387</v>
      </c>
      <c r="I1084" s="86" t="s">
        <v>52</v>
      </c>
      <c r="J1084" s="86" t="s">
        <v>53</v>
      </c>
      <c r="K1084" s="86" t="s">
        <v>82</v>
      </c>
      <c r="L1084" s="86" t="s">
        <v>83</v>
      </c>
      <c r="M1084" s="87">
        <v>715</v>
      </c>
      <c r="N1084" s="639">
        <v>970</v>
      </c>
      <c r="O1084" s="551" t="s">
        <v>56</v>
      </c>
      <c r="P1084" s="101">
        <v>48</v>
      </c>
      <c r="Q1084" s="101">
        <v>48</v>
      </c>
      <c r="R1084" s="60">
        <v>48</v>
      </c>
      <c r="S1084" s="273">
        <v>48</v>
      </c>
      <c r="T1084" s="101">
        <v>50</v>
      </c>
      <c r="U1084" s="101" t="str">
        <f>RIGHT(H1084,2)</f>
        <v>50</v>
      </c>
      <c r="V1084" s="106">
        <f>IF(J1084="Canvas",P1084+Border,P1084)</f>
        <v>56</v>
      </c>
      <c r="W1084" s="106">
        <f>IF(J1084="Canvas",Q1084+Border,Q1084)</f>
        <v>56</v>
      </c>
      <c r="X1084" s="311">
        <v>122</v>
      </c>
      <c r="Y1084" s="551"/>
      <c r="Z1084" s="551"/>
      <c r="AA1084" s="649">
        <f t="shared" si="380"/>
        <v>21.777777777777779</v>
      </c>
      <c r="AB1084" s="184">
        <f t="shared" si="382"/>
        <v>458.20444444444445</v>
      </c>
      <c r="AC1084" s="104">
        <f t="shared" si="383"/>
        <v>14.373333333333335</v>
      </c>
      <c r="AD1084" s="107">
        <f t="shared" si="384"/>
        <v>36.656355555555557</v>
      </c>
      <c r="AE1084" s="104">
        <f>IF(Table1[[#This Row],[Work Center]]="SwissQ",Materials!G$37,IF(Table1[[#This Row],[Work Center]]="Inca",Materials!G$29,IF(Table1[[#This Row],[Work Center]]="Canon",Materials!G$49,Materials!G$45)))</f>
        <v>8</v>
      </c>
      <c r="AF1084" s="104">
        <f>'Cali Frames'!D$152</f>
        <v>156.16999999999999</v>
      </c>
      <c r="AG1084" s="115"/>
      <c r="AH1084" s="498">
        <f t="shared" si="377"/>
        <v>35.75</v>
      </c>
      <c r="AI1084" s="498"/>
      <c r="AJ1084" s="104">
        <f t="shared" si="375"/>
        <v>250.94968888888889</v>
      </c>
      <c r="AK1084" s="650">
        <f t="shared" si="381"/>
        <v>0.64902141414141412</v>
      </c>
      <c r="AL1084" s="225">
        <f>Table1[[#This Row],[WSP/Dealer]]/Table1[[#This Row],[OD Sq Inch]]</f>
        <v>0.28599999999999998</v>
      </c>
      <c r="AM1084" s="103">
        <f>Table1[[#This Row],[OD Wdth]]*Table1[[#This Row],[OD Hgt]]</f>
        <v>2500</v>
      </c>
      <c r="AN1084" s="216">
        <f>Table1[[#This Row],[Min VO]]+Table1[[#This Row],[Max VO]]</f>
        <v>96</v>
      </c>
      <c r="AO1084" s="101"/>
      <c r="AP1084" s="101"/>
      <c r="AQ1084" s="104"/>
      <c r="AR1084" s="104"/>
      <c r="AS1084" s="104"/>
      <c r="AT1084" s="104"/>
      <c r="AU1084" s="830" t="str">
        <f t="shared" si="367"/>
        <v>-</v>
      </c>
    </row>
    <row r="1085" spans="1:47" s="63" customFormat="1" hidden="1" x14ac:dyDescent="0.2">
      <c r="A1085" s="101" t="s">
        <v>110</v>
      </c>
      <c r="B1085" s="1062" t="s">
        <v>111</v>
      </c>
      <c r="C1085" s="1203" t="s">
        <v>2683</v>
      </c>
      <c r="D1085" s="168"/>
      <c r="E1085" s="115" t="s">
        <v>2684</v>
      </c>
      <c r="F1085" s="115" t="s">
        <v>454</v>
      </c>
      <c r="G1085" s="101" t="s">
        <v>115</v>
      </c>
      <c r="H1085" s="101" t="s">
        <v>115</v>
      </c>
      <c r="I1085" s="101" t="s">
        <v>52</v>
      </c>
      <c r="J1085" s="101" t="s">
        <v>53</v>
      </c>
      <c r="K1085" s="101" t="s">
        <v>54</v>
      </c>
      <c r="L1085" s="101" t="s">
        <v>55</v>
      </c>
      <c r="M1085" s="114">
        <v>600</v>
      </c>
      <c r="N1085" s="829">
        <v>830</v>
      </c>
      <c r="O1085" s="101" t="s">
        <v>56</v>
      </c>
      <c r="P1085" s="697">
        <v>48</v>
      </c>
      <c r="Q1085" s="697">
        <v>48</v>
      </c>
      <c r="R1085" s="101">
        <v>48</v>
      </c>
      <c r="S1085" s="697">
        <v>48</v>
      </c>
      <c r="T1085" s="697">
        <f>Table1[[#This Row],[VO Wdth]]</f>
        <v>48</v>
      </c>
      <c r="U1085" s="697">
        <f>Table1[[#This Row],[VO Hgt]]</f>
        <v>48</v>
      </c>
      <c r="V1085" s="106">
        <f>IF(J1085="Canvas",P1085+BorderGW,P1085)</f>
        <v>56</v>
      </c>
      <c r="W1085" s="106">
        <f>IF(J1085="Canvas",Q1085+BorderGW,Q1085)</f>
        <v>56</v>
      </c>
      <c r="X1085" s="137">
        <v>122</v>
      </c>
      <c r="Y1085" s="101"/>
      <c r="Z1085" s="101"/>
      <c r="AA1085" s="649">
        <f t="shared" si="380"/>
        <v>21.777777777777779</v>
      </c>
      <c r="AB1085" s="184">
        <f t="shared" si="382"/>
        <v>458.20444444444445</v>
      </c>
      <c r="AC1085" s="104">
        <f t="shared" si="383"/>
        <v>14.373333333333335</v>
      </c>
      <c r="AD1085" s="107">
        <f t="shared" si="384"/>
        <v>36.656355555555557</v>
      </c>
      <c r="AE1085" s="104">
        <f>IF(Table1[[#This Row],[Work Center]]="SwissQ",Materials!G$37,IF(Table1[[#This Row],[Work Center]]="Inca",Materials!G$29,IF(Table1[[#This Row],[Work Center]]="Canon",Materials!G$49,Materials!G$45)))</f>
        <v>8</v>
      </c>
      <c r="AF1085" s="104">
        <f>'Cali FPS'!C$117</f>
        <v>119.7</v>
      </c>
      <c r="AG1085" s="115"/>
      <c r="AH1085" s="104">
        <f t="shared" si="377"/>
        <v>30</v>
      </c>
      <c r="AI1085" s="406">
        <f>IF(A1085="Codarus",(M1085*0.13))</f>
        <v>78</v>
      </c>
      <c r="AJ1085" s="104">
        <f>SUM(AC1085:AI1085)</f>
        <v>286.72968888888886</v>
      </c>
      <c r="AK1085" s="830">
        <f t="shared" si="381"/>
        <v>0.52211718518518524</v>
      </c>
      <c r="AL1085" s="660">
        <f>Table1[[#This Row],[WSP/Dealer]]/Table1[[#This Row],[OD Sq Inch]]</f>
        <v>0.26041666666666669</v>
      </c>
      <c r="AM1085" s="103">
        <f>Table1[[#This Row],[OD Wdth]]*Table1[[#This Row],[OD Hgt]]</f>
        <v>2304</v>
      </c>
      <c r="AN1085" s="266">
        <f>Table1[[#This Row],[Min VO]]+Table1[[#This Row],[Max VO]]</f>
        <v>96</v>
      </c>
      <c r="AO1085" s="101"/>
      <c r="AP1085" s="1393">
        <v>1200</v>
      </c>
      <c r="AQ1085" s="121">
        <f>(Table1[[#This Row],[Desgnr/Retail P]]*0.05)</f>
        <v>60</v>
      </c>
      <c r="AR1085" s="121">
        <f>IF(A1085="Codarus",(AP1085*0.13))</f>
        <v>156</v>
      </c>
      <c r="AS1085" s="121">
        <f>SUM(Table1[[#This Row],[Substrate $]:[GP FINISH]])+Table1[[#This Row],[Retail Royalty]]+Table1[[#This Row],[Retail$Comm]]</f>
        <v>394.72968888888886</v>
      </c>
      <c r="AT1085" s="830">
        <f>IF(AP1085=0,"-",(AP1085-AS1085)/AP1085)</f>
        <v>0.6710585925925926</v>
      </c>
      <c r="AU1085" s="830">
        <f t="shared" si="367"/>
        <v>0.98881569012345671</v>
      </c>
    </row>
    <row r="1086" spans="1:47" s="103" customFormat="1" hidden="1" x14ac:dyDescent="0.2">
      <c r="A1086" s="68" t="s">
        <v>101</v>
      </c>
      <c r="B1086" s="1072" t="s">
        <v>102</v>
      </c>
      <c r="C1086" s="82" t="s">
        <v>2685</v>
      </c>
      <c r="D1086" s="94"/>
      <c r="E1086" s="84" t="s">
        <v>2686</v>
      </c>
      <c r="F1086" s="84" t="s">
        <v>105</v>
      </c>
      <c r="G1086" s="68" t="s">
        <v>2687</v>
      </c>
      <c r="H1086" s="68" t="s">
        <v>2688</v>
      </c>
      <c r="I1086" s="68" t="s">
        <v>108</v>
      </c>
      <c r="J1086" s="140" t="s">
        <v>53</v>
      </c>
      <c r="K1086" s="68" t="s">
        <v>69</v>
      </c>
      <c r="L1086" s="68" t="s">
        <v>70</v>
      </c>
      <c r="M1086" s="141">
        <v>182</v>
      </c>
      <c r="N1086" s="93"/>
      <c r="O1086" s="68" t="s">
        <v>109</v>
      </c>
      <c r="P1086" s="68">
        <v>18</v>
      </c>
      <c r="Q1086" s="68">
        <v>12</v>
      </c>
      <c r="R1086" s="68">
        <v>12</v>
      </c>
      <c r="S1086" s="623">
        <v>18</v>
      </c>
      <c r="T1086" s="68">
        <v>19</v>
      </c>
      <c r="U1086" s="68">
        <v>13</v>
      </c>
      <c r="V1086" s="917">
        <f>IF(J1086="Canvas",P1086+Border,P1086)</f>
        <v>26</v>
      </c>
      <c r="W1086" s="917">
        <f t="shared" ref="W1086:W1097" si="385">IF(J1086="Canvas",Q1086+Border,Q1086)</f>
        <v>20</v>
      </c>
      <c r="X1086" s="68">
        <v>40</v>
      </c>
      <c r="Y1086" s="686">
        <f>Table1[[#This Row],[Print Wth]]</f>
        <v>26</v>
      </c>
      <c r="Z1086" s="686">
        <f>Table1[[#This Row],[Print Ht]]</f>
        <v>20</v>
      </c>
      <c r="AA1086" s="727">
        <f>Table1[[#This Row],[Cut Width]]*Table1[[#This Row],[Cut Height]]/144</f>
        <v>3.6111111111111112</v>
      </c>
      <c r="AB1086" s="341">
        <f>Table1[[#This Row],[Print Wth]]*Table1[[#This Row],[Print Ht]]/144*EPSONM</f>
        <v>16.25</v>
      </c>
      <c r="AC1086" s="278">
        <f>Table1[[#This Row],[Substrate SF]]*Canvas</f>
        <v>2.3833333333333333</v>
      </c>
      <c r="AD1086" s="263">
        <f>Table1[[#This Row],[Ink g/mL]]*EPSONC</f>
        <v>3.5750000000000002</v>
      </c>
      <c r="AE1086" s="278">
        <f>IF(Table1[[#This Row],[Work Center]]="SwissQ",Materials!G$37,IF(Table1[[#This Row],[Work Center]]="Inca",Materials!G$29,IF(Table1[[#This Row],[Work Center]]="Canon",Materials!G$49,Materials!G$45)))</f>
        <v>5</v>
      </c>
      <c r="AF1086" s="73">
        <f>'Cali Frames'!D261</f>
        <v>80</v>
      </c>
      <c r="AG1086" s="84"/>
      <c r="AH1086" s="112">
        <v>0</v>
      </c>
      <c r="AI1086" s="263"/>
      <c r="AJ1086" s="278">
        <f t="shared" ref="AJ1086:AJ1096" si="386">SUM(AC1086:AH1086)</f>
        <v>90.958333333333329</v>
      </c>
      <c r="AK1086" s="688">
        <f t="shared" si="381"/>
        <v>0.50022893772893773</v>
      </c>
      <c r="AL1086" s="278">
        <f>Table1[[#This Row],[WSP/Dealer]]/Table1[[#This Row],[OD Sq Inch]]</f>
        <v>0.73684210526315785</v>
      </c>
      <c r="AM1086" s="170">
        <f>Table1[[#This Row],[OD Wdth]]*Table1[[#This Row],[OD Hgt]]</f>
        <v>247</v>
      </c>
      <c r="AN1086" s="274">
        <f>Table1[[#This Row],[Min VO]]+Table1[[#This Row],[Max VO]]</f>
        <v>30</v>
      </c>
      <c r="AO1086" s="84"/>
      <c r="AP1086" s="84"/>
      <c r="AQ1086" s="74"/>
      <c r="AR1086" s="74"/>
      <c r="AS1086" s="74"/>
      <c r="AT1086" s="74"/>
      <c r="AU1086" s="1357" t="str">
        <f t="shared" si="367"/>
        <v>-</v>
      </c>
    </row>
    <row r="1087" spans="1:47" s="103" customFormat="1" x14ac:dyDescent="0.2">
      <c r="A1087" s="86" t="s">
        <v>58</v>
      </c>
      <c r="B1087" s="279" t="s">
        <v>88</v>
      </c>
      <c r="C1087" s="122" t="s">
        <v>2689</v>
      </c>
      <c r="D1087" s="94" t="s">
        <v>2690</v>
      </c>
      <c r="E1087" s="85" t="s">
        <v>2691</v>
      </c>
      <c r="F1087" s="85" t="s">
        <v>634</v>
      </c>
      <c r="G1087" s="86" t="s">
        <v>466</v>
      </c>
      <c r="H1087" s="86" t="s">
        <v>2692</v>
      </c>
      <c r="I1087" s="86" t="s">
        <v>52</v>
      </c>
      <c r="J1087" s="86" t="s">
        <v>53</v>
      </c>
      <c r="K1087" s="86" t="s">
        <v>82</v>
      </c>
      <c r="L1087" s="86" t="s">
        <v>83</v>
      </c>
      <c r="M1087" s="87">
        <v>682</v>
      </c>
      <c r="N1087" s="639">
        <v>950</v>
      </c>
      <c r="O1087" s="551" t="s">
        <v>56</v>
      </c>
      <c r="P1087" s="101">
        <v>50</v>
      </c>
      <c r="Q1087" s="101">
        <v>38</v>
      </c>
      <c r="R1087" s="60">
        <v>38</v>
      </c>
      <c r="S1087" s="273">
        <v>50</v>
      </c>
      <c r="T1087" s="101">
        <v>52</v>
      </c>
      <c r="U1087" s="101" t="str">
        <f>RIGHT(H1087,2)</f>
        <v>40</v>
      </c>
      <c r="V1087" s="608">
        <f>IF(J1087="Canvas",P1087+Border,P1087)</f>
        <v>58</v>
      </c>
      <c r="W1087" s="608">
        <f t="shared" si="385"/>
        <v>46</v>
      </c>
      <c r="X1087" s="311">
        <v>122</v>
      </c>
      <c r="Y1087" s="551"/>
      <c r="Z1087" s="551"/>
      <c r="AA1087" s="649">
        <f>V1087*W1087/144</f>
        <v>18.527777777777779</v>
      </c>
      <c r="AB1087" s="184">
        <f>AA1087*IncaG</f>
        <v>389.82444444444445</v>
      </c>
      <c r="AC1087" s="104">
        <f>AA1087*Canvas</f>
        <v>12.228333333333335</v>
      </c>
      <c r="AD1087" s="107">
        <f>AA1087*IncaC</f>
        <v>31.185955555555559</v>
      </c>
      <c r="AE1087" s="104">
        <f>IF(Table1[[#This Row],[Work Center]]="SwissQ",Materials!G$37,IF(Table1[[#This Row],[Work Center]]="Inca",Materials!G$29,IF(Table1[[#This Row],[Work Center]]="Canon",Materials!G$49,Materials!G$45)))</f>
        <v>8</v>
      </c>
      <c r="AF1087" s="104">
        <f>'Cali Frames'!D$137</f>
        <v>152.63499999999999</v>
      </c>
      <c r="AG1087" s="115"/>
      <c r="AH1087" s="498">
        <f>(M1087*0.05)</f>
        <v>34.1</v>
      </c>
      <c r="AI1087" s="112"/>
      <c r="AJ1087" s="104">
        <f t="shared" si="386"/>
        <v>238.14928888888889</v>
      </c>
      <c r="AK1087" s="650">
        <f t="shared" si="381"/>
        <v>0.65080749429781681</v>
      </c>
      <c r="AL1087" s="225">
        <f>Table1[[#This Row],[WSP/Dealer]]/Table1[[#This Row],[OD Sq Inch]]</f>
        <v>0.32788461538461539</v>
      </c>
      <c r="AM1087" s="216">
        <f>Table1[[#This Row],[OD Wdth]]*Table1[[#This Row],[OD Hgt]]</f>
        <v>2080</v>
      </c>
      <c r="AN1087" s="216">
        <f>Table1[[#This Row],[Min VO]]+Table1[[#This Row],[Max VO]]</f>
        <v>88</v>
      </c>
      <c r="AO1087" s="101"/>
      <c r="AP1087" s="101"/>
      <c r="AQ1087" s="104"/>
      <c r="AR1087" s="104"/>
      <c r="AS1087" s="104"/>
      <c r="AT1087" s="104"/>
      <c r="AU1087" s="830" t="str">
        <f t="shared" si="367"/>
        <v>-</v>
      </c>
    </row>
    <row r="1088" spans="1:47" s="103" customFormat="1" x14ac:dyDescent="0.2">
      <c r="A1088" s="86" t="s">
        <v>58</v>
      </c>
      <c r="B1088" s="1061" t="s">
        <v>88</v>
      </c>
      <c r="C1088" s="76" t="s">
        <v>2693</v>
      </c>
      <c r="D1088" s="94" t="s">
        <v>2694</v>
      </c>
      <c r="E1088" s="85" t="s">
        <v>2695</v>
      </c>
      <c r="F1088" s="85" t="s">
        <v>634</v>
      </c>
      <c r="G1088" s="86" t="s">
        <v>466</v>
      </c>
      <c r="H1088" s="86" t="s">
        <v>2692</v>
      </c>
      <c r="I1088" s="86" t="s">
        <v>52</v>
      </c>
      <c r="J1088" s="86" t="s">
        <v>53</v>
      </c>
      <c r="K1088" s="86" t="s">
        <v>82</v>
      </c>
      <c r="L1088" s="86" t="s">
        <v>83</v>
      </c>
      <c r="M1088" s="87">
        <v>682</v>
      </c>
      <c r="N1088" s="639">
        <v>950</v>
      </c>
      <c r="O1088" s="551" t="s">
        <v>56</v>
      </c>
      <c r="P1088" s="101">
        <v>50</v>
      </c>
      <c r="Q1088" s="101">
        <v>38</v>
      </c>
      <c r="R1088" s="60">
        <v>38</v>
      </c>
      <c r="S1088" s="273">
        <v>50</v>
      </c>
      <c r="T1088" s="101">
        <v>52</v>
      </c>
      <c r="U1088" s="101" t="str">
        <f>RIGHT(H1088,2)</f>
        <v>40</v>
      </c>
      <c r="V1088" s="608">
        <f>IF(J1088="Canvas",P1088+Border,P1088)</f>
        <v>58</v>
      </c>
      <c r="W1088" s="608">
        <f t="shared" si="385"/>
        <v>46</v>
      </c>
      <c r="X1088" s="311">
        <v>59</v>
      </c>
      <c r="Y1088" s="551"/>
      <c r="Z1088" s="551"/>
      <c r="AA1088" s="649">
        <f>V1088*W1088/144</f>
        <v>18.527777777777779</v>
      </c>
      <c r="AB1088" s="184">
        <f>AA1088*IncaG</f>
        <v>389.82444444444445</v>
      </c>
      <c r="AC1088" s="104">
        <f>AA1088*Canvas</f>
        <v>12.228333333333335</v>
      </c>
      <c r="AD1088" s="107">
        <f>AA1088*IncaC</f>
        <v>31.185955555555559</v>
      </c>
      <c r="AE1088" s="104">
        <f>IF(Table1[[#This Row],[Work Center]]="SwissQ",Materials!G$37,IF(Table1[[#This Row],[Work Center]]="Inca",Materials!G$29,IF(Table1[[#This Row],[Work Center]]="Canon",Materials!G$49,Materials!G$45)))</f>
        <v>8</v>
      </c>
      <c r="AF1088" s="104">
        <f>'Cali Frames'!D$137</f>
        <v>152.63499999999999</v>
      </c>
      <c r="AG1088" s="115"/>
      <c r="AH1088" s="498">
        <f>(M1088*0.05)</f>
        <v>34.1</v>
      </c>
      <c r="AI1088" s="498"/>
      <c r="AJ1088" s="104">
        <f t="shared" si="386"/>
        <v>238.14928888888889</v>
      </c>
      <c r="AK1088" s="650">
        <f t="shared" si="381"/>
        <v>0.65080749429781681</v>
      </c>
      <c r="AL1088" s="225">
        <f>Table1[[#This Row],[WSP/Dealer]]/Table1[[#This Row],[OD Sq Inch]]</f>
        <v>0.32788461538461539</v>
      </c>
      <c r="AM1088" s="46">
        <f>Table1[[#This Row],[OD Wdth]]*Table1[[#This Row],[OD Hgt]]</f>
        <v>2080</v>
      </c>
      <c r="AN1088" s="216">
        <f>Table1[[#This Row],[Min VO]]+Table1[[#This Row],[Max VO]]</f>
        <v>88</v>
      </c>
      <c r="AO1088" s="101"/>
      <c r="AP1088" s="101"/>
      <c r="AQ1088" s="104"/>
      <c r="AR1088" s="104"/>
      <c r="AS1088" s="104"/>
      <c r="AT1088" s="104"/>
      <c r="AU1088" s="830" t="str">
        <f t="shared" si="367"/>
        <v>-</v>
      </c>
    </row>
    <row r="1089" spans="1:47" s="103" customFormat="1" hidden="1" x14ac:dyDescent="0.2">
      <c r="A1089" s="274"/>
      <c r="B1089" s="279"/>
      <c r="C1089" s="1671" t="s">
        <v>2696</v>
      </c>
      <c r="D1089" s="94"/>
      <c r="E1089" s="275" t="s">
        <v>2697</v>
      </c>
      <c r="F1089" s="83" t="s">
        <v>105</v>
      </c>
      <c r="G1089" s="274" t="s">
        <v>2353</v>
      </c>
      <c r="H1089" s="274" t="s">
        <v>2698</v>
      </c>
      <c r="I1089" s="274" t="s">
        <v>52</v>
      </c>
      <c r="J1089" s="344" t="s">
        <v>280</v>
      </c>
      <c r="K1089" s="274" t="s">
        <v>814</v>
      </c>
      <c r="L1089" s="274" t="s">
        <v>815</v>
      </c>
      <c r="M1089" s="178">
        <v>250</v>
      </c>
      <c r="N1089" s="71"/>
      <c r="O1089" s="145" t="s">
        <v>575</v>
      </c>
      <c r="P1089" s="274">
        <v>16</v>
      </c>
      <c r="Q1089" s="274">
        <v>12</v>
      </c>
      <c r="R1089" s="274">
        <v>12</v>
      </c>
      <c r="S1089" s="783">
        <v>16</v>
      </c>
      <c r="T1089" s="274">
        <v>18</v>
      </c>
      <c r="U1089" s="274">
        <v>14</v>
      </c>
      <c r="V1089" s="917">
        <v>16</v>
      </c>
      <c r="W1089" s="917">
        <f t="shared" si="385"/>
        <v>12</v>
      </c>
      <c r="X1089" s="343" t="s">
        <v>283</v>
      </c>
      <c r="Y1089" s="274">
        <v>16</v>
      </c>
      <c r="Z1089" s="274">
        <v>12</v>
      </c>
      <c r="AA1089" s="727">
        <f>V1089*W1089/144</f>
        <v>1.3333333333333333</v>
      </c>
      <c r="AB1089" s="341">
        <f>Table1[[#This Row],[Substrate SF]]*Swiss1</f>
        <v>37.733333333333334</v>
      </c>
      <c r="AC1089" s="278">
        <f>MDFSHEET/15</f>
        <v>1.6233333333333335</v>
      </c>
      <c r="AD1089" s="263">
        <f>Table1[[#This Row],[Substrate SF]]*SWISSC1</f>
        <v>3.7333333333333329</v>
      </c>
      <c r="AE1089" s="74">
        <f>IF(Table1[[#This Row],[Work Center]]="SwissQ",Materials!G$37,IF(Table1[[#This Row],[Work Center]]="Inca",Materials!G$29,IF(Table1[[#This Row],[Work Center]]="Canon",Materials!G$49,Materials!G$45)))</f>
        <v>5</v>
      </c>
      <c r="AF1089" s="321">
        <f>'Cali Frames'!D185</f>
        <v>114.19</v>
      </c>
      <c r="AG1089" s="275"/>
      <c r="AH1089" s="115"/>
      <c r="AI1089" s="498"/>
      <c r="AJ1089" s="278">
        <f t="shared" si="386"/>
        <v>124.54666666666667</v>
      </c>
      <c r="AK1089" s="650">
        <f t="shared" si="381"/>
        <v>0.50181333333333333</v>
      </c>
      <c r="AL1089" s="225">
        <f>Table1[[#This Row],[WSP/Dealer]]/Table1[[#This Row],[OD Sq Inch]]</f>
        <v>0.99206349206349209</v>
      </c>
      <c r="AM1089" s="170">
        <f>Table1[[#This Row],[OD Wdth]]*Table1[[#This Row],[OD Hgt]]</f>
        <v>252</v>
      </c>
      <c r="AN1089" s="274" t="str">
        <f>Table1[[#This Row],[Color]]</f>
        <v>CB</v>
      </c>
      <c r="AO1089" s="84" t="str">
        <f>Table1[[#This Row],[Print Type]]</f>
        <v>Synograph</v>
      </c>
      <c r="AP1089" s="275"/>
      <c r="AQ1089" s="320"/>
      <c r="AR1089" s="320"/>
      <c r="AS1089" s="320"/>
      <c r="AT1089" s="278"/>
      <c r="AU1089" s="1368" t="str">
        <f t="shared" si="367"/>
        <v>-</v>
      </c>
    </row>
    <row r="1090" spans="1:47" s="103" customFormat="1" hidden="1" x14ac:dyDescent="0.2">
      <c r="A1090" s="68" t="s">
        <v>101</v>
      </c>
      <c r="B1090" s="1152" t="s">
        <v>102</v>
      </c>
      <c r="C1090" s="82" t="s">
        <v>2699</v>
      </c>
      <c r="D1090" s="94"/>
      <c r="E1090" s="84" t="s">
        <v>2700</v>
      </c>
      <c r="F1090" s="84" t="s">
        <v>105</v>
      </c>
      <c r="G1090" s="68" t="s">
        <v>2701</v>
      </c>
      <c r="H1090" s="68" t="s">
        <v>2701</v>
      </c>
      <c r="I1090" s="68" t="s">
        <v>108</v>
      </c>
      <c r="J1090" s="140" t="s">
        <v>53</v>
      </c>
      <c r="K1090" s="68" t="s">
        <v>119</v>
      </c>
      <c r="L1090" s="68" t="s">
        <v>120</v>
      </c>
      <c r="M1090" s="141">
        <v>175</v>
      </c>
      <c r="N1090" s="93"/>
      <c r="O1090" s="68" t="s">
        <v>109</v>
      </c>
      <c r="P1090" s="63">
        <v>16</v>
      </c>
      <c r="Q1090" s="63">
        <v>11</v>
      </c>
      <c r="R1090" s="68">
        <v>11</v>
      </c>
      <c r="S1090" s="65">
        <v>16</v>
      </c>
      <c r="T1090" s="63">
        <v>16</v>
      </c>
      <c r="U1090" s="63">
        <v>11</v>
      </c>
      <c r="V1090" s="66">
        <f t="shared" ref="V1090:V1097" si="387">IF(J1090="Canvas",P1090+Border,P1090)</f>
        <v>24</v>
      </c>
      <c r="W1090" s="66">
        <f t="shared" si="385"/>
        <v>19</v>
      </c>
      <c r="X1090" s="68">
        <v>40</v>
      </c>
      <c r="Y1090" s="686">
        <f>Table1[[#This Row],[Print Wth]]</f>
        <v>24</v>
      </c>
      <c r="Z1090" s="686">
        <f>Table1[[#This Row],[Print Ht]]</f>
        <v>19</v>
      </c>
      <c r="AA1090" s="727">
        <f>Table1[[#This Row],[Cut Width]]*Table1[[#This Row],[Cut Height]]/144</f>
        <v>3.1666666666666665</v>
      </c>
      <c r="AB1090" s="341">
        <f>Table1[[#This Row],[Print Wth]]*Table1[[#This Row],[Print Ht]]/144*EPSONM</f>
        <v>14.25</v>
      </c>
      <c r="AC1090" s="278">
        <f>Table1[[#This Row],[Substrate SF]]*Canvas</f>
        <v>2.09</v>
      </c>
      <c r="AD1090" s="263">
        <f>Table1[[#This Row],[Ink g/mL]]*EPSONC</f>
        <v>3.1350000000000002</v>
      </c>
      <c r="AE1090" s="278">
        <f>IF(Table1[[#This Row],[Work Center]]="SwissQ",Materials!G$37,IF(Table1[[#This Row],[Work Center]]="Inca",Materials!G$29,IF(Table1[[#This Row],[Work Center]]="Canon",Materials!G$49,Materials!G$45)))</f>
        <v>5</v>
      </c>
      <c r="AF1090" s="73">
        <f>'Cali FPS'!C179</f>
        <v>77.180000000000007</v>
      </c>
      <c r="AG1090" s="84"/>
      <c r="AH1090" s="112">
        <v>0</v>
      </c>
      <c r="AI1090" s="263"/>
      <c r="AJ1090" s="263">
        <f t="shared" si="386"/>
        <v>87.405000000000001</v>
      </c>
      <c r="AK1090" s="688">
        <f t="shared" si="381"/>
        <v>0.50054285714285718</v>
      </c>
      <c r="AL1090" s="278">
        <f>Table1[[#This Row],[WSP/Dealer]]/Table1[[#This Row],[OD Sq Inch]]</f>
        <v>0.99431818181818177</v>
      </c>
      <c r="AM1090" s="170">
        <f>Table1[[#This Row],[OD Wdth]]*Table1[[#This Row],[OD Hgt]]</f>
        <v>176</v>
      </c>
      <c r="AN1090" s="274">
        <f>Table1[[#This Row],[Min VO]]+Table1[[#This Row],[Max VO]]</f>
        <v>27</v>
      </c>
      <c r="AO1090" s="119"/>
      <c r="AP1090" s="84"/>
      <c r="AQ1090" s="126"/>
      <c r="AR1090" s="126"/>
      <c r="AS1090" s="126"/>
      <c r="AT1090" s="74"/>
      <c r="AU1090" s="1356" t="str">
        <f t="shared" si="367"/>
        <v>-</v>
      </c>
    </row>
    <row r="1091" spans="1:47" s="46" customFormat="1" hidden="1" x14ac:dyDescent="0.2">
      <c r="A1091" s="68" t="s">
        <v>101</v>
      </c>
      <c r="B1091" s="1152" t="s">
        <v>102</v>
      </c>
      <c r="C1091" s="82" t="s">
        <v>2702</v>
      </c>
      <c r="D1091" s="94"/>
      <c r="E1091" s="84" t="s">
        <v>2703</v>
      </c>
      <c r="F1091" s="84" t="s">
        <v>105</v>
      </c>
      <c r="G1091" s="68" t="s">
        <v>2704</v>
      </c>
      <c r="H1091" s="68" t="s">
        <v>2704</v>
      </c>
      <c r="I1091" s="68" t="s">
        <v>108</v>
      </c>
      <c r="J1091" s="140" t="s">
        <v>53</v>
      </c>
      <c r="K1091" s="68" t="s">
        <v>119</v>
      </c>
      <c r="L1091" s="68" t="s">
        <v>120</v>
      </c>
      <c r="M1091" s="141">
        <v>170</v>
      </c>
      <c r="N1091" s="93"/>
      <c r="O1091" s="68" t="s">
        <v>109</v>
      </c>
      <c r="P1091" s="68">
        <v>12</v>
      </c>
      <c r="Q1091" s="68">
        <v>9</v>
      </c>
      <c r="R1091" s="68">
        <v>9</v>
      </c>
      <c r="S1091" s="623">
        <v>12</v>
      </c>
      <c r="T1091" s="68">
        <v>12</v>
      </c>
      <c r="U1091" s="68">
        <v>9</v>
      </c>
      <c r="V1091" s="917">
        <f t="shared" si="387"/>
        <v>20</v>
      </c>
      <c r="W1091" s="917">
        <f t="shared" si="385"/>
        <v>17</v>
      </c>
      <c r="X1091" s="68">
        <v>40</v>
      </c>
      <c r="Y1091" s="686">
        <f>Table1[[#This Row],[Print Wth]]</f>
        <v>20</v>
      </c>
      <c r="Z1091" s="686">
        <f>Table1[[#This Row],[Print Ht]]</f>
        <v>17</v>
      </c>
      <c r="AA1091" s="727">
        <f>Table1[[#This Row],[Cut Width]]*Table1[[#This Row],[Cut Height]]/144</f>
        <v>2.3611111111111112</v>
      </c>
      <c r="AB1091" s="341">
        <f>Table1[[#This Row],[Print Wth]]*Table1[[#This Row],[Print Ht]]/144*EPSONM</f>
        <v>10.625</v>
      </c>
      <c r="AC1091" s="278">
        <f>Table1[[#This Row],[Substrate SF]]*Canvas</f>
        <v>1.5583333333333333</v>
      </c>
      <c r="AD1091" s="263">
        <f>Table1[[#This Row],[Ink g/mL]]*EPSONC</f>
        <v>2.3374999999999999</v>
      </c>
      <c r="AE1091" s="278">
        <f>IF(Table1[[#This Row],[Work Center]]="SwissQ",Materials!G$37,IF(Table1[[#This Row],[Work Center]]="Inca",Materials!G$29,IF(Table1[[#This Row],[Work Center]]="Canon",Materials!G$49,Materials!G$45)))</f>
        <v>5</v>
      </c>
      <c r="AF1091" s="73">
        <f>'Cali FPS'!C177</f>
        <v>75.83</v>
      </c>
      <c r="AG1091" s="84"/>
      <c r="AH1091" s="498">
        <v>0</v>
      </c>
      <c r="AI1091" s="263"/>
      <c r="AJ1091" s="278">
        <f t="shared" si="386"/>
        <v>84.725833333333327</v>
      </c>
      <c r="AK1091" s="1192">
        <f t="shared" si="381"/>
        <v>0.50161274509803921</v>
      </c>
      <c r="AL1091" s="278">
        <f>Table1[[#This Row],[WSP/Dealer]]/Table1[[#This Row],[OD Sq Inch]]</f>
        <v>1.5740740740740742</v>
      </c>
      <c r="AM1091" s="170">
        <f>Table1[[#This Row],[OD Wdth]]*Table1[[#This Row],[OD Hgt]]</f>
        <v>108</v>
      </c>
      <c r="AN1091" s="274">
        <f>Table1[[#This Row],[Min VO]]+Table1[[#This Row],[Max VO]]</f>
        <v>21</v>
      </c>
      <c r="AO1091" s="84"/>
      <c r="AP1091" s="84"/>
      <c r="AQ1091" s="126"/>
      <c r="AR1091" s="126"/>
      <c r="AS1091" s="126"/>
      <c r="AT1091" s="74"/>
      <c r="AU1091" s="1357" t="str">
        <f t="shared" si="367"/>
        <v>-</v>
      </c>
    </row>
    <row r="1092" spans="1:47" s="46" customFormat="1" hidden="1" x14ac:dyDescent="0.2">
      <c r="A1092" s="60" t="s">
        <v>101</v>
      </c>
      <c r="B1092" s="1071" t="s">
        <v>102</v>
      </c>
      <c r="C1092" s="76" t="s">
        <v>2705</v>
      </c>
      <c r="D1092" s="79"/>
      <c r="E1092" s="83" t="s">
        <v>2706</v>
      </c>
      <c r="F1092" s="83" t="s">
        <v>105</v>
      </c>
      <c r="G1092" s="60" t="s">
        <v>1583</v>
      </c>
      <c r="H1092" s="60" t="s">
        <v>1583</v>
      </c>
      <c r="I1092" s="60" t="s">
        <v>108</v>
      </c>
      <c r="J1092" s="59" t="s">
        <v>53</v>
      </c>
      <c r="K1092" s="60" t="s">
        <v>119</v>
      </c>
      <c r="L1092" s="60" t="s">
        <v>120</v>
      </c>
      <c r="M1092" s="179">
        <v>167</v>
      </c>
      <c r="N1092" s="124"/>
      <c r="O1092" s="60" t="s">
        <v>109</v>
      </c>
      <c r="P1092" s="60">
        <v>8</v>
      </c>
      <c r="Q1092" s="60">
        <v>10</v>
      </c>
      <c r="R1092" s="60">
        <v>8</v>
      </c>
      <c r="S1092" s="273">
        <v>10</v>
      </c>
      <c r="T1092" s="60">
        <v>8</v>
      </c>
      <c r="U1092" s="60">
        <v>10</v>
      </c>
      <c r="V1092" s="47">
        <f t="shared" si="387"/>
        <v>16</v>
      </c>
      <c r="W1092" s="47">
        <f t="shared" si="385"/>
        <v>18</v>
      </c>
      <c r="X1092" s="60">
        <v>40</v>
      </c>
      <c r="Y1092" s="947">
        <f>Table1[[#This Row],[Print Wth]]</f>
        <v>16</v>
      </c>
      <c r="Z1092" s="947">
        <f>Table1[[#This Row],[Print Ht]]</f>
        <v>18</v>
      </c>
      <c r="AA1092" s="678">
        <f>Table1[[#This Row],[Cut Width]]*Table1[[#This Row],[Cut Height]]/144</f>
        <v>2</v>
      </c>
      <c r="AB1092" s="329">
        <f>Table1[[#This Row],[Print Wth]]*Table1[[#This Row],[Print Ht]]/144*EPSONM</f>
        <v>9</v>
      </c>
      <c r="AC1092" s="176">
        <f>Table1[[#This Row],[Substrate SF]]*Canvas</f>
        <v>1.32</v>
      </c>
      <c r="AD1092" s="175">
        <f>Table1[[#This Row],[Ink g/mL]]*EPSONC</f>
        <v>1.98</v>
      </c>
      <c r="AE1092" s="176">
        <f>IF(Table1[[#This Row],[Work Center]]="SwissQ",Materials!G$37,IF(Table1[[#This Row],[Work Center]]="Inca",Materials!G$29,IF(Table1[[#This Row],[Work Center]]="Canon",Materials!G$49,Materials!G$45)))</f>
        <v>5</v>
      </c>
      <c r="AF1092" s="72">
        <f>'Cali FPS'!C176</f>
        <v>75.09</v>
      </c>
      <c r="AG1092" s="83"/>
      <c r="AH1092" s="48">
        <v>0</v>
      </c>
      <c r="AI1092" s="175"/>
      <c r="AJ1092" s="176">
        <f t="shared" si="386"/>
        <v>83.39</v>
      </c>
      <c r="AK1092" s="676">
        <f t="shared" si="381"/>
        <v>0.50065868263473057</v>
      </c>
      <c r="AL1092" s="176">
        <f>Table1[[#This Row],[WSP/Dealer]]/Table1[[#This Row],[OD Sq Inch]]</f>
        <v>2.0874999999999999</v>
      </c>
      <c r="AM1092" s="173">
        <f>Table1[[#This Row],[OD Wdth]]*Table1[[#This Row],[OD Hgt]]</f>
        <v>80</v>
      </c>
      <c r="AN1092" s="180">
        <f>Table1[[#This Row],[Min VO]]+Table1[[#This Row],[Max VO]]</f>
        <v>18</v>
      </c>
      <c r="AO1092" s="83"/>
      <c r="AP1092" s="83"/>
      <c r="AQ1092" s="540"/>
      <c r="AR1092" s="540"/>
      <c r="AS1092" s="540"/>
      <c r="AT1092" s="69"/>
      <c r="AU1092" s="1361" t="str">
        <f t="shared" si="367"/>
        <v>-</v>
      </c>
    </row>
    <row r="1093" spans="1:47" s="103" customFormat="1" hidden="1" x14ac:dyDescent="0.2">
      <c r="A1093" s="68" t="s">
        <v>101</v>
      </c>
      <c r="B1093" s="1072" t="s">
        <v>102</v>
      </c>
      <c r="C1093" s="78" t="s">
        <v>2707</v>
      </c>
      <c r="D1093" s="94"/>
      <c r="E1093" s="84" t="s">
        <v>2708</v>
      </c>
      <c r="F1093" s="84" t="s">
        <v>105</v>
      </c>
      <c r="G1093" s="68" t="s">
        <v>810</v>
      </c>
      <c r="H1093" s="68" t="s">
        <v>810</v>
      </c>
      <c r="I1093" s="68" t="s">
        <v>108</v>
      </c>
      <c r="J1093" s="140" t="s">
        <v>53</v>
      </c>
      <c r="K1093" s="68" t="s">
        <v>119</v>
      </c>
      <c r="L1093" s="68" t="s">
        <v>120</v>
      </c>
      <c r="M1093" s="141">
        <v>188</v>
      </c>
      <c r="N1093" s="93"/>
      <c r="O1093" s="68" t="s">
        <v>109</v>
      </c>
      <c r="P1093" s="68">
        <v>22</v>
      </c>
      <c r="Q1093" s="68">
        <v>18</v>
      </c>
      <c r="R1093" s="68">
        <v>18</v>
      </c>
      <c r="S1093" s="623">
        <v>22</v>
      </c>
      <c r="T1093" s="68">
        <v>22</v>
      </c>
      <c r="U1093" s="68">
        <v>18</v>
      </c>
      <c r="V1093" s="917">
        <f t="shared" si="387"/>
        <v>30</v>
      </c>
      <c r="W1093" s="917">
        <f t="shared" si="385"/>
        <v>26</v>
      </c>
      <c r="X1093" s="68">
        <v>40</v>
      </c>
      <c r="Y1093" s="686">
        <f>Table1[[#This Row],[Print Wth]]</f>
        <v>30</v>
      </c>
      <c r="Z1093" s="686">
        <f>Table1[[#This Row],[Print Ht]]</f>
        <v>26</v>
      </c>
      <c r="AA1093" s="727">
        <f>Table1[[#This Row],[Cut Width]]*Table1[[#This Row],[Cut Height]]/144</f>
        <v>5.416666666666667</v>
      </c>
      <c r="AB1093" s="341">
        <f>Table1[[#This Row],[Print Wth]]*Table1[[#This Row],[Print Ht]]/144*EPSONM</f>
        <v>24.375</v>
      </c>
      <c r="AC1093" s="278">
        <f>Table1[[#This Row],[Substrate SF]]*Canvas</f>
        <v>3.5750000000000002</v>
      </c>
      <c r="AD1093" s="263">
        <f>Table1[[#This Row],[Ink g/mL]]*EPSONC</f>
        <v>5.3624999999999998</v>
      </c>
      <c r="AE1093" s="278">
        <f>IF(Table1[[#This Row],[Work Center]]="SwissQ",Materials!G$37,IF(Table1[[#This Row],[Work Center]]="Inca",Materials!G$29,IF(Table1[[#This Row],[Work Center]]="Canon",Materials!G$49,Materials!G$45)))</f>
        <v>5</v>
      </c>
      <c r="AF1093" s="73">
        <f>'Cali FPS'!C188</f>
        <v>79.75</v>
      </c>
      <c r="AG1093" s="84"/>
      <c r="AH1093" s="112">
        <v>0</v>
      </c>
      <c r="AI1093" s="263"/>
      <c r="AJ1093" s="278">
        <f t="shared" si="386"/>
        <v>93.6875</v>
      </c>
      <c r="AK1093" s="688">
        <f t="shared" si="381"/>
        <v>0.50166223404255317</v>
      </c>
      <c r="AL1093" s="278">
        <f>Table1[[#This Row],[WSP/Dealer]]/Table1[[#This Row],[OD Sq Inch]]</f>
        <v>0.47474747474747475</v>
      </c>
      <c r="AM1093" s="170">
        <f>Table1[[#This Row],[OD Wdth]]*Table1[[#This Row],[OD Hgt]]</f>
        <v>396</v>
      </c>
      <c r="AN1093" s="274">
        <f>Table1[[#This Row],[Min VO]]+Table1[[#This Row],[Max VO]]</f>
        <v>40</v>
      </c>
      <c r="AO1093" s="84"/>
      <c r="AP1093" s="84"/>
      <c r="AQ1093" s="126"/>
      <c r="AR1093" s="126"/>
      <c r="AS1093" s="126"/>
      <c r="AT1093" s="74"/>
      <c r="AU1093" s="1357" t="str">
        <f t="shared" si="367"/>
        <v>-</v>
      </c>
    </row>
    <row r="1094" spans="1:47" s="63" customFormat="1" hidden="1" x14ac:dyDescent="0.2">
      <c r="A1094" s="68" t="s">
        <v>101</v>
      </c>
      <c r="B1094" s="1152" t="s">
        <v>102</v>
      </c>
      <c r="C1094" s="78" t="s">
        <v>2709</v>
      </c>
      <c r="D1094" s="94"/>
      <c r="E1094" s="84" t="s">
        <v>2710</v>
      </c>
      <c r="F1094" s="84" t="s">
        <v>105</v>
      </c>
      <c r="G1094" s="68" t="s">
        <v>2711</v>
      </c>
      <c r="H1094" s="68" t="s">
        <v>1171</v>
      </c>
      <c r="I1094" s="68" t="s">
        <v>108</v>
      </c>
      <c r="J1094" s="140" t="s">
        <v>53</v>
      </c>
      <c r="K1094" s="68" t="s">
        <v>69</v>
      </c>
      <c r="L1094" s="68" t="s">
        <v>73</v>
      </c>
      <c r="M1094" s="141">
        <v>169</v>
      </c>
      <c r="N1094" s="93"/>
      <c r="O1094" s="68" t="s">
        <v>109</v>
      </c>
      <c r="P1094" s="68">
        <v>12</v>
      </c>
      <c r="Q1094" s="68">
        <v>10</v>
      </c>
      <c r="R1094" s="68">
        <v>10</v>
      </c>
      <c r="S1094" s="623">
        <v>12</v>
      </c>
      <c r="T1094" s="68">
        <v>13</v>
      </c>
      <c r="U1094" s="68">
        <v>11</v>
      </c>
      <c r="V1094" s="66">
        <f t="shared" si="387"/>
        <v>20</v>
      </c>
      <c r="W1094" s="66">
        <f t="shared" si="385"/>
        <v>18</v>
      </c>
      <c r="X1094" s="68">
        <v>40</v>
      </c>
      <c r="Y1094" s="686">
        <f>Table1[[#This Row],[Print Wth]]</f>
        <v>20</v>
      </c>
      <c r="Z1094" s="686">
        <f>Table1[[#This Row],[Print Ht]]</f>
        <v>18</v>
      </c>
      <c r="AA1094" s="727">
        <f>Table1[[#This Row],[Cut Width]]*Table1[[#This Row],[Cut Height]]/144</f>
        <v>2.5</v>
      </c>
      <c r="AB1094" s="341">
        <f>Table1[[#This Row],[Print Wth]]*Table1[[#This Row],[Print Ht]]/144*EPSONM</f>
        <v>11.25</v>
      </c>
      <c r="AC1094" s="278">
        <f>Table1[[#This Row],[Substrate SF]]*Canvas</f>
        <v>1.6500000000000001</v>
      </c>
      <c r="AD1094" s="263">
        <f>Table1[[#This Row],[Ink g/mL]]*EPSONC</f>
        <v>2.4750000000000001</v>
      </c>
      <c r="AE1094" s="278">
        <f>IF(Table1[[#This Row],[Work Center]]="SwissQ",Materials!G$37,IF(Table1[[#This Row],[Work Center]]="Inca",Materials!G$29,IF(Table1[[#This Row],[Work Center]]="Canon",Materials!G$49,Materials!G$45)))</f>
        <v>5</v>
      </c>
      <c r="AF1094" s="73">
        <f>'Cali Frames'!D408</f>
        <v>75</v>
      </c>
      <c r="AG1094" s="84"/>
      <c r="AH1094" s="112">
        <v>0</v>
      </c>
      <c r="AI1094" s="263"/>
      <c r="AJ1094" s="278">
        <f t="shared" si="386"/>
        <v>84.125</v>
      </c>
      <c r="AK1094" s="688">
        <f t="shared" si="381"/>
        <v>0.50221893491124259</v>
      </c>
      <c r="AL1094" s="278">
        <f>Table1[[#This Row],[WSP/Dealer]]/Table1[[#This Row],[OD Sq Inch]]</f>
        <v>1.1818181818181819</v>
      </c>
      <c r="AM1094" s="170">
        <f>Table1[[#This Row],[OD Wdth]]*Table1[[#This Row],[OD Hgt]]</f>
        <v>143</v>
      </c>
      <c r="AN1094" s="274">
        <f>Table1[[#This Row],[Min VO]]+Table1[[#This Row],[Max VO]]</f>
        <v>22</v>
      </c>
      <c r="AO1094" s="84"/>
      <c r="AP1094" s="84"/>
      <c r="AQ1094" s="126"/>
      <c r="AR1094" s="126"/>
      <c r="AS1094" s="126"/>
      <c r="AT1094" s="74"/>
      <c r="AU1094" s="1357" t="str">
        <f t="shared" ref="AU1094:AU1157" si="388">IF(AQ1094=0,"-",(AQ1094-AT1094)/AQ1094)</f>
        <v>-</v>
      </c>
    </row>
    <row r="1095" spans="1:47" s="63" customFormat="1" hidden="1" x14ac:dyDescent="0.2">
      <c r="A1095" s="68" t="s">
        <v>101</v>
      </c>
      <c r="B1095" s="1152" t="s">
        <v>102</v>
      </c>
      <c r="C1095" s="78" t="s">
        <v>2712</v>
      </c>
      <c r="D1095" s="94"/>
      <c r="E1095" s="84" t="s">
        <v>2713</v>
      </c>
      <c r="F1095" s="84" t="s">
        <v>105</v>
      </c>
      <c r="G1095" s="68" t="s">
        <v>2714</v>
      </c>
      <c r="H1095" s="68" t="s">
        <v>643</v>
      </c>
      <c r="I1095" s="68" t="s">
        <v>256</v>
      </c>
      <c r="J1095" s="140" t="s">
        <v>257</v>
      </c>
      <c r="K1095" s="68" t="s">
        <v>1315</v>
      </c>
      <c r="L1095" s="68" t="s">
        <v>259</v>
      </c>
      <c r="M1095" s="141">
        <v>177</v>
      </c>
      <c r="N1095" s="93"/>
      <c r="O1095" s="68" t="s">
        <v>260</v>
      </c>
      <c r="P1095" s="68">
        <v>11</v>
      </c>
      <c r="Q1095" s="68">
        <v>7</v>
      </c>
      <c r="R1095" s="68">
        <v>7</v>
      </c>
      <c r="S1095" s="623">
        <v>11</v>
      </c>
      <c r="T1095" s="68">
        <v>20</v>
      </c>
      <c r="U1095" s="68">
        <v>16</v>
      </c>
      <c r="V1095" s="66">
        <f t="shared" si="387"/>
        <v>11</v>
      </c>
      <c r="W1095" s="66">
        <f t="shared" si="385"/>
        <v>7</v>
      </c>
      <c r="X1095" s="68" t="s">
        <v>257</v>
      </c>
      <c r="Y1095" s="1347">
        <f>Table1[[#This Row],[Print Wth]]+Materials!$C$7</f>
        <v>13</v>
      </c>
      <c r="Z1095" s="1347">
        <f>Table1[[#This Row],[Print Ht]]+Materials!$C$7</f>
        <v>9</v>
      </c>
      <c r="AA1095" s="1027">
        <f>(Table1[[#This Row],[Cut Width]]*Table1[[#This Row],[Cut Height]])/144</f>
        <v>0.8125</v>
      </c>
      <c r="AB1095" s="297">
        <f>(Table1[[#This Row],[Print Wth]]*Table1[[#This Row],[Print Ht]])/144*canonML</f>
        <v>2.5666666666666664</v>
      </c>
      <c r="AC1095" s="74">
        <f>Table1[[#This Row],[Substrate SF]]*Paper</f>
        <v>1.0993124999999999</v>
      </c>
      <c r="AD1095" s="67">
        <f>(Table1[[#This Row],[Print Wth]]*Table1[[#This Row],[Print Ht]])/144*CanonC</f>
        <v>0.144375</v>
      </c>
      <c r="AE1095" s="74">
        <f>IF(Table1[[#This Row],[Work Center]]="SwissQ",Materials!G$37,IF(Table1[[#This Row],[Work Center]]="Inca",Materials!G$29,IF(Table1[[#This Row],[Work Center]]="Canon",Materials!G$49,Materials!G$45)))</f>
        <v>7</v>
      </c>
      <c r="AF1095" s="73">
        <f>'Cali Frames'!D88</f>
        <v>80.239999999999995</v>
      </c>
      <c r="AG1095" s="84"/>
      <c r="AH1095" s="498">
        <v>0</v>
      </c>
      <c r="AI1095" s="278"/>
      <c r="AJ1095" s="278">
        <f t="shared" si="386"/>
        <v>88.483687500000002</v>
      </c>
      <c r="AK1095" s="1192">
        <f t="shared" si="381"/>
        <v>0.50009216101694909</v>
      </c>
      <c r="AL1095" s="278">
        <f>Table1[[#This Row],[WSP/Dealer]]/Table1[[#This Row],[OD Sq Inch]]</f>
        <v>0.55312499999999998</v>
      </c>
      <c r="AM1095" s="170">
        <f>Table1[[#This Row],[OD Wdth]]*Table1[[#This Row],[OD Hgt]]</f>
        <v>320</v>
      </c>
      <c r="AN1095" s="274">
        <f>Table1[[#This Row],[Min VO]]+Table1[[#This Row],[Max VO]]</f>
        <v>18</v>
      </c>
      <c r="AO1095" s="84"/>
      <c r="AP1095" s="84"/>
      <c r="AQ1095" s="126"/>
      <c r="AR1095" s="126"/>
      <c r="AS1095" s="126"/>
      <c r="AT1095" s="74"/>
      <c r="AU1095" s="1357" t="str">
        <f t="shared" si="388"/>
        <v>-</v>
      </c>
    </row>
    <row r="1096" spans="1:47" s="63" customFormat="1" hidden="1" x14ac:dyDescent="0.2">
      <c r="A1096" s="180"/>
      <c r="B1096" s="1061"/>
      <c r="C1096" s="79" t="s">
        <v>2715</v>
      </c>
      <c r="D1096" s="94"/>
      <c r="E1096" s="284" t="s">
        <v>2716</v>
      </c>
      <c r="F1096" s="284" t="s">
        <v>571</v>
      </c>
      <c r="G1096" s="180" t="s">
        <v>660</v>
      </c>
      <c r="H1096" s="180" t="s">
        <v>573</v>
      </c>
      <c r="I1096" s="180" t="s">
        <v>108</v>
      </c>
      <c r="J1096" s="310" t="s">
        <v>53</v>
      </c>
      <c r="K1096" s="180" t="s">
        <v>69</v>
      </c>
      <c r="L1096" s="180" t="s">
        <v>70</v>
      </c>
      <c r="M1096" s="124">
        <v>400</v>
      </c>
      <c r="N1096" s="71"/>
      <c r="O1096" s="180" t="s">
        <v>64</v>
      </c>
      <c r="P1096" s="180">
        <v>60</v>
      </c>
      <c r="Q1096" s="180">
        <v>40</v>
      </c>
      <c r="R1096" s="180">
        <v>40</v>
      </c>
      <c r="S1096" s="180">
        <v>60</v>
      </c>
      <c r="T1096" s="180">
        <v>61</v>
      </c>
      <c r="U1096" s="180">
        <v>41</v>
      </c>
      <c r="V1096" s="174">
        <f t="shared" si="387"/>
        <v>68</v>
      </c>
      <c r="W1096" s="174">
        <f t="shared" si="385"/>
        <v>48</v>
      </c>
      <c r="X1096" s="289">
        <v>80</v>
      </c>
      <c r="Y1096" s="60">
        <v>68</v>
      </c>
      <c r="Z1096" s="60">
        <v>48</v>
      </c>
      <c r="AA1096" s="678">
        <f>V1096*W1096/144</f>
        <v>22.666666666666668</v>
      </c>
      <c r="AB1096" s="329">
        <f>Table1[[#This Row],[Substrate SF]]*SWISSMLR</f>
        <v>45.333333333333336</v>
      </c>
      <c r="AC1096" s="176">
        <f>AA1096*Canvas</f>
        <v>14.96</v>
      </c>
      <c r="AD1096" s="175">
        <f>Table1[[#This Row],[Substrate SF]]*SWISSCR</f>
        <v>4.9866666666666672</v>
      </c>
      <c r="AE1096" s="69">
        <f>Materials!I$41</f>
        <v>8</v>
      </c>
      <c r="AF1096" s="72">
        <f>'Cali Frames'!D315</f>
        <v>164.9025</v>
      </c>
      <c r="AG1096" s="296"/>
      <c r="AH1096" s="112">
        <f>(M1096*0.05)</f>
        <v>20</v>
      </c>
      <c r="AI1096" s="112"/>
      <c r="AJ1096" s="175">
        <f t="shared" si="386"/>
        <v>212.84916666666666</v>
      </c>
      <c r="AK1096" s="62">
        <f t="shared" si="381"/>
        <v>0.46787708333333333</v>
      </c>
      <c r="AL1096" s="225">
        <f>Table1[[#This Row],[WSP/Dealer]]/Table1[[#This Row],[OD Sq Inch]]</f>
        <v>0.15993602558976411</v>
      </c>
      <c r="AM1096" s="173">
        <f>Table1[[#This Row],[OD Wdth]]*Table1[[#This Row],[OD Hgt]]</f>
        <v>2501</v>
      </c>
      <c r="AN1096" s="180" t="str">
        <f>Table1[[#This Row],[Color]]</f>
        <v>BF</v>
      </c>
      <c r="AO1096" s="83" t="str">
        <f>Table1[[#This Row],[Print Type]]</f>
        <v>Reductive</v>
      </c>
      <c r="AP1096" s="284"/>
      <c r="AQ1096" s="296"/>
      <c r="AR1096" s="296"/>
      <c r="AS1096" s="296"/>
      <c r="AT1096" s="176"/>
      <c r="AU1096" s="1358" t="str">
        <f t="shared" si="388"/>
        <v>-</v>
      </c>
    </row>
    <row r="1097" spans="1:47" s="63" customFormat="1" hidden="1" x14ac:dyDescent="0.2">
      <c r="A1097" s="68" t="s">
        <v>101</v>
      </c>
      <c r="B1097" s="1072" t="s">
        <v>102</v>
      </c>
      <c r="C1097" s="94" t="s">
        <v>2717</v>
      </c>
      <c r="D1097" s="94"/>
      <c r="E1097" s="84" t="s">
        <v>2718</v>
      </c>
      <c r="F1097" s="84" t="s">
        <v>571</v>
      </c>
      <c r="G1097" s="68" t="s">
        <v>1516</v>
      </c>
      <c r="H1097" s="68" t="s">
        <v>1516</v>
      </c>
      <c r="I1097" s="68" t="s">
        <v>108</v>
      </c>
      <c r="J1097" s="140" t="s">
        <v>53</v>
      </c>
      <c r="K1097" s="68" t="s">
        <v>54</v>
      </c>
      <c r="L1097" s="68" t="s">
        <v>55</v>
      </c>
      <c r="M1097" s="141">
        <v>480</v>
      </c>
      <c r="N1097" s="93"/>
      <c r="O1097" s="68" t="s">
        <v>64</v>
      </c>
      <c r="P1097" s="68">
        <v>72</v>
      </c>
      <c r="Q1097" s="68">
        <v>48</v>
      </c>
      <c r="R1097" s="68">
        <v>48</v>
      </c>
      <c r="S1097" s="68">
        <v>72</v>
      </c>
      <c r="T1097" s="63">
        <v>72</v>
      </c>
      <c r="U1097" s="63">
        <v>48</v>
      </c>
      <c r="V1097" s="66">
        <f t="shared" si="387"/>
        <v>80</v>
      </c>
      <c r="W1097" s="66">
        <f t="shared" si="385"/>
        <v>56</v>
      </c>
      <c r="X1097" s="68">
        <v>82</v>
      </c>
      <c r="Y1097" s="917">
        <f>Table1[[#This Row],[Print Wth]]</f>
        <v>80</v>
      </c>
      <c r="Z1097" s="917">
        <f>Table1[[#This Row],[Print Ht]]</f>
        <v>56</v>
      </c>
      <c r="AA1097" s="727">
        <f>Table1[[#This Row],[Cut Width]]*Table1[[#This Row],[Cut Height]]/144</f>
        <v>31.111111111111111</v>
      </c>
      <c r="AB1097" s="341">
        <f>(Table1[[#This Row],[Print Wth]]*Table1[[#This Row],[Print Ht]])/144*SWISSMLR</f>
        <v>62.222222222222221</v>
      </c>
      <c r="AC1097" s="278">
        <f>Table1[[#This Row],[Substrate SF]]*Canvas</f>
        <v>20.533333333333335</v>
      </c>
      <c r="AD1097" s="263">
        <f>Table1[[#This Row],[Substrate SF]]*SWISSCR</f>
        <v>6.8444444444444441</v>
      </c>
      <c r="AE1097" s="74">
        <f>Materials!I$41</f>
        <v>8</v>
      </c>
      <c r="AF1097" s="73">
        <f>'Cali FPS'!C126</f>
        <v>189.88</v>
      </c>
      <c r="AG1097" s="126"/>
      <c r="AH1097" s="67">
        <f>(M1097*0.05)</f>
        <v>24</v>
      </c>
      <c r="AI1097" s="263"/>
      <c r="AJ1097" s="278">
        <f>SUM(AC1097:AI1097)</f>
        <v>249.25777777777779</v>
      </c>
      <c r="AK1097" s="661">
        <f t="shared" si="381"/>
        <v>0.48071296296296295</v>
      </c>
      <c r="AL1097" s="240">
        <f>Table1[[#This Row],[WSP/Dealer]]/Table1[[#This Row],[OD Sq Inch]]</f>
        <v>0.1388888888888889</v>
      </c>
      <c r="AM1097" s="170">
        <f>Table1[[#This Row],[OD Wdth]]*Table1[[#This Row],[OD Hgt]]</f>
        <v>3456</v>
      </c>
      <c r="AN1097" s="274" t="str">
        <f>Table1[[#This Row],[Color]]</f>
        <v>GW</v>
      </c>
      <c r="AO1097" s="84" t="str">
        <f>Table1[[#This Row],[Print Type]]</f>
        <v>Reductive</v>
      </c>
      <c r="AP1097" s="126"/>
      <c r="AQ1097" s="126"/>
      <c r="AR1097" s="126"/>
      <c r="AS1097" s="1146"/>
      <c r="AT1097" s="1147"/>
      <c r="AU1097" s="1357" t="str">
        <f t="shared" si="388"/>
        <v>-</v>
      </c>
    </row>
    <row r="1098" spans="1:47" s="63" customFormat="1" x14ac:dyDescent="0.2">
      <c r="A1098" s="86" t="s">
        <v>58</v>
      </c>
      <c r="B1098" s="1061" t="s">
        <v>619</v>
      </c>
      <c r="C1098" s="100" t="s">
        <v>2719</v>
      </c>
      <c r="D1098" s="94" t="s">
        <v>2720</v>
      </c>
      <c r="E1098" s="85" t="s">
        <v>2721</v>
      </c>
      <c r="F1098" s="85" t="s">
        <v>1808</v>
      </c>
      <c r="G1098" s="86" t="s">
        <v>1700</v>
      </c>
      <c r="H1098" s="86" t="s">
        <v>1700</v>
      </c>
      <c r="I1098" s="86" t="s">
        <v>52</v>
      </c>
      <c r="J1098" s="86" t="s">
        <v>53</v>
      </c>
      <c r="K1098" s="86" t="s">
        <v>54</v>
      </c>
      <c r="L1098" s="86" t="s">
        <v>55</v>
      </c>
      <c r="M1098" s="87">
        <v>750</v>
      </c>
      <c r="N1098" s="639">
        <v>815</v>
      </c>
      <c r="O1098" s="101" t="s">
        <v>64</v>
      </c>
      <c r="P1098" s="273">
        <v>48</v>
      </c>
      <c r="Q1098" s="273">
        <v>40</v>
      </c>
      <c r="R1098" s="60">
        <v>40</v>
      </c>
      <c r="S1098" s="273">
        <v>48</v>
      </c>
      <c r="T1098" s="273">
        <f>Table1[[#This Row],[VO Wdth]]</f>
        <v>48</v>
      </c>
      <c r="U1098" s="273">
        <f>Table1[[#This Row],[VO Hgt]]</f>
        <v>40</v>
      </c>
      <c r="V1098" s="608">
        <f>IF(J1098="Canvas",P1098+BorderGW,P1098)</f>
        <v>56</v>
      </c>
      <c r="W1098" s="608">
        <f>IF(J1098="Canvas",Q1098+BorderGW,Q1098)</f>
        <v>48</v>
      </c>
      <c r="X1098" s="137" t="s">
        <v>2722</v>
      </c>
      <c r="Y1098" s="101"/>
      <c r="Z1098" s="101"/>
      <c r="AA1098" s="649">
        <f>V1098*W1098/144</f>
        <v>18.666666666666668</v>
      </c>
      <c r="AB1098" s="125">
        <f>AA1098*Swiss1</f>
        <v>528.26666666666677</v>
      </c>
      <c r="AC1098" s="104">
        <f>AA1098*Canvas</f>
        <v>12.320000000000002</v>
      </c>
      <c r="AD1098" s="107">
        <f>AA1098*Materials!C$37</f>
        <v>52.266666666666666</v>
      </c>
      <c r="AE1098" s="104">
        <f>IF(Table1[[#This Row],[Work Center]]="SwissQ",Materials!G$37,IF(Table1[[#This Row],[Work Center]]="Inca",Materials!G$29,IF(Table1[[#This Row],[Work Center]]="Canon",Materials!G$49,Materials!G$45)))</f>
        <v>20</v>
      </c>
      <c r="AF1098" s="69">
        <f>'Cali FPS'!C$84</f>
        <v>107.45</v>
      </c>
      <c r="AG1098" s="115"/>
      <c r="AH1098" s="498">
        <f>(M1098*0.05)</f>
        <v>37.5</v>
      </c>
      <c r="AI1098" s="498"/>
      <c r="AJ1098" s="107">
        <f t="shared" ref="AJ1098:AJ1132" si="389">SUM(AC1098:AH1098)</f>
        <v>229.53666666666669</v>
      </c>
      <c r="AK1098" s="650">
        <f t="shared" si="381"/>
        <v>0.69395111111111119</v>
      </c>
      <c r="AL1098" s="225">
        <f>Table1[[#This Row],[WSP/Dealer]]/Table1[[#This Row],[OD Sq Inch]]</f>
        <v>0.390625</v>
      </c>
      <c r="AM1098" s="218">
        <f>Table1[[#This Row],[OD Wdth]]*Table1[[#This Row],[OD Hgt]]</f>
        <v>1920</v>
      </c>
      <c r="AN1098" s="216">
        <f>Table1[[#This Row],[Min VO]]+Table1[[#This Row],[Max VO]]</f>
        <v>88</v>
      </c>
      <c r="AO1098" s="101"/>
      <c r="AP1098" s="101"/>
      <c r="AQ1098" s="104"/>
      <c r="AR1098" s="104"/>
      <c r="AS1098" s="104"/>
      <c r="AT1098" s="104"/>
      <c r="AU1098" s="830" t="str">
        <f t="shared" si="388"/>
        <v>-</v>
      </c>
    </row>
    <row r="1099" spans="1:47" s="170" customFormat="1" hidden="1" x14ac:dyDescent="0.2">
      <c r="A1099" s="68" t="s">
        <v>101</v>
      </c>
      <c r="B1099" s="1072" t="s">
        <v>102</v>
      </c>
      <c r="C1099" s="82" t="s">
        <v>2723</v>
      </c>
      <c r="D1099" s="94"/>
      <c r="E1099" s="84" t="s">
        <v>2724</v>
      </c>
      <c r="F1099" s="84" t="s">
        <v>105</v>
      </c>
      <c r="G1099" s="68" t="s">
        <v>1583</v>
      </c>
      <c r="H1099" s="68" t="s">
        <v>504</v>
      </c>
      <c r="I1099" s="68" t="s">
        <v>256</v>
      </c>
      <c r="J1099" s="140" t="s">
        <v>257</v>
      </c>
      <c r="K1099" s="68" t="s">
        <v>258</v>
      </c>
      <c r="L1099" s="68" t="s">
        <v>259</v>
      </c>
      <c r="M1099" s="141">
        <v>127</v>
      </c>
      <c r="N1099" s="93"/>
      <c r="O1099" s="68" t="s">
        <v>260</v>
      </c>
      <c r="P1099" s="623">
        <v>8</v>
      </c>
      <c r="Q1099" s="623">
        <v>10</v>
      </c>
      <c r="R1099" s="68">
        <v>8</v>
      </c>
      <c r="S1099" s="623">
        <v>10</v>
      </c>
      <c r="T1099" s="623">
        <v>10</v>
      </c>
      <c r="U1099" s="623">
        <v>12</v>
      </c>
      <c r="V1099" s="917">
        <f>IF(J1099="Canvas",P1099+Border,P1099)</f>
        <v>8</v>
      </c>
      <c r="W1099" s="917">
        <f>IF(J1099="Canvas",Q1099+Border,Q1099)</f>
        <v>10</v>
      </c>
      <c r="X1099" s="68" t="s">
        <v>257</v>
      </c>
      <c r="Y1099" s="1347">
        <f>Table1[[#This Row],[Print Wth]]+Materials!$C$7</f>
        <v>10</v>
      </c>
      <c r="Z1099" s="1347">
        <f>Table1[[#This Row],[Print Ht]]+Materials!$C$7</f>
        <v>12</v>
      </c>
      <c r="AA1099" s="1027">
        <f>(Table1[[#This Row],[Cut Width]]*Table1[[#This Row],[Cut Height]])/144</f>
        <v>0.83333333333333337</v>
      </c>
      <c r="AB1099" s="297">
        <f>(Table1[[#This Row],[Print Wth]]*Table1[[#This Row],[Print Ht]])/144*canonML</f>
        <v>2.6666666666666665</v>
      </c>
      <c r="AC1099" s="74">
        <f>Table1[[#This Row],[Substrate SF]]*Paper</f>
        <v>1.1274999999999999</v>
      </c>
      <c r="AD1099" s="67">
        <f>(Table1[[#This Row],[Print Wth]]*Table1[[#This Row],[Print Ht]])/144*CanonC</f>
        <v>0.15000000000000002</v>
      </c>
      <c r="AE1099" s="74">
        <f>IF(Table1[[#This Row],[Work Center]]="SwissQ",Materials!G$37,IF(Table1[[#This Row],[Work Center]]="Inca",Materials!G$29,IF(Table1[[#This Row],[Work Center]]="Canon",Materials!G$49,Materials!G$45)))</f>
        <v>7</v>
      </c>
      <c r="AF1099" s="73">
        <f>'Cali FPS'!C4</f>
        <v>55</v>
      </c>
      <c r="AG1099" s="84"/>
      <c r="AH1099" s="278">
        <v>0</v>
      </c>
      <c r="AI1099" s="278"/>
      <c r="AJ1099" s="278">
        <f t="shared" si="389"/>
        <v>63.277500000000003</v>
      </c>
      <c r="AK1099" s="1192">
        <f t="shared" si="381"/>
        <v>0.501751968503937</v>
      </c>
      <c r="AL1099" s="278">
        <f>Table1[[#This Row],[WSP/Dealer]]/Table1[[#This Row],[OD Sq Inch]]</f>
        <v>1.0583333333333333</v>
      </c>
      <c r="AM1099" s="274">
        <f>Table1[[#This Row],[OD Wdth]]*Table1[[#This Row],[OD Hgt]]</f>
        <v>120</v>
      </c>
      <c r="AN1099" s="274">
        <f>Table1[[#This Row],[Min VO]]+Table1[[#This Row],[Max VO]]</f>
        <v>18</v>
      </c>
      <c r="AO1099" s="84"/>
      <c r="AP1099" s="84"/>
      <c r="AQ1099" s="74"/>
      <c r="AR1099" s="74"/>
      <c r="AS1099" s="74"/>
      <c r="AT1099" s="74"/>
      <c r="AU1099" s="1357" t="str">
        <f t="shared" si="388"/>
        <v>-</v>
      </c>
    </row>
    <row r="1100" spans="1:47" s="170" customFormat="1" hidden="1" x14ac:dyDescent="0.2">
      <c r="A1100" s="86"/>
      <c r="C1100" s="80" t="s">
        <v>2725</v>
      </c>
      <c r="D1100" s="94"/>
      <c r="E1100" s="85" t="s">
        <v>2726</v>
      </c>
      <c r="F1100" s="85" t="s">
        <v>634</v>
      </c>
      <c r="G1100" s="86" t="s">
        <v>2148</v>
      </c>
      <c r="H1100" s="86" t="s">
        <v>793</v>
      </c>
      <c r="I1100" s="86" t="s">
        <v>52</v>
      </c>
      <c r="J1100" s="86" t="s">
        <v>53</v>
      </c>
      <c r="K1100" s="86" t="s">
        <v>69</v>
      </c>
      <c r="L1100" s="86" t="s">
        <v>73</v>
      </c>
      <c r="M1100" s="87">
        <v>400</v>
      </c>
      <c r="N1100" s="71"/>
      <c r="O1100" s="101"/>
      <c r="P1100" s="60">
        <v>36</v>
      </c>
      <c r="Q1100" s="60">
        <v>48</v>
      </c>
      <c r="R1100" s="60">
        <v>36</v>
      </c>
      <c r="S1100" s="61">
        <v>48</v>
      </c>
      <c r="T1100" s="103">
        <v>38</v>
      </c>
      <c r="U1100" s="103" t="str">
        <f>RIGHT(H1100,2)</f>
        <v>49</v>
      </c>
      <c r="V1100" s="608">
        <f>IF(J1100="Canvas",P1100+Border,P1100)</f>
        <v>44</v>
      </c>
      <c r="W1100" s="608">
        <f>IF(J1100="Canvas",Q1100+Border,Q1100)</f>
        <v>56</v>
      </c>
      <c r="X1100" s="137">
        <v>122</v>
      </c>
      <c r="Y1100" s="101"/>
      <c r="Z1100" s="101"/>
      <c r="AA1100" s="649">
        <f t="shared" ref="AA1100:AA1132" si="390">V1100*W1100/144</f>
        <v>17.111111111111111</v>
      </c>
      <c r="AB1100" s="184">
        <f>AA1100*IncaG</f>
        <v>360.01777777777778</v>
      </c>
      <c r="AC1100" s="104">
        <f>AA1100*Canvas</f>
        <v>11.293333333333333</v>
      </c>
      <c r="AD1100" s="107">
        <f>AA1100*IncaC</f>
        <v>28.801422222222222</v>
      </c>
      <c r="AE1100" s="104">
        <v>0</v>
      </c>
      <c r="AF1100" s="104">
        <f>'Cali Frames'!D$436</f>
        <v>145.70500000000001</v>
      </c>
      <c r="AG1100" s="115"/>
      <c r="AH1100" s="498">
        <f t="shared" ref="AH1100:AH1146" si="391">(M1100*0.05)</f>
        <v>20</v>
      </c>
      <c r="AI1100" s="498"/>
      <c r="AJ1100" s="104">
        <f t="shared" si="389"/>
        <v>205.79975555555558</v>
      </c>
      <c r="AK1100" s="650">
        <f t="shared" si="381"/>
        <v>0.48550061111111104</v>
      </c>
      <c r="AL1100" s="225">
        <f>Table1[[#This Row],[WSP/Dealer]]/Table1[[#This Row],[OD Sq Inch]]</f>
        <v>0.21482277121374865</v>
      </c>
      <c r="AM1100" s="218">
        <f>Table1[[#This Row],[OD Wdth]]*Table1[[#This Row],[OD Hgt]]</f>
        <v>1862</v>
      </c>
      <c r="AN1100" s="216">
        <f>Table1[[#This Row],[Min VO]]+Table1[[#This Row],[Max VO]]</f>
        <v>84</v>
      </c>
      <c r="AO1100" s="101"/>
      <c r="AP1100" s="101"/>
      <c r="AQ1100" s="104"/>
      <c r="AR1100" s="104"/>
      <c r="AS1100" s="104"/>
      <c r="AT1100" s="104"/>
      <c r="AU1100" s="830" t="str">
        <f t="shared" si="388"/>
        <v>-</v>
      </c>
    </row>
    <row r="1101" spans="1:47" s="103" customFormat="1" hidden="1" x14ac:dyDescent="0.2">
      <c r="A1101" s="68" t="s">
        <v>644</v>
      </c>
      <c r="B1101" s="1061" t="s">
        <v>96</v>
      </c>
      <c r="C1101" s="82" t="s">
        <v>2727</v>
      </c>
      <c r="D1101" s="94"/>
      <c r="E1101" s="84" t="s">
        <v>2728</v>
      </c>
      <c r="F1101" s="84" t="s">
        <v>634</v>
      </c>
      <c r="G1101" s="68" t="s">
        <v>132</v>
      </c>
      <c r="H1101" s="68" t="s">
        <v>132</v>
      </c>
      <c r="I1101" s="68" t="s">
        <v>108</v>
      </c>
      <c r="J1101" s="140" t="s">
        <v>53</v>
      </c>
      <c r="K1101" s="68" t="s">
        <v>54</v>
      </c>
      <c r="L1101" s="68" t="s">
        <v>55</v>
      </c>
      <c r="M1101" s="141">
        <v>460</v>
      </c>
      <c r="N1101" s="93"/>
      <c r="O1101" s="68" t="s">
        <v>109</v>
      </c>
      <c r="P1101" s="68">
        <v>36</v>
      </c>
      <c r="Q1101" s="68">
        <v>48</v>
      </c>
      <c r="R1101" s="68">
        <v>36</v>
      </c>
      <c r="S1101" s="68">
        <v>48</v>
      </c>
      <c r="T1101" s="68">
        <v>36</v>
      </c>
      <c r="U1101" s="68">
        <v>48</v>
      </c>
      <c r="V1101" s="277">
        <f>IF(J1101="Canvas",P1101+BorderL,P1101)</f>
        <v>47</v>
      </c>
      <c r="W1101" s="277">
        <f>IF(J1101="Canvas",Q1101+BorderL,Q1101)</f>
        <v>59</v>
      </c>
      <c r="X1101" s="189">
        <v>59</v>
      </c>
      <c r="Y1101" s="68">
        <v>47</v>
      </c>
      <c r="Z1101" s="68">
        <v>59</v>
      </c>
      <c r="AA1101" s="727">
        <f t="shared" si="390"/>
        <v>19.256944444444443</v>
      </c>
      <c r="AB1101" s="341">
        <f>AA1101*EPSONM</f>
        <v>86.65625</v>
      </c>
      <c r="AC1101" s="278">
        <f>AA1101*Canvas</f>
        <v>12.709583333333333</v>
      </c>
      <c r="AD1101" s="263">
        <f>Table1[[#This Row],[Ink g/mL]]*EPSONC</f>
        <v>19.064375000000002</v>
      </c>
      <c r="AE1101" s="278">
        <f>IF(Table1[[#This Row],[Work Center]]="SwissQ",Materials!G$37,IF(Table1[[#This Row],[Work Center]]="Inca",Materials!G$29,IF(Table1[[#This Row],[Work Center]]="Canon",Materials!G$49,Materials!G$45)))</f>
        <v>5</v>
      </c>
      <c r="AF1101" s="73">
        <f>'Cali FPS'!C71</f>
        <v>114.31</v>
      </c>
      <c r="AG1101" s="84"/>
      <c r="AH1101" s="74">
        <f t="shared" si="391"/>
        <v>23</v>
      </c>
      <c r="AI1101" s="74"/>
      <c r="AJ1101" s="278">
        <f t="shared" si="389"/>
        <v>174.08395833333333</v>
      </c>
      <c r="AK1101" s="1001">
        <f t="shared" si="381"/>
        <v>0.62155661231884063</v>
      </c>
      <c r="AL1101" s="240">
        <f>Table1[[#This Row],[WSP/Dealer]]/Table1[[#This Row],[OD Sq Inch]]</f>
        <v>0.26620370370370372</v>
      </c>
      <c r="AM1101" s="170">
        <f>Table1[[#This Row],[OD Wdth]]*Table1[[#This Row],[OD Hgt]]</f>
        <v>1728</v>
      </c>
      <c r="AN1101" s="274">
        <f>Table1[[#This Row],[Min VO]]+Table1[[#This Row],[Max VO]]</f>
        <v>84</v>
      </c>
      <c r="AO1101" s="84"/>
      <c r="AP1101" s="84"/>
      <c r="AQ1101" s="126"/>
      <c r="AR1101" s="126"/>
      <c r="AS1101" s="126"/>
      <c r="AT1101" s="74"/>
      <c r="AU1101" s="1357" t="str">
        <f t="shared" si="388"/>
        <v>-</v>
      </c>
    </row>
    <row r="1102" spans="1:47" s="63" customFormat="1" x14ac:dyDescent="0.2">
      <c r="A1102" s="551" t="s">
        <v>58</v>
      </c>
      <c r="B1102" s="1149" t="s">
        <v>59</v>
      </c>
      <c r="C1102" s="805" t="s">
        <v>2729</v>
      </c>
      <c r="D1102" s="77"/>
      <c r="E1102" s="653" t="s">
        <v>2730</v>
      </c>
      <c r="F1102" s="653" t="s">
        <v>50</v>
      </c>
      <c r="G1102" s="551" t="s">
        <v>449</v>
      </c>
      <c r="H1102" s="551" t="s">
        <v>449</v>
      </c>
      <c r="I1102" s="551" t="s">
        <v>52</v>
      </c>
      <c r="J1102" s="856" t="s">
        <v>53</v>
      </c>
      <c r="K1102" s="551" t="s">
        <v>54</v>
      </c>
      <c r="L1102" s="551" t="s">
        <v>55</v>
      </c>
      <c r="M1102" s="857">
        <v>550</v>
      </c>
      <c r="N1102" s="71"/>
      <c r="O1102" s="551" t="s">
        <v>56</v>
      </c>
      <c r="P1102" s="551">
        <v>36</v>
      </c>
      <c r="Q1102" s="551">
        <v>36</v>
      </c>
      <c r="R1102" s="551">
        <v>36</v>
      </c>
      <c r="S1102" s="1691">
        <v>36</v>
      </c>
      <c r="T1102" s="45">
        <v>36</v>
      </c>
      <c r="U1102" s="45">
        <v>36</v>
      </c>
      <c r="V1102" s="891">
        <f>IF(J1102="Canvas",P1102+Border,P1102)</f>
        <v>44</v>
      </c>
      <c r="W1102" s="891">
        <f>IF(J1102="Canvas",Q1102+Border,Q1102)</f>
        <v>44</v>
      </c>
      <c r="X1102" s="311">
        <v>53</v>
      </c>
      <c r="Y1102" s="551">
        <v>44</v>
      </c>
      <c r="Z1102" s="551">
        <v>44</v>
      </c>
      <c r="AA1102" s="991">
        <f t="shared" si="390"/>
        <v>13.444444444444445</v>
      </c>
      <c r="AB1102" s="861">
        <f t="shared" ref="AB1102:AB1111" si="392">AA1102*IncaG</f>
        <v>282.87111111111108</v>
      </c>
      <c r="AC1102" s="867">
        <f>MDFSHEET/2</f>
        <v>12.175000000000001</v>
      </c>
      <c r="AD1102" s="865">
        <f>Table1[[#This Row],[Substrate SF]]*IncaC</f>
        <v>22.629688888888889</v>
      </c>
      <c r="AE1102" s="863">
        <f>IF(Table1[[#This Row],[Work Center]]="SwissQ",Materials!G$37,IF(Table1[[#This Row],[Work Center]]="Inca",Materials!G$29,IF(Table1[[#This Row],[Work Center]]="Canon",Materials!G$49,Materials!G$45)))</f>
        <v>8</v>
      </c>
      <c r="AF1102" s="867">
        <f>'Cali FPS'!C67</f>
        <v>83.46</v>
      </c>
      <c r="AG1102" s="653"/>
      <c r="AH1102" s="862">
        <f t="shared" si="391"/>
        <v>27.5</v>
      </c>
      <c r="AI1102" s="862"/>
      <c r="AJ1102" s="865">
        <f t="shared" si="389"/>
        <v>153.76468888888888</v>
      </c>
      <c r="AK1102" s="894">
        <f t="shared" si="381"/>
        <v>0.72042783838383839</v>
      </c>
      <c r="AL1102" s="895">
        <f>Table1[[#This Row],[WSP/Dealer]]/Table1[[#This Row],[OD Sq Inch]]</f>
        <v>0.42438271604938271</v>
      </c>
      <c r="AM1102" s="868">
        <f>Table1[[#This Row],[OD Wdth]]*Table1[[#This Row],[OD Hgt]]</f>
        <v>1296</v>
      </c>
      <c r="AN1102" s="869" t="str">
        <f>Table1[[#This Row],[Color]]</f>
        <v>GW</v>
      </c>
      <c r="AO1102" s="653" t="str">
        <f>Table1[[#This Row],[Print Type]]</f>
        <v>Synograph</v>
      </c>
      <c r="AP1102" s="653"/>
      <c r="AQ1102" s="864"/>
      <c r="AR1102" s="864"/>
      <c r="AS1102" s="864"/>
      <c r="AT1102" s="863"/>
      <c r="AU1102" s="1364" t="str">
        <f t="shared" si="388"/>
        <v>-</v>
      </c>
    </row>
    <row r="1103" spans="1:47" s="46" customFormat="1" x14ac:dyDescent="0.2">
      <c r="A1103" s="68" t="s">
        <v>58</v>
      </c>
      <c r="B1103" s="1061" t="s">
        <v>59</v>
      </c>
      <c r="C1103" s="78" t="s">
        <v>2731</v>
      </c>
      <c r="D1103" s="94"/>
      <c r="E1103" s="84" t="s">
        <v>2730</v>
      </c>
      <c r="F1103" s="84" t="s">
        <v>50</v>
      </c>
      <c r="G1103" s="68" t="s">
        <v>449</v>
      </c>
      <c r="H1103" s="68" t="s">
        <v>1619</v>
      </c>
      <c r="I1103" s="68" t="s">
        <v>52</v>
      </c>
      <c r="J1103" s="140" t="s">
        <v>53</v>
      </c>
      <c r="K1103" s="68" t="s">
        <v>69</v>
      </c>
      <c r="L1103" s="68" t="s">
        <v>76</v>
      </c>
      <c r="M1103" s="93">
        <v>650</v>
      </c>
      <c r="N1103" s="93"/>
      <c r="O1103" s="68" t="s">
        <v>56</v>
      </c>
      <c r="P1103" s="68">
        <v>36</v>
      </c>
      <c r="Q1103" s="68">
        <v>36</v>
      </c>
      <c r="R1103" s="68">
        <v>36</v>
      </c>
      <c r="S1103" s="65">
        <v>36</v>
      </c>
      <c r="T1103" s="63">
        <v>37</v>
      </c>
      <c r="U1103" s="63">
        <v>37</v>
      </c>
      <c r="V1103" s="66">
        <f>IF(J1103="Canvas",P1103+Border,P1103)</f>
        <v>44</v>
      </c>
      <c r="W1103" s="66">
        <f>IF(J1103="Canvas",Q1103+Border,Q1103)</f>
        <v>44</v>
      </c>
      <c r="X1103" s="189">
        <v>53</v>
      </c>
      <c r="Y1103" s="68">
        <v>44</v>
      </c>
      <c r="Z1103" s="68">
        <v>44</v>
      </c>
      <c r="AA1103" s="727">
        <f t="shared" si="390"/>
        <v>13.444444444444445</v>
      </c>
      <c r="AB1103" s="297">
        <f t="shared" si="392"/>
        <v>282.87111111111108</v>
      </c>
      <c r="AC1103" s="278">
        <f>MDFSHEET/2</f>
        <v>12.175000000000001</v>
      </c>
      <c r="AD1103" s="263">
        <f>Table1[[#This Row],[Substrate SF]]*IncaC</f>
        <v>22.629688888888889</v>
      </c>
      <c r="AE1103" s="74">
        <f>IF(Table1[[#This Row],[Work Center]]="SwissQ",Materials!G$37,IF(Table1[[#This Row],[Work Center]]="Inca",Materials!G$29,IF(Table1[[#This Row],[Work Center]]="Canon",Materials!G$49,Materials!G$45)))</f>
        <v>8</v>
      </c>
      <c r="AF1103" s="73">
        <f>'Cali Frames'!D370</f>
        <v>129.68</v>
      </c>
      <c r="AG1103" s="84"/>
      <c r="AH1103" s="67">
        <f t="shared" si="391"/>
        <v>32.5</v>
      </c>
      <c r="AI1103" s="67"/>
      <c r="AJ1103" s="263">
        <f t="shared" si="389"/>
        <v>204.98468888888891</v>
      </c>
      <c r="AK1103" s="661">
        <f t="shared" si="381"/>
        <v>0.68463894017094018</v>
      </c>
      <c r="AL1103" s="240">
        <f>Table1[[#This Row],[WSP/Dealer]]/Table1[[#This Row],[OD Sq Inch]]</f>
        <v>0.47479912344777209</v>
      </c>
      <c r="AM1103" s="170">
        <f>Table1[[#This Row],[OD Wdth]]*Table1[[#This Row],[OD Hgt]]</f>
        <v>1369</v>
      </c>
      <c r="AN1103" s="274" t="str">
        <f>Table1[[#This Row],[Color]]</f>
        <v>GF</v>
      </c>
      <c r="AO1103" s="84"/>
      <c r="AP1103" s="84"/>
      <c r="AQ1103" s="126"/>
      <c r="AR1103" s="126"/>
      <c r="AS1103" s="126"/>
      <c r="AT1103" s="74"/>
      <c r="AU1103" s="1357" t="str">
        <f t="shared" si="388"/>
        <v>-</v>
      </c>
    </row>
    <row r="1104" spans="1:47" s="63" customFormat="1" x14ac:dyDescent="0.2">
      <c r="A1104" s="68" t="s">
        <v>58</v>
      </c>
      <c r="B1104" s="1061" t="s">
        <v>59</v>
      </c>
      <c r="C1104" s="78" t="s">
        <v>2732</v>
      </c>
      <c r="D1104" s="94"/>
      <c r="E1104" s="84" t="s">
        <v>2730</v>
      </c>
      <c r="F1104" s="84" t="s">
        <v>50</v>
      </c>
      <c r="G1104" s="68" t="s">
        <v>449</v>
      </c>
      <c r="H1104" s="68" t="s">
        <v>1619</v>
      </c>
      <c r="I1104" s="68" t="s">
        <v>52</v>
      </c>
      <c r="J1104" s="140" t="s">
        <v>53</v>
      </c>
      <c r="K1104" s="68" t="s">
        <v>69</v>
      </c>
      <c r="L1104" s="68" t="s">
        <v>70</v>
      </c>
      <c r="M1104" s="93">
        <v>650</v>
      </c>
      <c r="N1104" s="93"/>
      <c r="O1104" s="68" t="s">
        <v>56</v>
      </c>
      <c r="P1104" s="68">
        <v>36</v>
      </c>
      <c r="Q1104" s="68">
        <v>36</v>
      </c>
      <c r="R1104" s="68">
        <v>36</v>
      </c>
      <c r="S1104" s="65">
        <v>36</v>
      </c>
      <c r="T1104" s="63">
        <v>37</v>
      </c>
      <c r="U1104" s="63">
        <v>37</v>
      </c>
      <c r="V1104" s="66">
        <f>IF(J1104="Canvas",P1104+Border,P1104)</f>
        <v>44</v>
      </c>
      <c r="W1104" s="66">
        <f>IF(J1104="Canvas",Q1104+Border,Q1104)</f>
        <v>44</v>
      </c>
      <c r="X1104" s="189">
        <v>53</v>
      </c>
      <c r="Y1104" s="68">
        <v>44</v>
      </c>
      <c r="Z1104" s="68">
        <v>44</v>
      </c>
      <c r="AA1104" s="727">
        <f t="shared" si="390"/>
        <v>13.444444444444445</v>
      </c>
      <c r="AB1104" s="297">
        <f t="shared" si="392"/>
        <v>282.87111111111108</v>
      </c>
      <c r="AC1104" s="278">
        <f>MDFSHEET/2</f>
        <v>12.175000000000001</v>
      </c>
      <c r="AD1104" s="263">
        <f>Table1[[#This Row],[Substrate SF]]*IncaC</f>
        <v>22.629688888888889</v>
      </c>
      <c r="AE1104" s="74">
        <f>IF(Table1[[#This Row],[Work Center]]="SwissQ",Materials!G$37,IF(Table1[[#This Row],[Work Center]]="Inca",Materials!G$29,IF(Table1[[#This Row],[Work Center]]="Canon",Materials!G$49,Materials!G$45)))</f>
        <v>8</v>
      </c>
      <c r="AF1104" s="73">
        <f>'Cali Frames'!D297</f>
        <v>119.875</v>
      </c>
      <c r="AG1104" s="84"/>
      <c r="AH1104" s="67">
        <f t="shared" si="391"/>
        <v>32.5</v>
      </c>
      <c r="AI1104" s="67"/>
      <c r="AJ1104" s="278">
        <f t="shared" si="389"/>
        <v>195.1796888888889</v>
      </c>
      <c r="AK1104" s="661">
        <f t="shared" si="381"/>
        <v>0.69972355555555554</v>
      </c>
      <c r="AL1104" s="240">
        <f>Table1[[#This Row],[WSP/Dealer]]/Table1[[#This Row],[OD Sq Inch]]</f>
        <v>0.47479912344777209</v>
      </c>
      <c r="AM1104" s="170">
        <f>Table1[[#This Row],[OD Wdth]]*Table1[[#This Row],[OD Hgt]]</f>
        <v>1369</v>
      </c>
      <c r="AN1104" s="274" t="str">
        <f>Table1[[#This Row],[Color]]</f>
        <v>BF</v>
      </c>
      <c r="AO1104" s="119"/>
      <c r="AP1104" s="84"/>
      <c r="AQ1104" s="126"/>
      <c r="AR1104" s="126"/>
      <c r="AS1104" s="126"/>
      <c r="AT1104" s="74"/>
      <c r="AU1104" s="1356" t="str">
        <f t="shared" si="388"/>
        <v>-</v>
      </c>
    </row>
    <row r="1105" spans="1:47" s="63" customFormat="1" x14ac:dyDescent="0.2">
      <c r="A1105" s="68" t="s">
        <v>58</v>
      </c>
      <c r="B1105" s="1061" t="s">
        <v>59</v>
      </c>
      <c r="C1105" s="78" t="s">
        <v>2733</v>
      </c>
      <c r="D1105" s="94"/>
      <c r="E1105" s="84" t="s">
        <v>2730</v>
      </c>
      <c r="F1105" s="84" t="s">
        <v>50</v>
      </c>
      <c r="G1105" s="68" t="s">
        <v>449</v>
      </c>
      <c r="H1105" s="68" t="s">
        <v>1619</v>
      </c>
      <c r="I1105" s="68" t="s">
        <v>52</v>
      </c>
      <c r="J1105" s="140" t="s">
        <v>53</v>
      </c>
      <c r="K1105" s="68" t="s">
        <v>69</v>
      </c>
      <c r="L1105" s="68" t="s">
        <v>73</v>
      </c>
      <c r="M1105" s="93">
        <v>650</v>
      </c>
      <c r="N1105" s="93"/>
      <c r="O1105" s="68" t="s">
        <v>56</v>
      </c>
      <c r="P1105" s="68">
        <v>36</v>
      </c>
      <c r="Q1105" s="68">
        <v>36</v>
      </c>
      <c r="R1105" s="68">
        <v>36</v>
      </c>
      <c r="S1105" s="65">
        <v>36</v>
      </c>
      <c r="T1105" s="63">
        <v>37</v>
      </c>
      <c r="U1105" s="63">
        <v>37</v>
      </c>
      <c r="V1105" s="66">
        <f>IF(J1105="Canvas",P1105+Border,P1105)</f>
        <v>44</v>
      </c>
      <c r="W1105" s="66">
        <f>IF(J1105="Canvas",Q1105+Border,Q1105)</f>
        <v>44</v>
      </c>
      <c r="X1105" s="189">
        <v>53</v>
      </c>
      <c r="Y1105" s="68">
        <v>44</v>
      </c>
      <c r="Z1105" s="68">
        <v>44</v>
      </c>
      <c r="AA1105" s="727">
        <f t="shared" si="390"/>
        <v>13.444444444444445</v>
      </c>
      <c r="AB1105" s="297">
        <f t="shared" si="392"/>
        <v>282.87111111111108</v>
      </c>
      <c r="AC1105" s="278">
        <f>MDFSHEET/2</f>
        <v>12.175000000000001</v>
      </c>
      <c r="AD1105" s="263">
        <f>Table1[[#This Row],[Substrate SF]]*IncaC</f>
        <v>22.629688888888889</v>
      </c>
      <c r="AE1105" s="74">
        <f>IF(Table1[[#This Row],[Work Center]]="SwissQ",Materials!G$37,IF(Table1[[#This Row],[Work Center]]="Inca",Materials!G$29,IF(Table1[[#This Row],[Work Center]]="Canon",Materials!G$49,Materials!G$45)))</f>
        <v>8</v>
      </c>
      <c r="AF1105" s="73">
        <f>'Cali Frames'!D433</f>
        <v>111.755</v>
      </c>
      <c r="AG1105" s="84"/>
      <c r="AH1105" s="67">
        <f t="shared" si="391"/>
        <v>32.5</v>
      </c>
      <c r="AI1105" s="67"/>
      <c r="AJ1105" s="278">
        <f t="shared" si="389"/>
        <v>187.0596888888889</v>
      </c>
      <c r="AK1105" s="661">
        <f t="shared" si="381"/>
        <v>0.71221586324786323</v>
      </c>
      <c r="AL1105" s="240">
        <f>Table1[[#This Row],[WSP/Dealer]]/Table1[[#This Row],[OD Sq Inch]]</f>
        <v>0.47479912344777209</v>
      </c>
      <c r="AM1105" s="170">
        <f>Table1[[#This Row],[OD Wdth]]*Table1[[#This Row],[OD Hgt]]</f>
        <v>1369</v>
      </c>
      <c r="AN1105" s="274" t="str">
        <f>Table1[[#This Row],[Color]]</f>
        <v>NF</v>
      </c>
      <c r="AO1105" s="119"/>
      <c r="AP1105" s="84"/>
      <c r="AQ1105" s="126"/>
      <c r="AR1105" s="126"/>
      <c r="AS1105" s="126"/>
      <c r="AT1105" s="74"/>
      <c r="AU1105" s="1356" t="str">
        <f t="shared" si="388"/>
        <v>-</v>
      </c>
    </row>
    <row r="1106" spans="1:47" s="170" customFormat="1" x14ac:dyDescent="0.2">
      <c r="A1106" s="86" t="s">
        <v>58</v>
      </c>
      <c r="B1106" s="1061" t="s">
        <v>406</v>
      </c>
      <c r="C1106" s="100" t="s">
        <v>2734</v>
      </c>
      <c r="D1106" s="94" t="s">
        <v>2735</v>
      </c>
      <c r="E1106" s="85" t="s">
        <v>2736</v>
      </c>
      <c r="F1106" s="85" t="s">
        <v>561</v>
      </c>
      <c r="G1106" s="86" t="s">
        <v>132</v>
      </c>
      <c r="H1106" s="86" t="s">
        <v>132</v>
      </c>
      <c r="I1106" s="86" t="s">
        <v>52</v>
      </c>
      <c r="J1106" s="86" t="s">
        <v>53</v>
      </c>
      <c r="K1106" s="86" t="s">
        <v>54</v>
      </c>
      <c r="L1106" s="86" t="s">
        <v>55</v>
      </c>
      <c r="M1106" s="87">
        <v>604.5</v>
      </c>
      <c r="N1106" s="639">
        <v>720</v>
      </c>
      <c r="O1106" s="551" t="s">
        <v>56</v>
      </c>
      <c r="P1106" s="101">
        <v>36</v>
      </c>
      <c r="Q1106" s="101">
        <v>48</v>
      </c>
      <c r="R1106" s="60">
        <v>36</v>
      </c>
      <c r="S1106" s="273">
        <v>48</v>
      </c>
      <c r="T1106" s="273">
        <f>Table1[[#This Row],[VO Wdth]]</f>
        <v>36</v>
      </c>
      <c r="U1106" s="273">
        <f>Table1[[#This Row],[VO Hgt]]</f>
        <v>48</v>
      </c>
      <c r="V1106" s="608">
        <f>IF(J1106="Canvas",P1106+BorderGW,P1106)</f>
        <v>44</v>
      </c>
      <c r="W1106" s="608">
        <f>IF(J1106="Canvas",Q1106+BorderGW,Q1106)</f>
        <v>56</v>
      </c>
      <c r="X1106" s="311" t="s">
        <v>2722</v>
      </c>
      <c r="Y1106" s="551"/>
      <c r="Z1106" s="551"/>
      <c r="AA1106" s="649">
        <f t="shared" si="390"/>
        <v>17.111111111111111</v>
      </c>
      <c r="AB1106" s="184">
        <f t="shared" si="392"/>
        <v>360.01777777777778</v>
      </c>
      <c r="AC1106" s="104">
        <f>AA1106*Canvas</f>
        <v>11.293333333333333</v>
      </c>
      <c r="AD1106" s="104">
        <f t="shared" ref="AD1106:AD1111" si="393">AA1106*IncaC</f>
        <v>28.801422222222222</v>
      </c>
      <c r="AE1106" s="104">
        <f>IF(Table1[[#This Row],[Work Center]]="SwissQ",Materials!G$37,IF(Table1[[#This Row],[Work Center]]="Inca",Materials!G$29,IF(Table1[[#This Row],[Work Center]]="Canon",Materials!G$49,Materials!G$45)))</f>
        <v>8</v>
      </c>
      <c r="AF1106" s="104">
        <f>'Cali FPS'!C$71</f>
        <v>114.31</v>
      </c>
      <c r="AG1106" s="115"/>
      <c r="AH1106" s="498">
        <f t="shared" si="391"/>
        <v>30.225000000000001</v>
      </c>
      <c r="AI1106" s="498"/>
      <c r="AJ1106" s="104">
        <f t="shared" si="389"/>
        <v>192.62975555555553</v>
      </c>
      <c r="AK1106" s="650">
        <f t="shared" si="381"/>
        <v>0.68134035474680632</v>
      </c>
      <c r="AL1106" s="225">
        <f>Table1[[#This Row],[WSP/Dealer]]/Table1[[#This Row],[OD Sq Inch]]</f>
        <v>0.3498263888888889</v>
      </c>
      <c r="AM1106" s="216">
        <f>Table1[[#This Row],[OD Wdth]]*Table1[[#This Row],[OD Hgt]]</f>
        <v>1728</v>
      </c>
      <c r="AN1106" s="216">
        <f>Table1[[#This Row],[Min VO]]+Table1[[#This Row],[Max VO]]</f>
        <v>84</v>
      </c>
      <c r="AO1106" s="101"/>
      <c r="AP1106" s="101"/>
      <c r="AQ1106" s="104"/>
      <c r="AR1106" s="104"/>
      <c r="AS1106" s="104"/>
      <c r="AT1106" s="104"/>
      <c r="AU1106" s="830" t="str">
        <f t="shared" si="388"/>
        <v>-</v>
      </c>
    </row>
    <row r="1107" spans="1:47" s="103" customFormat="1" x14ac:dyDescent="0.2">
      <c r="A1107" s="86" t="s">
        <v>58</v>
      </c>
      <c r="B1107" s="1061" t="s">
        <v>366</v>
      </c>
      <c r="C1107" s="100" t="s">
        <v>2737</v>
      </c>
      <c r="D1107" s="94" t="s">
        <v>2738</v>
      </c>
      <c r="E1107" s="85" t="s">
        <v>2736</v>
      </c>
      <c r="F1107" s="85" t="s">
        <v>561</v>
      </c>
      <c r="G1107" s="86" t="s">
        <v>132</v>
      </c>
      <c r="H1107" s="86" t="s">
        <v>264</v>
      </c>
      <c r="I1107" s="86" t="s">
        <v>52</v>
      </c>
      <c r="J1107" s="86" t="s">
        <v>53</v>
      </c>
      <c r="K1107" s="86" t="s">
        <v>82</v>
      </c>
      <c r="L1107" s="86" t="s">
        <v>83</v>
      </c>
      <c r="M1107" s="87">
        <v>654.5</v>
      </c>
      <c r="N1107" s="639">
        <v>780</v>
      </c>
      <c r="O1107" s="551" t="s">
        <v>56</v>
      </c>
      <c r="P1107" s="101">
        <v>36</v>
      </c>
      <c r="Q1107" s="101">
        <v>48</v>
      </c>
      <c r="R1107" s="60">
        <v>36</v>
      </c>
      <c r="S1107" s="273">
        <v>48</v>
      </c>
      <c r="T1107" s="101">
        <v>38</v>
      </c>
      <c r="U1107" s="101" t="str">
        <f>RIGHT(H1107,2)</f>
        <v>50</v>
      </c>
      <c r="V1107" s="608">
        <f>IF(J1107="Canvas",P1107+Border,P1107)</f>
        <v>44</v>
      </c>
      <c r="W1107" s="608">
        <f>IF(J1107="Canvas",Q1107+Border,Q1107)</f>
        <v>56</v>
      </c>
      <c r="X1107" s="311" t="s">
        <v>2722</v>
      </c>
      <c r="Y1107" s="551"/>
      <c r="Z1107" s="551"/>
      <c r="AA1107" s="649">
        <f t="shared" si="390"/>
        <v>17.111111111111111</v>
      </c>
      <c r="AB1107" s="184">
        <f t="shared" si="392"/>
        <v>360.01777777777778</v>
      </c>
      <c r="AC1107" s="104">
        <f>AA1107*Canvas</f>
        <v>11.293333333333333</v>
      </c>
      <c r="AD1107" s="104">
        <f t="shared" si="393"/>
        <v>28.801422222222222</v>
      </c>
      <c r="AE1107" s="104">
        <f>IF(Table1[[#This Row],[Work Center]]="SwissQ",Materials!G$37,IF(Table1[[#This Row],[Work Center]]="Inca",Materials!G$29,IF(Table1[[#This Row],[Work Center]]="Canon",Materials!G$49,Materials!G$45)))</f>
        <v>8</v>
      </c>
      <c r="AF1107" s="104">
        <f>'Cali Frames'!D$133</f>
        <v>148.8725</v>
      </c>
      <c r="AG1107" s="115"/>
      <c r="AH1107" s="498">
        <f t="shared" si="391"/>
        <v>32.725000000000001</v>
      </c>
      <c r="AI1107" s="498"/>
      <c r="AJ1107" s="104">
        <f t="shared" si="389"/>
        <v>229.69225555555553</v>
      </c>
      <c r="AK1107" s="650">
        <f t="shared" ref="AK1107:AK1138" si="394">(M1107-AJ1107)/M1107</f>
        <v>0.64905690518631698</v>
      </c>
      <c r="AL1107" s="225">
        <f>Table1[[#This Row],[WSP/Dealer]]/Table1[[#This Row],[OD Sq Inch]]</f>
        <v>0.34447368421052632</v>
      </c>
      <c r="AM1107" s="101">
        <f>Table1[[#This Row],[OD Wdth]]*Table1[[#This Row],[OD Hgt]]</f>
        <v>1900</v>
      </c>
      <c r="AN1107" s="216">
        <f>Table1[[#This Row],[Min VO]]+Table1[[#This Row],[Max VO]]</f>
        <v>84</v>
      </c>
      <c r="AO1107" s="101"/>
      <c r="AP1107" s="101"/>
      <c r="AQ1107" s="104"/>
      <c r="AR1107" s="104"/>
      <c r="AS1107" s="104"/>
      <c r="AT1107" s="104"/>
      <c r="AU1107" s="830" t="str">
        <f t="shared" si="388"/>
        <v>-</v>
      </c>
    </row>
    <row r="1108" spans="1:47" s="63" customFormat="1" x14ac:dyDescent="0.2">
      <c r="A1108" s="86" t="s">
        <v>58</v>
      </c>
      <c r="B1108" s="1061" t="s">
        <v>406</v>
      </c>
      <c r="C1108" s="100" t="s">
        <v>2739</v>
      </c>
      <c r="D1108" s="94" t="s">
        <v>2740</v>
      </c>
      <c r="E1108" s="85" t="s">
        <v>2741</v>
      </c>
      <c r="F1108" s="85" t="s">
        <v>561</v>
      </c>
      <c r="G1108" s="86" t="s">
        <v>132</v>
      </c>
      <c r="H1108" s="86" t="s">
        <v>132</v>
      </c>
      <c r="I1108" s="86" t="s">
        <v>52</v>
      </c>
      <c r="J1108" s="86" t="s">
        <v>53</v>
      </c>
      <c r="K1108" s="86" t="s">
        <v>54</v>
      </c>
      <c r="L1108" s="86" t="s">
        <v>55</v>
      </c>
      <c r="M1108" s="87">
        <v>604.5</v>
      </c>
      <c r="N1108" s="639">
        <v>720</v>
      </c>
      <c r="O1108" s="551" t="s">
        <v>56</v>
      </c>
      <c r="P1108" s="101">
        <v>36</v>
      </c>
      <c r="Q1108" s="101">
        <v>48</v>
      </c>
      <c r="R1108" s="60">
        <v>36</v>
      </c>
      <c r="S1108" s="273">
        <v>48</v>
      </c>
      <c r="T1108" s="273">
        <f>Table1[[#This Row],[VO Wdth]]</f>
        <v>36</v>
      </c>
      <c r="U1108" s="273">
        <f>Table1[[#This Row],[VO Hgt]]</f>
        <v>48</v>
      </c>
      <c r="V1108" s="106">
        <f>IF(J1108="Canvas",P1108+BorderGW,P1108)</f>
        <v>44</v>
      </c>
      <c r="W1108" s="106">
        <f>IF(J1108="Canvas",Q1108+BorderGW,Q1108)</f>
        <v>56</v>
      </c>
      <c r="X1108" s="311" t="s">
        <v>2722</v>
      </c>
      <c r="Y1108" s="551"/>
      <c r="Z1108" s="551"/>
      <c r="AA1108" s="649">
        <f t="shared" si="390"/>
        <v>17.111111111111111</v>
      </c>
      <c r="AB1108" s="184">
        <f t="shared" si="392"/>
        <v>360.01777777777778</v>
      </c>
      <c r="AC1108" s="104">
        <f>AA1108*Canvas</f>
        <v>11.293333333333333</v>
      </c>
      <c r="AD1108" s="107">
        <f t="shared" si="393"/>
        <v>28.801422222222222</v>
      </c>
      <c r="AE1108" s="104">
        <f>IF(Table1[[#This Row],[Work Center]]="SwissQ",Materials!G$37,IF(Table1[[#This Row],[Work Center]]="Inca",Materials!G$29,IF(Table1[[#This Row],[Work Center]]="Canon",Materials!G$49,Materials!G$45)))</f>
        <v>8</v>
      </c>
      <c r="AF1108" s="104">
        <f>'Cali FPS'!C$71</f>
        <v>114.31</v>
      </c>
      <c r="AG1108" s="115"/>
      <c r="AH1108" s="112">
        <f t="shared" si="391"/>
        <v>30.225000000000001</v>
      </c>
      <c r="AI1108" s="112"/>
      <c r="AJ1108" s="104">
        <f t="shared" si="389"/>
        <v>192.62975555555553</v>
      </c>
      <c r="AK1108" s="62">
        <f t="shared" si="394"/>
        <v>0.68134035474680632</v>
      </c>
      <c r="AL1108" s="225">
        <f>Table1[[#This Row],[WSP/Dealer]]/Table1[[#This Row],[OD Sq Inch]]</f>
        <v>0.3498263888888889</v>
      </c>
      <c r="AM1108" s="103">
        <f>Table1[[#This Row],[OD Wdth]]*Table1[[#This Row],[OD Hgt]]</f>
        <v>1728</v>
      </c>
      <c r="AN1108" s="216">
        <f>Table1[[#This Row],[Min VO]]+Table1[[#This Row],[Max VO]]</f>
        <v>84</v>
      </c>
      <c r="AO1108" s="101"/>
      <c r="AP1108" s="101"/>
      <c r="AQ1108" s="104"/>
      <c r="AR1108" s="104"/>
      <c r="AS1108" s="104"/>
      <c r="AT1108" s="104"/>
      <c r="AU1108" s="830" t="str">
        <f t="shared" si="388"/>
        <v>-</v>
      </c>
    </row>
    <row r="1109" spans="1:47" s="63" customFormat="1" x14ac:dyDescent="0.2">
      <c r="A1109" s="86" t="s">
        <v>58</v>
      </c>
      <c r="B1109" s="1061" t="s">
        <v>366</v>
      </c>
      <c r="C1109" s="100" t="s">
        <v>2742</v>
      </c>
      <c r="D1109" s="94" t="s">
        <v>2743</v>
      </c>
      <c r="E1109" s="85" t="s">
        <v>2741</v>
      </c>
      <c r="F1109" s="85" t="s">
        <v>561</v>
      </c>
      <c r="G1109" s="86" t="s">
        <v>132</v>
      </c>
      <c r="H1109" s="86" t="s">
        <v>264</v>
      </c>
      <c r="I1109" s="86" t="s">
        <v>52</v>
      </c>
      <c r="J1109" s="86" t="s">
        <v>53</v>
      </c>
      <c r="K1109" s="86" t="s">
        <v>82</v>
      </c>
      <c r="L1109" s="86" t="s">
        <v>83</v>
      </c>
      <c r="M1109" s="87">
        <v>654.5</v>
      </c>
      <c r="N1109" s="639">
        <v>780</v>
      </c>
      <c r="O1109" s="551" t="s">
        <v>56</v>
      </c>
      <c r="P1109" s="101">
        <v>36</v>
      </c>
      <c r="Q1109" s="101">
        <v>48</v>
      </c>
      <c r="R1109" s="60">
        <v>36</v>
      </c>
      <c r="S1109" s="273">
        <v>48</v>
      </c>
      <c r="T1109" s="101">
        <v>38</v>
      </c>
      <c r="U1109" s="101" t="str">
        <f>RIGHT(H1109,2)</f>
        <v>50</v>
      </c>
      <c r="V1109" s="106">
        <f>IF(J1109="Canvas",P1109+Border,P1109)</f>
        <v>44</v>
      </c>
      <c r="W1109" s="106">
        <f>IF(J1109="Canvas",Q1109+Border,Q1109)</f>
        <v>56</v>
      </c>
      <c r="X1109" s="311" t="s">
        <v>2722</v>
      </c>
      <c r="Y1109" s="551"/>
      <c r="Z1109" s="551"/>
      <c r="AA1109" s="649">
        <f t="shared" si="390"/>
        <v>17.111111111111111</v>
      </c>
      <c r="AB1109" s="184">
        <f t="shared" si="392"/>
        <v>360.01777777777778</v>
      </c>
      <c r="AC1109" s="104">
        <f>AA1109*Canvas</f>
        <v>11.293333333333333</v>
      </c>
      <c r="AD1109" s="107">
        <f t="shared" si="393"/>
        <v>28.801422222222222</v>
      </c>
      <c r="AE1109" s="104">
        <f>IF(Table1[[#This Row],[Work Center]]="SwissQ",Materials!G$37,IF(Table1[[#This Row],[Work Center]]="Inca",Materials!G$29,IF(Table1[[#This Row],[Work Center]]="Canon",Materials!G$49,Materials!G$45)))</f>
        <v>8</v>
      </c>
      <c r="AF1109" s="104">
        <f>'Cali Frames'!D$133</f>
        <v>148.8725</v>
      </c>
      <c r="AG1109" s="115"/>
      <c r="AH1109" s="112">
        <f t="shared" si="391"/>
        <v>32.725000000000001</v>
      </c>
      <c r="AI1109" s="112"/>
      <c r="AJ1109" s="104">
        <f t="shared" si="389"/>
        <v>229.69225555555553</v>
      </c>
      <c r="AK1109" s="62">
        <f t="shared" si="394"/>
        <v>0.64905690518631698</v>
      </c>
      <c r="AL1109" s="225">
        <f>Table1[[#This Row],[WSP/Dealer]]/Table1[[#This Row],[OD Sq Inch]]</f>
        <v>0.34447368421052632</v>
      </c>
      <c r="AM1109" s="103">
        <f>Table1[[#This Row],[OD Wdth]]*Table1[[#This Row],[OD Hgt]]</f>
        <v>1900</v>
      </c>
      <c r="AN1109" s="216">
        <f>Table1[[#This Row],[Min VO]]+Table1[[#This Row],[Max VO]]</f>
        <v>84</v>
      </c>
      <c r="AO1109" s="101"/>
      <c r="AP1109" s="101"/>
      <c r="AQ1109" s="104"/>
      <c r="AR1109" s="104"/>
      <c r="AS1109" s="104"/>
      <c r="AT1109" s="104"/>
      <c r="AU1109" s="830" t="str">
        <f t="shared" si="388"/>
        <v>-</v>
      </c>
    </row>
    <row r="1110" spans="1:47" s="63" customFormat="1" x14ac:dyDescent="0.2">
      <c r="A1110" s="86" t="s">
        <v>58</v>
      </c>
      <c r="B1110" s="1061" t="s">
        <v>2452</v>
      </c>
      <c r="C1110" s="75" t="s">
        <v>2744</v>
      </c>
      <c r="D1110" s="94"/>
      <c r="E1110" s="85" t="s">
        <v>2745</v>
      </c>
      <c r="F1110" s="85" t="s">
        <v>386</v>
      </c>
      <c r="G1110" s="86" t="s">
        <v>115</v>
      </c>
      <c r="H1110" s="86" t="s">
        <v>115</v>
      </c>
      <c r="I1110" s="86" t="s">
        <v>52</v>
      </c>
      <c r="J1110" s="86" t="s">
        <v>53</v>
      </c>
      <c r="K1110" s="86" t="s">
        <v>54</v>
      </c>
      <c r="L1110" s="86" t="s">
        <v>55</v>
      </c>
      <c r="M1110" s="87">
        <v>750</v>
      </c>
      <c r="N1110" s="639">
        <v>830</v>
      </c>
      <c r="O1110" s="101" t="s">
        <v>56</v>
      </c>
      <c r="P1110" s="273">
        <v>48</v>
      </c>
      <c r="Q1110" s="273">
        <v>48</v>
      </c>
      <c r="R1110" s="60">
        <v>48</v>
      </c>
      <c r="S1110" s="273">
        <v>48</v>
      </c>
      <c r="T1110" s="273">
        <f>Table1[[#This Row],[VO Wdth]]</f>
        <v>48</v>
      </c>
      <c r="U1110" s="273">
        <f>Table1[[#This Row],[VO Hgt]]</f>
        <v>48</v>
      </c>
      <c r="V1110" s="106">
        <f>IF(J1110="Canvas",P1110+BorderGW,P1110)</f>
        <v>56</v>
      </c>
      <c r="W1110" s="106">
        <f>IF(J1110="Canvas",Q1110+BorderGW,Q1110)</f>
        <v>56</v>
      </c>
      <c r="X1110" s="311" t="s">
        <v>2722</v>
      </c>
      <c r="Y1110" s="551"/>
      <c r="Z1110" s="551"/>
      <c r="AA1110" s="649">
        <f t="shared" si="390"/>
        <v>21.777777777777779</v>
      </c>
      <c r="AB1110" s="184">
        <f t="shared" si="392"/>
        <v>458.20444444444445</v>
      </c>
      <c r="AC1110" s="104">
        <f>AA1110*Canvas</f>
        <v>14.373333333333335</v>
      </c>
      <c r="AD1110" s="107">
        <f t="shared" si="393"/>
        <v>36.656355555555557</v>
      </c>
      <c r="AE1110" s="104">
        <f>IF(Table1[[#This Row],[Work Center]]="SwissQ",Materials!G$37,IF(Table1[[#This Row],[Work Center]]="Inca",Materials!G$29,IF(Table1[[#This Row],[Work Center]]="Canon",Materials!G$49,Materials!G$45)))</f>
        <v>8</v>
      </c>
      <c r="AF1110" s="104">
        <f>'Cali FPS'!C$117</f>
        <v>119.7</v>
      </c>
      <c r="AG1110" s="115"/>
      <c r="AH1110" s="112">
        <f t="shared" si="391"/>
        <v>37.5</v>
      </c>
      <c r="AI1110" s="112"/>
      <c r="AJ1110" s="104">
        <f t="shared" si="389"/>
        <v>216.22968888888889</v>
      </c>
      <c r="AK1110" s="62">
        <f t="shared" si="394"/>
        <v>0.71169374814814823</v>
      </c>
      <c r="AL1110" s="225">
        <f>Table1[[#This Row],[WSP/Dealer]]/Table1[[#This Row],[OD Sq Inch]]</f>
        <v>0.32552083333333331</v>
      </c>
      <c r="AM1110" s="218">
        <f>Table1[[#This Row],[OD Wdth]]*Table1[[#This Row],[OD Hgt]]</f>
        <v>2304</v>
      </c>
      <c r="AN1110" s="216">
        <f>Table1[[#This Row],[Min VO]]+Table1[[#This Row],[Max VO]]</f>
        <v>96</v>
      </c>
      <c r="AO1110" s="101"/>
      <c r="AP1110" s="101"/>
      <c r="AQ1110" s="104"/>
      <c r="AR1110" s="104"/>
      <c r="AS1110" s="104"/>
      <c r="AT1110" s="104"/>
      <c r="AU1110" s="830" t="str">
        <f t="shared" si="388"/>
        <v>-</v>
      </c>
    </row>
    <row r="1111" spans="1:47" s="46" customFormat="1" x14ac:dyDescent="0.2">
      <c r="A1111" s="145" t="s">
        <v>58</v>
      </c>
      <c r="B1111" s="1061" t="s">
        <v>533</v>
      </c>
      <c r="C1111" s="146" t="s">
        <v>2746</v>
      </c>
      <c r="D1111" s="94" t="s">
        <v>2747</v>
      </c>
      <c r="E1111" s="146" t="s">
        <v>2748</v>
      </c>
      <c r="F1111" s="147" t="s">
        <v>386</v>
      </c>
      <c r="G1111" s="156" t="s">
        <v>405</v>
      </c>
      <c r="H1111" s="156" t="s">
        <v>405</v>
      </c>
      <c r="I1111" s="156" t="s">
        <v>52</v>
      </c>
      <c r="J1111" s="156" t="s">
        <v>53</v>
      </c>
      <c r="K1111" s="156" t="s">
        <v>54</v>
      </c>
      <c r="L1111" s="156" t="s">
        <v>55</v>
      </c>
      <c r="M1111" s="151">
        <v>750</v>
      </c>
      <c r="N1111" s="639">
        <v>830</v>
      </c>
      <c r="O1111" s="145" t="s">
        <v>56</v>
      </c>
      <c r="P1111" s="145">
        <v>48</v>
      </c>
      <c r="Q1111" s="145">
        <v>48</v>
      </c>
      <c r="R1111" s="145">
        <v>48</v>
      </c>
      <c r="S1111" s="145">
        <v>48</v>
      </c>
      <c r="T1111" s="698">
        <f>Table1[[#This Row],[VO Wdth]]</f>
        <v>48</v>
      </c>
      <c r="U1111" s="698">
        <f>Table1[[#This Row],[VO Hgt]]</f>
        <v>48</v>
      </c>
      <c r="V1111" s="149">
        <f t="shared" ref="V1111:V1132" si="395">IF(J1111="Canvas",P1111+Border,P1111)</f>
        <v>56</v>
      </c>
      <c r="W1111" s="149">
        <f t="shared" ref="W1111:W1132" si="396">IF(J1111="Canvas",Q1111+Border,Q1111)</f>
        <v>56</v>
      </c>
      <c r="X1111" s="311" t="s">
        <v>2722</v>
      </c>
      <c r="Y1111" s="145"/>
      <c r="Z1111" s="145"/>
      <c r="AA1111" s="722">
        <f t="shared" si="390"/>
        <v>21.777777777777779</v>
      </c>
      <c r="AB1111" s="389">
        <f t="shared" si="392"/>
        <v>458.20444444444445</v>
      </c>
      <c r="AC1111" s="143">
        <f>Table1[[#This Row],[Substrate SF]]*Paper</f>
        <v>29.465333333333334</v>
      </c>
      <c r="AD1111" s="150">
        <f t="shared" si="393"/>
        <v>36.656355555555557</v>
      </c>
      <c r="AE1111" s="104">
        <f>IF(Table1[[#This Row],[Work Center]]="SwissQ",Materials!G$37,IF(Table1[[#This Row],[Work Center]]="Inca",Materials!G$29,IF(Table1[[#This Row],[Work Center]]="Canon",Materials!G$49,Materials!G$45)))</f>
        <v>8</v>
      </c>
      <c r="AF1111" s="143">
        <f>'Cali FPS'!C$117</f>
        <v>119.7</v>
      </c>
      <c r="AG1111" s="115"/>
      <c r="AH1111" s="498">
        <f t="shared" si="391"/>
        <v>37.5</v>
      </c>
      <c r="AI1111" s="498"/>
      <c r="AJ1111" s="143">
        <f t="shared" si="389"/>
        <v>231.3216888888889</v>
      </c>
      <c r="AK1111" s="650">
        <f t="shared" si="394"/>
        <v>0.69157108148148139</v>
      </c>
      <c r="AL1111" s="225">
        <f>Table1[[#This Row],[WSP/Dealer]]/Table1[[#This Row],[OD Sq Inch]]</f>
        <v>0.32552083333333331</v>
      </c>
      <c r="AM1111" s="218">
        <f>Table1[[#This Row],[OD Wdth]]*Table1[[#This Row],[OD Hgt]]</f>
        <v>2304</v>
      </c>
      <c r="AN1111" s="216">
        <f>Table1[[#This Row],[Min VO]]+Table1[[#This Row],[Max VO]]</f>
        <v>96</v>
      </c>
      <c r="AO1111" s="144"/>
      <c r="AP1111" s="145"/>
      <c r="AQ1111" s="143"/>
      <c r="AR1111" s="143"/>
      <c r="AS1111" s="143"/>
      <c r="AT1111" s="143"/>
      <c r="AU1111" s="1814" t="str">
        <f t="shared" si="388"/>
        <v>-</v>
      </c>
    </row>
    <row r="1112" spans="1:47" s="170" customFormat="1" x14ac:dyDescent="0.2">
      <c r="A1112" s="60" t="s">
        <v>581</v>
      </c>
      <c r="B1112" s="1061" t="s">
        <v>292</v>
      </c>
      <c r="C1112" s="79" t="s">
        <v>2749</v>
      </c>
      <c r="D1112" s="94"/>
      <c r="E1112" s="99" t="s">
        <v>2750</v>
      </c>
      <c r="F1112" s="83" t="s">
        <v>289</v>
      </c>
      <c r="G1112" s="605" t="s">
        <v>2016</v>
      </c>
      <c r="H1112" s="605" t="s">
        <v>2017</v>
      </c>
      <c r="I1112" s="605" t="s">
        <v>52</v>
      </c>
      <c r="J1112" s="435" t="s">
        <v>53</v>
      </c>
      <c r="K1112" s="605" t="s">
        <v>82</v>
      </c>
      <c r="L1112" s="605" t="s">
        <v>298</v>
      </c>
      <c r="M1112" s="179">
        <v>1600</v>
      </c>
      <c r="N1112" s="124"/>
      <c r="O1112" s="60" t="s">
        <v>64</v>
      </c>
      <c r="P1112" s="60">
        <v>64</v>
      </c>
      <c r="Q1112" s="60">
        <v>80</v>
      </c>
      <c r="R1112" s="60">
        <v>64</v>
      </c>
      <c r="S1112" s="46">
        <v>80</v>
      </c>
      <c r="T1112" s="61">
        <v>66</v>
      </c>
      <c r="U1112" s="61">
        <v>82</v>
      </c>
      <c r="V1112" s="913">
        <f t="shared" si="395"/>
        <v>72</v>
      </c>
      <c r="W1112" s="913">
        <f t="shared" si="396"/>
        <v>88</v>
      </c>
      <c r="X1112" s="60">
        <v>82</v>
      </c>
      <c r="Y1112" s="60">
        <v>72</v>
      </c>
      <c r="Z1112" s="60">
        <v>88</v>
      </c>
      <c r="AA1112" s="826">
        <f t="shared" si="390"/>
        <v>44</v>
      </c>
      <c r="AB1112" s="723">
        <f>AA1112*Swiss1</f>
        <v>1245.2</v>
      </c>
      <c r="AC1112" s="69">
        <f t="shared" ref="AC1112:AC1132" si="397">AA1112*Canvas</f>
        <v>29.040000000000003</v>
      </c>
      <c r="AD1112" s="48">
        <f>Table1[[#This Row],[Substrate SF]]*Materials!C$37</f>
        <v>123.19999999999999</v>
      </c>
      <c r="AE1112" s="69">
        <f>IF(Table1[[#This Row],[Work Center]]="SwissQ",Materials!G$37,IF(Table1[[#This Row],[Work Center]]="Inca",Materials!G$29,IF(Table1[[#This Row],[Work Center]]="Canon",Materials!G$49,Materials!G$45)))</f>
        <v>20</v>
      </c>
      <c r="AF1112" s="72">
        <f>'Cali Frames'!D244</f>
        <v>380</v>
      </c>
      <c r="AG1112" s="540"/>
      <c r="AH1112" s="69">
        <f t="shared" si="391"/>
        <v>80</v>
      </c>
      <c r="AI1112" s="69"/>
      <c r="AJ1112" s="69">
        <f t="shared" si="389"/>
        <v>632.24</v>
      </c>
      <c r="AK1112" s="650">
        <f t="shared" si="394"/>
        <v>0.60485</v>
      </c>
      <c r="AL1112" s="225">
        <f>Table1[[#This Row],[WSP/Dealer]]/Table1[[#This Row],[OD Sq Inch]]</f>
        <v>0.29563932002956395</v>
      </c>
      <c r="AM1112" s="218">
        <f>Table1[[#This Row],[OD Wdth]]*Table1[[#This Row],[OD Hgt]]</f>
        <v>5412</v>
      </c>
      <c r="AN1112" s="216">
        <f>Table1[[#This Row],[Min VO]]+Table1[[#This Row],[Max VO]]</f>
        <v>144</v>
      </c>
      <c r="AO1112" s="83"/>
      <c r="AP1112" s="83"/>
      <c r="AQ1112" s="540"/>
      <c r="AR1112" s="540"/>
      <c r="AS1112" s="540"/>
      <c r="AT1112" s="69"/>
      <c r="AU1112" s="1361" t="str">
        <f t="shared" si="388"/>
        <v>-</v>
      </c>
    </row>
    <row r="1113" spans="1:47" s="173" customFormat="1" x14ac:dyDescent="0.2">
      <c r="A1113" s="180" t="s">
        <v>58</v>
      </c>
      <c r="B1113" s="1073" t="s">
        <v>1013</v>
      </c>
      <c r="C1113" s="281" t="s">
        <v>2751</v>
      </c>
      <c r="D1113" s="94"/>
      <c r="E1113" s="291" t="s">
        <v>2752</v>
      </c>
      <c r="F1113" s="284" t="s">
        <v>289</v>
      </c>
      <c r="G1113" s="181" t="s">
        <v>2017</v>
      </c>
      <c r="H1113" s="181" t="s">
        <v>2753</v>
      </c>
      <c r="I1113" s="181" t="s">
        <v>52</v>
      </c>
      <c r="J1113" s="886" t="s">
        <v>53</v>
      </c>
      <c r="K1113" s="181" t="s">
        <v>82</v>
      </c>
      <c r="L1113" s="181" t="s">
        <v>298</v>
      </c>
      <c r="M1113" s="292">
        <v>1650</v>
      </c>
      <c r="N1113" s="285"/>
      <c r="O1113" s="180" t="s">
        <v>64</v>
      </c>
      <c r="P1113" s="180">
        <v>66</v>
      </c>
      <c r="Q1113" s="180">
        <v>82</v>
      </c>
      <c r="R1113" s="180">
        <v>66</v>
      </c>
      <c r="S1113" s="180">
        <v>82</v>
      </c>
      <c r="T1113" s="813">
        <v>68</v>
      </c>
      <c r="U1113" s="813">
        <v>82</v>
      </c>
      <c r="V1113" s="947">
        <f t="shared" si="395"/>
        <v>74</v>
      </c>
      <c r="W1113" s="947">
        <f t="shared" si="396"/>
        <v>90</v>
      </c>
      <c r="X1113" s="180">
        <v>82</v>
      </c>
      <c r="Y1113" s="180">
        <v>74</v>
      </c>
      <c r="Z1113" s="180">
        <v>90</v>
      </c>
      <c r="AA1113" s="1058">
        <f t="shared" si="390"/>
        <v>46.25</v>
      </c>
      <c r="AB1113" s="1120">
        <f>AA1113*Swiss1</f>
        <v>1308.875</v>
      </c>
      <c r="AC1113" s="176">
        <f t="shared" si="397"/>
        <v>30.525000000000002</v>
      </c>
      <c r="AD1113" s="175">
        <f>Table1[[#This Row],[Substrate SF]]*Materials!C$37</f>
        <v>129.5</v>
      </c>
      <c r="AE1113" s="176">
        <f>IF(Table1[[#This Row],[Work Center]]="SwissQ",Materials!G$37,IF(Table1[[#This Row],[Work Center]]="Inca",Materials!G$29,IF(Table1[[#This Row],[Work Center]]="Canon",Materials!G$49,Materials!G$45)))</f>
        <v>20</v>
      </c>
      <c r="AF1113" s="290">
        <f>'Cali Frames'!D245</f>
        <v>400</v>
      </c>
      <c r="AG1113" s="296"/>
      <c r="AH1113" s="176">
        <f t="shared" si="391"/>
        <v>82.5</v>
      </c>
      <c r="AI1113" s="176"/>
      <c r="AJ1113" s="176">
        <f t="shared" si="389"/>
        <v>662.52499999999998</v>
      </c>
      <c r="AK1113" s="1201">
        <f t="shared" si="394"/>
        <v>0.59846969696969698</v>
      </c>
      <c r="AL1113" s="176">
        <f>Table1[[#This Row],[WSP/Dealer]]/Table1[[#This Row],[OD Sq Inch]]</f>
        <v>0.29591104734576756</v>
      </c>
      <c r="AM1113" s="173">
        <f>Table1[[#This Row],[OD Wdth]]*Table1[[#This Row],[OD Hgt]]</f>
        <v>5576</v>
      </c>
      <c r="AN1113" s="180">
        <f>Table1[[#This Row],[Min VO]]+Table1[[#This Row],[Max VO]]</f>
        <v>148</v>
      </c>
      <c r="AO1113" s="284"/>
      <c r="AP1113" s="284"/>
      <c r="AQ1113" s="296"/>
      <c r="AR1113" s="296"/>
      <c r="AS1113" s="296"/>
      <c r="AT1113" s="176"/>
      <c r="AU1113" s="1358" t="str">
        <f t="shared" si="388"/>
        <v>-</v>
      </c>
    </row>
    <row r="1114" spans="1:47" s="46" customFormat="1" hidden="1" x14ac:dyDescent="0.2">
      <c r="A1114" s="400" t="s">
        <v>95</v>
      </c>
      <c r="B1114" s="279" t="s">
        <v>96</v>
      </c>
      <c r="C1114" s="168" t="s">
        <v>2754</v>
      </c>
      <c r="D1114" s="94"/>
      <c r="E1114" s="169" t="s">
        <v>2755</v>
      </c>
      <c r="F1114" s="115" t="s">
        <v>124</v>
      </c>
      <c r="G1114" s="407" t="s">
        <v>395</v>
      </c>
      <c r="H1114" s="407" t="s">
        <v>396</v>
      </c>
      <c r="I1114" s="407" t="s">
        <v>52</v>
      </c>
      <c r="J1114" s="658" t="s">
        <v>53</v>
      </c>
      <c r="K1114" s="407" t="s">
        <v>69</v>
      </c>
      <c r="L1114" s="407" t="s">
        <v>73</v>
      </c>
      <c r="M1114" s="299">
        <v>1350</v>
      </c>
      <c r="N1114" s="102"/>
      <c r="O1114" s="101" t="s">
        <v>64</v>
      </c>
      <c r="P1114" s="101">
        <v>60</v>
      </c>
      <c r="Q1114" s="101">
        <v>60</v>
      </c>
      <c r="R1114" s="101">
        <v>60</v>
      </c>
      <c r="S1114" s="101">
        <v>60</v>
      </c>
      <c r="T1114" s="697">
        <v>61</v>
      </c>
      <c r="U1114" s="697">
        <v>61</v>
      </c>
      <c r="V1114" s="106">
        <f t="shared" si="395"/>
        <v>68</v>
      </c>
      <c r="W1114" s="106">
        <f t="shared" si="396"/>
        <v>68</v>
      </c>
      <c r="X1114" s="137">
        <v>69</v>
      </c>
      <c r="Y1114" s="101">
        <v>68</v>
      </c>
      <c r="Z1114" s="101">
        <v>68</v>
      </c>
      <c r="AA1114" s="649">
        <f t="shared" si="390"/>
        <v>32.111111111111114</v>
      </c>
      <c r="AB1114" s="184">
        <f>AA1114*Swiss1</f>
        <v>908.74444444444453</v>
      </c>
      <c r="AC1114" s="104">
        <f t="shared" si="397"/>
        <v>21.193333333333335</v>
      </c>
      <c r="AD1114" s="107">
        <f>Table1[[#This Row],[Substrate SF]]*Materials!C$37</f>
        <v>89.911111111111111</v>
      </c>
      <c r="AE1114" s="104">
        <f>IF(Table1[[#This Row],[Work Center]]="SwissQ",Materials!G$37,IF(Table1[[#This Row],[Work Center]]="Inca",Materials!G$29,IF(Table1[[#This Row],[Work Center]]="Canon",Materials!G$49,Materials!G$45)))</f>
        <v>20</v>
      </c>
      <c r="AF1114" s="102">
        <f>'Cali Frames'!D481</f>
        <v>235.28749999999997</v>
      </c>
      <c r="AG1114" s="115"/>
      <c r="AH1114" s="107">
        <f t="shared" si="391"/>
        <v>67.5</v>
      </c>
      <c r="AI1114" s="107"/>
      <c r="AJ1114" s="107">
        <f t="shared" si="389"/>
        <v>433.89194444444445</v>
      </c>
      <c r="AK1114" s="108">
        <f t="shared" si="394"/>
        <v>0.67859855967078186</v>
      </c>
      <c r="AL1114" s="660">
        <f>Table1[[#This Row],[WSP/Dealer]]/Table1[[#This Row],[OD Sq Inch]]</f>
        <v>0.36280569739317386</v>
      </c>
      <c r="AM1114" s="229">
        <f>Table1[[#This Row],[OD Wdth]]*Table1[[#This Row],[OD Hgt]]</f>
        <v>3721</v>
      </c>
      <c r="AN1114" s="266">
        <f>Table1[[#This Row],[Min VO]]+Table1[[#This Row],[Max VO]]</f>
        <v>120</v>
      </c>
      <c r="AO1114" s="115"/>
      <c r="AP1114" s="115"/>
      <c r="AQ1114" s="121"/>
      <c r="AR1114" s="121"/>
      <c r="AS1114" s="121"/>
      <c r="AT1114" s="104"/>
      <c r="AU1114" s="1359" t="str">
        <f t="shared" si="388"/>
        <v>-</v>
      </c>
    </row>
    <row r="1115" spans="1:47" s="103" customFormat="1" hidden="1" x14ac:dyDescent="0.2">
      <c r="A1115" s="101" t="s">
        <v>1287</v>
      </c>
      <c r="B1115" s="1064" t="s">
        <v>801</v>
      </c>
      <c r="C1115" s="625" t="s">
        <v>2756</v>
      </c>
      <c r="D1115" s="94"/>
      <c r="E1115" s="1266" t="s">
        <v>2757</v>
      </c>
      <c r="F1115" s="115" t="s">
        <v>1364</v>
      </c>
      <c r="G1115" s="101" t="s">
        <v>1290</v>
      </c>
      <c r="H1115" s="101" t="s">
        <v>1290</v>
      </c>
      <c r="I1115" s="407" t="s">
        <v>52</v>
      </c>
      <c r="J1115" s="658" t="s">
        <v>53</v>
      </c>
      <c r="K1115" s="101" t="s">
        <v>54</v>
      </c>
      <c r="L1115" s="407" t="s">
        <v>55</v>
      </c>
      <c r="M1115" s="114">
        <v>300</v>
      </c>
      <c r="N1115" s="114"/>
      <c r="O1115" s="101" t="s">
        <v>56</v>
      </c>
      <c r="P1115" s="101">
        <v>20</v>
      </c>
      <c r="Q1115" s="101">
        <v>30</v>
      </c>
      <c r="R1115" s="101">
        <v>20</v>
      </c>
      <c r="S1115" s="101">
        <v>30</v>
      </c>
      <c r="T1115" s="697">
        <v>20</v>
      </c>
      <c r="U1115" s="697">
        <v>30</v>
      </c>
      <c r="V1115" s="1178">
        <f t="shared" si="395"/>
        <v>28</v>
      </c>
      <c r="W1115" s="1178">
        <f t="shared" si="396"/>
        <v>38</v>
      </c>
      <c r="X1115" s="101">
        <v>40</v>
      </c>
      <c r="Y1115" s="101"/>
      <c r="Z1115" s="101"/>
      <c r="AA1115" s="649">
        <f t="shared" si="390"/>
        <v>7.3888888888888893</v>
      </c>
      <c r="AB1115" s="184">
        <f>AA1115*IncaG</f>
        <v>155.46222222222224</v>
      </c>
      <c r="AC1115" s="104">
        <f t="shared" si="397"/>
        <v>4.8766666666666669</v>
      </c>
      <c r="AD1115" s="1066">
        <f>Table1[[#This Row],[Substrate SF]]*IncaC</f>
        <v>12.436977777777779</v>
      </c>
      <c r="AE1115" s="406">
        <f>IF(Table1[[#This Row],[Work Center]]="SwissQ",Materials!G$37,IF(Table1[[#This Row],[Work Center]]="Inca",Materials!G$29,IF(Table1[[#This Row],[Work Center]]="Canon",Materials!G$49,Materials!G$45)))</f>
        <v>8</v>
      </c>
      <c r="AF1115" s="102">
        <f>'Cali FPS'!C28</f>
        <v>62.93</v>
      </c>
      <c r="AG1115" s="115"/>
      <c r="AH1115" s="406">
        <f t="shared" si="391"/>
        <v>15</v>
      </c>
      <c r="AI1115" s="406"/>
      <c r="AJ1115" s="405">
        <f t="shared" si="389"/>
        <v>103.24364444444444</v>
      </c>
      <c r="AK1115" s="1065">
        <f t="shared" si="394"/>
        <v>0.6558545185185185</v>
      </c>
      <c r="AL1115" s="406">
        <f>Table1[[#This Row],[WSP/Dealer]]/Table1[[#This Row],[OD Sq Inch]]</f>
        <v>0.5</v>
      </c>
      <c r="AM1115" s="399">
        <f>Table1[[#This Row],[OD Wdth]]*Table1[[#This Row],[OD Hgt]]</f>
        <v>600</v>
      </c>
      <c r="AN1115" s="400">
        <f>Table1[[#This Row],[Min VO]]+Table1[[#This Row],[Max VO]]</f>
        <v>50</v>
      </c>
      <c r="AO1115" s="115"/>
      <c r="AP1115" s="115"/>
      <c r="AQ1115" s="121"/>
      <c r="AR1115" s="121"/>
      <c r="AS1115" s="121"/>
      <c r="AT1115" s="104"/>
      <c r="AU1115" s="1359" t="str">
        <f t="shared" si="388"/>
        <v>-</v>
      </c>
    </row>
    <row r="1116" spans="1:47" s="103" customFormat="1" ht="16" x14ac:dyDescent="0.2">
      <c r="A1116" s="60" t="s">
        <v>58</v>
      </c>
      <c r="B1116" s="279" t="s">
        <v>587</v>
      </c>
      <c r="C1116" s="1677" t="s">
        <v>2758</v>
      </c>
      <c r="D1116" s="94"/>
      <c r="E1116" s="294" t="s">
        <v>2759</v>
      </c>
      <c r="F1116" s="294" t="s">
        <v>1364</v>
      </c>
      <c r="G1116" s="295" t="s">
        <v>362</v>
      </c>
      <c r="H1116" s="295" t="s">
        <v>1888</v>
      </c>
      <c r="I1116" s="181" t="s">
        <v>52</v>
      </c>
      <c r="J1116" s="181" t="s">
        <v>53</v>
      </c>
      <c r="K1116" s="295" t="s">
        <v>69</v>
      </c>
      <c r="L1116" s="181" t="s">
        <v>73</v>
      </c>
      <c r="M1116" s="292">
        <v>800</v>
      </c>
      <c r="N1116" s="639">
        <v>750</v>
      </c>
      <c r="O1116" s="180" t="s">
        <v>64</v>
      </c>
      <c r="P1116" s="180">
        <v>32</v>
      </c>
      <c r="Q1116" s="180">
        <v>42</v>
      </c>
      <c r="R1116" s="60">
        <v>32</v>
      </c>
      <c r="S1116" s="60">
        <v>42</v>
      </c>
      <c r="T1116" s="698">
        <f>Table1[[#This Row],[VO Wdth]]+1</f>
        <v>33</v>
      </c>
      <c r="U1116" s="698">
        <f>Table1[[#This Row],[VO Hgt]]+1</f>
        <v>43</v>
      </c>
      <c r="V1116" s="149">
        <f t="shared" si="395"/>
        <v>40</v>
      </c>
      <c r="W1116" s="149">
        <f t="shared" si="396"/>
        <v>50</v>
      </c>
      <c r="X1116" s="289">
        <v>40</v>
      </c>
      <c r="Y1116" s="180"/>
      <c r="Z1116" s="180"/>
      <c r="AA1116" s="717">
        <f t="shared" si="390"/>
        <v>13.888888888888889</v>
      </c>
      <c r="AB1116" s="125">
        <f t="shared" ref="AB1116:AB1121" si="398">AA1116*Swiss1</f>
        <v>393.0555555555556</v>
      </c>
      <c r="AC1116" s="69">
        <f t="shared" si="397"/>
        <v>9.1666666666666679</v>
      </c>
      <c r="AD1116" s="48">
        <f>Table1[[#This Row],[Substrate SF]]*Materials!C$37</f>
        <v>38.888888888888886</v>
      </c>
      <c r="AE1116" s="104">
        <f>IF(Table1[[#This Row],[Work Center]]="SwissQ",Materials!G$37,IF(Table1[[#This Row],[Work Center]]="Inca",Materials!G$29,IF(Table1[[#This Row],[Work Center]]="Canon",Materials!G$49,Materials!G$45)))</f>
        <v>20</v>
      </c>
      <c r="AF1116" s="69">
        <f>'Cali Frames'!D431</f>
        <v>163.08000000000001</v>
      </c>
      <c r="AG1116" s="83"/>
      <c r="AH1116" s="498">
        <f t="shared" si="391"/>
        <v>40</v>
      </c>
      <c r="AI1116" s="498"/>
      <c r="AJ1116" s="69">
        <f t="shared" si="389"/>
        <v>271.13555555555558</v>
      </c>
      <c r="AK1116" s="650">
        <f t="shared" si="394"/>
        <v>0.66108055555555556</v>
      </c>
      <c r="AL1116" s="225">
        <f>Table1[[#This Row],[WSP/Dealer]]/Table1[[#This Row],[OD Sq Inch]]</f>
        <v>0.56377730796335446</v>
      </c>
      <c r="AM1116" s="46">
        <f>Table1[[#This Row],[OD Wdth]]*Table1[[#This Row],[OD Hgt]]</f>
        <v>1419</v>
      </c>
      <c r="AN1116" s="216">
        <f>Table1[[#This Row],[Min VO]]+Table1[[#This Row],[Max VO]]</f>
        <v>74</v>
      </c>
      <c r="AO1116" s="284"/>
      <c r="AP1116" s="284"/>
      <c r="AQ1116" s="296"/>
      <c r="AR1116" s="296"/>
      <c r="AS1116" s="296"/>
      <c r="AT1116" s="176"/>
      <c r="AU1116" s="1358" t="str">
        <f t="shared" si="388"/>
        <v>-</v>
      </c>
    </row>
    <row r="1117" spans="1:47" s="63" customFormat="1" ht="16" x14ac:dyDescent="0.2">
      <c r="A1117" s="68" t="s">
        <v>58</v>
      </c>
      <c r="B1117" s="279" t="s">
        <v>587</v>
      </c>
      <c r="C1117" s="1416" t="s">
        <v>2758</v>
      </c>
      <c r="D1117" s="94"/>
      <c r="E1117" s="313" t="s">
        <v>2760</v>
      </c>
      <c r="F1117" s="313" t="s">
        <v>1364</v>
      </c>
      <c r="G1117" s="314" t="s">
        <v>362</v>
      </c>
      <c r="H1117" s="314" t="s">
        <v>1888</v>
      </c>
      <c r="I1117" s="315" t="s">
        <v>52</v>
      </c>
      <c r="J1117" s="315" t="s">
        <v>53</v>
      </c>
      <c r="K1117" s="314" t="s">
        <v>69</v>
      </c>
      <c r="L1117" s="315" t="s">
        <v>73</v>
      </c>
      <c r="M1117" s="178">
        <v>850</v>
      </c>
      <c r="N1117" s="639">
        <v>750</v>
      </c>
      <c r="O1117" s="274" t="s">
        <v>64</v>
      </c>
      <c r="P1117" s="274">
        <v>32</v>
      </c>
      <c r="Q1117" s="274">
        <v>42</v>
      </c>
      <c r="R1117" s="68">
        <v>32</v>
      </c>
      <c r="S1117" s="68">
        <v>42</v>
      </c>
      <c r="T1117" s="916">
        <f>Table1[[#This Row],[VO Wdth]]+1</f>
        <v>33</v>
      </c>
      <c r="U1117" s="916">
        <f>Table1[[#This Row],[VO Hgt]]+1</f>
        <v>43</v>
      </c>
      <c r="V1117" s="160">
        <f t="shared" si="395"/>
        <v>40</v>
      </c>
      <c r="W1117" s="160">
        <f t="shared" si="396"/>
        <v>50</v>
      </c>
      <c r="X1117" s="343">
        <v>40</v>
      </c>
      <c r="Y1117" s="274"/>
      <c r="Z1117" s="274"/>
      <c r="AA1117" s="699">
        <f t="shared" si="390"/>
        <v>13.888888888888889</v>
      </c>
      <c r="AB1117" s="297">
        <f t="shared" si="398"/>
        <v>393.0555555555556</v>
      </c>
      <c r="AC1117" s="74">
        <f t="shared" si="397"/>
        <v>9.1666666666666679</v>
      </c>
      <c r="AD1117" s="67">
        <f>Table1[[#This Row],[Substrate SF]]*Materials!C$37</f>
        <v>38.888888888888886</v>
      </c>
      <c r="AE1117" s="104">
        <f>IF(Table1[[#This Row],[Work Center]]="SwissQ",Materials!G$37,IF(Table1[[#This Row],[Work Center]]="Inca",Materials!G$29,IF(Table1[[#This Row],[Work Center]]="Canon",Materials!G$49,Materials!G$45)))</f>
        <v>20</v>
      </c>
      <c r="AF1117" s="74">
        <f>'Cali Frames'!D564</f>
        <v>175.4375</v>
      </c>
      <c r="AG1117" s="84"/>
      <c r="AH1117" s="112">
        <f t="shared" si="391"/>
        <v>42.5</v>
      </c>
      <c r="AI1117" s="112"/>
      <c r="AJ1117" s="74">
        <f t="shared" si="389"/>
        <v>285.99305555555554</v>
      </c>
      <c r="AK1117" s="62">
        <f t="shared" si="394"/>
        <v>0.6635375816993464</v>
      </c>
      <c r="AL1117" s="225">
        <f>Table1[[#This Row],[WSP/Dealer]]/Table1[[#This Row],[OD Sq Inch]]</f>
        <v>0.5990133897110641</v>
      </c>
      <c r="AM1117" s="63">
        <f>Table1[[#This Row],[OD Wdth]]*Table1[[#This Row],[OD Hgt]]</f>
        <v>1419</v>
      </c>
      <c r="AN1117" s="238">
        <f>Table1[[#This Row],[Min VO]]+Table1[[#This Row],[Max VO]]</f>
        <v>74</v>
      </c>
      <c r="AO1117" s="275"/>
      <c r="AP1117" s="275"/>
      <c r="AQ1117" s="320"/>
      <c r="AR1117" s="320"/>
      <c r="AS1117" s="320"/>
      <c r="AT1117" s="278"/>
      <c r="AU1117" s="1368" t="str">
        <f t="shared" si="388"/>
        <v>-</v>
      </c>
    </row>
    <row r="1118" spans="1:47" s="103" customFormat="1" ht="16" x14ac:dyDescent="0.2">
      <c r="A1118" s="60" t="s">
        <v>58</v>
      </c>
      <c r="B1118" s="279" t="s">
        <v>587</v>
      </c>
      <c r="C1118" s="1677" t="s">
        <v>2761</v>
      </c>
      <c r="D1118" s="94"/>
      <c r="E1118" s="294" t="s">
        <v>2762</v>
      </c>
      <c r="F1118" s="294" t="s">
        <v>1364</v>
      </c>
      <c r="G1118" s="295" t="s">
        <v>362</v>
      </c>
      <c r="H1118" s="295" t="s">
        <v>1888</v>
      </c>
      <c r="I1118" s="181" t="s">
        <v>52</v>
      </c>
      <c r="J1118" s="181" t="s">
        <v>53</v>
      </c>
      <c r="K1118" s="295" t="s">
        <v>69</v>
      </c>
      <c r="L1118" s="181" t="s">
        <v>73</v>
      </c>
      <c r="M1118" s="292">
        <v>800</v>
      </c>
      <c r="N1118" s="639">
        <v>750</v>
      </c>
      <c r="O1118" s="180" t="s">
        <v>64</v>
      </c>
      <c r="P1118" s="180">
        <v>32</v>
      </c>
      <c r="Q1118" s="180">
        <v>42</v>
      </c>
      <c r="R1118" s="60">
        <v>32</v>
      </c>
      <c r="S1118" s="60">
        <v>42</v>
      </c>
      <c r="T1118" s="698">
        <f>Table1[[#This Row],[VO Wdth]]+1</f>
        <v>33</v>
      </c>
      <c r="U1118" s="698">
        <f>Table1[[#This Row],[VO Hgt]]+1</f>
        <v>43</v>
      </c>
      <c r="V1118" s="149">
        <f t="shared" si="395"/>
        <v>40</v>
      </c>
      <c r="W1118" s="149">
        <f t="shared" si="396"/>
        <v>50</v>
      </c>
      <c r="X1118" s="289">
        <v>40</v>
      </c>
      <c r="Y1118" s="180"/>
      <c r="Z1118" s="180"/>
      <c r="AA1118" s="717">
        <f t="shared" si="390"/>
        <v>13.888888888888889</v>
      </c>
      <c r="AB1118" s="125">
        <f t="shared" si="398"/>
        <v>393.0555555555556</v>
      </c>
      <c r="AC1118" s="69">
        <f t="shared" si="397"/>
        <v>9.1666666666666679</v>
      </c>
      <c r="AD1118" s="48">
        <f>Table1[[#This Row],[Substrate SF]]*Materials!C$37</f>
        <v>38.888888888888886</v>
      </c>
      <c r="AE1118" s="104">
        <f>IF(Table1[[#This Row],[Work Center]]="SwissQ",Materials!G$37,IF(Table1[[#This Row],[Work Center]]="Inca",Materials!G$29,IF(Table1[[#This Row],[Work Center]]="Canon",Materials!G$49,Materials!G$45)))</f>
        <v>20</v>
      </c>
      <c r="AF1118" s="69">
        <f>'Cali Frames'!D431</f>
        <v>163.08000000000001</v>
      </c>
      <c r="AG1118" s="83"/>
      <c r="AH1118" s="498">
        <f t="shared" si="391"/>
        <v>40</v>
      </c>
      <c r="AI1118" s="498"/>
      <c r="AJ1118" s="69">
        <f t="shared" si="389"/>
        <v>271.13555555555558</v>
      </c>
      <c r="AK1118" s="650">
        <f t="shared" si="394"/>
        <v>0.66108055555555556</v>
      </c>
      <c r="AL1118" s="225">
        <f>Table1[[#This Row],[WSP/Dealer]]/Table1[[#This Row],[OD Sq Inch]]</f>
        <v>0.56377730796335446</v>
      </c>
      <c r="AM1118" s="46">
        <f>Table1[[#This Row],[OD Wdth]]*Table1[[#This Row],[OD Hgt]]</f>
        <v>1419</v>
      </c>
      <c r="AN1118" s="216">
        <f>Table1[[#This Row],[Min VO]]+Table1[[#This Row],[Max VO]]</f>
        <v>74</v>
      </c>
      <c r="AO1118" s="284"/>
      <c r="AP1118" s="284"/>
      <c r="AQ1118" s="296"/>
      <c r="AR1118" s="296"/>
      <c r="AS1118" s="296"/>
      <c r="AT1118" s="176"/>
      <c r="AU1118" s="1358" t="str">
        <f t="shared" si="388"/>
        <v>-</v>
      </c>
    </row>
    <row r="1119" spans="1:47" s="173" customFormat="1" ht="16" x14ac:dyDescent="0.2">
      <c r="A1119" s="68" t="s">
        <v>58</v>
      </c>
      <c r="B1119" s="279" t="s">
        <v>587</v>
      </c>
      <c r="C1119" s="1416" t="s">
        <v>2761</v>
      </c>
      <c r="D1119" s="94"/>
      <c r="E1119" s="313" t="s">
        <v>2763</v>
      </c>
      <c r="F1119" s="313" t="s">
        <v>1364</v>
      </c>
      <c r="G1119" s="314" t="s">
        <v>362</v>
      </c>
      <c r="H1119" s="314" t="s">
        <v>1888</v>
      </c>
      <c r="I1119" s="315" t="s">
        <v>52</v>
      </c>
      <c r="J1119" s="315" t="s">
        <v>53</v>
      </c>
      <c r="K1119" s="314" t="s">
        <v>69</v>
      </c>
      <c r="L1119" s="315" t="s">
        <v>73</v>
      </c>
      <c r="M1119" s="178">
        <v>850</v>
      </c>
      <c r="N1119" s="639">
        <v>750</v>
      </c>
      <c r="O1119" s="274" t="s">
        <v>64</v>
      </c>
      <c r="P1119" s="274">
        <v>32</v>
      </c>
      <c r="Q1119" s="274">
        <v>42</v>
      </c>
      <c r="R1119" s="68">
        <v>32</v>
      </c>
      <c r="S1119" s="68">
        <v>42</v>
      </c>
      <c r="T1119" s="916">
        <f>Table1[[#This Row],[VO Wdth]]+1</f>
        <v>33</v>
      </c>
      <c r="U1119" s="916">
        <f>Table1[[#This Row],[VO Hgt]]+1</f>
        <v>43</v>
      </c>
      <c r="V1119" s="160">
        <f t="shared" si="395"/>
        <v>40</v>
      </c>
      <c r="W1119" s="160">
        <f t="shared" si="396"/>
        <v>50</v>
      </c>
      <c r="X1119" s="343">
        <v>40</v>
      </c>
      <c r="Y1119" s="274"/>
      <c r="Z1119" s="274"/>
      <c r="AA1119" s="699">
        <f t="shared" si="390"/>
        <v>13.888888888888889</v>
      </c>
      <c r="AB1119" s="297">
        <f t="shared" si="398"/>
        <v>393.0555555555556</v>
      </c>
      <c r="AC1119" s="74">
        <f t="shared" si="397"/>
        <v>9.1666666666666679</v>
      </c>
      <c r="AD1119" s="67">
        <f>Table1[[#This Row],[Substrate SF]]*Materials!C$37</f>
        <v>38.888888888888886</v>
      </c>
      <c r="AE1119" s="104">
        <f>IF(Table1[[#This Row],[Work Center]]="SwissQ",Materials!G$37,IF(Table1[[#This Row],[Work Center]]="Inca",Materials!G$29,IF(Table1[[#This Row],[Work Center]]="Canon",Materials!G$49,Materials!G$45)))</f>
        <v>20</v>
      </c>
      <c r="AF1119" s="74">
        <f>'Cali Frames'!D564</f>
        <v>175.4375</v>
      </c>
      <c r="AG1119" s="84"/>
      <c r="AH1119" s="498">
        <f t="shared" si="391"/>
        <v>42.5</v>
      </c>
      <c r="AI1119" s="498"/>
      <c r="AJ1119" s="74">
        <f t="shared" si="389"/>
        <v>285.99305555555554</v>
      </c>
      <c r="AK1119" s="650">
        <f t="shared" si="394"/>
        <v>0.6635375816993464</v>
      </c>
      <c r="AL1119" s="225">
        <f>Table1[[#This Row],[WSP/Dealer]]/Table1[[#This Row],[OD Sq Inch]]</f>
        <v>0.5990133897110641</v>
      </c>
      <c r="AM1119" s="63">
        <f>Table1[[#This Row],[OD Wdth]]*Table1[[#This Row],[OD Hgt]]</f>
        <v>1419</v>
      </c>
      <c r="AN1119" s="238">
        <f>Table1[[#This Row],[Min VO]]+Table1[[#This Row],[Max VO]]</f>
        <v>74</v>
      </c>
      <c r="AO1119" s="275"/>
      <c r="AP1119" s="275"/>
      <c r="AQ1119" s="320"/>
      <c r="AR1119" s="320"/>
      <c r="AS1119" s="320"/>
      <c r="AT1119" s="278"/>
      <c r="AU1119" s="1368" t="str">
        <f t="shared" si="388"/>
        <v>-</v>
      </c>
    </row>
    <row r="1120" spans="1:47" s="103" customFormat="1" ht="16" x14ac:dyDescent="0.2">
      <c r="A1120" s="60" t="s">
        <v>58</v>
      </c>
      <c r="B1120" s="1061" t="s">
        <v>587</v>
      </c>
      <c r="C1120" s="1677" t="s">
        <v>2764</v>
      </c>
      <c r="D1120" s="94"/>
      <c r="E1120" s="294" t="s">
        <v>2765</v>
      </c>
      <c r="F1120" s="294" t="s">
        <v>1364</v>
      </c>
      <c r="G1120" s="295" t="s">
        <v>362</v>
      </c>
      <c r="H1120" s="295" t="s">
        <v>1888</v>
      </c>
      <c r="I1120" s="181" t="s">
        <v>52</v>
      </c>
      <c r="J1120" s="181" t="s">
        <v>53</v>
      </c>
      <c r="K1120" s="295" t="s">
        <v>69</v>
      </c>
      <c r="L1120" s="181" t="s">
        <v>73</v>
      </c>
      <c r="M1120" s="292">
        <v>800</v>
      </c>
      <c r="N1120" s="639">
        <v>750</v>
      </c>
      <c r="O1120" s="180" t="s">
        <v>64</v>
      </c>
      <c r="P1120" s="173">
        <v>32</v>
      </c>
      <c r="Q1120" s="173">
        <v>42</v>
      </c>
      <c r="R1120" s="60">
        <v>32</v>
      </c>
      <c r="S1120" s="46">
        <v>42</v>
      </c>
      <c r="T1120" s="1777">
        <f>Table1[[#This Row],[VO Wdth]]+1</f>
        <v>33</v>
      </c>
      <c r="U1120" s="1777">
        <f>Table1[[#This Row],[VO Hgt]]+1</f>
        <v>43</v>
      </c>
      <c r="V1120" s="149">
        <f t="shared" si="395"/>
        <v>40</v>
      </c>
      <c r="W1120" s="149">
        <f t="shared" si="396"/>
        <v>50</v>
      </c>
      <c r="X1120" s="289">
        <v>40</v>
      </c>
      <c r="Y1120" s="180"/>
      <c r="Z1120" s="180"/>
      <c r="AA1120" s="717">
        <f t="shared" si="390"/>
        <v>13.888888888888889</v>
      </c>
      <c r="AB1120" s="125">
        <f t="shared" si="398"/>
        <v>393.0555555555556</v>
      </c>
      <c r="AC1120" s="69">
        <f t="shared" si="397"/>
        <v>9.1666666666666679</v>
      </c>
      <c r="AD1120" s="48">
        <f>Table1[[#This Row],[Substrate SF]]*Materials!C$37</f>
        <v>38.888888888888886</v>
      </c>
      <c r="AE1120" s="104">
        <f>IF(Table1[[#This Row],[Work Center]]="SwissQ",Materials!G$37,IF(Table1[[#This Row],[Work Center]]="Inca",Materials!G$29,IF(Table1[[#This Row],[Work Center]]="Canon",Materials!G$49,Materials!G$45)))</f>
        <v>20</v>
      </c>
      <c r="AF1120" s="69">
        <f>'Cali Frames'!D431</f>
        <v>163.08000000000001</v>
      </c>
      <c r="AG1120" s="83"/>
      <c r="AH1120" s="498">
        <f t="shared" si="391"/>
        <v>40</v>
      </c>
      <c r="AI1120" s="498"/>
      <c r="AJ1120" s="69">
        <f t="shared" si="389"/>
        <v>271.13555555555558</v>
      </c>
      <c r="AK1120" s="650">
        <f t="shared" si="394"/>
        <v>0.66108055555555556</v>
      </c>
      <c r="AL1120" s="225">
        <f>Table1[[#This Row],[WSP/Dealer]]/Table1[[#This Row],[OD Sq Inch]]</f>
        <v>0.56377730796335446</v>
      </c>
      <c r="AM1120" s="218">
        <f>Table1[[#This Row],[OD Wdth]]*Table1[[#This Row],[OD Hgt]]</f>
        <v>1419</v>
      </c>
      <c r="AN1120" s="216">
        <f>Table1[[#This Row],[Min VO]]+Table1[[#This Row],[Max VO]]</f>
        <v>74</v>
      </c>
      <c r="AO1120" s="286"/>
      <c r="AP1120" s="284"/>
      <c r="AQ1120" s="296"/>
      <c r="AR1120" s="296"/>
      <c r="AS1120" s="296"/>
      <c r="AT1120" s="176"/>
      <c r="AU1120" s="1362" t="str">
        <f t="shared" si="388"/>
        <v>-</v>
      </c>
    </row>
    <row r="1121" spans="1:47" s="103" customFormat="1" ht="16" x14ac:dyDescent="0.2">
      <c r="A1121" s="68" t="s">
        <v>58</v>
      </c>
      <c r="B1121" s="279" t="s">
        <v>587</v>
      </c>
      <c r="C1121" s="1416" t="s">
        <v>2764</v>
      </c>
      <c r="D1121" s="94"/>
      <c r="E1121" s="313" t="s">
        <v>2766</v>
      </c>
      <c r="F1121" s="313" t="s">
        <v>1364</v>
      </c>
      <c r="G1121" s="314" t="s">
        <v>362</v>
      </c>
      <c r="H1121" s="314" t="s">
        <v>1888</v>
      </c>
      <c r="I1121" s="315" t="s">
        <v>52</v>
      </c>
      <c r="J1121" s="315" t="s">
        <v>53</v>
      </c>
      <c r="K1121" s="314" t="s">
        <v>69</v>
      </c>
      <c r="L1121" s="315" t="s">
        <v>73</v>
      </c>
      <c r="M1121" s="178">
        <v>850</v>
      </c>
      <c r="N1121" s="639">
        <v>750</v>
      </c>
      <c r="O1121" s="274" t="s">
        <v>64</v>
      </c>
      <c r="P1121" s="274">
        <v>32</v>
      </c>
      <c r="Q1121" s="274">
        <v>42</v>
      </c>
      <c r="R1121" s="68">
        <v>32</v>
      </c>
      <c r="S1121" s="68">
        <v>42</v>
      </c>
      <c r="T1121" s="916">
        <f>Table1[[#This Row],[VO Wdth]]+1</f>
        <v>33</v>
      </c>
      <c r="U1121" s="916">
        <f>Table1[[#This Row],[VO Hgt]]+1</f>
        <v>43</v>
      </c>
      <c r="V1121" s="1198">
        <f t="shared" si="395"/>
        <v>40</v>
      </c>
      <c r="W1121" s="1198">
        <f t="shared" si="396"/>
        <v>50</v>
      </c>
      <c r="X1121" s="343">
        <v>40</v>
      </c>
      <c r="Y1121" s="274"/>
      <c r="Z1121" s="274"/>
      <c r="AA1121" s="699">
        <f t="shared" si="390"/>
        <v>13.888888888888889</v>
      </c>
      <c r="AB1121" s="297">
        <f t="shared" si="398"/>
        <v>393.0555555555556</v>
      </c>
      <c r="AC1121" s="74">
        <f t="shared" si="397"/>
        <v>9.1666666666666679</v>
      </c>
      <c r="AD1121" s="67">
        <f>Table1[[#This Row],[Substrate SF]]*Materials!C$37</f>
        <v>38.888888888888886</v>
      </c>
      <c r="AE1121" s="104">
        <f>IF(Table1[[#This Row],[Work Center]]="SwissQ",Materials!G$37,IF(Table1[[#This Row],[Work Center]]="Inca",Materials!G$29,IF(Table1[[#This Row],[Work Center]]="Canon",Materials!G$49,Materials!G$45)))</f>
        <v>20</v>
      </c>
      <c r="AF1121" s="74">
        <f>'Cali Frames'!D564</f>
        <v>175.4375</v>
      </c>
      <c r="AG1121" s="84"/>
      <c r="AH1121" s="498">
        <f t="shared" si="391"/>
        <v>42.5</v>
      </c>
      <c r="AI1121" s="498"/>
      <c r="AJ1121" s="67">
        <f t="shared" si="389"/>
        <v>285.99305555555554</v>
      </c>
      <c r="AK1121" s="650">
        <f t="shared" si="394"/>
        <v>0.6635375816993464</v>
      </c>
      <c r="AL1121" s="225">
        <f>Table1[[#This Row],[WSP/Dealer]]/Table1[[#This Row],[OD Sq Inch]]</f>
        <v>0.5990133897110641</v>
      </c>
      <c r="AM1121" s="235">
        <f>Table1[[#This Row],[OD Wdth]]*Table1[[#This Row],[OD Hgt]]</f>
        <v>1419</v>
      </c>
      <c r="AN1121" s="238">
        <f>Table1[[#This Row],[Min VO]]+Table1[[#This Row],[Max VO]]</f>
        <v>74</v>
      </c>
      <c r="AO1121" s="275"/>
      <c r="AP1121" s="275"/>
      <c r="AQ1121" s="320"/>
      <c r="AR1121" s="320"/>
      <c r="AS1121" s="320"/>
      <c r="AT1121" s="278"/>
      <c r="AU1121" s="1368" t="str">
        <f t="shared" si="388"/>
        <v>-</v>
      </c>
    </row>
    <row r="1122" spans="1:47" s="103" customFormat="1" x14ac:dyDescent="0.2">
      <c r="A1122" s="86" t="s">
        <v>58</v>
      </c>
      <c r="B1122" s="1061" t="s">
        <v>527</v>
      </c>
      <c r="C1122" s="183" t="s">
        <v>2767</v>
      </c>
      <c r="D1122" s="94" t="s">
        <v>2768</v>
      </c>
      <c r="E1122" s="85" t="s">
        <v>2769</v>
      </c>
      <c r="F1122" s="85" t="s">
        <v>531</v>
      </c>
      <c r="G1122" s="86" t="s">
        <v>1647</v>
      </c>
      <c r="H1122" s="86" t="s">
        <v>1647</v>
      </c>
      <c r="I1122" s="86" t="s">
        <v>52</v>
      </c>
      <c r="J1122" s="86" t="s">
        <v>53</v>
      </c>
      <c r="K1122" s="86" t="s">
        <v>54</v>
      </c>
      <c r="L1122" s="86" t="s">
        <v>55</v>
      </c>
      <c r="M1122" s="87">
        <v>700</v>
      </c>
      <c r="N1122" s="639">
        <v>760</v>
      </c>
      <c r="O1122" s="551" t="s">
        <v>56</v>
      </c>
      <c r="P1122" s="101">
        <v>48</v>
      </c>
      <c r="Q1122" s="101">
        <v>38</v>
      </c>
      <c r="R1122" s="101">
        <v>38</v>
      </c>
      <c r="S1122" s="101">
        <v>48</v>
      </c>
      <c r="T1122" s="273">
        <f>Table1[[#This Row],[VO Wdth]]</f>
        <v>48</v>
      </c>
      <c r="U1122" s="273">
        <f>Table1[[#This Row],[VO Hgt]]</f>
        <v>38</v>
      </c>
      <c r="V1122" s="608">
        <f t="shared" si="395"/>
        <v>56</v>
      </c>
      <c r="W1122" s="608">
        <f t="shared" si="396"/>
        <v>46</v>
      </c>
      <c r="X1122" s="311" t="s">
        <v>2722</v>
      </c>
      <c r="Y1122" s="551"/>
      <c r="Z1122" s="551"/>
      <c r="AA1122" s="649">
        <f t="shared" si="390"/>
        <v>17.888888888888889</v>
      </c>
      <c r="AB1122" s="184">
        <f t="shared" ref="AB1122:AB1128" si="399">AA1122*IncaG</f>
        <v>376.3822222222222</v>
      </c>
      <c r="AC1122" s="104">
        <f t="shared" si="397"/>
        <v>11.806666666666667</v>
      </c>
      <c r="AD1122" s="107">
        <f>Table1[[#This Row],[Substrate SF]]*IncaC</f>
        <v>30.110577777777777</v>
      </c>
      <c r="AE1122" s="104">
        <f>IF(Table1[[#This Row],[Work Center]]="SwissQ",Materials!G$37,IF(Table1[[#This Row],[Work Center]]="Inca",Materials!G$29,IF(Table1[[#This Row],[Work Center]]="Canon",Materials!G$49,Materials!G$45)))</f>
        <v>8</v>
      </c>
      <c r="AF1122" s="74">
        <f>'Cali FPS'!C78</f>
        <v>114.31</v>
      </c>
      <c r="AG1122" s="115"/>
      <c r="AH1122" s="498">
        <f t="shared" si="391"/>
        <v>35</v>
      </c>
      <c r="AI1122" s="498"/>
      <c r="AJ1122" s="104">
        <f t="shared" si="389"/>
        <v>199.22724444444444</v>
      </c>
      <c r="AK1122" s="650">
        <f t="shared" si="394"/>
        <v>0.7153896507936508</v>
      </c>
      <c r="AL1122" s="225">
        <f>Table1[[#This Row],[WSP/Dealer]]/Table1[[#This Row],[OD Sq Inch]]</f>
        <v>0.38377192982456143</v>
      </c>
      <c r="AM1122" s="218">
        <f>Table1[[#This Row],[OD Wdth]]*Table1[[#This Row],[OD Hgt]]</f>
        <v>1824</v>
      </c>
      <c r="AN1122" s="216">
        <f>Table1[[#This Row],[Min VO]]+Table1[[#This Row],[Max VO]]</f>
        <v>86</v>
      </c>
      <c r="AO1122" s="101"/>
      <c r="AP1122" s="101"/>
      <c r="AQ1122" s="104"/>
      <c r="AR1122" s="104"/>
      <c r="AS1122" s="104"/>
      <c r="AT1122" s="104"/>
      <c r="AU1122" s="830" t="str">
        <f t="shared" si="388"/>
        <v>-</v>
      </c>
    </row>
    <row r="1123" spans="1:47" s="63" customFormat="1" hidden="1" x14ac:dyDescent="0.2">
      <c r="A1123" s="180" t="s">
        <v>272</v>
      </c>
      <c r="B1123" s="279" t="s">
        <v>1062</v>
      </c>
      <c r="C1123" s="1631" t="s">
        <v>2770</v>
      </c>
      <c r="D1123" s="94" t="s">
        <v>2771</v>
      </c>
      <c r="E1123" s="284" t="s">
        <v>2769</v>
      </c>
      <c r="F1123" s="284" t="s">
        <v>531</v>
      </c>
      <c r="G1123" s="180" t="s">
        <v>1647</v>
      </c>
      <c r="H1123" s="180" t="s">
        <v>1647</v>
      </c>
      <c r="I1123" s="180" t="s">
        <v>52</v>
      </c>
      <c r="J1123" s="180" t="s">
        <v>53</v>
      </c>
      <c r="K1123" s="180" t="s">
        <v>54</v>
      </c>
      <c r="L1123" s="180" t="s">
        <v>55</v>
      </c>
      <c r="M1123" s="285">
        <v>400</v>
      </c>
      <c r="N1123" s="285"/>
      <c r="O1123" s="180" t="s">
        <v>56</v>
      </c>
      <c r="P1123" s="180">
        <v>48</v>
      </c>
      <c r="Q1123" s="180">
        <v>38</v>
      </c>
      <c r="R1123" s="180">
        <v>38</v>
      </c>
      <c r="S1123" s="180">
        <v>48</v>
      </c>
      <c r="T1123" s="813">
        <f>Table1[[#This Row],[VO Wdth]]</f>
        <v>48</v>
      </c>
      <c r="U1123" s="813">
        <f>Table1[[#This Row],[VO Hgt]]</f>
        <v>38</v>
      </c>
      <c r="V1123" s="947">
        <f t="shared" si="395"/>
        <v>56</v>
      </c>
      <c r="W1123" s="947">
        <f t="shared" si="396"/>
        <v>46</v>
      </c>
      <c r="X1123" s="289" t="s">
        <v>2722</v>
      </c>
      <c r="Y1123" s="180"/>
      <c r="Z1123" s="180"/>
      <c r="AA1123" s="678">
        <f t="shared" si="390"/>
        <v>17.888888888888889</v>
      </c>
      <c r="AB1123" s="329">
        <f t="shared" si="399"/>
        <v>376.3822222222222</v>
      </c>
      <c r="AC1123" s="176">
        <f t="shared" si="397"/>
        <v>11.806666666666667</v>
      </c>
      <c r="AD1123" s="175">
        <f>Table1[[#This Row],[Substrate SF]]*IncaC</f>
        <v>30.110577777777777</v>
      </c>
      <c r="AE1123" s="104">
        <f>IF(Table1[[#This Row],[Work Center]]="SwissQ",Materials!G$37,IF(Table1[[#This Row],[Work Center]]="Inca",Materials!G$29,IF(Table1[[#This Row],[Work Center]]="Canon",Materials!G$49,Materials!G$45)))</f>
        <v>8</v>
      </c>
      <c r="AF1123" s="176">
        <f>'Cali FPS'!C80</f>
        <v>108.29</v>
      </c>
      <c r="AG1123" s="284"/>
      <c r="AH1123" s="498">
        <f t="shared" si="391"/>
        <v>20</v>
      </c>
      <c r="AI1123" s="498"/>
      <c r="AJ1123" s="176">
        <f t="shared" si="389"/>
        <v>178.20724444444446</v>
      </c>
      <c r="AK1123" s="650">
        <f t="shared" si="394"/>
        <v>0.55448188888888883</v>
      </c>
      <c r="AL1123" s="225">
        <f>Table1[[#This Row],[WSP/Dealer]]/Table1[[#This Row],[OD Sq Inch]]</f>
        <v>0.21929824561403508</v>
      </c>
      <c r="AM1123" s="173">
        <f>Table1[[#This Row],[OD Wdth]]*Table1[[#This Row],[OD Hgt]]</f>
        <v>1824</v>
      </c>
      <c r="AN1123" s="216">
        <f>Table1[[#This Row],[Min VO]]+Table1[[#This Row],[Max VO]]</f>
        <v>86</v>
      </c>
      <c r="AO1123" s="180"/>
      <c r="AP1123" s="180"/>
      <c r="AQ1123" s="176"/>
      <c r="AR1123" s="176"/>
      <c r="AS1123" s="176"/>
      <c r="AT1123" s="176"/>
      <c r="AU1123" s="1201" t="str">
        <f t="shared" si="388"/>
        <v>-</v>
      </c>
    </row>
    <row r="1124" spans="1:47" s="103" customFormat="1" x14ac:dyDescent="0.2">
      <c r="A1124" s="86" t="s">
        <v>58</v>
      </c>
      <c r="B1124" s="1061" t="s">
        <v>527</v>
      </c>
      <c r="C1124" s="183" t="s">
        <v>2772</v>
      </c>
      <c r="D1124" s="94" t="s">
        <v>2773</v>
      </c>
      <c r="E1124" s="85" t="s">
        <v>2774</v>
      </c>
      <c r="F1124" s="85" t="s">
        <v>531</v>
      </c>
      <c r="G1124" s="86" t="s">
        <v>1651</v>
      </c>
      <c r="H1124" s="86" t="s">
        <v>1651</v>
      </c>
      <c r="I1124" s="86" t="s">
        <v>52</v>
      </c>
      <c r="J1124" s="86" t="s">
        <v>53</v>
      </c>
      <c r="K1124" s="86" t="s">
        <v>54</v>
      </c>
      <c r="L1124" s="86" t="s">
        <v>55</v>
      </c>
      <c r="M1124" s="87">
        <v>950</v>
      </c>
      <c r="N1124" s="639">
        <v>950</v>
      </c>
      <c r="O1124" s="551" t="s">
        <v>56</v>
      </c>
      <c r="P1124" s="101">
        <v>60</v>
      </c>
      <c r="Q1124" s="101">
        <v>48</v>
      </c>
      <c r="R1124" s="101">
        <v>48</v>
      </c>
      <c r="S1124" s="101">
        <v>60</v>
      </c>
      <c r="T1124" s="273">
        <f>Table1[[#This Row],[VO Wdth]]</f>
        <v>60</v>
      </c>
      <c r="U1124" s="273">
        <f>Table1[[#This Row],[VO Hgt]]</f>
        <v>48</v>
      </c>
      <c r="V1124" s="608">
        <f t="shared" si="395"/>
        <v>68</v>
      </c>
      <c r="W1124" s="608">
        <f t="shared" si="396"/>
        <v>56</v>
      </c>
      <c r="X1124" s="311" t="s">
        <v>1093</v>
      </c>
      <c r="Y1124" s="101"/>
      <c r="Z1124" s="101"/>
      <c r="AA1124" s="649">
        <f t="shared" si="390"/>
        <v>26.444444444444443</v>
      </c>
      <c r="AB1124" s="184">
        <f t="shared" si="399"/>
        <v>556.39111111111106</v>
      </c>
      <c r="AC1124" s="104">
        <f t="shared" si="397"/>
        <v>17.453333333333333</v>
      </c>
      <c r="AD1124" s="107">
        <f>Table1[[#This Row],[Substrate SF]]*IncaC</f>
        <v>44.511288888888885</v>
      </c>
      <c r="AE1124" s="104">
        <f>IF(Table1[[#This Row],[Work Center]]="SwissQ",Materials!G$37,IF(Table1[[#This Row],[Work Center]]="Inca",Materials!G$29,IF(Table1[[#This Row],[Work Center]]="Canon",Materials!G$49,Materials!G$45)))</f>
        <v>8</v>
      </c>
      <c r="AF1124" s="104">
        <f>'Cali FPS'!C121</f>
        <v>188.18</v>
      </c>
      <c r="AG1124" s="115"/>
      <c r="AH1124" s="498">
        <f t="shared" si="391"/>
        <v>47.5</v>
      </c>
      <c r="AI1124" s="498"/>
      <c r="AJ1124" s="104">
        <f t="shared" si="389"/>
        <v>305.64462222222221</v>
      </c>
      <c r="AK1124" s="650">
        <f t="shared" si="394"/>
        <v>0.67826881871345035</v>
      </c>
      <c r="AL1124" s="225">
        <f>Table1[[#This Row],[WSP/Dealer]]/Table1[[#This Row],[OD Sq Inch]]</f>
        <v>0.3298611111111111</v>
      </c>
      <c r="AM1124" s="110">
        <f>Table1[[#This Row],[OD Wdth]]*Table1[[#This Row],[OD Hgt]]</f>
        <v>2880</v>
      </c>
      <c r="AN1124" s="216">
        <f>Table1[[#This Row],[Min VO]]+Table1[[#This Row],[Max VO]]</f>
        <v>108</v>
      </c>
      <c r="AO1124" s="101"/>
      <c r="AP1124" s="101"/>
      <c r="AQ1124" s="104"/>
      <c r="AR1124" s="104"/>
      <c r="AS1124" s="104"/>
      <c r="AT1124" s="104"/>
      <c r="AU1124" s="830" t="str">
        <f t="shared" si="388"/>
        <v>-</v>
      </c>
    </row>
    <row r="1125" spans="1:47" s="353" customFormat="1" x14ac:dyDescent="0.2">
      <c r="A1125" s="86" t="s">
        <v>58</v>
      </c>
      <c r="B1125" s="1061" t="s">
        <v>527</v>
      </c>
      <c r="C1125" s="183" t="s">
        <v>2775</v>
      </c>
      <c r="D1125" s="94" t="s">
        <v>2776</v>
      </c>
      <c r="E1125" s="85" t="s">
        <v>2777</v>
      </c>
      <c r="F1125" s="85" t="s">
        <v>531</v>
      </c>
      <c r="G1125" s="86" t="s">
        <v>2778</v>
      </c>
      <c r="H1125" s="86" t="s">
        <v>2778</v>
      </c>
      <c r="I1125" s="86" t="s">
        <v>52</v>
      </c>
      <c r="J1125" s="86" t="s">
        <v>53</v>
      </c>
      <c r="K1125" s="86" t="s">
        <v>54</v>
      </c>
      <c r="L1125" s="86" t="s">
        <v>55</v>
      </c>
      <c r="M1125" s="87">
        <v>750</v>
      </c>
      <c r="N1125" s="639">
        <v>815</v>
      </c>
      <c r="O1125" s="551" t="s">
        <v>56</v>
      </c>
      <c r="P1125" s="101">
        <v>60</v>
      </c>
      <c r="Q1125" s="101">
        <v>33</v>
      </c>
      <c r="R1125" s="101">
        <v>33</v>
      </c>
      <c r="S1125" s="101">
        <v>60</v>
      </c>
      <c r="T1125" s="273">
        <f>Table1[[#This Row],[VO Wdth]]</f>
        <v>60</v>
      </c>
      <c r="U1125" s="273">
        <f>Table1[[#This Row],[VO Hgt]]</f>
        <v>33</v>
      </c>
      <c r="V1125" s="608">
        <f t="shared" si="395"/>
        <v>68</v>
      </c>
      <c r="W1125" s="608">
        <f t="shared" si="396"/>
        <v>41</v>
      </c>
      <c r="X1125" s="311" t="s">
        <v>1093</v>
      </c>
      <c r="Y1125" s="101"/>
      <c r="Z1125" s="101"/>
      <c r="AA1125" s="649">
        <f t="shared" si="390"/>
        <v>19.361111111111111</v>
      </c>
      <c r="AB1125" s="184">
        <f t="shared" si="399"/>
        <v>407.35777777777776</v>
      </c>
      <c r="AC1125" s="104">
        <f t="shared" si="397"/>
        <v>12.778333333333334</v>
      </c>
      <c r="AD1125" s="107">
        <f>Table1[[#This Row],[Substrate SF]]*IncaC</f>
        <v>32.58862222222222</v>
      </c>
      <c r="AE1125" s="104">
        <f>IF(Table1[[#This Row],[Work Center]]="SwissQ",Materials!G$37,IF(Table1[[#This Row],[Work Center]]="Inca",Materials!G$29,IF(Table1[[#This Row],[Work Center]]="Canon",Materials!G$49,Materials!G$45)))</f>
        <v>8</v>
      </c>
      <c r="AF1125" s="74">
        <f>'Cali FPS'!C50</f>
        <v>105.875</v>
      </c>
      <c r="AG1125" s="115"/>
      <c r="AH1125" s="498">
        <f t="shared" si="391"/>
        <v>37.5</v>
      </c>
      <c r="AI1125" s="498"/>
      <c r="AJ1125" s="107">
        <f t="shared" si="389"/>
        <v>196.74195555555556</v>
      </c>
      <c r="AK1125" s="650">
        <f t="shared" si="394"/>
        <v>0.73767739259259257</v>
      </c>
      <c r="AL1125" s="225">
        <f>Table1[[#This Row],[WSP/Dealer]]/Table1[[#This Row],[OD Sq Inch]]</f>
        <v>0.37878787878787878</v>
      </c>
      <c r="AM1125" s="218">
        <f>Table1[[#This Row],[OD Wdth]]*Table1[[#This Row],[OD Hgt]]</f>
        <v>1980</v>
      </c>
      <c r="AN1125" s="216">
        <f>Table1[[#This Row],[Min VO]]+Table1[[#This Row],[Max VO]]</f>
        <v>93</v>
      </c>
      <c r="AO1125" s="101"/>
      <c r="AP1125" s="101"/>
      <c r="AQ1125" s="104"/>
      <c r="AR1125" s="104"/>
      <c r="AS1125" s="104"/>
      <c r="AT1125" s="104"/>
      <c r="AU1125" s="830" t="str">
        <f t="shared" si="388"/>
        <v>-</v>
      </c>
    </row>
    <row r="1126" spans="1:47" s="356" customFormat="1" x14ac:dyDescent="0.2">
      <c r="A1126" s="86" t="s">
        <v>58</v>
      </c>
      <c r="B1126" s="1061" t="s">
        <v>527</v>
      </c>
      <c r="C1126" s="183" t="s">
        <v>2779</v>
      </c>
      <c r="D1126" s="94" t="s">
        <v>2780</v>
      </c>
      <c r="E1126" s="85" t="s">
        <v>2781</v>
      </c>
      <c r="F1126" s="85" t="s">
        <v>531</v>
      </c>
      <c r="G1126" s="86" t="s">
        <v>2782</v>
      </c>
      <c r="H1126" s="86" t="s">
        <v>2782</v>
      </c>
      <c r="I1126" s="86" t="s">
        <v>52</v>
      </c>
      <c r="J1126" s="86" t="s">
        <v>53</v>
      </c>
      <c r="K1126" s="86" t="s">
        <v>54</v>
      </c>
      <c r="L1126" s="86" t="s">
        <v>55</v>
      </c>
      <c r="M1126" s="87">
        <v>1100</v>
      </c>
      <c r="N1126" s="639">
        <v>950</v>
      </c>
      <c r="O1126" s="551" t="s">
        <v>56</v>
      </c>
      <c r="P1126" s="101">
        <v>72</v>
      </c>
      <c r="Q1126" s="101">
        <v>40</v>
      </c>
      <c r="R1126" s="101">
        <v>40</v>
      </c>
      <c r="S1126" s="103">
        <v>72</v>
      </c>
      <c r="T1126" s="61">
        <f>Table1[[#This Row],[VO Wdth]]</f>
        <v>72</v>
      </c>
      <c r="U1126" s="61">
        <f>Table1[[#This Row],[VO Hgt]]</f>
        <v>40</v>
      </c>
      <c r="V1126" s="106">
        <f t="shared" si="395"/>
        <v>80</v>
      </c>
      <c r="W1126" s="106">
        <f t="shared" si="396"/>
        <v>48</v>
      </c>
      <c r="X1126" s="137">
        <v>82</v>
      </c>
      <c r="Y1126" s="101"/>
      <c r="Z1126" s="101"/>
      <c r="AA1126" s="649">
        <f t="shared" si="390"/>
        <v>26.666666666666668</v>
      </c>
      <c r="AB1126" s="184">
        <f t="shared" si="399"/>
        <v>561.06666666666672</v>
      </c>
      <c r="AC1126" s="104">
        <f t="shared" si="397"/>
        <v>17.600000000000001</v>
      </c>
      <c r="AD1126" s="107">
        <f>Table1[[#This Row],[Substrate SF]]*IncaC</f>
        <v>44.885333333333335</v>
      </c>
      <c r="AE1126" s="104">
        <f>IF(Table1[[#This Row],[Work Center]]="SwissQ",Materials!G$37,IF(Table1[[#This Row],[Work Center]]="Inca",Materials!G$29,IF(Table1[[#This Row],[Work Center]]="Canon",Materials!G$49,Materials!G$45)))</f>
        <v>8</v>
      </c>
      <c r="AF1126" s="74">
        <f>'Cali FPS'!C91</f>
        <v>173.845</v>
      </c>
      <c r="AG1126" s="115"/>
      <c r="AH1126" s="498">
        <f t="shared" si="391"/>
        <v>55</v>
      </c>
      <c r="AI1126" s="498"/>
      <c r="AJ1126" s="104">
        <f t="shared" si="389"/>
        <v>299.33033333333333</v>
      </c>
      <c r="AK1126" s="650">
        <f t="shared" si="394"/>
        <v>0.72788151515151511</v>
      </c>
      <c r="AL1126" s="225">
        <f>Table1[[#This Row],[WSP/Dealer]]/Table1[[#This Row],[OD Sq Inch]]</f>
        <v>0.38194444444444442</v>
      </c>
      <c r="AM1126" s="218">
        <f>Table1[[#This Row],[OD Wdth]]*Table1[[#This Row],[OD Hgt]]</f>
        <v>2880</v>
      </c>
      <c r="AN1126" s="216">
        <f>Table1[[#This Row],[Min VO]]+Table1[[#This Row],[Max VO]]</f>
        <v>112</v>
      </c>
      <c r="AO1126" s="101"/>
      <c r="AP1126" s="101"/>
      <c r="AQ1126" s="104"/>
      <c r="AR1126" s="104"/>
      <c r="AS1126" s="104"/>
      <c r="AT1126" s="104"/>
      <c r="AU1126" s="830" t="str">
        <f t="shared" si="388"/>
        <v>-</v>
      </c>
    </row>
    <row r="1127" spans="1:47" s="360" customFormat="1" hidden="1" x14ac:dyDescent="0.2">
      <c r="A1127" s="68" t="s">
        <v>187</v>
      </c>
      <c r="B1127" s="279" t="s">
        <v>292</v>
      </c>
      <c r="C1127" s="804" t="s">
        <v>2783</v>
      </c>
      <c r="D1127" s="94"/>
      <c r="E1127" s="84" t="s">
        <v>2784</v>
      </c>
      <c r="F1127" s="84" t="s">
        <v>349</v>
      </c>
      <c r="G1127" s="68" t="s">
        <v>309</v>
      </c>
      <c r="H1127" s="68" t="s">
        <v>312</v>
      </c>
      <c r="I1127" s="68" t="s">
        <v>52</v>
      </c>
      <c r="J1127" s="68" t="s">
        <v>53</v>
      </c>
      <c r="K1127" s="68" t="s">
        <v>54</v>
      </c>
      <c r="L1127" s="68" t="s">
        <v>70</v>
      </c>
      <c r="M1127" s="93">
        <v>1250</v>
      </c>
      <c r="N1127" s="71"/>
      <c r="O1127" s="68" t="s">
        <v>56</v>
      </c>
      <c r="P1127" s="68">
        <v>32</v>
      </c>
      <c r="Q1127" s="68">
        <v>24</v>
      </c>
      <c r="R1127" s="68">
        <v>24</v>
      </c>
      <c r="S1127" s="68">
        <v>32</v>
      </c>
      <c r="T1127" s="68">
        <v>33</v>
      </c>
      <c r="U1127" s="68">
        <v>25</v>
      </c>
      <c r="V1127" s="66">
        <f t="shared" si="395"/>
        <v>40</v>
      </c>
      <c r="W1127" s="66">
        <f t="shared" si="396"/>
        <v>32</v>
      </c>
      <c r="X1127" s="189"/>
      <c r="Y1127" s="68"/>
      <c r="Z1127" s="68"/>
      <c r="AA1127" s="699">
        <f t="shared" si="390"/>
        <v>8.8888888888888893</v>
      </c>
      <c r="AB1127" s="297">
        <f t="shared" si="399"/>
        <v>187.02222222222221</v>
      </c>
      <c r="AC1127" s="74">
        <f t="shared" si="397"/>
        <v>5.8666666666666671</v>
      </c>
      <c r="AD1127" s="319">
        <f>Table1[[#This Row],[Substrate SF]]*IncaC</f>
        <v>14.961777777777778</v>
      </c>
      <c r="AE1127" s="278">
        <f>IF(Table1[[#This Row],[Work Center]]="SwissQ",Materials!G$37,IF(Table1[[#This Row],[Work Center]]="Inca",Materials!G$29,IF(Table1[[#This Row],[Work Center]]="Canon",Materials!G$49,Materials!G$45)))</f>
        <v>8</v>
      </c>
      <c r="AF1127" s="321">
        <f>'Cali Frames'!D$280</f>
        <v>110.0575</v>
      </c>
      <c r="AG1127" s="126"/>
      <c r="AH1127" s="263">
        <f t="shared" si="391"/>
        <v>62.5</v>
      </c>
      <c r="AI1127" s="263"/>
      <c r="AJ1127" s="278">
        <f t="shared" si="389"/>
        <v>201.38594444444445</v>
      </c>
      <c r="AK1127" s="62">
        <f t="shared" si="394"/>
        <v>0.83889124444444441</v>
      </c>
      <c r="AL1127" s="225">
        <f>Table1[[#This Row],[WSP/Dealer]]/Table1[[#This Row],[OD Sq Inch]]</f>
        <v>1.5151515151515151</v>
      </c>
      <c r="AM1127" s="170">
        <f>Table1[[#This Row],[OD Wdth]]*Table1[[#This Row],[OD Hgt]]</f>
        <v>825</v>
      </c>
      <c r="AN1127" s="216">
        <f>Table1[[#This Row],[Min VO]]+Table1[[#This Row],[Max VO]]</f>
        <v>56</v>
      </c>
      <c r="AO1127" s="84"/>
      <c r="AP1127" s="84"/>
      <c r="AQ1127" s="126"/>
      <c r="AR1127" s="126"/>
      <c r="AS1127" s="126"/>
      <c r="AT1127" s="74"/>
      <c r="AU1127" s="1357" t="str">
        <f t="shared" si="388"/>
        <v>-</v>
      </c>
    </row>
    <row r="1128" spans="1:47" s="353" customFormat="1" hidden="1" x14ac:dyDescent="0.2">
      <c r="A1128" s="551" t="s">
        <v>140</v>
      </c>
      <c r="B1128" s="1061" t="s">
        <v>141</v>
      </c>
      <c r="C1128" s="804" t="s">
        <v>2785</v>
      </c>
      <c r="D1128" s="94"/>
      <c r="E1128" s="653" t="s">
        <v>2786</v>
      </c>
      <c r="F1128" s="653" t="s">
        <v>349</v>
      </c>
      <c r="G1128" s="551" t="s">
        <v>731</v>
      </c>
      <c r="H1128" s="551" t="s">
        <v>732</v>
      </c>
      <c r="I1128" s="551" t="s">
        <v>52</v>
      </c>
      <c r="J1128" s="856" t="s">
        <v>53</v>
      </c>
      <c r="K1128" s="551" t="s">
        <v>69</v>
      </c>
      <c r="L1128" s="551" t="s">
        <v>73</v>
      </c>
      <c r="M1128" s="857">
        <v>375</v>
      </c>
      <c r="N1128" s="858">
        <f>Table1[[#This Row],[WSP/Dealer]]/0.35</f>
        <v>1071.4285714285716</v>
      </c>
      <c r="O1128" s="551" t="s">
        <v>56</v>
      </c>
      <c r="P1128" s="551">
        <v>30</v>
      </c>
      <c r="Q1128" s="551">
        <v>20</v>
      </c>
      <c r="R1128" s="551">
        <v>20</v>
      </c>
      <c r="S1128" s="551">
        <v>30</v>
      </c>
      <c r="T1128" s="551">
        <v>31</v>
      </c>
      <c r="U1128" s="551">
        <v>21</v>
      </c>
      <c r="V1128" s="881">
        <f t="shared" si="395"/>
        <v>38</v>
      </c>
      <c r="W1128" s="881">
        <f t="shared" si="396"/>
        <v>28</v>
      </c>
      <c r="X1128" s="311">
        <v>40</v>
      </c>
      <c r="Y1128" s="551">
        <v>38</v>
      </c>
      <c r="Z1128" s="551">
        <v>28</v>
      </c>
      <c r="AA1128" s="860">
        <f t="shared" si="390"/>
        <v>7.3888888888888893</v>
      </c>
      <c r="AB1128" s="861">
        <f t="shared" si="399"/>
        <v>155.46222222222224</v>
      </c>
      <c r="AC1128" s="863">
        <f t="shared" si="397"/>
        <v>4.8766666666666669</v>
      </c>
      <c r="AD1128" s="876">
        <f>Table1[[#This Row],[Substrate SF]]*IncaC</f>
        <v>12.436977777777779</v>
      </c>
      <c r="AE1128" s="867">
        <f>IF(Table1[[#This Row],[Work Center]]="SwissQ",Materials!G$37,IF(Table1[[#This Row],[Work Center]]="Inca",Materials!G$29,IF(Table1[[#This Row],[Work Center]]="Canon",Materials!G$49,Materials!G$45)))</f>
        <v>8</v>
      </c>
      <c r="AF1128" s="71">
        <f>'Cali Frames'!D419</f>
        <v>83.685000000000002</v>
      </c>
      <c r="AG1128" s="864"/>
      <c r="AH1128" s="867">
        <f t="shared" si="391"/>
        <v>18.75</v>
      </c>
      <c r="AI1128" s="867"/>
      <c r="AJ1128" s="867">
        <f t="shared" si="389"/>
        <v>127.74864444444445</v>
      </c>
      <c r="AK1128" s="1087">
        <f t="shared" si="394"/>
        <v>0.65933694814814814</v>
      </c>
      <c r="AL1128" s="867">
        <f>Table1[[#This Row],[WSP/Dealer]]/Table1[[#This Row],[OD Sq Inch]]</f>
        <v>0.57603686635944695</v>
      </c>
      <c r="AM1128" s="868">
        <f>Table1[[#This Row],[OD Wdth]]*Table1[[#This Row],[OD Hgt]]</f>
        <v>651</v>
      </c>
      <c r="AN1128" s="869">
        <f>Table1[[#This Row],[Min VO]]+Table1[[#This Row],[Max VO]]</f>
        <v>50</v>
      </c>
      <c r="AO1128" s="653"/>
      <c r="AP1128" s="653"/>
      <c r="AQ1128" s="864"/>
      <c r="AR1128" s="864"/>
      <c r="AS1128" s="864"/>
      <c r="AT1128" s="863"/>
      <c r="AU1128" s="1364" t="str">
        <f t="shared" si="388"/>
        <v>-</v>
      </c>
    </row>
    <row r="1129" spans="1:47" s="883" customFormat="1" x14ac:dyDescent="0.2">
      <c r="A1129" s="101" t="s">
        <v>58</v>
      </c>
      <c r="B1129" s="1067" t="s">
        <v>121</v>
      </c>
      <c r="C1129" s="1336" t="s">
        <v>2787</v>
      </c>
      <c r="D1129" s="168"/>
      <c r="E1129" s="625" t="s">
        <v>2788</v>
      </c>
      <c r="F1129" s="625" t="s">
        <v>386</v>
      </c>
      <c r="G1129" s="101" t="s">
        <v>2789</v>
      </c>
      <c r="H1129" s="101" t="s">
        <v>2790</v>
      </c>
      <c r="I1129" s="101" t="s">
        <v>52</v>
      </c>
      <c r="J1129" s="487" t="s">
        <v>53</v>
      </c>
      <c r="K1129" s="101" t="s">
        <v>54</v>
      </c>
      <c r="L1129" s="101" t="s">
        <v>55</v>
      </c>
      <c r="M1129" s="299">
        <v>1250</v>
      </c>
      <c r="N1129" s="114"/>
      <c r="O1129" s="101" t="s">
        <v>64</v>
      </c>
      <c r="P1129" s="400">
        <v>70</v>
      </c>
      <c r="Q1129" s="400">
        <v>50</v>
      </c>
      <c r="R1129" s="400">
        <v>50</v>
      </c>
      <c r="S1129" s="400">
        <v>70</v>
      </c>
      <c r="T1129" s="101">
        <v>70</v>
      </c>
      <c r="U1129" s="101">
        <v>50</v>
      </c>
      <c r="V1129" s="106">
        <f t="shared" si="395"/>
        <v>78</v>
      </c>
      <c r="W1129" s="106">
        <f t="shared" si="396"/>
        <v>58</v>
      </c>
      <c r="X1129" s="101">
        <v>82</v>
      </c>
      <c r="Y1129" s="101">
        <v>78</v>
      </c>
      <c r="Z1129" s="101">
        <v>58</v>
      </c>
      <c r="AA1129" s="1069">
        <f t="shared" si="390"/>
        <v>31.416666666666668</v>
      </c>
      <c r="AB1129" s="184">
        <f>AA1129*Swiss1</f>
        <v>889.0916666666667</v>
      </c>
      <c r="AC1129" s="104">
        <f t="shared" si="397"/>
        <v>20.735000000000003</v>
      </c>
      <c r="AD1129" s="107">
        <f>Table1[[#This Row],[Substrate SF]]*Materials!C$37</f>
        <v>87.966666666666669</v>
      </c>
      <c r="AE1129" s="104">
        <f>IF(Table1[[#This Row],[Work Center]]="SwissQ",Materials!G$37,IF(Table1[[#This Row],[Work Center]]="Inca",Materials!G$29,IF(Table1[[#This Row],[Work Center]]="Canon",Materials!G$49,Materials!G$45)))</f>
        <v>20</v>
      </c>
      <c r="AF1129" s="102">
        <f>'Cali FPS'!C133</f>
        <v>178.13250000000002</v>
      </c>
      <c r="AG1129" s="115"/>
      <c r="AH1129" s="406">
        <f t="shared" si="391"/>
        <v>62.5</v>
      </c>
      <c r="AI1129" s="406"/>
      <c r="AJ1129" s="406">
        <f t="shared" si="389"/>
        <v>369.33416666666665</v>
      </c>
      <c r="AK1129" s="1065">
        <f t="shared" si="394"/>
        <v>0.7045326666666667</v>
      </c>
      <c r="AL1129" s="406">
        <f>Table1[[#This Row],[WSP/Dealer]]/Table1[[#This Row],[OD Sq Inch]]</f>
        <v>0.35714285714285715</v>
      </c>
      <c r="AM1129" s="399">
        <f>Table1[[#This Row],[OD Wdth]]*Table1[[#This Row],[OD Hgt]]</f>
        <v>3500</v>
      </c>
      <c r="AN1129" s="400">
        <f>Table1[[#This Row],[Min VO]]+Table1[[#This Row],[Max VO]]</f>
        <v>120</v>
      </c>
      <c r="AO1129" s="115"/>
      <c r="AP1129" s="115"/>
      <c r="AQ1129" s="121"/>
      <c r="AR1129" s="121"/>
      <c r="AS1129" s="121"/>
      <c r="AT1129" s="104"/>
      <c r="AU1129" s="1359" t="str">
        <f t="shared" si="388"/>
        <v>-</v>
      </c>
    </row>
    <row r="1130" spans="1:47" s="353" customFormat="1" x14ac:dyDescent="0.2">
      <c r="A1130" s="60" t="s">
        <v>58</v>
      </c>
      <c r="B1130" s="1071" t="s">
        <v>121</v>
      </c>
      <c r="C1130" s="1335" t="s">
        <v>2791</v>
      </c>
      <c r="D1130" s="94"/>
      <c r="E1130" s="434" t="s">
        <v>2788</v>
      </c>
      <c r="F1130" s="434" t="s">
        <v>386</v>
      </c>
      <c r="G1130" s="60" t="s">
        <v>2789</v>
      </c>
      <c r="H1130" s="60" t="s">
        <v>2790</v>
      </c>
      <c r="I1130" s="60" t="s">
        <v>52</v>
      </c>
      <c r="J1130" s="59" t="s">
        <v>53</v>
      </c>
      <c r="K1130" s="60" t="s">
        <v>69</v>
      </c>
      <c r="L1130" s="60" t="s">
        <v>73</v>
      </c>
      <c r="M1130" s="179">
        <v>1300</v>
      </c>
      <c r="N1130" s="124"/>
      <c r="O1130" s="180" t="s">
        <v>64</v>
      </c>
      <c r="P1130" s="180">
        <v>70</v>
      </c>
      <c r="Q1130" s="180">
        <v>50</v>
      </c>
      <c r="R1130" s="180">
        <v>50</v>
      </c>
      <c r="S1130" s="180">
        <v>70</v>
      </c>
      <c r="T1130" s="180">
        <v>71</v>
      </c>
      <c r="U1130" s="180">
        <v>51</v>
      </c>
      <c r="V1130" s="946">
        <f t="shared" si="395"/>
        <v>78</v>
      </c>
      <c r="W1130" s="946">
        <f t="shared" si="396"/>
        <v>58</v>
      </c>
      <c r="X1130" s="138">
        <v>82</v>
      </c>
      <c r="Y1130" s="60">
        <v>78</v>
      </c>
      <c r="Z1130" s="60">
        <v>58</v>
      </c>
      <c r="AA1130" s="826">
        <f t="shared" si="390"/>
        <v>31.416666666666668</v>
      </c>
      <c r="AB1130" s="125">
        <f>AA1130*Swiss1</f>
        <v>889.0916666666667</v>
      </c>
      <c r="AC1130" s="69">
        <f t="shared" si="397"/>
        <v>20.735000000000003</v>
      </c>
      <c r="AD1130" s="48">
        <f>Table1[[#This Row],[Substrate SF]]*Materials!C$37</f>
        <v>87.966666666666669</v>
      </c>
      <c r="AE1130" s="69">
        <f>IF(Table1[[#This Row],[Work Center]]="SwissQ",Materials!G$37,IF(Table1[[#This Row],[Work Center]]="Inca",Materials!G$29,IF(Table1[[#This Row],[Work Center]]="Canon",Materials!G$49,Materials!G$45)))</f>
        <v>20</v>
      </c>
      <c r="AF1130" s="72">
        <f>'Cali Frames'!D474</f>
        <v>236.81</v>
      </c>
      <c r="AG1130" s="83"/>
      <c r="AH1130" s="175">
        <f t="shared" si="391"/>
        <v>65</v>
      </c>
      <c r="AI1130" s="175"/>
      <c r="AJ1130" s="176">
        <f t="shared" si="389"/>
        <v>430.51166666666666</v>
      </c>
      <c r="AK1130" s="676">
        <f t="shared" si="394"/>
        <v>0.66883717948717947</v>
      </c>
      <c r="AL1130" s="176">
        <f>Table1[[#This Row],[WSP/Dealer]]/Table1[[#This Row],[OD Sq Inch]]</f>
        <v>0.35901684617508978</v>
      </c>
      <c r="AM1130" s="173">
        <f>Table1[[#This Row],[OD Wdth]]*Table1[[#This Row],[OD Hgt]]</f>
        <v>3621</v>
      </c>
      <c r="AN1130" s="180">
        <f>Table1[[#This Row],[Min VO]]+Table1[[#This Row],[Max VO]]</f>
        <v>120</v>
      </c>
      <c r="AO1130" s="83"/>
      <c r="AP1130" s="83"/>
      <c r="AQ1130" s="540"/>
      <c r="AR1130" s="540"/>
      <c r="AS1130" s="540"/>
      <c r="AT1130" s="69"/>
      <c r="AU1130" s="1361" t="str">
        <f t="shared" si="388"/>
        <v>-</v>
      </c>
    </row>
    <row r="1131" spans="1:47" s="901" customFormat="1" x14ac:dyDescent="0.2">
      <c r="A1131" s="68" t="s">
        <v>58</v>
      </c>
      <c r="B1131" s="1072" t="s">
        <v>121</v>
      </c>
      <c r="C1131" s="1053" t="s">
        <v>2792</v>
      </c>
      <c r="D1131" s="94"/>
      <c r="E1131" s="627" t="s">
        <v>2788</v>
      </c>
      <c r="F1131" s="627" t="s">
        <v>386</v>
      </c>
      <c r="G1131" s="68" t="s">
        <v>2789</v>
      </c>
      <c r="H1131" s="68" t="s">
        <v>2790</v>
      </c>
      <c r="I1131" s="68" t="s">
        <v>52</v>
      </c>
      <c r="J1131" s="140" t="s">
        <v>53</v>
      </c>
      <c r="K1131" s="68" t="s">
        <v>69</v>
      </c>
      <c r="L1131" s="68" t="s">
        <v>70</v>
      </c>
      <c r="M1131" s="141">
        <v>1300</v>
      </c>
      <c r="N1131" s="93"/>
      <c r="O1131" s="68" t="s">
        <v>64</v>
      </c>
      <c r="P1131" s="274">
        <v>70</v>
      </c>
      <c r="Q1131" s="274">
        <v>50</v>
      </c>
      <c r="R1131" s="274">
        <v>50</v>
      </c>
      <c r="S1131" s="274">
        <v>70</v>
      </c>
      <c r="T1131" s="180">
        <v>71</v>
      </c>
      <c r="U1131" s="180">
        <v>51</v>
      </c>
      <c r="V1131" s="917">
        <f t="shared" si="395"/>
        <v>78</v>
      </c>
      <c r="W1131" s="917">
        <f t="shared" si="396"/>
        <v>58</v>
      </c>
      <c r="X1131" s="68">
        <v>82</v>
      </c>
      <c r="Y1131" s="68">
        <v>78</v>
      </c>
      <c r="Z1131" s="68">
        <v>58</v>
      </c>
      <c r="AA1131" s="952">
        <f t="shared" si="390"/>
        <v>31.416666666666668</v>
      </c>
      <c r="AB1131" s="297">
        <f>AA1131*Swiss1</f>
        <v>889.0916666666667</v>
      </c>
      <c r="AC1131" s="74">
        <f t="shared" si="397"/>
        <v>20.735000000000003</v>
      </c>
      <c r="AD1131" s="67">
        <f>Table1[[#This Row],[Substrate SF]]*Materials!C$37</f>
        <v>87.966666666666669</v>
      </c>
      <c r="AE1131" s="74">
        <f>IF(Table1[[#This Row],[Work Center]]="SwissQ",Materials!G$37,IF(Table1[[#This Row],[Work Center]]="Inca",Materials!G$29,IF(Table1[[#This Row],[Work Center]]="Canon",Materials!G$49,Materials!G$45)))</f>
        <v>20</v>
      </c>
      <c r="AF1131" s="73">
        <f>'Cali Frames'!D341</f>
        <v>250</v>
      </c>
      <c r="AG1131" s="84"/>
      <c r="AH1131" s="263">
        <f t="shared" si="391"/>
        <v>65</v>
      </c>
      <c r="AI1131" s="263"/>
      <c r="AJ1131" s="263">
        <f t="shared" si="389"/>
        <v>443.70166666666665</v>
      </c>
      <c r="AK1131" s="688">
        <f t="shared" si="394"/>
        <v>0.65869102564102566</v>
      </c>
      <c r="AL1131" s="278">
        <f>Table1[[#This Row],[WSP/Dealer]]/Table1[[#This Row],[OD Sq Inch]]</f>
        <v>0.35901684617508978</v>
      </c>
      <c r="AM1131" s="170">
        <f>Table1[[#This Row],[OD Wdth]]*Table1[[#This Row],[OD Hgt]]</f>
        <v>3621</v>
      </c>
      <c r="AN1131" s="274">
        <f>Table1[[#This Row],[Min VO]]+Table1[[#This Row],[Max VO]]</f>
        <v>120</v>
      </c>
      <c r="AO1131" s="84"/>
      <c r="AP1131" s="84"/>
      <c r="AQ1131" s="126"/>
      <c r="AR1131" s="126"/>
      <c r="AS1131" s="126"/>
      <c r="AT1131" s="74"/>
      <c r="AU1131" s="1357" t="str">
        <f t="shared" si="388"/>
        <v>-</v>
      </c>
    </row>
    <row r="1132" spans="1:47" s="901" customFormat="1" x14ac:dyDescent="0.2">
      <c r="A1132" s="68" t="s">
        <v>58</v>
      </c>
      <c r="B1132" s="1072" t="s">
        <v>121</v>
      </c>
      <c r="C1132" s="1053" t="s">
        <v>2793</v>
      </c>
      <c r="D1132" s="94"/>
      <c r="E1132" s="627" t="s">
        <v>2788</v>
      </c>
      <c r="F1132" s="627" t="s">
        <v>386</v>
      </c>
      <c r="G1132" s="68" t="s">
        <v>2789</v>
      </c>
      <c r="H1132" s="68" t="s">
        <v>2790</v>
      </c>
      <c r="I1132" s="68" t="s">
        <v>52</v>
      </c>
      <c r="J1132" s="140" t="s">
        <v>53</v>
      </c>
      <c r="K1132" s="68" t="s">
        <v>69</v>
      </c>
      <c r="L1132" s="68" t="s">
        <v>76</v>
      </c>
      <c r="M1132" s="141">
        <v>1350</v>
      </c>
      <c r="N1132" s="93"/>
      <c r="O1132" s="68" t="s">
        <v>64</v>
      </c>
      <c r="P1132" s="274">
        <v>70</v>
      </c>
      <c r="Q1132" s="274">
        <v>50</v>
      </c>
      <c r="R1132" s="274">
        <v>50</v>
      </c>
      <c r="S1132" s="274">
        <v>70</v>
      </c>
      <c r="T1132" s="180">
        <v>71</v>
      </c>
      <c r="U1132" s="180">
        <v>51</v>
      </c>
      <c r="V1132" s="917">
        <f t="shared" si="395"/>
        <v>78</v>
      </c>
      <c r="W1132" s="917">
        <f t="shared" si="396"/>
        <v>58</v>
      </c>
      <c r="X1132" s="68">
        <v>82</v>
      </c>
      <c r="Y1132" s="68">
        <v>78</v>
      </c>
      <c r="Z1132" s="68">
        <v>58</v>
      </c>
      <c r="AA1132" s="952">
        <f t="shared" si="390"/>
        <v>31.416666666666668</v>
      </c>
      <c r="AB1132" s="297">
        <f>AA1132*Swiss1</f>
        <v>889.0916666666667</v>
      </c>
      <c r="AC1132" s="74">
        <f t="shared" si="397"/>
        <v>20.735000000000003</v>
      </c>
      <c r="AD1132" s="67">
        <f>Table1[[#This Row],[Substrate SF]]*Materials!C$37</f>
        <v>87.966666666666669</v>
      </c>
      <c r="AE1132" s="74">
        <f>IF(Table1[[#This Row],[Work Center]]="SwissQ",Materials!G$37,IF(Table1[[#This Row],[Work Center]]="Inca",Materials!G$29,IF(Table1[[#This Row],[Work Center]]="Canon",Materials!G$49,Materials!G$45)))</f>
        <v>20</v>
      </c>
      <c r="AF1132" s="73">
        <f>'Cali Frames'!D378</f>
        <v>325</v>
      </c>
      <c r="AG1132" s="84"/>
      <c r="AH1132" s="278">
        <f t="shared" si="391"/>
        <v>67.5</v>
      </c>
      <c r="AI1132" s="278"/>
      <c r="AJ1132" s="263">
        <f t="shared" si="389"/>
        <v>521.2016666666666</v>
      </c>
      <c r="AK1132" s="1192">
        <f t="shared" si="394"/>
        <v>0.61392469135802474</v>
      </c>
      <c r="AL1132" s="278">
        <f>Table1[[#This Row],[WSP/Dealer]]/Table1[[#This Row],[OD Sq Inch]]</f>
        <v>0.37282518641259321</v>
      </c>
      <c r="AM1132" s="170">
        <f>Table1[[#This Row],[OD Wdth]]*Table1[[#This Row],[OD Hgt]]</f>
        <v>3621</v>
      </c>
      <c r="AN1132" s="274">
        <f>Table1[[#This Row],[Min VO]]+Table1[[#This Row],[Max VO]]</f>
        <v>120</v>
      </c>
      <c r="AO1132" s="84"/>
      <c r="AP1132" s="84"/>
      <c r="AQ1132" s="126"/>
      <c r="AR1132" s="126"/>
      <c r="AS1132" s="126"/>
      <c r="AT1132" s="74"/>
      <c r="AU1132" s="1357" t="str">
        <f t="shared" si="388"/>
        <v>-</v>
      </c>
    </row>
    <row r="1133" spans="1:47" s="103" customFormat="1" hidden="1" x14ac:dyDescent="0.2">
      <c r="A1133" s="68"/>
      <c r="B1133" s="1061"/>
      <c r="C1133" s="1053"/>
      <c r="D1133" s="94"/>
      <c r="E1133" s="84" t="s">
        <v>2794</v>
      </c>
      <c r="F1133" s="84" t="s">
        <v>960</v>
      </c>
      <c r="G1133" s="68" t="s">
        <v>2795</v>
      </c>
      <c r="H1133" s="68"/>
      <c r="I1133" s="68" t="s">
        <v>304</v>
      </c>
      <c r="J1133" s="68" t="s">
        <v>257</v>
      </c>
      <c r="K1133" s="68" t="s">
        <v>258</v>
      </c>
      <c r="L1133" s="68" t="s">
        <v>83</v>
      </c>
      <c r="M1133" s="93"/>
      <c r="N1133" s="71"/>
      <c r="O1133" s="68"/>
      <c r="P1133" s="68"/>
      <c r="Q1133" s="68"/>
      <c r="R1133" s="68"/>
      <c r="S1133" s="68"/>
      <c r="T1133" s="68"/>
      <c r="U1133" s="68"/>
      <c r="V1133" s="66"/>
      <c r="W1133" s="66"/>
      <c r="X1133" s="189"/>
      <c r="Y1133" s="68"/>
      <c r="Z1133" s="68"/>
      <c r="AA1133" s="699"/>
      <c r="AB1133" s="297"/>
      <c r="AC1133" s="74"/>
      <c r="AD1133" s="118"/>
      <c r="AE1133" s="126"/>
      <c r="AF1133" s="73"/>
      <c r="AG1133" s="126"/>
      <c r="AH1133" s="498">
        <f t="shared" si="391"/>
        <v>0</v>
      </c>
      <c r="AI1133" s="498"/>
      <c r="AJ1133" s="126"/>
      <c r="AK1133" s="650" t="e">
        <f t="shared" si="394"/>
        <v>#DIV/0!</v>
      </c>
      <c r="AL1133" s="225" t="e">
        <f>Table1[[#This Row],[WSP/Dealer]]/Table1[[#This Row],[OD Sq Inch]]</f>
        <v>#DIV/0!</v>
      </c>
      <c r="AM1133" s="119"/>
      <c r="AN1133" s="216">
        <f>Table1[[#This Row],[Min VO]]+Table1[[#This Row],[Max VO]]</f>
        <v>0</v>
      </c>
      <c r="AO1133" s="84"/>
      <c r="AP1133" s="84"/>
      <c r="AQ1133" s="126"/>
      <c r="AR1133" s="126"/>
      <c r="AS1133" s="126"/>
      <c r="AT1133" s="74"/>
      <c r="AU1133" s="1357" t="str">
        <f t="shared" si="388"/>
        <v>-</v>
      </c>
    </row>
    <row r="1134" spans="1:47" s="103" customFormat="1" hidden="1" x14ac:dyDescent="0.2">
      <c r="A1134" s="469" t="s">
        <v>318</v>
      </c>
      <c r="B1134" s="1061" t="s">
        <v>96</v>
      </c>
      <c r="C1134" s="1631" t="s">
        <v>2796</v>
      </c>
      <c r="D1134" s="94">
        <v>199589</v>
      </c>
      <c r="E1134" s="284" t="s">
        <v>2797</v>
      </c>
      <c r="F1134" s="284" t="s">
        <v>50</v>
      </c>
      <c r="G1134" s="180" t="s">
        <v>51</v>
      </c>
      <c r="H1134" s="180" t="s">
        <v>51</v>
      </c>
      <c r="I1134" s="180" t="s">
        <v>52</v>
      </c>
      <c r="J1134" s="310" t="s">
        <v>53</v>
      </c>
      <c r="K1134" s="180" t="s">
        <v>54</v>
      </c>
      <c r="L1134" s="180" t="s">
        <v>55</v>
      </c>
      <c r="M1134" s="543">
        <v>350</v>
      </c>
      <c r="N1134" s="786">
        <v>875</v>
      </c>
      <c r="O1134" s="180" t="s">
        <v>56</v>
      </c>
      <c r="P1134" s="180">
        <v>30</v>
      </c>
      <c r="Q1134" s="180">
        <v>40</v>
      </c>
      <c r="R1134" s="180">
        <v>30</v>
      </c>
      <c r="S1134" s="180">
        <v>40</v>
      </c>
      <c r="T1134" s="180">
        <v>30</v>
      </c>
      <c r="U1134" s="180">
        <v>40</v>
      </c>
      <c r="V1134" s="174">
        <f>IF(J1134="Canvas",P1134+Border,P1134)</f>
        <v>38</v>
      </c>
      <c r="W1134" s="174">
        <f>IF(J1134="Canvas",Q1134+Border,Q1134)</f>
        <v>48</v>
      </c>
      <c r="X1134" s="289">
        <v>40</v>
      </c>
      <c r="Y1134" s="180">
        <v>30</v>
      </c>
      <c r="Z1134" s="180">
        <v>40</v>
      </c>
      <c r="AA1134" s="678">
        <f t="shared" ref="AA1134:AA1146" si="400">V1134*W1134/144</f>
        <v>12.666666666666666</v>
      </c>
      <c r="AB1134" s="125">
        <f>AA1134*IncaG</f>
        <v>266.50666666666666</v>
      </c>
      <c r="AC1134" s="69">
        <f>AA1134*Canvas</f>
        <v>8.36</v>
      </c>
      <c r="AD1134" s="175">
        <f>Table1[[#This Row],[Substrate SF]]*IncaC</f>
        <v>21.320533333333334</v>
      </c>
      <c r="AE1134" s="69">
        <f>IF(Table1[[#This Row],[Work Center]]="SwissQ",Materials!G$37,IF(Table1[[#This Row],[Work Center]]="Inca",Materials!G$29,IF(Table1[[#This Row],[Work Center]]="Canon",Materials!G$49,Materials!G$45)))</f>
        <v>8</v>
      </c>
      <c r="AF1134" s="176">
        <f>'Cali FPS'!C48</f>
        <v>76.3</v>
      </c>
      <c r="AG1134" s="83"/>
      <c r="AH1134" s="498">
        <f t="shared" si="391"/>
        <v>17.5</v>
      </c>
      <c r="AI1134" s="498"/>
      <c r="AJ1134" s="176">
        <f>SUM(AC1134:AH1134)</f>
        <v>131.48053333333331</v>
      </c>
      <c r="AK1134" s="650">
        <f t="shared" si="394"/>
        <v>0.62434133333333341</v>
      </c>
      <c r="AL1134" s="225">
        <f>Table1[[#This Row],[WSP/Dealer]]/Table1[[#This Row],[OD Sq Inch]]</f>
        <v>0.29166666666666669</v>
      </c>
      <c r="AM1134" s="173">
        <f>Table1[[#This Row],[OD Wdth]]*Table1[[#This Row],[OD Hgt]]</f>
        <v>1200</v>
      </c>
      <c r="AN1134" s="180" t="str">
        <f>Table1[[#This Row],[Color]]</f>
        <v>GW</v>
      </c>
      <c r="AO1134" s="83" t="str">
        <f>Table1[[#This Row],[Print Type]]</f>
        <v>Synograph</v>
      </c>
      <c r="AP1134" s="540"/>
      <c r="AQ1134" s="540"/>
      <c r="AR1134" s="540"/>
      <c r="AS1134" s="540"/>
      <c r="AT1134" s="69"/>
      <c r="AU1134" s="1358" t="str">
        <f t="shared" si="388"/>
        <v>-</v>
      </c>
    </row>
    <row r="1135" spans="1:47" s="103" customFormat="1" hidden="1" x14ac:dyDescent="0.2">
      <c r="A1135" s="101" t="s">
        <v>110</v>
      </c>
      <c r="B1135" s="1067" t="s">
        <v>134</v>
      </c>
      <c r="C1135" s="1336" t="s">
        <v>2798</v>
      </c>
      <c r="D1135" s="168"/>
      <c r="E1135" s="115" t="s">
        <v>2799</v>
      </c>
      <c r="F1135" s="115" t="s">
        <v>614</v>
      </c>
      <c r="G1135" s="101" t="s">
        <v>100</v>
      </c>
      <c r="H1135" s="101" t="s">
        <v>100</v>
      </c>
      <c r="I1135" s="101" t="s">
        <v>52</v>
      </c>
      <c r="J1135" s="487" t="s">
        <v>53</v>
      </c>
      <c r="K1135" s="101" t="s">
        <v>54</v>
      </c>
      <c r="L1135" s="101" t="s">
        <v>55</v>
      </c>
      <c r="M1135" s="299">
        <v>350</v>
      </c>
      <c r="N1135" s="114"/>
      <c r="O1135" s="101" t="s">
        <v>56</v>
      </c>
      <c r="P1135" s="101">
        <v>24</v>
      </c>
      <c r="Q1135" s="101">
        <v>36</v>
      </c>
      <c r="R1135" s="101">
        <v>24</v>
      </c>
      <c r="S1135" s="101">
        <v>36</v>
      </c>
      <c r="T1135" s="101">
        <v>24</v>
      </c>
      <c r="U1135" s="101">
        <v>36</v>
      </c>
      <c r="V1135" s="106">
        <f>IF(J1135="Canvas",P1135+Border,P1135)</f>
        <v>32</v>
      </c>
      <c r="W1135" s="106">
        <f>IF(J1135="Canvas",Q1135+Border,Q1135)</f>
        <v>44</v>
      </c>
      <c r="X1135" s="137">
        <v>40</v>
      </c>
      <c r="Y1135" s="101">
        <v>32</v>
      </c>
      <c r="Z1135" s="101">
        <v>44</v>
      </c>
      <c r="AA1135" s="724">
        <f t="shared" si="400"/>
        <v>9.7777777777777786</v>
      </c>
      <c r="AB1135" s="184">
        <f>AA1135*IncaG</f>
        <v>205.72444444444446</v>
      </c>
      <c r="AC1135" s="104">
        <f>AA1135*Canvas</f>
        <v>6.453333333333334</v>
      </c>
      <c r="AD1135" s="405">
        <f>Table1[[#This Row],[Substrate SF]]*IncaC</f>
        <v>16.457955555555557</v>
      </c>
      <c r="AE1135" s="104">
        <f>IF(Table1[[#This Row],[Work Center]]="SwissQ",Materials!G$37,IF(Table1[[#This Row],[Work Center]]="Inca",Materials!G$29,IF(Table1[[#This Row],[Work Center]]="Canon",Materials!G$49,Materials!G$45)))</f>
        <v>8</v>
      </c>
      <c r="AF1135" s="102">
        <f>'Cali FPS'!C37</f>
        <v>75.162500000000009</v>
      </c>
      <c r="AG1135" s="115"/>
      <c r="AH1135" s="107">
        <f t="shared" si="391"/>
        <v>17.5</v>
      </c>
      <c r="AI1135" s="405">
        <f>IF(A1135="Codarus",(M1135*0.13))</f>
        <v>45.5</v>
      </c>
      <c r="AJ1135" s="104">
        <f>SUM(AC1135:AI1135)</f>
        <v>169.07378888888888</v>
      </c>
      <c r="AK1135" s="108">
        <f t="shared" si="394"/>
        <v>0.51693203174603175</v>
      </c>
      <c r="AL1135" s="660">
        <f>Table1[[#This Row],[WSP/Dealer]]/Table1[[#This Row],[OD Sq Inch]]</f>
        <v>0.40509259259259262</v>
      </c>
      <c r="AM1135" s="399">
        <f>Table1[[#This Row],[OD Wdth]]*Table1[[#This Row],[OD Hgt]]</f>
        <v>864</v>
      </c>
      <c r="AN1135" s="400" t="str">
        <f>Table1[[#This Row],[Color]]</f>
        <v>GW</v>
      </c>
      <c r="AO1135" s="115"/>
      <c r="AP1135" s="1307">
        <f>(M1135*2)</f>
        <v>700</v>
      </c>
      <c r="AQ1135" s="121">
        <f>(Table1[[#This Row],[Desgnr/Retail P]]*0.05)</f>
        <v>35</v>
      </c>
      <c r="AR1135" s="121">
        <f>IF(A1135="Codarus",(AP1135*0.13))</f>
        <v>91</v>
      </c>
      <c r="AS1135" s="121">
        <f>SUM(Table1[[#This Row],[Substrate $]:[GP FINISH]])+Table1[[#This Row],[Retail Royalty]]+Table1[[#This Row],[Retail$Comm]]</f>
        <v>232.07378888888888</v>
      </c>
      <c r="AT1135" s="830">
        <f>IF(AP1135=0,"-",(AP1135-AS1135)/AP1135)</f>
        <v>0.66846601587301591</v>
      </c>
      <c r="AU1135" s="1359">
        <f t="shared" si="388"/>
        <v>0.98090097097505669</v>
      </c>
    </row>
    <row r="1136" spans="1:47" s="103" customFormat="1" hidden="1" x14ac:dyDescent="0.2">
      <c r="A1136" s="101" t="s">
        <v>110</v>
      </c>
      <c r="B1136" s="1067" t="s">
        <v>250</v>
      </c>
      <c r="C1136" s="1336" t="s">
        <v>2800</v>
      </c>
      <c r="D1136" s="168"/>
      <c r="E1136" s="115" t="s">
        <v>2801</v>
      </c>
      <c r="F1136" s="115" t="s">
        <v>448</v>
      </c>
      <c r="G1136" s="101" t="s">
        <v>2802</v>
      </c>
      <c r="H1136" s="101" t="s">
        <v>2803</v>
      </c>
      <c r="I1136" s="101" t="s">
        <v>52</v>
      </c>
      <c r="J1136" s="487" t="s">
        <v>53</v>
      </c>
      <c r="K1136" s="101" t="s">
        <v>69</v>
      </c>
      <c r="L1136" s="101" t="s">
        <v>70</v>
      </c>
      <c r="M1136" s="114">
        <v>650</v>
      </c>
      <c r="N1136" s="114"/>
      <c r="O1136" s="101" t="s">
        <v>56</v>
      </c>
      <c r="P1136" s="101">
        <v>40</v>
      </c>
      <c r="Q1136" s="101">
        <v>52</v>
      </c>
      <c r="R1136" s="101">
        <v>40</v>
      </c>
      <c r="S1136" s="101">
        <v>52</v>
      </c>
      <c r="T1136" s="101">
        <v>41</v>
      </c>
      <c r="U1136" s="101">
        <v>53</v>
      </c>
      <c r="V1136" s="608">
        <f>IF(J1136="Canvas",P1136+Border,P1136)</f>
        <v>48</v>
      </c>
      <c r="W1136" s="608">
        <f>IF(J1136="Canvas",Q1136+Border,Q1136)</f>
        <v>60</v>
      </c>
      <c r="X1136" s="101">
        <v>53</v>
      </c>
      <c r="Y1136" s="101">
        <v>48</v>
      </c>
      <c r="Z1136" s="101">
        <v>60</v>
      </c>
      <c r="AA1136" s="724">
        <f t="shared" si="400"/>
        <v>20</v>
      </c>
      <c r="AB1136" s="184">
        <f>AA1136*IncaG</f>
        <v>420.79999999999995</v>
      </c>
      <c r="AC1136" s="104">
        <f>AA1136*Canvas</f>
        <v>13.200000000000001</v>
      </c>
      <c r="AD1136" s="405">
        <f>Table1[[#This Row],[Substrate SF]]*IncaC</f>
        <v>33.664000000000001</v>
      </c>
      <c r="AE1136" s="104">
        <f>IF(Table1[[#This Row],[Work Center]]="SwissQ",Materials!G$37,IF(Table1[[#This Row],[Work Center]]="Inca",Materials!G$29,IF(Table1[[#This Row],[Work Center]]="Canon",Materials!G$49,Materials!G$45)))</f>
        <v>8</v>
      </c>
      <c r="AF1136" s="102">
        <f>'Cali Frames'!D313</f>
        <v>160</v>
      </c>
      <c r="AG1136" s="115"/>
      <c r="AH1136" s="104">
        <f t="shared" si="391"/>
        <v>32.5</v>
      </c>
      <c r="AI1136" s="406">
        <f>IF(A1136="Codarus",(M1136*0.13))</f>
        <v>84.5</v>
      </c>
      <c r="AJ1136" s="104">
        <f>SUM(AC1136:AI1136)</f>
        <v>331.86400000000003</v>
      </c>
      <c r="AK1136" s="830">
        <f t="shared" si="394"/>
        <v>0.48943999999999993</v>
      </c>
      <c r="AL1136" s="660">
        <f>Table1[[#This Row],[WSP/Dealer]]/Table1[[#This Row],[OD Sq Inch]]</f>
        <v>0.2991256327657616</v>
      </c>
      <c r="AM1136" s="400">
        <f>Table1[[#This Row],[OD Wdth]]*Table1[[#This Row],[OD Hgt]]</f>
        <v>2173</v>
      </c>
      <c r="AN1136" s="400" t="str">
        <f>Table1[[#This Row],[Color]]</f>
        <v>BF</v>
      </c>
      <c r="AO1136" s="115"/>
      <c r="AP1136" s="1307">
        <f>(M1136*2)</f>
        <v>1300</v>
      </c>
      <c r="AQ1136" s="121">
        <f>(Table1[[#This Row],[Desgnr/Retail P]]*0.05)</f>
        <v>65</v>
      </c>
      <c r="AR1136" s="121">
        <f>IF(A1136="Codarus",(AP1136*0.13))</f>
        <v>169</v>
      </c>
      <c r="AS1136" s="121">
        <f>SUM(Table1[[#This Row],[Substrate $]:[GP FINISH]])+Table1[[#This Row],[Retail Royalty]]+Table1[[#This Row],[Retail$Comm]]</f>
        <v>448.86400000000003</v>
      </c>
      <c r="AT1136" s="830">
        <f>IF(AP1136=0,"-",(AP1136-AS1136)/AP1136)</f>
        <v>0.65471999999999997</v>
      </c>
      <c r="AU1136" s="1359">
        <f t="shared" si="388"/>
        <v>0.98992738461538465</v>
      </c>
    </row>
    <row r="1137" spans="1:47" s="103" customFormat="1" hidden="1" x14ac:dyDescent="0.2">
      <c r="A1137" s="495" t="s">
        <v>318</v>
      </c>
      <c r="B1137" s="1061" t="s">
        <v>96</v>
      </c>
      <c r="C1137" s="1708" t="s">
        <v>2804</v>
      </c>
      <c r="D1137" s="94">
        <v>199637</v>
      </c>
      <c r="E1137" s="401" t="s">
        <v>2805</v>
      </c>
      <c r="F1137" s="401" t="s">
        <v>567</v>
      </c>
      <c r="G1137" s="400" t="s">
        <v>1073</v>
      </c>
      <c r="H1137" s="101" t="s">
        <v>890</v>
      </c>
      <c r="I1137" s="400" t="s">
        <v>52</v>
      </c>
      <c r="J1137" s="497" t="s">
        <v>53</v>
      </c>
      <c r="K1137" s="400" t="s">
        <v>69</v>
      </c>
      <c r="L1137" s="400" t="s">
        <v>70</v>
      </c>
      <c r="M1137" s="541">
        <v>300</v>
      </c>
      <c r="N1137" s="786">
        <v>750</v>
      </c>
      <c r="O1137" s="400" t="s">
        <v>56</v>
      </c>
      <c r="P1137" s="400">
        <v>24</v>
      </c>
      <c r="Q1137" s="400">
        <v>36</v>
      </c>
      <c r="R1137" s="400">
        <v>24</v>
      </c>
      <c r="S1137" s="400">
        <v>36</v>
      </c>
      <c r="T1137" s="400">
        <v>25</v>
      </c>
      <c r="U1137" s="400">
        <v>37</v>
      </c>
      <c r="V1137" s="918">
        <f>IF(J1137="Canvas",P1137+Border,P1137)</f>
        <v>32</v>
      </c>
      <c r="W1137" s="918">
        <f>IF(J1137="Canvas",Q1137+Border,Q1137)</f>
        <v>44</v>
      </c>
      <c r="X1137" s="525">
        <v>40</v>
      </c>
      <c r="Y1137" s="400">
        <v>32</v>
      </c>
      <c r="Z1137" s="400">
        <v>44</v>
      </c>
      <c r="AA1137" s="724">
        <f t="shared" si="400"/>
        <v>9.7777777777777786</v>
      </c>
      <c r="AB1137" s="184">
        <f>AA1137*IncaG</f>
        <v>205.72444444444446</v>
      </c>
      <c r="AC1137" s="104">
        <f>AA1137*Canvas</f>
        <v>6.453333333333334</v>
      </c>
      <c r="AD1137" s="405">
        <f>Table1[[#This Row],[Substrate SF]]*IncaC</f>
        <v>16.457955555555557</v>
      </c>
      <c r="AE1137" s="104">
        <f>IF(Table1[[#This Row],[Work Center]]="SwissQ",Materials!G$37,IF(Table1[[#This Row],[Work Center]]="Inca",Materials!G$29,IF(Table1[[#This Row],[Work Center]]="Canon",Materials!G$49,Materials!G$45)))</f>
        <v>8</v>
      </c>
      <c r="AF1137" s="406">
        <f>'Cali Frames'!D282</f>
        <v>112.66500000000001</v>
      </c>
      <c r="AG1137" s="121"/>
      <c r="AH1137" s="112">
        <f t="shared" si="391"/>
        <v>15</v>
      </c>
      <c r="AI1137" s="112"/>
      <c r="AJ1137" s="406">
        <f>SUM(AC1137:AH1137)</f>
        <v>158.57628888888888</v>
      </c>
      <c r="AK1137" s="62">
        <f t="shared" si="394"/>
        <v>0.47141237037037037</v>
      </c>
      <c r="AL1137" s="225">
        <f>Table1[[#This Row],[WSP/Dealer]]/Table1[[#This Row],[OD Sq Inch]]</f>
        <v>0.32432432432432434</v>
      </c>
      <c r="AM1137" s="399">
        <f>Table1[[#This Row],[OD Wdth]]*Table1[[#This Row],[OD Hgt]]</f>
        <v>925</v>
      </c>
      <c r="AN1137" s="400" t="str">
        <f>Table1[[#This Row],[Color]]</f>
        <v>BF</v>
      </c>
      <c r="AO1137" s="115" t="str">
        <f>Table1[[#This Row],[Print Type]]</f>
        <v>Synograph</v>
      </c>
      <c r="AP1137" s="121"/>
      <c r="AQ1137" s="121"/>
      <c r="AR1137" s="121"/>
      <c r="AS1137" s="121"/>
      <c r="AT1137" s="104"/>
      <c r="AU1137" s="1366" t="str">
        <f t="shared" si="388"/>
        <v>-</v>
      </c>
    </row>
    <row r="1138" spans="1:47" s="63" customFormat="1" x14ac:dyDescent="0.2">
      <c r="A1138" s="86" t="s">
        <v>58</v>
      </c>
      <c r="B1138" s="1061" t="s">
        <v>591</v>
      </c>
      <c r="C1138" s="81" t="s">
        <v>2806</v>
      </c>
      <c r="D1138" s="94" t="s">
        <v>2807</v>
      </c>
      <c r="E1138" s="85" t="s">
        <v>2808</v>
      </c>
      <c r="F1138" s="85" t="s">
        <v>1834</v>
      </c>
      <c r="G1138" s="86" t="s">
        <v>2809</v>
      </c>
      <c r="H1138" s="86" t="s">
        <v>2809</v>
      </c>
      <c r="I1138" s="86" t="s">
        <v>52</v>
      </c>
      <c r="J1138" s="86" t="s">
        <v>53</v>
      </c>
      <c r="K1138" s="86" t="s">
        <v>54</v>
      </c>
      <c r="L1138" s="86" t="s">
        <v>55</v>
      </c>
      <c r="M1138" s="87">
        <v>1350</v>
      </c>
      <c r="N1138" s="639">
        <v>1350</v>
      </c>
      <c r="O1138" s="101" t="s">
        <v>64</v>
      </c>
      <c r="P1138" s="273">
        <v>80</v>
      </c>
      <c r="Q1138" s="273">
        <v>58</v>
      </c>
      <c r="R1138" s="60">
        <v>58</v>
      </c>
      <c r="S1138" s="273">
        <v>80</v>
      </c>
      <c r="T1138" s="273">
        <f>Table1[[#This Row],[VO Wdth]]</f>
        <v>80</v>
      </c>
      <c r="U1138" s="273">
        <f>Table1[[#This Row],[VO Hgt]]</f>
        <v>58</v>
      </c>
      <c r="V1138" s="106">
        <f>IF(J1138="Canvas",P1138+BorderL,P1138)</f>
        <v>91</v>
      </c>
      <c r="W1138" s="106">
        <f>IF(J1138="Canvas",Q1138+BorderL,Q1138)</f>
        <v>69</v>
      </c>
      <c r="X1138" s="189" t="s">
        <v>2478</v>
      </c>
      <c r="Y1138" s="68"/>
      <c r="Z1138" s="68"/>
      <c r="AA1138" s="649">
        <f t="shared" si="400"/>
        <v>43.604166666666664</v>
      </c>
      <c r="AB1138" s="125">
        <f>AA1138*Swiss1</f>
        <v>1233.9979166666667</v>
      </c>
      <c r="AC1138" s="104">
        <f>AA1138*Canvas</f>
        <v>28.778749999999999</v>
      </c>
      <c r="AD1138" s="107">
        <f>Table1[[#This Row],[Substrate SF]]*Materials!C$37</f>
        <v>122.09166666666665</v>
      </c>
      <c r="AE1138" s="104">
        <f>IF(Table1[[#This Row],[Work Center]]="SwissQ",Materials!G$37,IF(Table1[[#This Row],[Work Center]]="Inca",Materials!G$29,IF(Table1[[#This Row],[Work Center]]="Canon",Materials!G$49,Materials!G$45)))</f>
        <v>20</v>
      </c>
      <c r="AF1138" s="74">
        <f>'Cali FPS'!C$158</f>
        <v>196.875</v>
      </c>
      <c r="AG1138" s="115"/>
      <c r="AH1138" s="112">
        <f t="shared" si="391"/>
        <v>67.5</v>
      </c>
      <c r="AI1138" s="112"/>
      <c r="AJ1138" s="104">
        <f>SUM(AC1138:AH1138)</f>
        <v>435.24541666666664</v>
      </c>
      <c r="AK1138" s="62">
        <f t="shared" si="394"/>
        <v>0.67759598765432105</v>
      </c>
      <c r="AL1138" s="225">
        <f>Table1[[#This Row],[WSP/Dealer]]/Table1[[#This Row],[OD Sq Inch]]</f>
        <v>0.29094827586206895</v>
      </c>
      <c r="AM1138" s="97">
        <f>Table1[[#This Row],[OD Wdth]]*Table1[[#This Row],[OD Hgt]]</f>
        <v>4640</v>
      </c>
      <c r="AN1138" s="216">
        <f>Table1[[#This Row],[Min VO]]+Table1[[#This Row],[Max VO]]</f>
        <v>138</v>
      </c>
      <c r="AO1138" s="101"/>
      <c r="AP1138" s="101"/>
      <c r="AQ1138" s="104"/>
      <c r="AR1138" s="104"/>
      <c r="AS1138" s="104"/>
      <c r="AT1138" s="104"/>
      <c r="AU1138" s="830" t="str">
        <f t="shared" si="388"/>
        <v>-</v>
      </c>
    </row>
    <row r="1139" spans="1:47" s="63" customFormat="1" x14ac:dyDescent="0.2">
      <c r="A1139" s="86" t="s">
        <v>58</v>
      </c>
      <c r="B1139" s="279" t="s">
        <v>406</v>
      </c>
      <c r="C1139" s="122" t="s">
        <v>2810</v>
      </c>
      <c r="D1139" s="94" t="s">
        <v>2811</v>
      </c>
      <c r="E1139" s="85" t="s">
        <v>2812</v>
      </c>
      <c r="F1139" s="85" t="s">
        <v>144</v>
      </c>
      <c r="G1139" s="86" t="s">
        <v>1096</v>
      </c>
      <c r="H1139" s="86" t="s">
        <v>2813</v>
      </c>
      <c r="I1139" s="86" t="s">
        <v>52</v>
      </c>
      <c r="J1139" s="86" t="s">
        <v>280</v>
      </c>
      <c r="K1139" s="86" t="s">
        <v>69</v>
      </c>
      <c r="L1139" s="86" t="s">
        <v>70</v>
      </c>
      <c r="M1139" s="87">
        <v>621.5</v>
      </c>
      <c r="N1139" s="639">
        <v>630</v>
      </c>
      <c r="O1139" s="551" t="s">
        <v>56</v>
      </c>
      <c r="P1139" s="101">
        <v>32</v>
      </c>
      <c r="Q1139" s="101">
        <v>36</v>
      </c>
      <c r="R1139" s="60">
        <v>32</v>
      </c>
      <c r="S1139" s="273">
        <v>36</v>
      </c>
      <c r="T1139" s="101">
        <v>33</v>
      </c>
      <c r="U1139" s="101" t="str">
        <f>RIGHT(H1139,2)</f>
        <v>37</v>
      </c>
      <c r="V1139" s="608">
        <f>IF(J1139="Canvas",P1139+Border,P1139)</f>
        <v>32</v>
      </c>
      <c r="W1139" s="608">
        <f>IF(J1139="Canvas",Q1139+Border,Q1139)</f>
        <v>36</v>
      </c>
      <c r="X1139" s="137" t="s">
        <v>2814</v>
      </c>
      <c r="Y1139" s="101"/>
      <c r="Z1139" s="101"/>
      <c r="AA1139" s="649">
        <f t="shared" si="400"/>
        <v>8</v>
      </c>
      <c r="AB1139" s="184">
        <f>AA1139*IncaG</f>
        <v>168.32</v>
      </c>
      <c r="AC1139" s="104">
        <f>PETG48/3</f>
        <v>16.22</v>
      </c>
      <c r="AD1139" s="107">
        <f>AA1139*IncaC</f>
        <v>13.4656</v>
      </c>
      <c r="AE1139" s="104">
        <f>IF(Table1[[#This Row],[Work Center]]="SwissQ",Materials!G$37,IF(Table1[[#This Row],[Work Center]]="Inca",Materials!G$29,IF(Table1[[#This Row],[Work Center]]="Canon",Materials!G$49,Materials!G$45)))</f>
        <v>8</v>
      </c>
      <c r="AF1139" s="104">
        <f>'Cali Frames'!D$292</f>
        <v>115.2375</v>
      </c>
      <c r="AG1139" s="115"/>
      <c r="AH1139" s="498">
        <f t="shared" si="391"/>
        <v>31.075000000000003</v>
      </c>
      <c r="AI1139" s="498"/>
      <c r="AJ1139" s="104">
        <f>SUM(AC1139:AH1139)</f>
        <v>183.99810000000002</v>
      </c>
      <c r="AK1139" s="650">
        <f t="shared" ref="AK1139:AK1170" si="401">(M1139-AJ1139)/M1139</f>
        <v>0.70394513274336279</v>
      </c>
      <c r="AL1139" s="225">
        <f>Table1[[#This Row],[WSP/Dealer]]/Table1[[#This Row],[OD Sq Inch]]</f>
        <v>0.50900900900900903</v>
      </c>
      <c r="AM1139" s="97">
        <f>Table1[[#This Row],[OD Wdth]]*Table1[[#This Row],[OD Hgt]]</f>
        <v>1221</v>
      </c>
      <c r="AN1139" s="216">
        <f>Table1[[#This Row],[Min VO]]+Table1[[#This Row],[Max VO]]</f>
        <v>68</v>
      </c>
      <c r="AO1139" s="101"/>
      <c r="AP1139" s="101"/>
      <c r="AQ1139" s="104"/>
      <c r="AR1139" s="104"/>
      <c r="AS1139" s="104"/>
      <c r="AT1139" s="104"/>
      <c r="AU1139" s="830" t="str">
        <f t="shared" si="388"/>
        <v>-</v>
      </c>
    </row>
    <row r="1140" spans="1:47" s="45" customFormat="1" x14ac:dyDescent="0.2">
      <c r="A1140" s="86" t="s">
        <v>58</v>
      </c>
      <c r="B1140" s="279" t="s">
        <v>406</v>
      </c>
      <c r="C1140" s="80" t="s">
        <v>2815</v>
      </c>
      <c r="D1140" s="94" t="s">
        <v>2816</v>
      </c>
      <c r="E1140" s="85" t="s">
        <v>2812</v>
      </c>
      <c r="F1140" s="85" t="s">
        <v>144</v>
      </c>
      <c r="G1140" s="86" t="s">
        <v>2817</v>
      </c>
      <c r="H1140" s="86" t="s">
        <v>2813</v>
      </c>
      <c r="I1140" s="86" t="s">
        <v>52</v>
      </c>
      <c r="J1140" s="86" t="s">
        <v>53</v>
      </c>
      <c r="K1140" s="86" t="s">
        <v>69</v>
      </c>
      <c r="L1140" s="86" t="s">
        <v>70</v>
      </c>
      <c r="M1140" s="87">
        <v>621.5</v>
      </c>
      <c r="N1140" s="639">
        <v>630</v>
      </c>
      <c r="O1140" s="551" t="s">
        <v>56</v>
      </c>
      <c r="P1140" s="101">
        <v>32</v>
      </c>
      <c r="Q1140" s="101">
        <v>36</v>
      </c>
      <c r="R1140" s="60">
        <v>32</v>
      </c>
      <c r="S1140" s="273">
        <v>36</v>
      </c>
      <c r="T1140" s="101">
        <v>33</v>
      </c>
      <c r="U1140" s="101">
        <v>39</v>
      </c>
      <c r="V1140" s="608">
        <f>IF(J1140="Canvas",P1140+Border,P1140)</f>
        <v>40</v>
      </c>
      <c r="W1140" s="608">
        <f>IF(J1140="Canvas",Q1140+Border,Q1140)</f>
        <v>44</v>
      </c>
      <c r="X1140" s="157" t="s">
        <v>57</v>
      </c>
      <c r="Y1140" s="60">
        <v>40</v>
      </c>
      <c r="Z1140" s="60">
        <v>88</v>
      </c>
      <c r="AA1140" s="649">
        <f t="shared" si="400"/>
        <v>12.222222222222221</v>
      </c>
      <c r="AB1140" s="184">
        <f>AA1140*IncaG</f>
        <v>257.15555555555551</v>
      </c>
      <c r="AC1140" s="104">
        <f t="shared" ref="AC1140:AC1146" si="402">AA1140*Canvas</f>
        <v>8.0666666666666664</v>
      </c>
      <c r="AD1140" s="107">
        <f>AA1140*IncaC</f>
        <v>20.572444444444443</v>
      </c>
      <c r="AE1140" s="104">
        <f>IF(Table1[[#This Row],[Work Center]]="SwissQ",Materials!G$37,IF(Table1[[#This Row],[Work Center]]="Inca",Materials!G$29,IF(Table1[[#This Row],[Work Center]]="Canon",Materials!G$49,Materials!G$45)))</f>
        <v>8</v>
      </c>
      <c r="AF1140" s="104">
        <f>'Cali Frames'!D$292</f>
        <v>115.2375</v>
      </c>
      <c r="AG1140" s="115"/>
      <c r="AH1140" s="112">
        <f t="shared" si="391"/>
        <v>31.075000000000003</v>
      </c>
      <c r="AI1140" s="112"/>
      <c r="AJ1140" s="104">
        <f>SUM(AC1140:AH1140)</f>
        <v>182.95161111111111</v>
      </c>
      <c r="AK1140" s="62">
        <f t="shared" si="401"/>
        <v>0.70562894431036027</v>
      </c>
      <c r="AL1140" s="225">
        <f>Table1[[#This Row],[WSP/Dealer]]/Table1[[#This Row],[OD Sq Inch]]</f>
        <v>0.48290598290598291</v>
      </c>
      <c r="AM1140" s="97">
        <f>Table1[[#This Row],[OD Wdth]]*Table1[[#This Row],[OD Hgt]]</f>
        <v>1287</v>
      </c>
      <c r="AN1140" s="216">
        <f>Table1[[#This Row],[Min VO]]+Table1[[#This Row],[Max VO]]</f>
        <v>68</v>
      </c>
      <c r="AO1140" s="101"/>
      <c r="AP1140" s="101"/>
      <c r="AQ1140" s="104"/>
      <c r="AR1140" s="104"/>
      <c r="AS1140" s="104"/>
      <c r="AT1140" s="104"/>
      <c r="AU1140" s="830" t="str">
        <f t="shared" si="388"/>
        <v>-</v>
      </c>
    </row>
    <row r="1141" spans="1:47" s="103" customFormat="1" hidden="1" x14ac:dyDescent="0.2">
      <c r="A1141" s="551" t="s">
        <v>140</v>
      </c>
      <c r="B1141" s="279" t="s">
        <v>141</v>
      </c>
      <c r="C1141" s="1110" t="s">
        <v>2818</v>
      </c>
      <c r="D1141" s="94"/>
      <c r="E1141" s="653" t="s">
        <v>2819</v>
      </c>
      <c r="F1141" s="653" t="s">
        <v>144</v>
      </c>
      <c r="G1141" s="551" t="s">
        <v>1096</v>
      </c>
      <c r="H1141" s="551" t="s">
        <v>2820</v>
      </c>
      <c r="I1141" s="551" t="s">
        <v>52</v>
      </c>
      <c r="J1141" s="856" t="s">
        <v>53</v>
      </c>
      <c r="K1141" s="551" t="s">
        <v>82</v>
      </c>
      <c r="L1141" s="551" t="s">
        <v>83</v>
      </c>
      <c r="M1141" s="857">
        <v>630</v>
      </c>
      <c r="N1141" s="858">
        <f>Table1[[#This Row],[WSP/Dealer]]/0.35</f>
        <v>1800.0000000000002</v>
      </c>
      <c r="O1141" s="551" t="s">
        <v>64</v>
      </c>
      <c r="P1141" s="551">
        <v>32</v>
      </c>
      <c r="Q1141" s="551">
        <v>36</v>
      </c>
      <c r="R1141" s="551">
        <v>32</v>
      </c>
      <c r="S1141" s="1691">
        <v>36</v>
      </c>
      <c r="T1141" s="45">
        <v>33</v>
      </c>
      <c r="U1141" s="45">
        <v>37</v>
      </c>
      <c r="V1141" s="859">
        <f>IF(J1141="Canvas",P1141+Border,P1141)</f>
        <v>40</v>
      </c>
      <c r="W1141" s="859">
        <f>IF(J1141="Canvas",Q1141+Border,Q1141)</f>
        <v>44</v>
      </c>
      <c r="X1141" s="311">
        <v>40</v>
      </c>
      <c r="Y1141" s="551">
        <v>40</v>
      </c>
      <c r="Z1141" s="551">
        <v>44</v>
      </c>
      <c r="AA1141" s="860">
        <f t="shared" si="400"/>
        <v>12.222222222222221</v>
      </c>
      <c r="AB1141" s="861">
        <f>AA1141*Swiss1</f>
        <v>345.88888888888886</v>
      </c>
      <c r="AC1141" s="863">
        <f t="shared" si="402"/>
        <v>8.0666666666666664</v>
      </c>
      <c r="AD1141" s="862">
        <f>Table1[[#This Row],[Substrate SF]]*SWISSC1</f>
        <v>34.222222222222214</v>
      </c>
      <c r="AE1141" s="863">
        <f>IF(Table1[[#This Row],[Work Center]]="SwissQ",Materials!G$37,IF(Table1[[#This Row],[Work Center]]="Inca",Materials!G$29,IF(Table1[[#This Row],[Work Center]]="Canon",Materials!G$49,Materials!G$45)))</f>
        <v>20</v>
      </c>
      <c r="AF1141" s="71">
        <f>'Cali Frames'!D130</f>
        <v>111.685</v>
      </c>
      <c r="AG1141" s="653"/>
      <c r="AH1141" s="867">
        <f t="shared" si="391"/>
        <v>31.5</v>
      </c>
      <c r="AI1141" s="867"/>
      <c r="AJ1141" s="867">
        <f>SUM(AC1141:AH1141)</f>
        <v>205.47388888888889</v>
      </c>
      <c r="AK1141" s="1087">
        <f t="shared" si="401"/>
        <v>0.67385097001763672</v>
      </c>
      <c r="AL1141" s="867">
        <f>Table1[[#This Row],[WSP/Dealer]]/Table1[[#This Row],[OD Sq Inch]]</f>
        <v>0.51597051597051602</v>
      </c>
      <c r="AM1141" s="868">
        <f>Table1[[#This Row],[OD Wdth]]*Table1[[#This Row],[OD Hgt]]</f>
        <v>1221</v>
      </c>
      <c r="AN1141" s="869">
        <f>Table1[[#This Row],[Min VO]]+Table1[[#This Row],[Max VO]]</f>
        <v>68</v>
      </c>
      <c r="AO1141" s="653"/>
      <c r="AP1141" s="653"/>
      <c r="AQ1141" s="864"/>
      <c r="AR1141" s="864"/>
      <c r="AS1141" s="864"/>
      <c r="AT1141" s="863"/>
      <c r="AU1141" s="1364" t="str">
        <f t="shared" si="388"/>
        <v>-</v>
      </c>
    </row>
    <row r="1142" spans="1:47" s="103" customFormat="1" hidden="1" x14ac:dyDescent="0.2">
      <c r="A1142" s="101" t="s">
        <v>110</v>
      </c>
      <c r="B1142" s="1322" t="s">
        <v>134</v>
      </c>
      <c r="C1142" s="122" t="s">
        <v>2821</v>
      </c>
      <c r="D1142" s="168"/>
      <c r="E1142" s="115" t="s">
        <v>2819</v>
      </c>
      <c r="F1142" s="115" t="s">
        <v>144</v>
      </c>
      <c r="G1142" s="101" t="s">
        <v>1096</v>
      </c>
      <c r="H1142" s="101" t="s">
        <v>1096</v>
      </c>
      <c r="I1142" s="101" t="s">
        <v>52</v>
      </c>
      <c r="J1142" s="487" t="s">
        <v>53</v>
      </c>
      <c r="K1142" s="101" t="s">
        <v>54</v>
      </c>
      <c r="L1142" s="101" t="s">
        <v>55</v>
      </c>
      <c r="M1142" s="299">
        <v>400</v>
      </c>
      <c r="N1142" s="833"/>
      <c r="O1142" s="101" t="s">
        <v>64</v>
      </c>
      <c r="P1142" s="101">
        <v>32</v>
      </c>
      <c r="Q1142" s="101">
        <v>36</v>
      </c>
      <c r="R1142" s="101">
        <v>32</v>
      </c>
      <c r="S1142" s="697">
        <v>36</v>
      </c>
      <c r="T1142" s="101">
        <v>32</v>
      </c>
      <c r="U1142" s="697">
        <v>36</v>
      </c>
      <c r="V1142" s="106">
        <f>IF(J1142="Canvas",P1142+Border,P1142)</f>
        <v>40</v>
      </c>
      <c r="W1142" s="106">
        <f>IF(J1142="Canvas",Q1142+Border,Q1142)</f>
        <v>44</v>
      </c>
      <c r="X1142" s="137">
        <v>40</v>
      </c>
      <c r="Y1142" s="101">
        <v>40</v>
      </c>
      <c r="Z1142" s="101">
        <v>44</v>
      </c>
      <c r="AA1142" s="649">
        <f t="shared" si="400"/>
        <v>12.222222222222221</v>
      </c>
      <c r="AB1142" s="184">
        <f>AA1142*Swiss1</f>
        <v>345.88888888888886</v>
      </c>
      <c r="AC1142" s="104">
        <f t="shared" si="402"/>
        <v>8.0666666666666664</v>
      </c>
      <c r="AD1142" s="107">
        <f>Table1[[#This Row],[Substrate SF]]*SWISSC1</f>
        <v>34.222222222222214</v>
      </c>
      <c r="AE1142" s="104">
        <f>IF(Table1[[#This Row],[Work Center]]="SwissQ",Materials!G$37,IF(Table1[[#This Row],[Work Center]]="Inca",Materials!G$29,IF(Table1[[#This Row],[Work Center]]="Canon",Materials!G$49,Materials!G$45)))</f>
        <v>20</v>
      </c>
      <c r="AF1142" s="102">
        <f>'Cali FPS'!C56</f>
        <v>77.37</v>
      </c>
      <c r="AG1142" s="115"/>
      <c r="AH1142" s="405">
        <f t="shared" si="391"/>
        <v>20</v>
      </c>
      <c r="AI1142" s="405">
        <f>IF(A1142="Codarus",(M1142*0.13))</f>
        <v>52</v>
      </c>
      <c r="AJ1142" s="104">
        <f>SUM(AC1142:AI1142)</f>
        <v>211.6588888888889</v>
      </c>
      <c r="AK1142" s="1068">
        <f t="shared" si="401"/>
        <v>0.47085277777777779</v>
      </c>
      <c r="AL1142" s="406">
        <f>Table1[[#This Row],[WSP/Dealer]]/Table1[[#This Row],[OD Sq Inch]]</f>
        <v>0.34722222222222221</v>
      </c>
      <c r="AM1142" s="399">
        <f>Table1[[#This Row],[OD Wdth]]*Table1[[#This Row],[OD Hgt]]</f>
        <v>1152</v>
      </c>
      <c r="AN1142" s="400">
        <f>Table1[[#This Row],[Min VO]]+Table1[[#This Row],[Max VO]]</f>
        <v>68</v>
      </c>
      <c r="AO1142" s="115"/>
      <c r="AP1142" s="1307">
        <f>(M1142*2)</f>
        <v>800</v>
      </c>
      <c r="AQ1142" s="121">
        <f>(Table1[[#This Row],[Desgnr/Retail P]]*0.05)</f>
        <v>40</v>
      </c>
      <c r="AR1142" s="121">
        <f>IF(A1142="Codarus",(AP1142*0.13))</f>
        <v>104</v>
      </c>
      <c r="AS1142" s="121">
        <f>SUM(Table1[[#This Row],[Substrate $]:[GP FINISH]])+Table1[[#This Row],[Retail Royalty]]+Table1[[#This Row],[Retail$Comm]]</f>
        <v>283.6588888888889</v>
      </c>
      <c r="AT1142" s="830">
        <f>IF(AP1142=0,"-",(AP1142-AS1142)/AP1142)</f>
        <v>0.64542638888888892</v>
      </c>
      <c r="AU1142" s="1359">
        <f t="shared" si="388"/>
        <v>0.9838643402777778</v>
      </c>
    </row>
    <row r="1143" spans="1:47" s="46" customFormat="1" x14ac:dyDescent="0.2">
      <c r="A1143" s="86" t="s">
        <v>58</v>
      </c>
      <c r="B1143" s="1061" t="s">
        <v>366</v>
      </c>
      <c r="C1143" s="122" t="s">
        <v>128</v>
      </c>
      <c r="D1143" s="94" t="s">
        <v>2822</v>
      </c>
      <c r="E1143" s="85" t="s">
        <v>2823</v>
      </c>
      <c r="F1143" s="85" t="s">
        <v>1269</v>
      </c>
      <c r="G1143" s="86" t="s">
        <v>655</v>
      </c>
      <c r="H1143" s="86" t="s">
        <v>2824</v>
      </c>
      <c r="I1143" s="86" t="s">
        <v>52</v>
      </c>
      <c r="J1143" s="86" t="s">
        <v>53</v>
      </c>
      <c r="K1143" s="86" t="s">
        <v>82</v>
      </c>
      <c r="L1143" s="86" t="s">
        <v>83</v>
      </c>
      <c r="M1143" s="87">
        <v>1320</v>
      </c>
      <c r="N1143" s="639">
        <v>1450</v>
      </c>
      <c r="O1143" s="101" t="s">
        <v>64</v>
      </c>
      <c r="P1143" s="101">
        <v>72</v>
      </c>
      <c r="Q1143" s="101">
        <v>60</v>
      </c>
      <c r="R1143" s="60">
        <v>60</v>
      </c>
      <c r="S1143" s="273">
        <v>72</v>
      </c>
      <c r="T1143" s="101">
        <v>74</v>
      </c>
      <c r="U1143" s="101" t="str">
        <f>RIGHT(H1143,2)</f>
        <v>62</v>
      </c>
      <c r="V1143" s="608">
        <f>IF(J1143="Canvas",P1143+Border,P1143)</f>
        <v>80</v>
      </c>
      <c r="W1143" s="608">
        <f>IF(J1143="Canvas",Q1143+Border,Q1143)</f>
        <v>68</v>
      </c>
      <c r="X1143" s="311">
        <v>82</v>
      </c>
      <c r="Y1143" s="551"/>
      <c r="Z1143" s="551"/>
      <c r="AA1143" s="649">
        <f t="shared" si="400"/>
        <v>37.777777777777779</v>
      </c>
      <c r="AB1143" s="125">
        <f>AA1143*Swiss1</f>
        <v>1069.1111111111111</v>
      </c>
      <c r="AC1143" s="104">
        <f t="shared" si="402"/>
        <v>24.933333333333334</v>
      </c>
      <c r="AD1143" s="107">
        <f>Table1[[#This Row],[Substrate SF]]*Materials!C$37</f>
        <v>105.77777777777777</v>
      </c>
      <c r="AE1143" s="104">
        <f>IF(Table1[[#This Row],[Work Center]]="SwissQ",Materials!G$37,IF(Table1[[#This Row],[Work Center]]="Inca",Materials!G$29,IF(Table1[[#This Row],[Work Center]]="Canon",Materials!G$49,Materials!G$45)))</f>
        <v>20</v>
      </c>
      <c r="AF1143" s="104">
        <f>'Cali Frames'!D$168</f>
        <v>317.065</v>
      </c>
      <c r="AG1143" s="115"/>
      <c r="AH1143" s="498">
        <f t="shared" si="391"/>
        <v>66</v>
      </c>
      <c r="AI1143" s="498"/>
      <c r="AJ1143" s="107">
        <f>SUM(AC1143:AH1143)</f>
        <v>533.77611111111105</v>
      </c>
      <c r="AK1143" s="650">
        <f t="shared" si="401"/>
        <v>0.59562415824915826</v>
      </c>
      <c r="AL1143" s="225">
        <f>Table1[[#This Row],[WSP/Dealer]]/Table1[[#This Row],[OD Sq Inch]]</f>
        <v>0.28770706190061029</v>
      </c>
      <c r="AM1143" s="97">
        <f>Table1[[#This Row],[OD Wdth]]*Table1[[#This Row],[OD Hgt]]</f>
        <v>4588</v>
      </c>
      <c r="AN1143" s="216">
        <f>Table1[[#This Row],[Min VO]]+Table1[[#This Row],[Max VO]]</f>
        <v>132</v>
      </c>
      <c r="AO1143" s="101"/>
      <c r="AP1143" s="101"/>
      <c r="AQ1143" s="104"/>
      <c r="AR1143" s="104"/>
      <c r="AS1143" s="104"/>
      <c r="AT1143" s="104"/>
      <c r="AU1143" s="830" t="str">
        <f t="shared" si="388"/>
        <v>-</v>
      </c>
    </row>
    <row r="1144" spans="1:47" s="63" customFormat="1" x14ac:dyDescent="0.2">
      <c r="A1144" s="180" t="s">
        <v>58</v>
      </c>
      <c r="B1144" s="1061" t="s">
        <v>96</v>
      </c>
      <c r="C1144" s="80" t="s">
        <v>2825</v>
      </c>
      <c r="D1144" s="94"/>
      <c r="E1144" s="284" t="s">
        <v>2826</v>
      </c>
      <c r="F1144" s="284" t="s">
        <v>374</v>
      </c>
      <c r="G1144" s="180" t="s">
        <v>2827</v>
      </c>
      <c r="H1144" s="180" t="s">
        <v>2827</v>
      </c>
      <c r="I1144" s="180" t="s">
        <v>52</v>
      </c>
      <c r="J1144" s="310" t="s">
        <v>53</v>
      </c>
      <c r="K1144" s="60" t="s">
        <v>54</v>
      </c>
      <c r="L1144" s="60" t="s">
        <v>55</v>
      </c>
      <c r="M1144" s="179">
        <v>550</v>
      </c>
      <c r="N1144" s="656">
        <v>550</v>
      </c>
      <c r="O1144" s="180" t="s">
        <v>64</v>
      </c>
      <c r="P1144" s="180">
        <v>24</v>
      </c>
      <c r="Q1144" s="180">
        <v>48</v>
      </c>
      <c r="R1144" s="180">
        <v>24</v>
      </c>
      <c r="S1144" s="813">
        <v>48</v>
      </c>
      <c r="T1144" s="180">
        <v>24</v>
      </c>
      <c r="U1144" s="180">
        <v>48</v>
      </c>
      <c r="V1144" s="47">
        <f>IF(J1144="Canvas",P1144+Materials!C$5,P1144)</f>
        <v>31</v>
      </c>
      <c r="W1144" s="47">
        <f>IF(J1144="Canvas",Q1144+Materials!C$5,Q1144)</f>
        <v>55</v>
      </c>
      <c r="X1144" s="289"/>
      <c r="Y1144" s="180">
        <v>31</v>
      </c>
      <c r="Z1144" s="180">
        <v>55</v>
      </c>
      <c r="AA1144" s="717">
        <f t="shared" si="400"/>
        <v>11.840277777777779</v>
      </c>
      <c r="AB1144" s="125">
        <f>AA1144*Swiss1</f>
        <v>335.07986111111114</v>
      </c>
      <c r="AC1144" s="69">
        <f t="shared" si="402"/>
        <v>7.8145833333333341</v>
      </c>
      <c r="AD1144" s="48">
        <f>Table1[[#This Row],[Substrate SF]]*Materials!C$37</f>
        <v>33.152777777777779</v>
      </c>
      <c r="AE1144" s="69">
        <f>IF(Table1[[#This Row],[Work Center]]="SwissQ",Materials!G$37,IF(Table1[[#This Row],[Work Center]]="Inca",Materials!G$29,IF(Table1[[#This Row],[Work Center]]="Canon",Materials!G$49,Materials!G$45)))</f>
        <v>20</v>
      </c>
      <c r="AF1144" s="290">
        <f>'Cali FPS'!C38</f>
        <v>78.137500000000003</v>
      </c>
      <c r="AG1144" s="284"/>
      <c r="AH1144" s="69">
        <f t="shared" si="391"/>
        <v>27.5</v>
      </c>
      <c r="AI1144" s="69"/>
      <c r="AJ1144" s="175">
        <f>SUM(AC1144:AH1144)</f>
        <v>166.60486111111112</v>
      </c>
      <c r="AK1144" s="650">
        <f t="shared" si="401"/>
        <v>0.69708207070707073</v>
      </c>
      <c r="AL1144" s="225">
        <f>Table1[[#This Row],[WSP/Dealer]]/Table1[[#This Row],[OD Sq Inch]]</f>
        <v>0.47743055555555558</v>
      </c>
      <c r="AM1144" s="173">
        <f>Table1[[#This Row],[OD Wdth]]*Table1[[#This Row],[OD Hgt]]</f>
        <v>1152</v>
      </c>
      <c r="AN1144" s="180">
        <f>Table1[[#This Row],[Min VO]]+Table1[[#This Row],[Max VO]]</f>
        <v>72</v>
      </c>
      <c r="AO1144" s="284"/>
      <c r="AP1144" s="284"/>
      <c r="AQ1144" s="296"/>
      <c r="AR1144" s="296"/>
      <c r="AS1144" s="296"/>
      <c r="AT1144" s="176"/>
      <c r="AU1144" s="1358" t="str">
        <f t="shared" si="388"/>
        <v>-</v>
      </c>
    </row>
    <row r="1145" spans="1:47" s="46" customFormat="1" x14ac:dyDescent="0.2">
      <c r="A1145" s="180" t="s">
        <v>58</v>
      </c>
      <c r="B1145" s="1061" t="s">
        <v>96</v>
      </c>
      <c r="C1145" s="80" t="s">
        <v>2828</v>
      </c>
      <c r="D1145" s="94"/>
      <c r="E1145" s="284" t="s">
        <v>2829</v>
      </c>
      <c r="F1145" s="284" t="s">
        <v>374</v>
      </c>
      <c r="G1145" s="180" t="s">
        <v>2827</v>
      </c>
      <c r="H1145" s="180" t="s">
        <v>2827</v>
      </c>
      <c r="I1145" s="180" t="s">
        <v>52</v>
      </c>
      <c r="J1145" s="310" t="s">
        <v>53</v>
      </c>
      <c r="K1145" s="60" t="s">
        <v>54</v>
      </c>
      <c r="L1145" s="60" t="s">
        <v>55</v>
      </c>
      <c r="M1145" s="179">
        <v>550</v>
      </c>
      <c r="N1145" s="656">
        <v>550</v>
      </c>
      <c r="O1145" s="180" t="s">
        <v>64</v>
      </c>
      <c r="P1145" s="180">
        <v>24</v>
      </c>
      <c r="Q1145" s="180">
        <v>48</v>
      </c>
      <c r="R1145" s="180">
        <v>24</v>
      </c>
      <c r="S1145" s="813">
        <v>48</v>
      </c>
      <c r="T1145" s="180">
        <v>24</v>
      </c>
      <c r="U1145" s="180">
        <v>48</v>
      </c>
      <c r="V1145" s="47">
        <f>IF(J1145="Canvas",P1145+Materials!C$5,P1145)</f>
        <v>31</v>
      </c>
      <c r="W1145" s="47">
        <f>IF(J1145="Canvas",Q1145+Materials!C$5,Q1145)</f>
        <v>55</v>
      </c>
      <c r="X1145" s="289"/>
      <c r="Y1145" s="180">
        <v>31</v>
      </c>
      <c r="Z1145" s="180">
        <v>55</v>
      </c>
      <c r="AA1145" s="717">
        <f t="shared" si="400"/>
        <v>11.840277777777779</v>
      </c>
      <c r="AB1145" s="125">
        <f>AA1145*Swiss1</f>
        <v>335.07986111111114</v>
      </c>
      <c r="AC1145" s="69">
        <f t="shared" si="402"/>
        <v>7.8145833333333341</v>
      </c>
      <c r="AD1145" s="48">
        <f>Table1[[#This Row],[Substrate SF]]*Materials!C$37</f>
        <v>33.152777777777779</v>
      </c>
      <c r="AE1145" s="69">
        <f>IF(Table1[[#This Row],[Work Center]]="SwissQ",Materials!G$37,IF(Table1[[#This Row],[Work Center]]="Inca",Materials!G$29,IF(Table1[[#This Row],[Work Center]]="Canon",Materials!G$49,Materials!G$45)))</f>
        <v>20</v>
      </c>
      <c r="AF1145" s="290">
        <f>'Cali FPS'!C38</f>
        <v>78.137500000000003</v>
      </c>
      <c r="AG1145" s="284"/>
      <c r="AH1145" s="69">
        <f t="shared" si="391"/>
        <v>27.5</v>
      </c>
      <c r="AI1145" s="69"/>
      <c r="AJ1145" s="176">
        <f>SUM(AC1145:AH1145)</f>
        <v>166.60486111111112</v>
      </c>
      <c r="AK1145" s="650">
        <f t="shared" si="401"/>
        <v>0.69708207070707073</v>
      </c>
      <c r="AL1145" s="225">
        <f>Table1[[#This Row],[WSP/Dealer]]/Table1[[#This Row],[OD Sq Inch]]</f>
        <v>0.47743055555555558</v>
      </c>
      <c r="AM1145" s="173">
        <f>Table1[[#This Row],[OD Wdth]]*Table1[[#This Row],[OD Hgt]]</f>
        <v>1152</v>
      </c>
      <c r="AN1145" s="180">
        <f>Table1[[#This Row],[Min VO]]+Table1[[#This Row],[Max VO]]</f>
        <v>72</v>
      </c>
      <c r="AO1145" s="284"/>
      <c r="AP1145" s="284"/>
      <c r="AQ1145" s="296"/>
      <c r="AR1145" s="296"/>
      <c r="AS1145" s="296"/>
      <c r="AT1145" s="176"/>
      <c r="AU1145" s="1358" t="str">
        <f t="shared" si="388"/>
        <v>-</v>
      </c>
    </row>
    <row r="1146" spans="1:47" s="103" customFormat="1" hidden="1" x14ac:dyDescent="0.2">
      <c r="A1146" s="552" t="s">
        <v>110</v>
      </c>
      <c r="B1146" s="1322" t="s">
        <v>102</v>
      </c>
      <c r="C1146" s="122" t="s">
        <v>2830</v>
      </c>
      <c r="D1146" s="168"/>
      <c r="E1146" s="115" t="s">
        <v>2831</v>
      </c>
      <c r="F1146" s="115" t="s">
        <v>571</v>
      </c>
      <c r="G1146" s="101" t="s">
        <v>2263</v>
      </c>
      <c r="H1146" s="101" t="s">
        <v>2263</v>
      </c>
      <c r="I1146" s="101" t="s">
        <v>108</v>
      </c>
      <c r="J1146" s="487" t="s">
        <v>53</v>
      </c>
      <c r="K1146" s="101" t="s">
        <v>54</v>
      </c>
      <c r="L1146" s="101" t="s">
        <v>55</v>
      </c>
      <c r="M1146" s="299">
        <v>300</v>
      </c>
      <c r="N1146" s="102"/>
      <c r="O1146" s="101" t="s">
        <v>64</v>
      </c>
      <c r="P1146" s="101">
        <v>30</v>
      </c>
      <c r="Q1146" s="101">
        <v>24</v>
      </c>
      <c r="R1146" s="101">
        <v>24</v>
      </c>
      <c r="S1146" s="697">
        <v>30</v>
      </c>
      <c r="T1146" s="697">
        <v>30</v>
      </c>
      <c r="U1146" s="697">
        <v>24</v>
      </c>
      <c r="V1146" s="918">
        <f>IF(J1146="Canvas",P1146+Border,P1146)</f>
        <v>38</v>
      </c>
      <c r="W1146" s="918">
        <f>IF(J1146="Canvas",Q1146+Border,Q1146)</f>
        <v>32</v>
      </c>
      <c r="X1146" s="137"/>
      <c r="Y1146" s="101">
        <v>38</v>
      </c>
      <c r="Z1146" s="101">
        <v>32</v>
      </c>
      <c r="AA1146" s="724">
        <f t="shared" si="400"/>
        <v>8.4444444444444446</v>
      </c>
      <c r="AB1146" s="633">
        <f>Table1[[#This Row],[Substrate SF]]*SWISSMLR</f>
        <v>16.888888888888889</v>
      </c>
      <c r="AC1146" s="406">
        <f t="shared" si="402"/>
        <v>5.5733333333333341</v>
      </c>
      <c r="AD1146" s="406">
        <f>Table1[[#This Row],[Substrate SF]]*SWISSCR</f>
        <v>1.8577777777777778</v>
      </c>
      <c r="AE1146" s="104">
        <f>Materials!I$41</f>
        <v>8</v>
      </c>
      <c r="AF1146" s="102">
        <f>'Cali FPS'!C35</f>
        <v>74.2</v>
      </c>
      <c r="AG1146" s="115"/>
      <c r="AH1146" s="104">
        <f t="shared" si="391"/>
        <v>15</v>
      </c>
      <c r="AI1146" s="104"/>
      <c r="AJ1146" s="406">
        <f>SUM(AC1146:AH1146)</f>
        <v>104.63111111111111</v>
      </c>
      <c r="AK1146" s="830">
        <f t="shared" si="401"/>
        <v>0.6512296296296296</v>
      </c>
      <c r="AL1146" s="660">
        <f>Table1[[#This Row],[WSP/Dealer]]/Table1[[#This Row],[OD Sq Inch]]</f>
        <v>0.41666666666666669</v>
      </c>
      <c r="AM1146" s="399">
        <f>Table1[[#This Row],[OD Wdth]]*Table1[[#This Row],[OD Hgt]]</f>
        <v>720</v>
      </c>
      <c r="AN1146" s="400" t="str">
        <f>Table1[[#This Row],[Color]]</f>
        <v>GW</v>
      </c>
      <c r="AO1146" s="115" t="str">
        <f>Table1[[#This Row],[Print Type]]</f>
        <v>Reductive</v>
      </c>
      <c r="AP1146" s="1394">
        <v>600</v>
      </c>
      <c r="AQ1146" s="121">
        <f>(Table1[[#This Row],[Desgnr/Retail P]]*0.05)</f>
        <v>30</v>
      </c>
      <c r="AR1146" s="121">
        <f>IF(A1146="Codarus",(AP1146*0.13))</f>
        <v>78</v>
      </c>
      <c r="AS1146" s="121">
        <f>SUM(Table1[[#This Row],[Substrate $]:[GP FINISH]])+Table1[[#This Row],[Retail Royalty]]+Table1[[#This Row],[Retail$Comm]]</f>
        <v>197.63111111111112</v>
      </c>
      <c r="AT1146" s="830">
        <f>IF(AP1146=0,"-",(AP1146-AS1146)/AP1146)</f>
        <v>0.67061481481481477</v>
      </c>
      <c r="AU1146" s="1359">
        <f t="shared" si="388"/>
        <v>0.97764617283950617</v>
      </c>
    </row>
    <row r="1147" spans="1:47" s="103" customFormat="1" x14ac:dyDescent="0.2">
      <c r="A1147" s="68" t="s">
        <v>58</v>
      </c>
      <c r="B1147" s="1072" t="s">
        <v>1584</v>
      </c>
      <c r="C1147" s="82" t="s">
        <v>2832</v>
      </c>
      <c r="D1147" s="94"/>
      <c r="E1147" s="84" t="s">
        <v>2833</v>
      </c>
      <c r="F1147" s="84" t="s">
        <v>571</v>
      </c>
      <c r="G1147" s="68" t="s">
        <v>637</v>
      </c>
      <c r="H1147" s="68" t="s">
        <v>2834</v>
      </c>
      <c r="I1147" s="68" t="s">
        <v>574</v>
      </c>
      <c r="J1147" s="140" t="s">
        <v>53</v>
      </c>
      <c r="K1147" s="68" t="s">
        <v>82</v>
      </c>
      <c r="L1147" s="68" t="s">
        <v>83</v>
      </c>
      <c r="M1147" s="93"/>
      <c r="N1147" s="93"/>
      <c r="O1147" s="68" t="s">
        <v>575</v>
      </c>
      <c r="P1147" s="68"/>
      <c r="Q1147" s="68"/>
      <c r="R1147" s="68"/>
      <c r="S1147" s="623"/>
      <c r="T1147" s="623"/>
      <c r="U1147" s="623"/>
      <c r="V1147" s="917"/>
      <c r="W1147" s="917"/>
      <c r="X1147" s="68"/>
      <c r="Y1147" s="68"/>
      <c r="Z1147" s="68"/>
      <c r="AA1147" s="699"/>
      <c r="AB1147" s="297"/>
      <c r="AC1147" s="74"/>
      <c r="AD1147" s="263">
        <f>Table1[[#This Row],[Substrate SF]]*SWISSCR*3</f>
        <v>0</v>
      </c>
      <c r="AE1147" s="126"/>
      <c r="AF1147" s="73"/>
      <c r="AG1147" s="84"/>
      <c r="AH1147" s="118"/>
      <c r="AI1147" s="118"/>
      <c r="AJ1147" s="126"/>
      <c r="AK1147" s="661"/>
      <c r="AL1147" s="126"/>
      <c r="AM1147" s="119"/>
      <c r="AN1147" s="84"/>
      <c r="AO1147" s="84"/>
      <c r="AP1147" s="84"/>
      <c r="AQ1147" s="126"/>
      <c r="AR1147" s="126"/>
      <c r="AS1147" s="126"/>
      <c r="AT1147" s="74"/>
      <c r="AU1147" s="1357" t="str">
        <f t="shared" si="388"/>
        <v>-</v>
      </c>
    </row>
    <row r="1148" spans="1:47" s="170" customFormat="1" x14ac:dyDescent="0.2">
      <c r="A1148" s="86" t="s">
        <v>58</v>
      </c>
      <c r="B1148" s="1061" t="s">
        <v>406</v>
      </c>
      <c r="C1148" s="122" t="s">
        <v>2835</v>
      </c>
      <c r="D1148" s="94" t="s">
        <v>2836</v>
      </c>
      <c r="E1148" s="85" t="s">
        <v>2837</v>
      </c>
      <c r="F1148" s="85" t="s">
        <v>99</v>
      </c>
      <c r="G1148" s="86" t="s">
        <v>2838</v>
      </c>
      <c r="H1148" s="86" t="s">
        <v>2838</v>
      </c>
      <c r="I1148" s="86" t="s">
        <v>52</v>
      </c>
      <c r="J1148" s="86" t="s">
        <v>53</v>
      </c>
      <c r="K1148" s="86" t="s">
        <v>54</v>
      </c>
      <c r="L1148" s="86" t="s">
        <v>55</v>
      </c>
      <c r="M1148" s="87">
        <v>1292</v>
      </c>
      <c r="N1148" s="639">
        <v>1000</v>
      </c>
      <c r="O1148" s="551" t="s">
        <v>56</v>
      </c>
      <c r="P1148" s="101">
        <v>50</v>
      </c>
      <c r="Q1148" s="101">
        <v>60</v>
      </c>
      <c r="R1148" s="60">
        <v>50</v>
      </c>
      <c r="S1148" s="273">
        <v>60</v>
      </c>
      <c r="T1148" s="273">
        <f>Table1[[#This Row],[VO Wdth]]</f>
        <v>50</v>
      </c>
      <c r="U1148" s="273">
        <f>Table1[[#This Row],[VO Hgt]]</f>
        <v>60</v>
      </c>
      <c r="V1148" s="608">
        <f>IF(J1148="Canvas",P1148+BorderGW,P1148)</f>
        <v>58</v>
      </c>
      <c r="W1148" s="608">
        <f>IF(J1148="Canvas",Q1148+BorderGW,Q1148)</f>
        <v>68</v>
      </c>
      <c r="X1148" s="311">
        <v>122</v>
      </c>
      <c r="Y1148" s="551"/>
      <c r="Z1148" s="551"/>
      <c r="AA1148" s="649">
        <f t="shared" ref="AA1148:AA1156" si="403">V1148*W1148/144</f>
        <v>27.388888888888889</v>
      </c>
      <c r="AB1148" s="184">
        <f t="shared" ref="AB1148:AB1156" si="404">AA1148*IncaG</f>
        <v>576.26222222222225</v>
      </c>
      <c r="AC1148" s="104">
        <f t="shared" ref="AC1148:AC1156" si="405">AA1148*Canvas</f>
        <v>18.076666666666668</v>
      </c>
      <c r="AD1148" s="107">
        <f t="shared" ref="AD1148:AD1156" si="406">AA1148*IncaC</f>
        <v>46.100977777777778</v>
      </c>
      <c r="AE1148" s="104">
        <f>IF(Table1[[#This Row],[Work Center]]="SwissQ",Materials!G$37,IF(Table1[[#This Row],[Work Center]]="Inca",Materials!G$29,IF(Table1[[#This Row],[Work Center]]="Canon",Materials!G$49,Materials!G$45)))</f>
        <v>8</v>
      </c>
      <c r="AF1148" s="104">
        <f>'Cali FPS'!C$131</f>
        <v>176.4</v>
      </c>
      <c r="AG1148" s="115"/>
      <c r="AH1148" s="498">
        <f t="shared" ref="AH1148:AH1156" si="407">(M1148*0.05)</f>
        <v>64.600000000000009</v>
      </c>
      <c r="AI1148" s="498"/>
      <c r="AJ1148" s="104">
        <f>SUM(AC1148:AH1148)</f>
        <v>313.17764444444447</v>
      </c>
      <c r="AK1148" s="650">
        <f t="shared" ref="AK1148:AK1156" si="408">(M1148-AJ1148)/M1148</f>
        <v>0.75760244238046093</v>
      </c>
      <c r="AL1148" s="225">
        <f>Table1[[#This Row],[WSP/Dealer]]/Table1[[#This Row],[OD Sq Inch]]</f>
        <v>0.43066666666666664</v>
      </c>
      <c r="AM1148" s="218">
        <f>Table1[[#This Row],[OD Wdth]]*Table1[[#This Row],[OD Hgt]]</f>
        <v>3000</v>
      </c>
      <c r="AN1148" s="216">
        <f>Table1[[#This Row],[Min VO]]+Table1[[#This Row],[Max VO]]</f>
        <v>110</v>
      </c>
      <c r="AO1148" s="101"/>
      <c r="AP1148" s="101"/>
      <c r="AQ1148" s="104"/>
      <c r="AR1148" s="104"/>
      <c r="AS1148" s="104"/>
      <c r="AT1148" s="104"/>
      <c r="AU1148" s="830" t="str">
        <f t="shared" si="388"/>
        <v>-</v>
      </c>
    </row>
    <row r="1149" spans="1:47" s="159" customFormat="1" x14ac:dyDescent="0.2">
      <c r="A1149" s="86" t="s">
        <v>58</v>
      </c>
      <c r="B1149" s="1061" t="s">
        <v>366</v>
      </c>
      <c r="C1149" s="122" t="s">
        <v>2839</v>
      </c>
      <c r="D1149" s="94" t="s">
        <v>2840</v>
      </c>
      <c r="E1149" s="85" t="s">
        <v>2837</v>
      </c>
      <c r="F1149" s="85" t="s">
        <v>99</v>
      </c>
      <c r="G1149" s="86" t="s">
        <v>2838</v>
      </c>
      <c r="H1149" s="86" t="s">
        <v>2011</v>
      </c>
      <c r="I1149" s="86" t="s">
        <v>52</v>
      </c>
      <c r="J1149" s="86" t="s">
        <v>53</v>
      </c>
      <c r="K1149" s="86" t="s">
        <v>82</v>
      </c>
      <c r="L1149" s="86" t="s">
        <v>83</v>
      </c>
      <c r="M1149" s="87">
        <v>1342</v>
      </c>
      <c r="N1149" s="639">
        <v>1300</v>
      </c>
      <c r="O1149" s="551" t="s">
        <v>56</v>
      </c>
      <c r="P1149" s="101">
        <v>50</v>
      </c>
      <c r="Q1149" s="101">
        <v>60</v>
      </c>
      <c r="R1149" s="60">
        <v>50</v>
      </c>
      <c r="S1149" s="273">
        <v>60</v>
      </c>
      <c r="T1149" s="101">
        <v>52</v>
      </c>
      <c r="U1149" s="101" t="str">
        <f>RIGHT(H1149,2)</f>
        <v>62</v>
      </c>
      <c r="V1149" s="106">
        <f>IF(J1149="Canvas",P1149+Border,P1149)</f>
        <v>58</v>
      </c>
      <c r="W1149" s="106">
        <f>IF(J1149="Canvas",Q1149+Border,Q1149)</f>
        <v>68</v>
      </c>
      <c r="X1149" s="311">
        <v>122</v>
      </c>
      <c r="Y1149" s="551"/>
      <c r="Z1149" s="551"/>
      <c r="AA1149" s="649">
        <f t="shared" si="403"/>
        <v>27.388888888888889</v>
      </c>
      <c r="AB1149" s="184">
        <f t="shared" si="404"/>
        <v>576.26222222222225</v>
      </c>
      <c r="AC1149" s="104">
        <f t="shared" si="405"/>
        <v>18.076666666666668</v>
      </c>
      <c r="AD1149" s="107">
        <f t="shared" si="406"/>
        <v>46.100977777777778</v>
      </c>
      <c r="AE1149" s="104">
        <f>IF(Table1[[#This Row],[Work Center]]="SwissQ",Materials!G$37,IF(Table1[[#This Row],[Work Center]]="Inca",Materials!G$29,IF(Table1[[#This Row],[Work Center]]="Canon",Materials!G$49,Materials!G$45)))</f>
        <v>8</v>
      </c>
      <c r="AF1149" s="104">
        <f>'Cali Frames'!D$159</f>
        <v>236.18</v>
      </c>
      <c r="AG1149" s="115"/>
      <c r="AH1149" s="112">
        <f t="shared" si="407"/>
        <v>67.100000000000009</v>
      </c>
      <c r="AI1149" s="112"/>
      <c r="AJ1149" s="104">
        <f>SUM(AC1149:AH1149)</f>
        <v>375.45764444444444</v>
      </c>
      <c r="AK1149" s="62">
        <f t="shared" si="408"/>
        <v>0.72022530220235137</v>
      </c>
      <c r="AL1149" s="225">
        <f>Table1[[#This Row],[WSP/Dealer]]/Table1[[#This Row],[OD Sq Inch]]</f>
        <v>0.41625310173697272</v>
      </c>
      <c r="AM1149" s="218">
        <f>Table1[[#This Row],[OD Wdth]]*Table1[[#This Row],[OD Hgt]]</f>
        <v>3224</v>
      </c>
      <c r="AN1149" s="216">
        <f>Table1[[#This Row],[Min VO]]+Table1[[#This Row],[Max VO]]</f>
        <v>110</v>
      </c>
      <c r="AO1149" s="101"/>
      <c r="AP1149" s="101"/>
      <c r="AQ1149" s="104"/>
      <c r="AR1149" s="104"/>
      <c r="AS1149" s="104"/>
      <c r="AT1149" s="104"/>
      <c r="AU1149" s="830" t="str">
        <f t="shared" si="388"/>
        <v>-</v>
      </c>
    </row>
    <row r="1150" spans="1:47" s="399" customFormat="1" hidden="1" x14ac:dyDescent="0.2">
      <c r="A1150" s="101" t="s">
        <v>110</v>
      </c>
      <c r="B1150" s="1062" t="s">
        <v>134</v>
      </c>
      <c r="C1150" s="100" t="s">
        <v>2841</v>
      </c>
      <c r="D1150" s="168"/>
      <c r="E1150" s="115" t="s">
        <v>2842</v>
      </c>
      <c r="F1150" s="115" t="s">
        <v>99</v>
      </c>
      <c r="G1150" s="101" t="s">
        <v>2838</v>
      </c>
      <c r="H1150" s="101" t="s">
        <v>2838</v>
      </c>
      <c r="I1150" s="101" t="s">
        <v>52</v>
      </c>
      <c r="J1150" s="101" t="s">
        <v>53</v>
      </c>
      <c r="K1150" s="101" t="s">
        <v>54</v>
      </c>
      <c r="L1150" s="101" t="s">
        <v>55</v>
      </c>
      <c r="M1150" s="299">
        <v>1000</v>
      </c>
      <c r="N1150" s="102"/>
      <c r="O1150" s="101" t="s">
        <v>56</v>
      </c>
      <c r="P1150" s="101">
        <v>50</v>
      </c>
      <c r="Q1150" s="101">
        <v>60</v>
      </c>
      <c r="R1150" s="101">
        <v>50</v>
      </c>
      <c r="S1150" s="697">
        <v>60</v>
      </c>
      <c r="T1150" s="697">
        <f>Table1[[#This Row],[VO Wdth]]</f>
        <v>50</v>
      </c>
      <c r="U1150" s="697">
        <f>Table1[[#This Row],[VO Hgt]]</f>
        <v>60</v>
      </c>
      <c r="V1150" s="608">
        <f>IF(J1150="Canvas",P1150+Border,P1150)</f>
        <v>58</v>
      </c>
      <c r="W1150" s="608">
        <f>IF(J1150="Canvas",Q1150+Border,Q1150)</f>
        <v>68</v>
      </c>
      <c r="X1150" s="137">
        <v>122</v>
      </c>
      <c r="Y1150" s="101">
        <v>58</v>
      </c>
      <c r="Z1150" s="101">
        <v>68</v>
      </c>
      <c r="AA1150" s="649">
        <f t="shared" si="403"/>
        <v>27.388888888888889</v>
      </c>
      <c r="AB1150" s="184">
        <f t="shared" si="404"/>
        <v>576.26222222222225</v>
      </c>
      <c r="AC1150" s="104">
        <f t="shared" si="405"/>
        <v>18.076666666666668</v>
      </c>
      <c r="AD1150" s="104">
        <f t="shared" si="406"/>
        <v>46.100977777777778</v>
      </c>
      <c r="AE1150" s="104">
        <f>IF(Table1[[#This Row],[Work Center]]="SwissQ",Materials!G$37,IF(Table1[[#This Row],[Work Center]]="Inca",Materials!G$29,IF(Table1[[#This Row],[Work Center]]="Canon",Materials!G$49,Materials!G$45)))</f>
        <v>8</v>
      </c>
      <c r="AF1150" s="104">
        <f>'Cali FPS'!C$131</f>
        <v>176.4</v>
      </c>
      <c r="AG1150" s="115"/>
      <c r="AH1150" s="107">
        <f t="shared" si="407"/>
        <v>50</v>
      </c>
      <c r="AI1150" s="405">
        <f>IF(A1150="Codarus",(M1150*0.13))</f>
        <v>130</v>
      </c>
      <c r="AJ1150" s="104">
        <f>SUM(AC1150:AI1150)</f>
        <v>428.57764444444445</v>
      </c>
      <c r="AK1150" s="108">
        <f t="shared" si="408"/>
        <v>0.57142235555555554</v>
      </c>
      <c r="AL1150" s="660">
        <f>Table1[[#This Row],[WSP/Dealer]]/Table1[[#This Row],[OD Sq Inch]]</f>
        <v>0.33333333333333331</v>
      </c>
      <c r="AM1150" s="101">
        <f>Table1[[#This Row],[OD Wdth]]*Table1[[#This Row],[OD Hgt]]</f>
        <v>3000</v>
      </c>
      <c r="AN1150" s="266">
        <f>Table1[[#This Row],[Min VO]]+Table1[[#This Row],[Max VO]]</f>
        <v>110</v>
      </c>
      <c r="AO1150" s="101"/>
      <c r="AP1150" s="1307">
        <f>(M1150*2)</f>
        <v>2000</v>
      </c>
      <c r="AQ1150" s="121">
        <f>(Table1[[#This Row],[Desgnr/Retail P]]*0.05)</f>
        <v>100</v>
      </c>
      <c r="AR1150" s="121">
        <f>IF(A1150="Codarus",(AP1150*0.13))</f>
        <v>260</v>
      </c>
      <c r="AS1150" s="121">
        <f>SUM(Table1[[#This Row],[Substrate $]:[GP FINISH]])+Table1[[#This Row],[Retail Royalty]]+Table1[[#This Row],[Retail$Comm]]</f>
        <v>608.57764444444445</v>
      </c>
      <c r="AT1150" s="830">
        <f>IF(AP1150=0,"-",(AP1150-AS1150)/AP1150)</f>
        <v>0.69571117777777769</v>
      </c>
      <c r="AU1150" s="830">
        <f t="shared" si="388"/>
        <v>0.9930428882222222</v>
      </c>
    </row>
    <row r="1151" spans="1:47" s="170" customFormat="1" x14ac:dyDescent="0.2">
      <c r="A1151" s="86" t="s">
        <v>58</v>
      </c>
      <c r="B1151" s="1061" t="s">
        <v>406</v>
      </c>
      <c r="C1151" s="100" t="s">
        <v>2841</v>
      </c>
      <c r="D1151" s="94" t="s">
        <v>2843</v>
      </c>
      <c r="E1151" s="85" t="s">
        <v>2842</v>
      </c>
      <c r="F1151" s="85" t="s">
        <v>99</v>
      </c>
      <c r="G1151" s="86" t="s">
        <v>2838</v>
      </c>
      <c r="H1151" s="86" t="s">
        <v>2838</v>
      </c>
      <c r="I1151" s="86" t="s">
        <v>52</v>
      </c>
      <c r="J1151" s="86" t="s">
        <v>53</v>
      </c>
      <c r="K1151" s="86" t="s">
        <v>54</v>
      </c>
      <c r="L1151" s="86" t="s">
        <v>55</v>
      </c>
      <c r="M1151" s="87">
        <v>1292</v>
      </c>
      <c r="N1151" s="639">
        <v>1000</v>
      </c>
      <c r="O1151" s="551" t="s">
        <v>56</v>
      </c>
      <c r="P1151" s="101">
        <v>50</v>
      </c>
      <c r="Q1151" s="101">
        <v>60</v>
      </c>
      <c r="R1151" s="60">
        <v>50</v>
      </c>
      <c r="S1151" s="273">
        <v>60</v>
      </c>
      <c r="T1151" s="273">
        <f>Table1[[#This Row],[VO Wdth]]</f>
        <v>50</v>
      </c>
      <c r="U1151" s="273">
        <f>Table1[[#This Row],[VO Hgt]]</f>
        <v>60</v>
      </c>
      <c r="V1151" s="106">
        <f>IF(J1151="Canvas",P1151+BorderGW,P1151)</f>
        <v>58</v>
      </c>
      <c r="W1151" s="106">
        <f>IF(J1151="Canvas",Q1151+BorderGW,Q1151)</f>
        <v>68</v>
      </c>
      <c r="X1151" s="311">
        <v>122</v>
      </c>
      <c r="Y1151" s="551"/>
      <c r="Z1151" s="551"/>
      <c r="AA1151" s="649">
        <f t="shared" si="403"/>
        <v>27.388888888888889</v>
      </c>
      <c r="AB1151" s="184">
        <f t="shared" si="404"/>
        <v>576.26222222222225</v>
      </c>
      <c r="AC1151" s="104">
        <f t="shared" si="405"/>
        <v>18.076666666666668</v>
      </c>
      <c r="AD1151" s="107">
        <f t="shared" si="406"/>
        <v>46.100977777777778</v>
      </c>
      <c r="AE1151" s="104">
        <f>IF(Table1[[#This Row],[Work Center]]="SwissQ",Materials!G$37,IF(Table1[[#This Row],[Work Center]]="Inca",Materials!G$29,IF(Table1[[#This Row],[Work Center]]="Canon",Materials!G$49,Materials!G$45)))</f>
        <v>8</v>
      </c>
      <c r="AF1151" s="104">
        <f>'Cali FPS'!C$131</f>
        <v>176.4</v>
      </c>
      <c r="AG1151" s="115"/>
      <c r="AH1151" s="498">
        <f t="shared" si="407"/>
        <v>64.600000000000009</v>
      </c>
      <c r="AI1151" s="498"/>
      <c r="AJ1151" s="104">
        <f t="shared" ref="AJ1151:AJ1156" si="409">SUM(AC1151:AH1151)</f>
        <v>313.17764444444447</v>
      </c>
      <c r="AK1151" s="650">
        <f t="shared" si="408"/>
        <v>0.75760244238046093</v>
      </c>
      <c r="AL1151" s="225">
        <f>Table1[[#This Row],[WSP/Dealer]]/Table1[[#This Row],[OD Sq Inch]]</f>
        <v>0.43066666666666664</v>
      </c>
      <c r="AM1151" s="103">
        <f>Table1[[#This Row],[OD Wdth]]*Table1[[#This Row],[OD Hgt]]</f>
        <v>3000</v>
      </c>
      <c r="AN1151" s="216">
        <f>Table1[[#This Row],[Min VO]]+Table1[[#This Row],[Max VO]]</f>
        <v>110</v>
      </c>
      <c r="AO1151" s="101"/>
      <c r="AP1151" s="101"/>
      <c r="AQ1151" s="104"/>
      <c r="AR1151" s="104"/>
      <c r="AS1151" s="104"/>
      <c r="AT1151" s="104"/>
      <c r="AU1151" s="830" t="str">
        <f t="shared" si="388"/>
        <v>-</v>
      </c>
    </row>
    <row r="1152" spans="1:47" s="170" customFormat="1" x14ac:dyDescent="0.2">
      <c r="A1152" s="86" t="s">
        <v>58</v>
      </c>
      <c r="B1152" s="1061" t="s">
        <v>366</v>
      </c>
      <c r="C1152" s="100" t="s">
        <v>2844</v>
      </c>
      <c r="D1152" s="94" t="s">
        <v>2845</v>
      </c>
      <c r="E1152" s="85" t="s">
        <v>2842</v>
      </c>
      <c r="F1152" s="85" t="s">
        <v>99</v>
      </c>
      <c r="G1152" s="86" t="s">
        <v>2838</v>
      </c>
      <c r="H1152" s="86" t="s">
        <v>2011</v>
      </c>
      <c r="I1152" s="86" t="s">
        <v>52</v>
      </c>
      <c r="J1152" s="86" t="s">
        <v>53</v>
      </c>
      <c r="K1152" s="86" t="s">
        <v>82</v>
      </c>
      <c r="L1152" s="86" t="s">
        <v>83</v>
      </c>
      <c r="M1152" s="87">
        <v>1342</v>
      </c>
      <c r="N1152" s="639">
        <v>1300</v>
      </c>
      <c r="O1152" s="551" t="s">
        <v>56</v>
      </c>
      <c r="P1152" s="101">
        <v>50</v>
      </c>
      <c r="Q1152" s="101">
        <v>60</v>
      </c>
      <c r="R1152" s="60">
        <v>50</v>
      </c>
      <c r="S1152" s="273">
        <v>60</v>
      </c>
      <c r="T1152" s="101">
        <v>52</v>
      </c>
      <c r="U1152" s="101" t="str">
        <f>RIGHT(H1152,2)</f>
        <v>62</v>
      </c>
      <c r="V1152" s="106">
        <f>IF(J1152="Canvas",P1152+Border,P1152)</f>
        <v>58</v>
      </c>
      <c r="W1152" s="106">
        <f>IF(J1152="Canvas",Q1152+Border,Q1152)</f>
        <v>68</v>
      </c>
      <c r="X1152" s="311">
        <v>122</v>
      </c>
      <c r="Y1152" s="551"/>
      <c r="Z1152" s="551"/>
      <c r="AA1152" s="649">
        <f t="shared" si="403"/>
        <v>27.388888888888889</v>
      </c>
      <c r="AB1152" s="184">
        <f t="shared" si="404"/>
        <v>576.26222222222225</v>
      </c>
      <c r="AC1152" s="104">
        <f t="shared" si="405"/>
        <v>18.076666666666668</v>
      </c>
      <c r="AD1152" s="107">
        <f t="shared" si="406"/>
        <v>46.100977777777778</v>
      </c>
      <c r="AE1152" s="104">
        <f>IF(Table1[[#This Row],[Work Center]]="SwissQ",Materials!G$37,IF(Table1[[#This Row],[Work Center]]="Inca",Materials!G$29,IF(Table1[[#This Row],[Work Center]]="Canon",Materials!G$49,Materials!G$45)))</f>
        <v>8</v>
      </c>
      <c r="AF1152" s="104">
        <f>'Cali Frames'!D$159</f>
        <v>236.18</v>
      </c>
      <c r="AG1152" s="115"/>
      <c r="AH1152" s="498">
        <f t="shared" si="407"/>
        <v>67.100000000000009</v>
      </c>
      <c r="AI1152" s="498"/>
      <c r="AJ1152" s="104">
        <f t="shared" si="409"/>
        <v>375.45764444444444</v>
      </c>
      <c r="AK1152" s="650">
        <f t="shared" si="408"/>
        <v>0.72022530220235137</v>
      </c>
      <c r="AL1152" s="225">
        <f>Table1[[#This Row],[WSP/Dealer]]/Table1[[#This Row],[OD Sq Inch]]</f>
        <v>0.41625310173697272</v>
      </c>
      <c r="AM1152" s="103">
        <f>Table1[[#This Row],[OD Wdth]]*Table1[[#This Row],[OD Hgt]]</f>
        <v>3224</v>
      </c>
      <c r="AN1152" s="216">
        <f>Table1[[#This Row],[Min VO]]+Table1[[#This Row],[Max VO]]</f>
        <v>110</v>
      </c>
      <c r="AO1152" s="101"/>
      <c r="AP1152" s="101"/>
      <c r="AQ1152" s="104"/>
      <c r="AR1152" s="104"/>
      <c r="AS1152" s="104"/>
      <c r="AT1152" s="104"/>
      <c r="AU1152" s="830" t="str">
        <f t="shared" si="388"/>
        <v>-</v>
      </c>
    </row>
    <row r="1153" spans="1:47" s="868" customFormat="1" x14ac:dyDescent="0.2">
      <c r="A1153" s="551" t="s">
        <v>58</v>
      </c>
      <c r="B1153" s="1150" t="s">
        <v>310</v>
      </c>
      <c r="C1153" s="805" t="s">
        <v>2846</v>
      </c>
      <c r="D1153" s="77"/>
      <c r="E1153" s="653" t="s">
        <v>2847</v>
      </c>
      <c r="F1153" s="653" t="s">
        <v>308</v>
      </c>
      <c r="G1153" s="551" t="s">
        <v>1516</v>
      </c>
      <c r="H1153" s="551" t="s">
        <v>1516</v>
      </c>
      <c r="I1153" s="551" t="s">
        <v>52</v>
      </c>
      <c r="J1153" s="856" t="s">
        <v>53</v>
      </c>
      <c r="K1153" s="551" t="s">
        <v>54</v>
      </c>
      <c r="L1153" s="551" t="s">
        <v>55</v>
      </c>
      <c r="M1153" s="896">
        <v>1120</v>
      </c>
      <c r="N1153" s="896"/>
      <c r="O1153" s="551" t="s">
        <v>56</v>
      </c>
      <c r="P1153" s="551">
        <v>72</v>
      </c>
      <c r="Q1153" s="551">
        <v>48</v>
      </c>
      <c r="R1153" s="551">
        <v>48</v>
      </c>
      <c r="S1153" s="984">
        <v>72</v>
      </c>
      <c r="T1153" s="551">
        <v>72</v>
      </c>
      <c r="U1153" s="551">
        <v>48</v>
      </c>
      <c r="V1153" s="881">
        <f>IF(J1153="Canvas",P1153+Border,P1153)</f>
        <v>80</v>
      </c>
      <c r="W1153" s="881">
        <f>IF(J1153="Canvas",Q1153+Border,Q1153)</f>
        <v>56</v>
      </c>
      <c r="X1153" s="551">
        <v>80</v>
      </c>
      <c r="Y1153" s="551">
        <v>80</v>
      </c>
      <c r="Z1153" s="551">
        <v>56</v>
      </c>
      <c r="AA1153" s="860">
        <f t="shared" si="403"/>
        <v>31.111111111111111</v>
      </c>
      <c r="AB1153" s="861">
        <f t="shared" si="404"/>
        <v>654.57777777777778</v>
      </c>
      <c r="AC1153" s="863">
        <f t="shared" si="405"/>
        <v>20.533333333333335</v>
      </c>
      <c r="AD1153" s="863">
        <f t="shared" si="406"/>
        <v>52.36622222222222</v>
      </c>
      <c r="AE1153" s="863">
        <f>IF(Table1[[#This Row],[Work Center]]="SwissQ",Materials!G$37,IF(Table1[[#This Row],[Work Center]]="Inca",Materials!G$29,IF(Table1[[#This Row],[Work Center]]="Canon",Materials!G$49,Materials!G$45)))</f>
        <v>8</v>
      </c>
      <c r="AF1153" s="71">
        <f>'Cali FPS'!C126</f>
        <v>189.88</v>
      </c>
      <c r="AG1153" s="653"/>
      <c r="AH1153" s="867">
        <f t="shared" si="407"/>
        <v>56</v>
      </c>
      <c r="AI1153" s="867"/>
      <c r="AJ1153" s="867">
        <f t="shared" si="409"/>
        <v>326.77955555555553</v>
      </c>
      <c r="AK1153" s="1087">
        <f t="shared" si="408"/>
        <v>0.70823253968253963</v>
      </c>
      <c r="AL1153" s="867">
        <f>Table1[[#This Row],[WSP/Dealer]]/Table1[[#This Row],[OD Sq Inch]]</f>
        <v>0.32407407407407407</v>
      </c>
      <c r="AM1153" s="869">
        <f>Table1[[#This Row],[OD Wdth]]*Table1[[#This Row],[OD Hgt]]</f>
        <v>3456</v>
      </c>
      <c r="AN1153" s="869">
        <f>Table1[[#This Row],[Min VO]]+Table1[[#This Row],[Max VO]]</f>
        <v>120</v>
      </c>
      <c r="AO1153" s="653"/>
      <c r="AP1153" s="653"/>
      <c r="AQ1153" s="863">
        <f>(Table1[[#This Row],[Desgnr/Retail P]]*0.05)</f>
        <v>0</v>
      </c>
      <c r="AR1153" s="863" t="b">
        <f t="shared" ref="AR1153:AR1158" si="410">IF(A1153="Codarus",(AP1153*0.13))</f>
        <v>0</v>
      </c>
      <c r="AS1153" s="863" t="e" cm="1">
        <f t="array" ref="AS1153">SUM(AC1153:AG1153+AQ+AR)</f>
        <v>#NAME?</v>
      </c>
      <c r="AT1153" s="863" t="e">
        <f>(AP1153-AS1153)/AP1153</f>
        <v>#NAME?</v>
      </c>
      <c r="AU1153" s="1364" t="str">
        <f t="shared" si="388"/>
        <v>-</v>
      </c>
    </row>
    <row r="1154" spans="1:47" s="170" customFormat="1" x14ac:dyDescent="0.2">
      <c r="A1154" s="68" t="s">
        <v>58</v>
      </c>
      <c r="B1154" s="1072" t="s">
        <v>310</v>
      </c>
      <c r="C1154" s="78" t="s">
        <v>2848</v>
      </c>
      <c r="D1154" s="94"/>
      <c r="E1154" s="84" t="s">
        <v>2847</v>
      </c>
      <c r="F1154" s="84" t="s">
        <v>308</v>
      </c>
      <c r="G1154" s="68" t="s">
        <v>1516</v>
      </c>
      <c r="H1154" s="68" t="s">
        <v>983</v>
      </c>
      <c r="I1154" s="68" t="s">
        <v>52</v>
      </c>
      <c r="J1154" s="140" t="s">
        <v>53</v>
      </c>
      <c r="K1154" s="68" t="s">
        <v>69</v>
      </c>
      <c r="L1154" s="68" t="s">
        <v>70</v>
      </c>
      <c r="M1154" s="93">
        <v>1300</v>
      </c>
      <c r="N1154" s="93"/>
      <c r="O1154" s="68" t="s">
        <v>56</v>
      </c>
      <c r="P1154" s="63">
        <v>72</v>
      </c>
      <c r="Q1154" s="63">
        <v>48</v>
      </c>
      <c r="R1154" s="68">
        <v>48</v>
      </c>
      <c r="S1154" s="65">
        <v>72</v>
      </c>
      <c r="T1154" s="63">
        <v>73</v>
      </c>
      <c r="U1154" s="63">
        <v>49</v>
      </c>
      <c r="V1154" s="66">
        <f>IF(J1154="Canvas",P1154+Border,P1154)</f>
        <v>80</v>
      </c>
      <c r="W1154" s="66">
        <f>IF(J1154="Canvas",Q1154+Border,Q1154)</f>
        <v>56</v>
      </c>
      <c r="X1154" s="68">
        <v>80</v>
      </c>
      <c r="Y1154" s="68">
        <v>80</v>
      </c>
      <c r="Z1154" s="68">
        <v>56</v>
      </c>
      <c r="AA1154" s="699">
        <f t="shared" si="403"/>
        <v>31.111111111111111</v>
      </c>
      <c r="AB1154" s="297">
        <f t="shared" si="404"/>
        <v>654.57777777777778</v>
      </c>
      <c r="AC1154" s="74">
        <f t="shared" si="405"/>
        <v>20.533333333333335</v>
      </c>
      <c r="AD1154" s="67">
        <f t="shared" si="406"/>
        <v>52.36622222222222</v>
      </c>
      <c r="AE1154" s="74">
        <f>IF(Table1[[#This Row],[Work Center]]="SwissQ",Materials!G$37,IF(Table1[[#This Row],[Work Center]]="Inca",Materials!G$29,IF(Table1[[#This Row],[Work Center]]="Canon",Materials!G$49,Materials!G$45)))</f>
        <v>8</v>
      </c>
      <c r="AF1154" s="73">
        <f>'Cali Frames'!D337</f>
        <v>263.8</v>
      </c>
      <c r="AG1154" s="84"/>
      <c r="AH1154" s="263">
        <f t="shared" si="407"/>
        <v>65</v>
      </c>
      <c r="AI1154" s="263"/>
      <c r="AJ1154" s="263">
        <f t="shared" si="409"/>
        <v>409.69955555555555</v>
      </c>
      <c r="AK1154" s="688">
        <f t="shared" si="408"/>
        <v>0.6848464957264957</v>
      </c>
      <c r="AL1154" s="278">
        <f>Table1[[#This Row],[WSP/Dealer]]/Table1[[#This Row],[OD Sq Inch]]</f>
        <v>0.36343304445065699</v>
      </c>
      <c r="AM1154" s="170">
        <f>Table1[[#This Row],[OD Wdth]]*Table1[[#This Row],[OD Hgt]]</f>
        <v>3577</v>
      </c>
      <c r="AN1154" s="274">
        <f>Table1[[#This Row],[Min VO]]+Table1[[#This Row],[Max VO]]</f>
        <v>120</v>
      </c>
      <c r="AO1154" s="119"/>
      <c r="AP1154" s="84"/>
      <c r="AQ1154" s="74">
        <f>(Table1[[#This Row],[Desgnr/Retail P]]*0.05)</f>
        <v>0</v>
      </c>
      <c r="AR1154" s="74" t="b">
        <f t="shared" si="410"/>
        <v>0</v>
      </c>
      <c r="AS1154" s="74" t="e" cm="1">
        <f t="array" ref="AS1154">SUM(AC1154:AG1154+AQ+AR)</f>
        <v>#NAME?</v>
      </c>
      <c r="AT1154" s="74" t="e">
        <f>(AP1154-AS1154)/AP1154</f>
        <v>#NAME?</v>
      </c>
      <c r="AU1154" s="1356" t="str">
        <f t="shared" si="388"/>
        <v>-</v>
      </c>
    </row>
    <row r="1155" spans="1:47" s="868" customFormat="1" x14ac:dyDescent="0.2">
      <c r="A1155" s="551" t="s">
        <v>58</v>
      </c>
      <c r="B1155" s="1150" t="s">
        <v>310</v>
      </c>
      <c r="C1155" s="805" t="s">
        <v>2849</v>
      </c>
      <c r="D1155" s="77"/>
      <c r="E1155" s="653" t="s">
        <v>2850</v>
      </c>
      <c r="F1155" s="653" t="s">
        <v>308</v>
      </c>
      <c r="G1155" s="551" t="s">
        <v>1516</v>
      </c>
      <c r="H1155" s="551" t="s">
        <v>1516</v>
      </c>
      <c r="I1155" s="551" t="s">
        <v>52</v>
      </c>
      <c r="J1155" s="856" t="s">
        <v>53</v>
      </c>
      <c r="K1155" s="551" t="s">
        <v>54</v>
      </c>
      <c r="L1155" s="551" t="s">
        <v>55</v>
      </c>
      <c r="M1155" s="896">
        <v>1120</v>
      </c>
      <c r="N1155" s="896"/>
      <c r="O1155" s="551" t="s">
        <v>56</v>
      </c>
      <c r="P1155" s="45">
        <v>72</v>
      </c>
      <c r="Q1155" s="45">
        <v>48</v>
      </c>
      <c r="R1155" s="551">
        <v>48</v>
      </c>
      <c r="S1155" s="1691">
        <v>72</v>
      </c>
      <c r="T1155" s="45">
        <v>72</v>
      </c>
      <c r="U1155" s="45">
        <v>48</v>
      </c>
      <c r="V1155" s="859">
        <f>IF(J1155="Canvas",P1155+Border,P1155)</f>
        <v>80</v>
      </c>
      <c r="W1155" s="859">
        <f>IF(J1155="Canvas",Q1155+Border,Q1155)</f>
        <v>56</v>
      </c>
      <c r="X1155" s="551">
        <v>80</v>
      </c>
      <c r="Y1155" s="551">
        <v>80</v>
      </c>
      <c r="Z1155" s="551">
        <v>56</v>
      </c>
      <c r="AA1155" s="860">
        <f t="shared" si="403"/>
        <v>31.111111111111111</v>
      </c>
      <c r="AB1155" s="861">
        <f t="shared" si="404"/>
        <v>654.57777777777778</v>
      </c>
      <c r="AC1155" s="863">
        <f t="shared" si="405"/>
        <v>20.533333333333335</v>
      </c>
      <c r="AD1155" s="862">
        <f t="shared" si="406"/>
        <v>52.36622222222222</v>
      </c>
      <c r="AE1155" s="863">
        <f>IF(Table1[[#This Row],[Work Center]]="SwissQ",Materials!G$37,IF(Table1[[#This Row],[Work Center]]="Inca",Materials!G$29,IF(Table1[[#This Row],[Work Center]]="Canon",Materials!G$49,Materials!G$45)))</f>
        <v>8</v>
      </c>
      <c r="AF1155" s="71">
        <f>'Cali FPS'!C126</f>
        <v>189.88</v>
      </c>
      <c r="AG1155" s="653"/>
      <c r="AH1155" s="865">
        <f t="shared" si="407"/>
        <v>56</v>
      </c>
      <c r="AI1155" s="865"/>
      <c r="AJ1155" s="865">
        <f t="shared" si="409"/>
        <v>326.77955555555553</v>
      </c>
      <c r="AK1155" s="866">
        <f t="shared" si="408"/>
        <v>0.70823253968253963</v>
      </c>
      <c r="AL1155" s="867">
        <f>Table1[[#This Row],[WSP/Dealer]]/Table1[[#This Row],[OD Sq Inch]]</f>
        <v>0.32407407407407407</v>
      </c>
      <c r="AM1155" s="868">
        <f>Table1[[#This Row],[OD Wdth]]*Table1[[#This Row],[OD Hgt]]</f>
        <v>3456</v>
      </c>
      <c r="AN1155" s="869">
        <f>Table1[[#This Row],[Min VO]]+Table1[[#This Row],[Max VO]]</f>
        <v>120</v>
      </c>
      <c r="AO1155" s="1545"/>
      <c r="AP1155" s="653"/>
      <c r="AQ1155" s="863">
        <f>(Table1[[#This Row],[Desgnr/Retail P]]*0.05)</f>
        <v>0</v>
      </c>
      <c r="AR1155" s="863" t="b">
        <f t="shared" si="410"/>
        <v>0</v>
      </c>
      <c r="AS1155" s="863" t="e" cm="1">
        <f t="array" ref="AS1155">SUM(AC1155:AG1155+AQ+AR)</f>
        <v>#NAME?</v>
      </c>
      <c r="AT1155" s="863" t="e">
        <f>(AP1155-AS1155)/AP1155</f>
        <v>#NAME?</v>
      </c>
      <c r="AU1155" s="1705" t="str">
        <f t="shared" si="388"/>
        <v>-</v>
      </c>
    </row>
    <row r="1156" spans="1:47" s="170" customFormat="1" x14ac:dyDescent="0.2">
      <c r="A1156" s="68" t="s">
        <v>58</v>
      </c>
      <c r="B1156" s="1072" t="s">
        <v>310</v>
      </c>
      <c r="C1156" s="78" t="s">
        <v>2851</v>
      </c>
      <c r="D1156" s="94"/>
      <c r="E1156" s="84" t="s">
        <v>2850</v>
      </c>
      <c r="F1156" s="84" t="s">
        <v>308</v>
      </c>
      <c r="G1156" s="68" t="s">
        <v>1516</v>
      </c>
      <c r="H1156" s="68" t="s">
        <v>983</v>
      </c>
      <c r="I1156" s="68" t="s">
        <v>52</v>
      </c>
      <c r="J1156" s="140" t="s">
        <v>53</v>
      </c>
      <c r="K1156" s="68" t="s">
        <v>69</v>
      </c>
      <c r="L1156" s="68" t="s">
        <v>70</v>
      </c>
      <c r="M1156" s="93">
        <v>1300</v>
      </c>
      <c r="N1156" s="93"/>
      <c r="O1156" s="68" t="s">
        <v>56</v>
      </c>
      <c r="P1156" s="68">
        <v>72</v>
      </c>
      <c r="Q1156" s="68">
        <v>48</v>
      </c>
      <c r="R1156" s="68">
        <v>48</v>
      </c>
      <c r="S1156" s="623">
        <v>72</v>
      </c>
      <c r="T1156" s="68">
        <v>73</v>
      </c>
      <c r="U1156" s="68">
        <v>49</v>
      </c>
      <c r="V1156" s="917">
        <f>IF(J1156="Canvas",P1156+Border,P1156)</f>
        <v>80</v>
      </c>
      <c r="W1156" s="917">
        <f>IF(J1156="Canvas",Q1156+Border,Q1156)</f>
        <v>56</v>
      </c>
      <c r="X1156" s="68">
        <v>80</v>
      </c>
      <c r="Y1156" s="68">
        <v>80</v>
      </c>
      <c r="Z1156" s="68">
        <v>56</v>
      </c>
      <c r="AA1156" s="699">
        <f t="shared" si="403"/>
        <v>31.111111111111111</v>
      </c>
      <c r="AB1156" s="297">
        <f t="shared" si="404"/>
        <v>654.57777777777778</v>
      </c>
      <c r="AC1156" s="74">
        <f t="shared" si="405"/>
        <v>20.533333333333335</v>
      </c>
      <c r="AD1156" s="67">
        <f t="shared" si="406"/>
        <v>52.36622222222222</v>
      </c>
      <c r="AE1156" s="74">
        <f>IF(Table1[[#This Row],[Work Center]]="SwissQ",Materials!G$37,IF(Table1[[#This Row],[Work Center]]="Inca",Materials!G$29,IF(Table1[[#This Row],[Work Center]]="Canon",Materials!G$49,Materials!G$45)))</f>
        <v>8</v>
      </c>
      <c r="AF1156" s="73">
        <f>'Cali Frames'!D337</f>
        <v>263.8</v>
      </c>
      <c r="AG1156" s="84"/>
      <c r="AH1156" s="278">
        <f t="shared" si="407"/>
        <v>65</v>
      </c>
      <c r="AI1156" s="278"/>
      <c r="AJ1156" s="278">
        <f t="shared" si="409"/>
        <v>409.69955555555555</v>
      </c>
      <c r="AK1156" s="1192">
        <f t="shared" si="408"/>
        <v>0.6848464957264957</v>
      </c>
      <c r="AL1156" s="278">
        <f>Table1[[#This Row],[WSP/Dealer]]/Table1[[#This Row],[OD Sq Inch]]</f>
        <v>0.36343304445065699</v>
      </c>
      <c r="AM1156" s="170">
        <f>Table1[[#This Row],[OD Wdth]]*Table1[[#This Row],[OD Hgt]]</f>
        <v>3577</v>
      </c>
      <c r="AN1156" s="274">
        <f>Table1[[#This Row],[Min VO]]+Table1[[#This Row],[Max VO]]</f>
        <v>120</v>
      </c>
      <c r="AO1156" s="84"/>
      <c r="AP1156" s="84"/>
      <c r="AQ1156" s="74">
        <f>(Table1[[#This Row],[Desgnr/Retail P]]*0.05)</f>
        <v>0</v>
      </c>
      <c r="AR1156" s="74" t="b">
        <f t="shared" si="410"/>
        <v>0</v>
      </c>
      <c r="AS1156" s="74" t="e" cm="1">
        <f t="array" ref="AS1156">SUM(AC1156:AG1156+AQ+AR)</f>
        <v>#NAME?</v>
      </c>
      <c r="AT1156" s="74" t="e">
        <f>(AP1156-AS1156)/AP1156</f>
        <v>#NAME?</v>
      </c>
      <c r="AU1156" s="1357" t="str">
        <f t="shared" si="388"/>
        <v>-</v>
      </c>
    </row>
    <row r="1157" spans="1:47" s="170" customFormat="1" hidden="1" x14ac:dyDescent="0.2">
      <c r="A1157" s="68" t="s">
        <v>110</v>
      </c>
      <c r="B1157" s="1072" t="s">
        <v>310</v>
      </c>
      <c r="C1157" s="78" t="s">
        <v>2852</v>
      </c>
      <c r="D1157" s="94"/>
      <c r="E1157" s="84" t="s">
        <v>2853</v>
      </c>
      <c r="F1157" s="84" t="s">
        <v>567</v>
      </c>
      <c r="G1157" s="68"/>
      <c r="H1157" s="68"/>
      <c r="I1157" s="68"/>
      <c r="J1157" s="140"/>
      <c r="K1157" s="68"/>
      <c r="L1157" s="68"/>
      <c r="M1157" s="93"/>
      <c r="N1157" s="93"/>
      <c r="O1157" s="68"/>
      <c r="P1157" s="68"/>
      <c r="Q1157" s="68"/>
      <c r="R1157" s="68"/>
      <c r="S1157" s="623"/>
      <c r="T1157" s="68"/>
      <c r="U1157" s="68"/>
      <c r="V1157" s="917"/>
      <c r="W1157" s="917"/>
      <c r="X1157" s="68"/>
      <c r="Y1157" s="68"/>
      <c r="Z1157" s="68"/>
      <c r="AA1157" s="699"/>
      <c r="AB1157" s="297"/>
      <c r="AC1157" s="74"/>
      <c r="AD1157" s="118"/>
      <c r="AE1157" s="126"/>
      <c r="AF1157" s="73"/>
      <c r="AG1157" s="84"/>
      <c r="AH1157" s="126"/>
      <c r="AI1157" s="126"/>
      <c r="AJ1157" s="126"/>
      <c r="AK1157" s="1001"/>
      <c r="AL1157" s="126"/>
      <c r="AM1157" s="119"/>
      <c r="AN1157" s="84"/>
      <c r="AO1157" s="84"/>
      <c r="AP1157" s="84"/>
      <c r="AQ1157" s="74">
        <f>(Table1[[#This Row],[Desgnr/Retail P]]*0.05)</f>
        <v>0</v>
      </c>
      <c r="AR1157" s="74">
        <f t="shared" si="410"/>
        <v>0</v>
      </c>
      <c r="AS1157" s="74" t="e" cm="1">
        <f t="array" ref="AS1157">SUM(AC1157:AG1157+AQ+AR)</f>
        <v>#NAME?</v>
      </c>
      <c r="AT1157" s="74" t="e">
        <f>(AP1157-AS1157)/AP1157</f>
        <v>#NAME?</v>
      </c>
      <c r="AU1157" s="1357" t="str">
        <f t="shared" si="388"/>
        <v>-</v>
      </c>
    </row>
    <row r="1158" spans="1:47" s="399" customFormat="1" hidden="1" x14ac:dyDescent="0.2">
      <c r="A1158" s="101" t="s">
        <v>110</v>
      </c>
      <c r="B1158" s="1067" t="s">
        <v>65</v>
      </c>
      <c r="C1158" s="168" t="s">
        <v>2854</v>
      </c>
      <c r="D1158" s="168"/>
      <c r="E1158" s="115" t="s">
        <v>2855</v>
      </c>
      <c r="F1158" s="115" t="s">
        <v>571</v>
      </c>
      <c r="G1158" s="101" t="s">
        <v>2856</v>
      </c>
      <c r="H1158" s="101" t="s">
        <v>2857</v>
      </c>
      <c r="I1158" s="101" t="s">
        <v>52</v>
      </c>
      <c r="J1158" s="487" t="s">
        <v>53</v>
      </c>
      <c r="K1158" s="101" t="s">
        <v>69</v>
      </c>
      <c r="L1158" s="101" t="s">
        <v>70</v>
      </c>
      <c r="M1158" s="114">
        <v>600</v>
      </c>
      <c r="N1158" s="114"/>
      <c r="O1158" s="101" t="s">
        <v>575</v>
      </c>
      <c r="P1158" s="101">
        <v>48</v>
      </c>
      <c r="Q1158" s="101">
        <v>28</v>
      </c>
      <c r="R1158" s="101">
        <v>28</v>
      </c>
      <c r="S1158" s="101">
        <v>48</v>
      </c>
      <c r="T1158" s="101">
        <v>49</v>
      </c>
      <c r="U1158" s="101">
        <v>29</v>
      </c>
      <c r="V1158" s="608">
        <f>IF(J1158="Canvas",P1158+Border,P1158)</f>
        <v>56</v>
      </c>
      <c r="W1158" s="608">
        <f>IF(J1158="Canvas",Q1158+Border,Q1158)</f>
        <v>36</v>
      </c>
      <c r="X1158" s="101">
        <v>40</v>
      </c>
      <c r="Y1158" s="101">
        <v>56</v>
      </c>
      <c r="Z1158" s="101">
        <v>36</v>
      </c>
      <c r="AA1158" s="649">
        <f>V1158*W1158/144</f>
        <v>14</v>
      </c>
      <c r="AB1158" s="633">
        <f>AA1158*SWISSMLR*3</f>
        <v>84</v>
      </c>
      <c r="AC1158" s="104">
        <f>MDFSHEET/3</f>
        <v>8.1166666666666671</v>
      </c>
      <c r="AD1158" s="406">
        <f>Table1[[#This Row],[Substrate SF]]*SWISSCR*3</f>
        <v>9.24</v>
      </c>
      <c r="AE1158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158" s="102">
        <f>'Cali Frames'!D288</f>
        <v>154.65</v>
      </c>
      <c r="AG1158" s="121"/>
      <c r="AH1158" s="406">
        <f t="shared" ref="AH1158:AH1189" si="411">(M1158*0.05)</f>
        <v>30</v>
      </c>
      <c r="AI1158" s="406"/>
      <c r="AJ1158" s="406">
        <f t="shared" ref="AJ1158:AJ1178" si="412">SUM(AC1158:AH1158)</f>
        <v>210.00666666666666</v>
      </c>
      <c r="AK1158" s="1065">
        <f t="shared" ref="AK1158:AK1189" si="413">(M1158-AJ1158)/M1158</f>
        <v>0.64998888888888895</v>
      </c>
      <c r="AL1158" s="406">
        <f>Table1[[#This Row],[WSP/Dealer]]/Table1[[#This Row],[OD Sq Inch]]</f>
        <v>0.42223786066150598</v>
      </c>
      <c r="AM1158" s="400">
        <f>Table1[[#This Row],[OD Wdth]]*Table1[[#This Row],[OD Hgt]]</f>
        <v>1421</v>
      </c>
      <c r="AN1158" s="400">
        <f>Table1[[#This Row],[Min VO]]+Table1[[#This Row],[Max VO]]</f>
        <v>76</v>
      </c>
      <c r="AO1158" s="115"/>
      <c r="AP1158" s="408">
        <v>1200</v>
      </c>
      <c r="AQ1158" s="121">
        <f>(Table1[[#This Row],[Desgnr/Retail P]]*0.05)</f>
        <v>60</v>
      </c>
      <c r="AR1158" s="121">
        <f t="shared" si="410"/>
        <v>156</v>
      </c>
      <c r="AS1158" s="121">
        <f>SUM(Table1[[#This Row],[Substrate $]:[GP FINISH]])+Table1[[#This Row],[Retail Royalty]]+Table1[[#This Row],[Retail$Comm]]</f>
        <v>396.00666666666666</v>
      </c>
      <c r="AT1158" s="830">
        <f>IF(AP1158=0,"-",(AP1158-AS1158)/AP1158)</f>
        <v>0.66999444444444445</v>
      </c>
      <c r="AU1158" s="1359">
        <f t="shared" ref="AU1158:AU1221" si="414">IF(AQ1158=0,"-",(AQ1158-AT1158)/AQ1158)</f>
        <v>0.98883342592592594</v>
      </c>
    </row>
    <row r="1159" spans="1:47" s="170" customFormat="1" hidden="1" x14ac:dyDescent="0.2">
      <c r="A1159" s="552"/>
      <c r="B1159" s="1061"/>
      <c r="C1159" s="168" t="s">
        <v>2858</v>
      </c>
      <c r="D1159" s="94"/>
      <c r="E1159" s="115" t="s">
        <v>2859</v>
      </c>
      <c r="F1159" s="115" t="s">
        <v>571</v>
      </c>
      <c r="G1159" s="101" t="s">
        <v>572</v>
      </c>
      <c r="H1159" s="101" t="s">
        <v>573</v>
      </c>
      <c r="I1159" s="101" t="s">
        <v>108</v>
      </c>
      <c r="J1159" s="101" t="s">
        <v>53</v>
      </c>
      <c r="K1159" s="101" t="s">
        <v>69</v>
      </c>
      <c r="L1159" s="101" t="s">
        <v>70</v>
      </c>
      <c r="M1159" s="299">
        <v>700</v>
      </c>
      <c r="N1159" s="71"/>
      <c r="O1159" s="101" t="s">
        <v>64</v>
      </c>
      <c r="P1159" s="101">
        <v>60</v>
      </c>
      <c r="Q1159" s="101">
        <v>40</v>
      </c>
      <c r="R1159" s="101">
        <v>40</v>
      </c>
      <c r="S1159" s="101">
        <v>60</v>
      </c>
      <c r="T1159" s="101">
        <v>61</v>
      </c>
      <c r="U1159" s="101">
        <v>41</v>
      </c>
      <c r="V1159" s="1353">
        <f>IF(J1159="Canvas",P1159+BorderGW,P1159)</f>
        <v>68</v>
      </c>
      <c r="W1159" s="1353">
        <f>IF(J1159="Canvas",Q1159+BorderGW,Q1159)</f>
        <v>48</v>
      </c>
      <c r="X1159" s="137">
        <v>69</v>
      </c>
      <c r="Y1159" s="101">
        <v>68</v>
      </c>
      <c r="Z1159" s="101">
        <v>48</v>
      </c>
      <c r="AA1159" s="834">
        <f>V1159*W1159/144</f>
        <v>22.666666666666668</v>
      </c>
      <c r="AB1159" s="633">
        <f>Table1[[#This Row],[Substrate SF]]*SWISSMLR</f>
        <v>45.333333333333336</v>
      </c>
      <c r="AC1159" s="104">
        <f>AA1159*Canvas</f>
        <v>14.96</v>
      </c>
      <c r="AD1159" s="405">
        <f>Table1[[#This Row],[Substrate SF]]*SWISSCR</f>
        <v>4.9866666666666672</v>
      </c>
      <c r="AE1159" s="104">
        <f>Materials!I$41</f>
        <v>8</v>
      </c>
      <c r="AF1159" s="102">
        <f>'Cali Frames'!D315</f>
        <v>164.9025</v>
      </c>
      <c r="AG1159" s="121"/>
      <c r="AH1159" s="498">
        <f t="shared" si="411"/>
        <v>35</v>
      </c>
      <c r="AI1159" s="498"/>
      <c r="AJ1159" s="406">
        <f t="shared" si="412"/>
        <v>227.84916666666666</v>
      </c>
      <c r="AK1159" s="650">
        <f t="shared" si="413"/>
        <v>0.6745011904761905</v>
      </c>
      <c r="AL1159" s="225">
        <f>Table1[[#This Row],[WSP/Dealer]]/Table1[[#This Row],[OD Sq Inch]]</f>
        <v>0.27988804478208718</v>
      </c>
      <c r="AM1159" s="399">
        <f>Table1[[#This Row],[OD Wdth]]*Table1[[#This Row],[OD Hgt]]</f>
        <v>2501</v>
      </c>
      <c r="AN1159" s="400" t="str">
        <f>Table1[[#This Row],[Color]]</f>
        <v>BF</v>
      </c>
      <c r="AO1159" s="115" t="str">
        <f>Table1[[#This Row],[Print Type]]</f>
        <v>Reductive</v>
      </c>
      <c r="AP1159" s="115"/>
      <c r="AQ1159" s="121"/>
      <c r="AR1159" s="121"/>
      <c r="AS1159" s="121"/>
      <c r="AT1159" s="104"/>
      <c r="AU1159" s="1359" t="str">
        <f t="shared" si="414"/>
        <v>-</v>
      </c>
    </row>
    <row r="1160" spans="1:47" s="170" customFormat="1" hidden="1" x14ac:dyDescent="0.2">
      <c r="A1160" s="68" t="s">
        <v>101</v>
      </c>
      <c r="B1160" s="1061" t="s">
        <v>102</v>
      </c>
      <c r="C1160" s="94" t="s">
        <v>2860</v>
      </c>
      <c r="D1160" s="94"/>
      <c r="E1160" s="84" t="s">
        <v>2859</v>
      </c>
      <c r="F1160" s="84" t="s">
        <v>571</v>
      </c>
      <c r="G1160" s="68" t="s">
        <v>572</v>
      </c>
      <c r="H1160" s="68" t="s">
        <v>572</v>
      </c>
      <c r="I1160" s="68" t="s">
        <v>52</v>
      </c>
      <c r="J1160" s="68" t="s">
        <v>53</v>
      </c>
      <c r="K1160" s="68" t="s">
        <v>54</v>
      </c>
      <c r="L1160" s="68" t="s">
        <v>55</v>
      </c>
      <c r="M1160" s="141">
        <v>320</v>
      </c>
      <c r="N1160" s="71"/>
      <c r="O1160" s="68" t="s">
        <v>575</v>
      </c>
      <c r="P1160" s="68">
        <v>60</v>
      </c>
      <c r="Q1160" s="68">
        <v>40</v>
      </c>
      <c r="R1160" s="68">
        <v>40</v>
      </c>
      <c r="S1160" s="68">
        <v>60</v>
      </c>
      <c r="T1160" s="63">
        <v>60</v>
      </c>
      <c r="U1160" s="63">
        <v>40</v>
      </c>
      <c r="V1160" s="239">
        <f>IF(J1160="Canvas",P1160+BorderGW,P1160)</f>
        <v>68</v>
      </c>
      <c r="W1160" s="239">
        <f>IF(J1160="Canvas",Q1160+BorderGW,Q1160)</f>
        <v>48</v>
      </c>
      <c r="X1160" s="189">
        <v>69</v>
      </c>
      <c r="Y1160" s="917">
        <f>Table1[[#This Row],[Print Wth]]</f>
        <v>68</v>
      </c>
      <c r="Z1160" s="917">
        <f>Table1[[#This Row],[Print Ht]]</f>
        <v>48</v>
      </c>
      <c r="AA1160" s="952">
        <f>Table1[[#This Row],[Cut Width]]*Table1[[#This Row],[Cut Height]]/144</f>
        <v>22.666666666666668</v>
      </c>
      <c r="AB1160" s="1130">
        <f>(Table1[[#This Row],[Print Wth]]*Table1[[#This Row],[Print Ht]])/144*SWISSMLR</f>
        <v>45.333333333333336</v>
      </c>
      <c r="AC1160" s="74">
        <f>(Table1[[#This Row],[Cut Width]]*Table1[[#This Row],[Cut Height]])/144*Canvas</f>
        <v>14.96</v>
      </c>
      <c r="AD1160" s="263">
        <f>(Table1[[#This Row],[Print Wth]]*Table1[[#This Row],[Print Ht]])/144*Materials!$C$42</f>
        <v>7.2533333333333339</v>
      </c>
      <c r="AE1160" s="74">
        <v>10</v>
      </c>
      <c r="AF1160" s="73">
        <f>'Cali FPS'!C89</f>
        <v>112.01750000000001</v>
      </c>
      <c r="AG1160" s="126"/>
      <c r="AH1160" s="112">
        <f t="shared" si="411"/>
        <v>16</v>
      </c>
      <c r="AI1160" s="112"/>
      <c r="AJ1160" s="240">
        <f t="shared" si="412"/>
        <v>160.23083333333335</v>
      </c>
      <c r="AK1160" s="62">
        <f t="shared" si="413"/>
        <v>0.49927864583333326</v>
      </c>
      <c r="AL1160" s="225">
        <f>Table1[[#This Row],[WSP/Dealer]]/Table1[[#This Row],[OD Sq Inch]]</f>
        <v>0.13333333333333333</v>
      </c>
      <c r="AM1160" s="103">
        <f>Table1[[#This Row],[OD Wdth]]*Table1[[#This Row],[OD Hgt]]</f>
        <v>2400</v>
      </c>
      <c r="AN1160" s="216">
        <f>Table1[[#This Row],[Min VO]]+Table1[[#This Row],[Max VO]]</f>
        <v>100</v>
      </c>
      <c r="AO1160" s="119"/>
      <c r="AP1160" s="84"/>
      <c r="AQ1160" s="126"/>
      <c r="AR1160" s="126"/>
      <c r="AS1160" s="126"/>
      <c r="AT1160" s="74"/>
      <c r="AU1160" s="1356" t="str">
        <f t="shared" si="414"/>
        <v>-</v>
      </c>
    </row>
    <row r="1161" spans="1:47" s="159" customFormat="1" x14ac:dyDescent="0.2">
      <c r="A1161" s="86" t="s">
        <v>58</v>
      </c>
      <c r="B1161" s="1061" t="s">
        <v>406</v>
      </c>
      <c r="C1161" s="654" t="s">
        <v>2861</v>
      </c>
      <c r="D1161" s="94" t="s">
        <v>2862</v>
      </c>
      <c r="E1161" s="85" t="s">
        <v>2863</v>
      </c>
      <c r="F1161" s="85" t="s">
        <v>92</v>
      </c>
      <c r="G1161" s="86" t="s">
        <v>410</v>
      </c>
      <c r="H1161" s="86" t="s">
        <v>410</v>
      </c>
      <c r="I1161" s="86" t="s">
        <v>52</v>
      </c>
      <c r="J1161" s="86" t="s">
        <v>53</v>
      </c>
      <c r="K1161" s="86" t="s">
        <v>54</v>
      </c>
      <c r="L1161" s="86" t="s">
        <v>55</v>
      </c>
      <c r="M1161" s="87">
        <v>1122</v>
      </c>
      <c r="N1161" s="639">
        <v>1250</v>
      </c>
      <c r="O1161" s="798" t="s">
        <v>56</v>
      </c>
      <c r="P1161" s="655">
        <v>54</v>
      </c>
      <c r="Q1161" s="655">
        <v>72</v>
      </c>
      <c r="R1161" s="60">
        <v>54</v>
      </c>
      <c r="S1161" s="61">
        <v>72</v>
      </c>
      <c r="T1161" s="61">
        <f>Table1[[#This Row],[VO Wdth]]</f>
        <v>54</v>
      </c>
      <c r="U1161" s="61">
        <f>Table1[[#This Row],[VO Hgt]]</f>
        <v>72</v>
      </c>
      <c r="V1161" s="608">
        <f>IF(J1161="Canvas",P1161+BorderGW,P1161)</f>
        <v>62</v>
      </c>
      <c r="W1161" s="608">
        <f>IF(J1161="Canvas",Q1161+BorderGW,Q1161)</f>
        <v>80</v>
      </c>
      <c r="X1161" s="557">
        <v>80</v>
      </c>
      <c r="Y1161" s="655"/>
      <c r="Z1161" s="655"/>
      <c r="AA1161" s="717">
        <f t="shared" ref="AA1161:AA1176" si="415">V1161*W1161/144</f>
        <v>34.444444444444443</v>
      </c>
      <c r="AB1161" s="184">
        <f t="shared" ref="AB1161:AB1176" si="416">AA1161*IncaG</f>
        <v>724.71111111111099</v>
      </c>
      <c r="AC1161" s="818">
        <f t="shared" ref="AC1161:AC1176" si="417">AA1161*Canvas</f>
        <v>22.733333333333334</v>
      </c>
      <c r="AD1161" s="107">
        <f t="shared" ref="AD1161:AD1176" si="418">AA1161*IncaC</f>
        <v>57.976888888888887</v>
      </c>
      <c r="AE1161" s="104">
        <f>IF(Table1[[#This Row],[Work Center]]="SwissQ",Materials!G$37,IF(Table1[[#This Row],[Work Center]]="Inca",Materials!G$29,IF(Table1[[#This Row],[Work Center]]="Canon",Materials!G$49,Materials!G$45)))</f>
        <v>8</v>
      </c>
      <c r="AF1161" s="104">
        <f>'Cali FPS'!C$144</f>
        <v>177.92250000000001</v>
      </c>
      <c r="AG1161" s="115"/>
      <c r="AH1161" s="112">
        <f t="shared" si="411"/>
        <v>56.1</v>
      </c>
      <c r="AI1161" s="112"/>
      <c r="AJ1161" s="818">
        <f t="shared" si="412"/>
        <v>322.73272222222226</v>
      </c>
      <c r="AK1161" s="62">
        <f t="shared" si="413"/>
        <v>0.71235942760942761</v>
      </c>
      <c r="AL1161" s="225">
        <f>Table1[[#This Row],[WSP/Dealer]]/Table1[[#This Row],[OD Sq Inch]]</f>
        <v>0.28858024691358025</v>
      </c>
      <c r="AM1161" s="103">
        <f>Table1[[#This Row],[OD Wdth]]*Table1[[#This Row],[OD Hgt]]</f>
        <v>3888</v>
      </c>
      <c r="AN1161" s="216">
        <f>Table1[[#This Row],[Min VO]]+Table1[[#This Row],[Max VO]]</f>
        <v>126</v>
      </c>
      <c r="AO1161" s="103"/>
      <c r="AP1161" s="101"/>
      <c r="AQ1161" s="104"/>
      <c r="AR1161" s="104"/>
      <c r="AS1161" s="104"/>
      <c r="AT1161" s="104"/>
      <c r="AU1161" s="108" t="str">
        <f t="shared" si="414"/>
        <v>-</v>
      </c>
    </row>
    <row r="1162" spans="1:47" s="170" customFormat="1" x14ac:dyDescent="0.2">
      <c r="A1162" s="86" t="s">
        <v>58</v>
      </c>
      <c r="B1162" s="1061" t="s">
        <v>88</v>
      </c>
      <c r="C1162" s="76" t="s">
        <v>2864</v>
      </c>
      <c r="D1162" s="94" t="s">
        <v>2865</v>
      </c>
      <c r="E1162" s="85" t="s">
        <v>2863</v>
      </c>
      <c r="F1162" s="85" t="s">
        <v>92</v>
      </c>
      <c r="G1162" s="86" t="s">
        <v>410</v>
      </c>
      <c r="H1162" s="86" t="s">
        <v>413</v>
      </c>
      <c r="I1162" s="86" t="s">
        <v>52</v>
      </c>
      <c r="J1162" s="86" t="s">
        <v>53</v>
      </c>
      <c r="K1162" s="86" t="s">
        <v>82</v>
      </c>
      <c r="L1162" s="86" t="s">
        <v>83</v>
      </c>
      <c r="M1162" s="87">
        <v>1177</v>
      </c>
      <c r="N1162" s="639">
        <v>1400</v>
      </c>
      <c r="O1162" s="798" t="s">
        <v>56</v>
      </c>
      <c r="P1162" s="60">
        <v>54</v>
      </c>
      <c r="Q1162" s="60">
        <v>72</v>
      </c>
      <c r="R1162" s="60">
        <v>54</v>
      </c>
      <c r="S1162" s="273">
        <v>72</v>
      </c>
      <c r="T1162" s="60">
        <v>56</v>
      </c>
      <c r="U1162" s="60" t="str">
        <f>RIGHT(H1162,2)</f>
        <v>74</v>
      </c>
      <c r="V1162" s="946">
        <f>IF(J1162="Canvas",P1162+Border,P1162)</f>
        <v>62</v>
      </c>
      <c r="W1162" s="946">
        <f>IF(J1162="Canvas",Q1162+Border,Q1162)</f>
        <v>80</v>
      </c>
      <c r="X1162" s="138">
        <v>80</v>
      </c>
      <c r="Y1162" s="60"/>
      <c r="Z1162" s="60"/>
      <c r="AA1162" s="717">
        <f t="shared" si="415"/>
        <v>34.444444444444443</v>
      </c>
      <c r="AB1162" s="184">
        <f t="shared" si="416"/>
        <v>724.71111111111099</v>
      </c>
      <c r="AC1162" s="69">
        <f t="shared" si="417"/>
        <v>22.733333333333334</v>
      </c>
      <c r="AD1162" s="107">
        <f t="shared" si="418"/>
        <v>57.976888888888887</v>
      </c>
      <c r="AE1162" s="104">
        <f>IF(Table1[[#This Row],[Work Center]]="SwissQ",Materials!G$37,IF(Table1[[#This Row],[Work Center]]="Inca",Materials!G$29,IF(Table1[[#This Row],[Work Center]]="Canon",Materials!G$49,Materials!G$45)))</f>
        <v>8</v>
      </c>
      <c r="AF1162" s="104">
        <f>'Cali Frames'!D$162</f>
        <v>313.91499999999996</v>
      </c>
      <c r="AG1162" s="115"/>
      <c r="AH1162" s="498">
        <f t="shared" si="411"/>
        <v>58.85</v>
      </c>
      <c r="AI1162" s="498"/>
      <c r="AJ1162" s="69">
        <f t="shared" si="412"/>
        <v>461.47522222222221</v>
      </c>
      <c r="AK1162" s="650">
        <f t="shared" si="413"/>
        <v>0.60792249598791659</v>
      </c>
      <c r="AL1162" s="225">
        <f>Table1[[#This Row],[WSP/Dealer]]/Table1[[#This Row],[OD Sq Inch]]</f>
        <v>0.2840250965250965</v>
      </c>
      <c r="AM1162" s="103">
        <f>Table1[[#This Row],[OD Wdth]]*Table1[[#This Row],[OD Hgt]]</f>
        <v>4144</v>
      </c>
      <c r="AN1162" s="216">
        <f>Table1[[#This Row],[Min VO]]+Table1[[#This Row],[Max VO]]</f>
        <v>126</v>
      </c>
      <c r="AO1162" s="101"/>
      <c r="AP1162" s="101"/>
      <c r="AQ1162" s="104"/>
      <c r="AR1162" s="104"/>
      <c r="AS1162" s="104"/>
      <c r="AT1162" s="104"/>
      <c r="AU1162" s="830" t="str">
        <f t="shared" si="414"/>
        <v>-</v>
      </c>
    </row>
    <row r="1163" spans="1:47" s="399" customFormat="1" hidden="1" x14ac:dyDescent="0.2">
      <c r="A1163" s="238" t="s">
        <v>272</v>
      </c>
      <c r="B1163" s="1061" t="s">
        <v>533</v>
      </c>
      <c r="C1163" s="1215" t="s">
        <v>2866</v>
      </c>
      <c r="D1163" s="94"/>
      <c r="E1163" s="553" t="s">
        <v>2867</v>
      </c>
      <c r="F1163" s="553" t="s">
        <v>92</v>
      </c>
      <c r="G1163" s="238" t="s">
        <v>132</v>
      </c>
      <c r="H1163" s="238" t="s">
        <v>132</v>
      </c>
      <c r="I1163" s="238" t="s">
        <v>52</v>
      </c>
      <c r="J1163" s="238" t="s">
        <v>53</v>
      </c>
      <c r="K1163" s="238" t="s">
        <v>54</v>
      </c>
      <c r="L1163" s="238" t="s">
        <v>55</v>
      </c>
      <c r="M1163" s="550">
        <v>448</v>
      </c>
      <c r="N1163" s="550"/>
      <c r="O1163" s="1096" t="s">
        <v>2328</v>
      </c>
      <c r="P1163" s="1096">
        <v>36</v>
      </c>
      <c r="Q1163" s="1096">
        <v>48</v>
      </c>
      <c r="R1163" s="238">
        <v>36</v>
      </c>
      <c r="S1163" s="1339">
        <v>48</v>
      </c>
      <c r="T1163" s="1339">
        <f>Table1[[#This Row],[VO Wdth]]</f>
        <v>36</v>
      </c>
      <c r="U1163" s="1339">
        <f>Table1[[#This Row],[VO Hgt]]</f>
        <v>48</v>
      </c>
      <c r="V1163" s="1489">
        <f t="shared" ref="V1163:V1169" si="419">IF(J1163="Canvas",P1163+BorderGW,P1163)</f>
        <v>44</v>
      </c>
      <c r="W1163" s="1489">
        <f t="shared" ref="W1163:W1169" si="420">IF(J1163="Canvas",Q1163+BorderGW,Q1163)</f>
        <v>56</v>
      </c>
      <c r="X1163" s="1098">
        <v>59</v>
      </c>
      <c r="Y1163" s="1096"/>
      <c r="Z1163" s="1096"/>
      <c r="AA1163" s="729">
        <f t="shared" si="415"/>
        <v>17.111111111111111</v>
      </c>
      <c r="AB1163" s="372">
        <f t="shared" si="416"/>
        <v>360.01777777777778</v>
      </c>
      <c r="AC1163" s="240">
        <f t="shared" si="417"/>
        <v>11.293333333333333</v>
      </c>
      <c r="AD1163" s="240">
        <f t="shared" si="418"/>
        <v>28.801422222222222</v>
      </c>
      <c r="AE1163" s="104">
        <f>IF(Table1[[#This Row],[Work Center]]="SwissQ",Materials!G$37,IF(Table1[[#This Row],[Work Center]]="Inca",Materials!G$29,IF(Table1[[#This Row],[Work Center]]="Canon",Materials!G$49,Materials!G$45)))</f>
        <v>8</v>
      </c>
      <c r="AF1163" s="609">
        <f>'Cali FPS'!C71</f>
        <v>114.31</v>
      </c>
      <c r="AG1163" s="115"/>
      <c r="AH1163" s="498">
        <f t="shared" si="411"/>
        <v>22.400000000000002</v>
      </c>
      <c r="AI1163" s="498"/>
      <c r="AJ1163" s="240">
        <f t="shared" si="412"/>
        <v>184.80475555555554</v>
      </c>
      <c r="AK1163" s="650">
        <f t="shared" si="413"/>
        <v>0.58748938492063496</v>
      </c>
      <c r="AL1163" s="225">
        <f>Table1[[#This Row],[WSP/Dealer]]/Table1[[#This Row],[OD Sq Inch]]</f>
        <v>0.25925925925925924</v>
      </c>
      <c r="AM1163" s="101">
        <f>Table1[[#This Row],[OD Wdth]]*Table1[[#This Row],[OD Hgt]]</f>
        <v>1728</v>
      </c>
      <c r="AN1163" s="216">
        <f>Table1[[#This Row],[Min VO]]+Table1[[#This Row],[Max VO]]</f>
        <v>84</v>
      </c>
      <c r="AO1163" s="238"/>
      <c r="AP1163" s="238"/>
      <c r="AQ1163" s="240"/>
      <c r="AR1163" s="240"/>
      <c r="AS1163" s="240"/>
      <c r="AT1163" s="240"/>
      <c r="AU1163" s="1493" t="str">
        <f t="shared" si="414"/>
        <v>-</v>
      </c>
    </row>
    <row r="1164" spans="1:47" s="173" customFormat="1" x14ac:dyDescent="0.2">
      <c r="A1164" s="86" t="s">
        <v>58</v>
      </c>
      <c r="B1164" s="1061" t="s">
        <v>146</v>
      </c>
      <c r="C1164" s="654" t="s">
        <v>2868</v>
      </c>
      <c r="D1164" s="94" t="s">
        <v>2869</v>
      </c>
      <c r="E1164" s="85" t="s">
        <v>2870</v>
      </c>
      <c r="F1164" s="85" t="s">
        <v>92</v>
      </c>
      <c r="G1164" s="86" t="s">
        <v>132</v>
      </c>
      <c r="H1164" s="86" t="s">
        <v>132</v>
      </c>
      <c r="I1164" s="86" t="s">
        <v>52</v>
      </c>
      <c r="J1164" s="86" t="s">
        <v>53</v>
      </c>
      <c r="K1164" s="86" t="s">
        <v>54</v>
      </c>
      <c r="L1164" s="86" t="s">
        <v>55</v>
      </c>
      <c r="M1164" s="87">
        <v>650</v>
      </c>
      <c r="N1164" s="639">
        <v>720</v>
      </c>
      <c r="O1164" s="655" t="s">
        <v>2328</v>
      </c>
      <c r="P1164" s="655">
        <v>36</v>
      </c>
      <c r="Q1164" s="655">
        <v>48</v>
      </c>
      <c r="R1164" s="60">
        <v>36</v>
      </c>
      <c r="S1164" s="273">
        <v>48</v>
      </c>
      <c r="T1164" s="273">
        <f>Table1[[#This Row],[VO Wdth]]</f>
        <v>36</v>
      </c>
      <c r="U1164" s="273">
        <f>Table1[[#This Row],[VO Hgt]]</f>
        <v>48</v>
      </c>
      <c r="V1164" s="946">
        <f t="shared" si="419"/>
        <v>44</v>
      </c>
      <c r="W1164" s="946">
        <f t="shared" si="420"/>
        <v>56</v>
      </c>
      <c r="X1164" s="557">
        <v>59</v>
      </c>
      <c r="Y1164" s="655"/>
      <c r="Z1164" s="655"/>
      <c r="AA1164" s="717">
        <f t="shared" si="415"/>
        <v>17.111111111111111</v>
      </c>
      <c r="AB1164" s="125">
        <f t="shared" si="416"/>
        <v>360.01777777777778</v>
      </c>
      <c r="AC1164" s="69">
        <f t="shared" si="417"/>
        <v>11.293333333333333</v>
      </c>
      <c r="AD1164" s="69">
        <f t="shared" si="418"/>
        <v>28.801422222222222</v>
      </c>
      <c r="AE1164" s="104">
        <f>IF(Table1[[#This Row],[Work Center]]="SwissQ",Materials!G$37,IF(Table1[[#This Row],[Work Center]]="Inca",Materials!G$29,IF(Table1[[#This Row],[Work Center]]="Canon",Materials!G$49,Materials!G$45)))</f>
        <v>8</v>
      </c>
      <c r="AF1164" s="72">
        <f>'Cali FPS'!C$71</f>
        <v>114.31</v>
      </c>
      <c r="AG1164" s="115"/>
      <c r="AH1164" s="498">
        <f t="shared" si="411"/>
        <v>32.5</v>
      </c>
      <c r="AI1164" s="498"/>
      <c r="AJ1164" s="69">
        <f t="shared" si="412"/>
        <v>194.90475555555554</v>
      </c>
      <c r="AK1164" s="650">
        <f t="shared" si="413"/>
        <v>0.70014652991452997</v>
      </c>
      <c r="AL1164" s="225">
        <f>Table1[[#This Row],[WSP/Dealer]]/Table1[[#This Row],[OD Sq Inch]]</f>
        <v>0.37615740740740738</v>
      </c>
      <c r="AM1164" s="101">
        <f>Table1[[#This Row],[OD Wdth]]*Table1[[#This Row],[OD Hgt]]</f>
        <v>1728</v>
      </c>
      <c r="AN1164" s="216">
        <f>Table1[[#This Row],[Min VO]]+Table1[[#This Row],[Max VO]]</f>
        <v>84</v>
      </c>
      <c r="AO1164" s="101"/>
      <c r="AP1164" s="101"/>
      <c r="AQ1164" s="104"/>
      <c r="AR1164" s="104"/>
      <c r="AS1164" s="104"/>
      <c r="AT1164" s="104"/>
      <c r="AU1164" s="830" t="str">
        <f t="shared" si="414"/>
        <v>-</v>
      </c>
    </row>
    <row r="1165" spans="1:47" s="119" customFormat="1" x14ac:dyDescent="0.2">
      <c r="A1165" s="86" t="s">
        <v>58</v>
      </c>
      <c r="B1165" s="1061" t="s">
        <v>146</v>
      </c>
      <c r="C1165" s="1724" t="s">
        <v>2871</v>
      </c>
      <c r="D1165" s="94" t="s">
        <v>2872</v>
      </c>
      <c r="E1165" s="85" t="s">
        <v>2870</v>
      </c>
      <c r="F1165" s="85" t="s">
        <v>92</v>
      </c>
      <c r="G1165" s="86" t="s">
        <v>132</v>
      </c>
      <c r="H1165" s="86" t="s">
        <v>133</v>
      </c>
      <c r="I1165" s="86" t="s">
        <v>52</v>
      </c>
      <c r="J1165" s="86" t="s">
        <v>53</v>
      </c>
      <c r="K1165" s="86" t="s">
        <v>69</v>
      </c>
      <c r="L1165" s="86" t="s">
        <v>73</v>
      </c>
      <c r="M1165" s="87">
        <f>650+130</f>
        <v>780</v>
      </c>
      <c r="N1165" s="639">
        <v>825</v>
      </c>
      <c r="O1165" s="655" t="s">
        <v>2328</v>
      </c>
      <c r="P1165" s="655">
        <v>36</v>
      </c>
      <c r="Q1165" s="655">
        <v>48</v>
      </c>
      <c r="R1165" s="60">
        <v>36</v>
      </c>
      <c r="S1165" s="273">
        <v>48</v>
      </c>
      <c r="T1165" s="60">
        <v>37</v>
      </c>
      <c r="U1165" s="273" t="str">
        <f>RIGHT(Table1[[#This Row],[OD]],2)</f>
        <v>49</v>
      </c>
      <c r="V1165" s="946">
        <f t="shared" si="419"/>
        <v>44</v>
      </c>
      <c r="W1165" s="946">
        <f t="shared" si="420"/>
        <v>56</v>
      </c>
      <c r="X1165" s="557">
        <v>59</v>
      </c>
      <c r="Y1165" s="655"/>
      <c r="Z1165" s="655"/>
      <c r="AA1165" s="717">
        <f t="shared" si="415"/>
        <v>17.111111111111111</v>
      </c>
      <c r="AB1165" s="125">
        <f t="shared" si="416"/>
        <v>360.01777777777778</v>
      </c>
      <c r="AC1165" s="69">
        <f t="shared" si="417"/>
        <v>11.293333333333333</v>
      </c>
      <c r="AD1165" s="69">
        <f t="shared" si="418"/>
        <v>28.801422222222222</v>
      </c>
      <c r="AE1165" s="104">
        <f>IF(Table1[[#This Row],[Work Center]]="SwissQ",Materials!G$37,IF(Table1[[#This Row],[Work Center]]="Inca",Materials!G$29,IF(Table1[[#This Row],[Work Center]]="Canon",Materials!G$49,Materials!G$45)))</f>
        <v>8</v>
      </c>
      <c r="AF1165" s="69"/>
      <c r="AG1165" s="115"/>
      <c r="AH1165" s="498">
        <f t="shared" si="411"/>
        <v>39</v>
      </c>
      <c r="AI1165" s="498"/>
      <c r="AJ1165" s="69">
        <f t="shared" si="412"/>
        <v>87.094755555555551</v>
      </c>
      <c r="AK1165" s="650">
        <f t="shared" si="413"/>
        <v>0.88834005698005691</v>
      </c>
      <c r="AL1165" s="225">
        <f>Table1[[#This Row],[WSP/Dealer]]/Table1[[#This Row],[OD Sq Inch]]</f>
        <v>0.43022614451185881</v>
      </c>
      <c r="AM1165" s="101">
        <f>Table1[[#This Row],[OD Wdth]]*Table1[[#This Row],[OD Hgt]]</f>
        <v>1813</v>
      </c>
      <c r="AN1165" s="216">
        <f>Table1[[#This Row],[Min VO]]+Table1[[#This Row],[Max VO]]</f>
        <v>84</v>
      </c>
      <c r="AO1165" s="101"/>
      <c r="AP1165" s="101"/>
      <c r="AQ1165" s="104"/>
      <c r="AR1165" s="104"/>
      <c r="AS1165" s="104"/>
      <c r="AT1165" s="104"/>
      <c r="AU1165" s="830" t="str">
        <f t="shared" si="414"/>
        <v>-</v>
      </c>
    </row>
    <row r="1166" spans="1:47" s="63" customFormat="1" x14ac:dyDescent="0.2">
      <c r="A1166" s="86" t="s">
        <v>58</v>
      </c>
      <c r="B1166" s="1061" t="s">
        <v>146</v>
      </c>
      <c r="C1166" s="654" t="s">
        <v>2873</v>
      </c>
      <c r="D1166" s="94" t="s">
        <v>2874</v>
      </c>
      <c r="E1166" s="85" t="s">
        <v>2870</v>
      </c>
      <c r="F1166" s="85" t="s">
        <v>92</v>
      </c>
      <c r="G1166" s="86" t="s">
        <v>132</v>
      </c>
      <c r="H1166" s="86" t="s">
        <v>264</v>
      </c>
      <c r="I1166" s="86" t="s">
        <v>52</v>
      </c>
      <c r="J1166" s="86" t="s">
        <v>53</v>
      </c>
      <c r="K1166" s="86" t="s">
        <v>82</v>
      </c>
      <c r="L1166" s="86" t="s">
        <v>83</v>
      </c>
      <c r="M1166" s="87">
        <v>710</v>
      </c>
      <c r="N1166" s="639">
        <v>780</v>
      </c>
      <c r="O1166" s="655" t="s">
        <v>2328</v>
      </c>
      <c r="P1166" s="655">
        <v>36</v>
      </c>
      <c r="Q1166" s="655">
        <v>48</v>
      </c>
      <c r="R1166" s="60">
        <v>36</v>
      </c>
      <c r="S1166" s="61">
        <v>48</v>
      </c>
      <c r="T1166" s="60">
        <v>38</v>
      </c>
      <c r="U1166" s="273" t="str">
        <f>RIGHT(Table1[[#This Row],[OD]],2)</f>
        <v>50</v>
      </c>
      <c r="V1166" s="946">
        <f t="shared" si="419"/>
        <v>44</v>
      </c>
      <c r="W1166" s="946">
        <f t="shared" si="420"/>
        <v>56</v>
      </c>
      <c r="X1166" s="557">
        <v>59</v>
      </c>
      <c r="Y1166" s="655"/>
      <c r="Z1166" s="655"/>
      <c r="AA1166" s="717">
        <f t="shared" si="415"/>
        <v>17.111111111111111</v>
      </c>
      <c r="AB1166" s="125">
        <f t="shared" si="416"/>
        <v>360.01777777777778</v>
      </c>
      <c r="AC1166" s="69">
        <f t="shared" si="417"/>
        <v>11.293333333333333</v>
      </c>
      <c r="AD1166" s="48">
        <f t="shared" si="418"/>
        <v>28.801422222222222</v>
      </c>
      <c r="AE1166" s="104">
        <f>IF(Table1[[#This Row],[Work Center]]="SwissQ",Materials!G$37,IF(Table1[[#This Row],[Work Center]]="Inca",Materials!G$29,IF(Table1[[#This Row],[Work Center]]="Canon",Materials!G$49,Materials!G$45)))</f>
        <v>8</v>
      </c>
      <c r="AF1166" s="69"/>
      <c r="AG1166" s="115"/>
      <c r="AH1166" s="498">
        <f t="shared" si="411"/>
        <v>35.5</v>
      </c>
      <c r="AI1166" s="498"/>
      <c r="AJ1166" s="69">
        <f t="shared" si="412"/>
        <v>83.594755555555551</v>
      </c>
      <c r="AK1166" s="650">
        <f t="shared" si="413"/>
        <v>0.88226090766823151</v>
      </c>
      <c r="AL1166" s="225">
        <f>Table1[[#This Row],[WSP/Dealer]]/Table1[[#This Row],[OD Sq Inch]]</f>
        <v>0.37368421052631579</v>
      </c>
      <c r="AM1166" s="103">
        <f>Table1[[#This Row],[OD Wdth]]*Table1[[#This Row],[OD Hgt]]</f>
        <v>1900</v>
      </c>
      <c r="AN1166" s="216">
        <f>Table1[[#This Row],[Min VO]]+Table1[[#This Row],[Max VO]]</f>
        <v>84</v>
      </c>
      <c r="AO1166" s="101"/>
      <c r="AP1166" s="101"/>
      <c r="AQ1166" s="104"/>
      <c r="AR1166" s="104"/>
      <c r="AS1166" s="104"/>
      <c r="AT1166" s="104"/>
      <c r="AU1166" s="830" t="str">
        <f t="shared" si="414"/>
        <v>-</v>
      </c>
    </row>
    <row r="1167" spans="1:47" s="63" customFormat="1" x14ac:dyDescent="0.2">
      <c r="A1167" s="86" t="s">
        <v>58</v>
      </c>
      <c r="B1167" s="1061" t="s">
        <v>159</v>
      </c>
      <c r="C1167" s="1724" t="s">
        <v>2875</v>
      </c>
      <c r="D1167" s="94" t="s">
        <v>2876</v>
      </c>
      <c r="E1167" s="85" t="s">
        <v>2877</v>
      </c>
      <c r="F1167" s="85" t="s">
        <v>92</v>
      </c>
      <c r="G1167" s="86" t="s">
        <v>410</v>
      </c>
      <c r="H1167" s="86" t="s">
        <v>2878</v>
      </c>
      <c r="I1167" s="86" t="s">
        <v>52</v>
      </c>
      <c r="J1167" s="86" t="s">
        <v>53</v>
      </c>
      <c r="K1167" s="86" t="s">
        <v>69</v>
      </c>
      <c r="L1167" s="86" t="s">
        <v>73</v>
      </c>
      <c r="M1167" s="87">
        <f>1122+168</f>
        <v>1290</v>
      </c>
      <c r="N1167" s="639">
        <v>1400</v>
      </c>
      <c r="O1167" s="655" t="s">
        <v>56</v>
      </c>
      <c r="P1167" s="655">
        <v>54</v>
      </c>
      <c r="Q1167" s="655">
        <v>72</v>
      </c>
      <c r="R1167" s="60">
        <v>54</v>
      </c>
      <c r="S1167" s="273">
        <v>72</v>
      </c>
      <c r="T1167" s="655">
        <v>55</v>
      </c>
      <c r="U1167" s="655">
        <v>73</v>
      </c>
      <c r="V1167" s="47">
        <f t="shared" si="419"/>
        <v>62</v>
      </c>
      <c r="W1167" s="47">
        <f t="shared" si="420"/>
        <v>80</v>
      </c>
      <c r="X1167" s="557">
        <v>63</v>
      </c>
      <c r="Y1167" s="655"/>
      <c r="Z1167" s="655"/>
      <c r="AA1167" s="717">
        <f t="shared" si="415"/>
        <v>34.444444444444443</v>
      </c>
      <c r="AB1167" s="125">
        <f t="shared" si="416"/>
        <v>724.71111111111099</v>
      </c>
      <c r="AC1167" s="818">
        <f t="shared" si="417"/>
        <v>22.733333333333334</v>
      </c>
      <c r="AD1167" s="48">
        <f t="shared" si="418"/>
        <v>57.976888888888887</v>
      </c>
      <c r="AE1167" s="104">
        <f>IF(Table1[[#This Row],[Work Center]]="SwissQ",Materials!G$37,IF(Table1[[#This Row],[Work Center]]="Inca",Materials!G$29,IF(Table1[[#This Row],[Work Center]]="Canon",Materials!G$49,Materials!G$45)))</f>
        <v>8</v>
      </c>
      <c r="AF1167" s="74">
        <f>'Cali Frames'!D$479</f>
        <v>306.82750000000004</v>
      </c>
      <c r="AG1167" s="115"/>
      <c r="AH1167" s="112">
        <f t="shared" si="411"/>
        <v>64.5</v>
      </c>
      <c r="AI1167" s="112"/>
      <c r="AJ1167" s="818">
        <f t="shared" si="412"/>
        <v>460.03772222222227</v>
      </c>
      <c r="AK1167" s="62">
        <f t="shared" si="413"/>
        <v>0.64338161068044786</v>
      </c>
      <c r="AL1167" s="225">
        <f>Table1[[#This Row],[WSP/Dealer]]/Table1[[#This Row],[OD Sq Inch]]</f>
        <v>0.32129514321295144</v>
      </c>
      <c r="AM1167" s="46">
        <f>Table1[[#This Row],[OD Wdth]]*Table1[[#This Row],[OD Hgt]]</f>
        <v>4015</v>
      </c>
      <c r="AN1167" s="216">
        <f>Table1[[#This Row],[Min VO]]+Table1[[#This Row],[Max VO]]</f>
        <v>126</v>
      </c>
      <c r="AO1167" s="101"/>
      <c r="AP1167" s="101"/>
      <c r="AQ1167" s="104"/>
      <c r="AR1167" s="104"/>
      <c r="AS1167" s="104"/>
      <c r="AT1167" s="104"/>
      <c r="AU1167" s="830" t="str">
        <f t="shared" si="414"/>
        <v>-</v>
      </c>
    </row>
    <row r="1168" spans="1:47" s="144" customFormat="1" x14ac:dyDescent="0.2">
      <c r="A1168" s="86" t="s">
        <v>58</v>
      </c>
      <c r="B1168" s="1061" t="s">
        <v>406</v>
      </c>
      <c r="C1168" s="1724" t="s">
        <v>2879</v>
      </c>
      <c r="D1168" s="94" t="s">
        <v>2880</v>
      </c>
      <c r="E1168" s="85" t="s">
        <v>2881</v>
      </c>
      <c r="F1168" s="85" t="s">
        <v>92</v>
      </c>
      <c r="G1168" s="86" t="s">
        <v>410</v>
      </c>
      <c r="H1168" s="86" t="s">
        <v>410</v>
      </c>
      <c r="I1168" s="86" t="s">
        <v>52</v>
      </c>
      <c r="J1168" s="86" t="s">
        <v>53</v>
      </c>
      <c r="K1168" s="86" t="s">
        <v>54</v>
      </c>
      <c r="L1168" s="86" t="s">
        <v>55</v>
      </c>
      <c r="M1168" s="87">
        <v>1122</v>
      </c>
      <c r="N1168" s="639">
        <v>1250</v>
      </c>
      <c r="O1168" s="798" t="s">
        <v>56</v>
      </c>
      <c r="P1168" s="655">
        <v>54</v>
      </c>
      <c r="Q1168" s="655">
        <v>72</v>
      </c>
      <c r="R1168" s="60">
        <v>54</v>
      </c>
      <c r="S1168" s="273">
        <v>72</v>
      </c>
      <c r="T1168" s="273">
        <f>Table1[[#This Row],[VO Wdth]]</f>
        <v>54</v>
      </c>
      <c r="U1168" s="273">
        <f>Table1[[#This Row],[VO Hgt]]</f>
        <v>72</v>
      </c>
      <c r="V1168" s="106">
        <f t="shared" si="419"/>
        <v>62</v>
      </c>
      <c r="W1168" s="106">
        <f t="shared" si="420"/>
        <v>80</v>
      </c>
      <c r="X1168" s="557">
        <v>63</v>
      </c>
      <c r="Y1168" s="655"/>
      <c r="Z1168" s="655"/>
      <c r="AA1168" s="717">
        <f t="shared" si="415"/>
        <v>34.444444444444443</v>
      </c>
      <c r="AB1168" s="184">
        <f t="shared" si="416"/>
        <v>724.71111111111099</v>
      </c>
      <c r="AC1168" s="818">
        <f t="shared" si="417"/>
        <v>22.733333333333334</v>
      </c>
      <c r="AD1168" s="107">
        <f t="shared" si="418"/>
        <v>57.976888888888887</v>
      </c>
      <c r="AE1168" s="104">
        <f>IF(Table1[[#This Row],[Work Center]]="SwissQ",Materials!G$37,IF(Table1[[#This Row],[Work Center]]="Inca",Materials!G$29,IF(Table1[[#This Row],[Work Center]]="Canon",Materials!G$49,Materials!G$45)))</f>
        <v>8</v>
      </c>
      <c r="AF1168" s="104">
        <f>'Cali FPS'!C$144</f>
        <v>177.92250000000001</v>
      </c>
      <c r="AG1168" s="115"/>
      <c r="AH1168" s="498">
        <f t="shared" si="411"/>
        <v>56.1</v>
      </c>
      <c r="AI1168" s="498"/>
      <c r="AJ1168" s="818">
        <f t="shared" si="412"/>
        <v>322.73272222222226</v>
      </c>
      <c r="AK1168" s="650">
        <f t="shared" si="413"/>
        <v>0.71235942760942761</v>
      </c>
      <c r="AL1168" s="225">
        <f>Table1[[#This Row],[WSP/Dealer]]/Table1[[#This Row],[OD Sq Inch]]</f>
        <v>0.28858024691358025</v>
      </c>
      <c r="AM1168" s="103">
        <f>Table1[[#This Row],[OD Wdth]]*Table1[[#This Row],[OD Hgt]]</f>
        <v>3888</v>
      </c>
      <c r="AN1168" s="216">
        <f>Table1[[#This Row],[Min VO]]+Table1[[#This Row],[Max VO]]</f>
        <v>126</v>
      </c>
      <c r="AO1168" s="101"/>
      <c r="AP1168" s="101"/>
      <c r="AQ1168" s="104"/>
      <c r="AR1168" s="104"/>
      <c r="AS1168" s="104"/>
      <c r="AT1168" s="104"/>
      <c r="AU1168" s="830" t="str">
        <f t="shared" si="414"/>
        <v>-</v>
      </c>
    </row>
    <row r="1169" spans="1:47" s="144" customFormat="1" x14ac:dyDescent="0.2">
      <c r="A1169" s="86" t="s">
        <v>58</v>
      </c>
      <c r="B1169" s="1061" t="s">
        <v>159</v>
      </c>
      <c r="C1169" s="1724" t="s">
        <v>2882</v>
      </c>
      <c r="D1169" s="94" t="s">
        <v>2883</v>
      </c>
      <c r="E1169" s="85" t="s">
        <v>2881</v>
      </c>
      <c r="F1169" s="85" t="s">
        <v>92</v>
      </c>
      <c r="G1169" s="86" t="s">
        <v>410</v>
      </c>
      <c r="H1169" s="86" t="s">
        <v>2878</v>
      </c>
      <c r="I1169" s="86" t="s">
        <v>52</v>
      </c>
      <c r="J1169" s="86" t="s">
        <v>53</v>
      </c>
      <c r="K1169" s="86" t="s">
        <v>69</v>
      </c>
      <c r="L1169" s="86" t="s">
        <v>73</v>
      </c>
      <c r="M1169" s="87">
        <f>1122+168</f>
        <v>1290</v>
      </c>
      <c r="N1169" s="639">
        <v>1400</v>
      </c>
      <c r="O1169" s="655" t="s">
        <v>56</v>
      </c>
      <c r="P1169" s="655">
        <v>54</v>
      </c>
      <c r="Q1169" s="655">
        <v>72</v>
      </c>
      <c r="R1169" s="60">
        <v>54</v>
      </c>
      <c r="S1169" s="273">
        <v>72</v>
      </c>
      <c r="T1169" s="655">
        <v>55</v>
      </c>
      <c r="U1169" s="655">
        <v>73</v>
      </c>
      <c r="V1169" s="946">
        <f t="shared" si="419"/>
        <v>62</v>
      </c>
      <c r="W1169" s="946">
        <f t="shared" si="420"/>
        <v>80</v>
      </c>
      <c r="X1169" s="557">
        <v>63</v>
      </c>
      <c r="Y1169" s="655"/>
      <c r="Z1169" s="655"/>
      <c r="AA1169" s="717">
        <f t="shared" si="415"/>
        <v>34.444444444444443</v>
      </c>
      <c r="AB1169" s="125">
        <f t="shared" si="416"/>
        <v>724.71111111111099</v>
      </c>
      <c r="AC1169" s="818">
        <f t="shared" si="417"/>
        <v>22.733333333333334</v>
      </c>
      <c r="AD1169" s="69">
        <f t="shared" si="418"/>
        <v>57.976888888888887</v>
      </c>
      <c r="AE1169" s="104">
        <f>IF(Table1[[#This Row],[Work Center]]="SwissQ",Materials!G$37,IF(Table1[[#This Row],[Work Center]]="Inca",Materials!G$29,IF(Table1[[#This Row],[Work Center]]="Canon",Materials!G$49,Materials!G$45)))</f>
        <v>8</v>
      </c>
      <c r="AF1169" s="74">
        <f>'Cali Frames'!D$479</f>
        <v>306.82750000000004</v>
      </c>
      <c r="AG1169" s="115"/>
      <c r="AH1169" s="112">
        <f t="shared" si="411"/>
        <v>64.5</v>
      </c>
      <c r="AI1169" s="112"/>
      <c r="AJ1169" s="818">
        <f t="shared" si="412"/>
        <v>460.03772222222227</v>
      </c>
      <c r="AK1169" s="62">
        <f t="shared" si="413"/>
        <v>0.64338161068044786</v>
      </c>
      <c r="AL1169" s="225">
        <f>Table1[[#This Row],[WSP/Dealer]]/Table1[[#This Row],[OD Sq Inch]]</f>
        <v>0.32129514321295144</v>
      </c>
      <c r="AM1169" s="101">
        <f>Table1[[#This Row],[OD Wdth]]*Table1[[#This Row],[OD Hgt]]</f>
        <v>4015</v>
      </c>
      <c r="AN1169" s="216">
        <f>Table1[[#This Row],[Min VO]]+Table1[[#This Row],[Max VO]]</f>
        <v>126</v>
      </c>
      <c r="AO1169" s="101"/>
      <c r="AP1169" s="101"/>
      <c r="AQ1169" s="104"/>
      <c r="AR1169" s="104"/>
      <c r="AS1169" s="104"/>
      <c r="AT1169" s="104"/>
      <c r="AU1169" s="830" t="str">
        <f t="shared" si="414"/>
        <v>-</v>
      </c>
    </row>
    <row r="1170" spans="1:47" s="144" customFormat="1" x14ac:dyDescent="0.2">
      <c r="A1170" s="86" t="s">
        <v>58</v>
      </c>
      <c r="B1170" s="279" t="s">
        <v>88</v>
      </c>
      <c r="C1170" s="80" t="s">
        <v>2884</v>
      </c>
      <c r="D1170" s="94" t="s">
        <v>2885</v>
      </c>
      <c r="E1170" s="85" t="s">
        <v>2881</v>
      </c>
      <c r="F1170" s="85" t="s">
        <v>92</v>
      </c>
      <c r="G1170" s="86" t="s">
        <v>410</v>
      </c>
      <c r="H1170" s="86" t="s">
        <v>413</v>
      </c>
      <c r="I1170" s="86" t="s">
        <v>52</v>
      </c>
      <c r="J1170" s="86" t="s">
        <v>53</v>
      </c>
      <c r="K1170" s="86" t="s">
        <v>82</v>
      </c>
      <c r="L1170" s="86" t="s">
        <v>83</v>
      </c>
      <c r="M1170" s="87">
        <v>1177</v>
      </c>
      <c r="N1170" s="639">
        <v>1400</v>
      </c>
      <c r="O1170" s="798" t="s">
        <v>56</v>
      </c>
      <c r="P1170" s="60">
        <v>54</v>
      </c>
      <c r="Q1170" s="60">
        <v>72</v>
      </c>
      <c r="R1170" s="60">
        <v>54</v>
      </c>
      <c r="S1170" s="273">
        <v>72</v>
      </c>
      <c r="T1170" s="60">
        <v>56</v>
      </c>
      <c r="U1170" s="60" t="str">
        <f>RIGHT(H1170,2)</f>
        <v>74</v>
      </c>
      <c r="V1170" s="946">
        <f>IF(J1170="Canvas",P1170+Border,P1170)</f>
        <v>62</v>
      </c>
      <c r="W1170" s="946">
        <f>IF(J1170="Canvas",Q1170+Border,Q1170)</f>
        <v>80</v>
      </c>
      <c r="X1170" s="138">
        <v>63</v>
      </c>
      <c r="Y1170" s="60"/>
      <c r="Z1170" s="60"/>
      <c r="AA1170" s="717">
        <f t="shared" si="415"/>
        <v>34.444444444444443</v>
      </c>
      <c r="AB1170" s="184">
        <f t="shared" si="416"/>
        <v>724.71111111111099</v>
      </c>
      <c r="AC1170" s="69">
        <f t="shared" si="417"/>
        <v>22.733333333333334</v>
      </c>
      <c r="AD1170" s="104">
        <f t="shared" si="418"/>
        <v>57.976888888888887</v>
      </c>
      <c r="AE1170" s="104">
        <f>IF(Table1[[#This Row],[Work Center]]="SwissQ",Materials!G$37,IF(Table1[[#This Row],[Work Center]]="Inca",Materials!G$29,IF(Table1[[#This Row],[Work Center]]="Canon",Materials!G$49,Materials!G$45)))</f>
        <v>8</v>
      </c>
      <c r="AF1170" s="104">
        <f>'Cali Frames'!D$162</f>
        <v>313.91499999999996</v>
      </c>
      <c r="AG1170" s="115"/>
      <c r="AH1170" s="498">
        <f t="shared" si="411"/>
        <v>58.85</v>
      </c>
      <c r="AI1170" s="498"/>
      <c r="AJ1170" s="69">
        <f t="shared" si="412"/>
        <v>461.47522222222221</v>
      </c>
      <c r="AK1170" s="650">
        <f t="shared" si="413"/>
        <v>0.60792249598791659</v>
      </c>
      <c r="AL1170" s="225">
        <f>Table1[[#This Row],[WSP/Dealer]]/Table1[[#This Row],[OD Sq Inch]]</f>
        <v>0.2840250965250965</v>
      </c>
      <c r="AM1170" s="101">
        <f>Table1[[#This Row],[OD Wdth]]*Table1[[#This Row],[OD Hgt]]</f>
        <v>4144</v>
      </c>
      <c r="AN1170" s="216">
        <f>Table1[[#This Row],[Min VO]]+Table1[[#This Row],[Max VO]]</f>
        <v>126</v>
      </c>
      <c r="AO1170" s="101"/>
      <c r="AP1170" s="101"/>
      <c r="AQ1170" s="104"/>
      <c r="AR1170" s="104"/>
      <c r="AS1170" s="104"/>
      <c r="AT1170" s="104"/>
      <c r="AU1170" s="830" t="str">
        <f t="shared" si="414"/>
        <v>-</v>
      </c>
    </row>
    <row r="1171" spans="1:47" s="170" customFormat="1" hidden="1" x14ac:dyDescent="0.2">
      <c r="A1171" s="216" t="s">
        <v>272</v>
      </c>
      <c r="B1171" s="279" t="s">
        <v>533</v>
      </c>
      <c r="C1171" s="1733" t="s">
        <v>2886</v>
      </c>
      <c r="D1171" s="94" t="s">
        <v>2887</v>
      </c>
      <c r="E1171" s="217" t="s">
        <v>2888</v>
      </c>
      <c r="F1171" s="217" t="s">
        <v>92</v>
      </c>
      <c r="G1171" s="216" t="s">
        <v>132</v>
      </c>
      <c r="H1171" s="216" t="s">
        <v>132</v>
      </c>
      <c r="I1171" s="216" t="s">
        <v>52</v>
      </c>
      <c r="J1171" s="216" t="s">
        <v>53</v>
      </c>
      <c r="K1171" s="216" t="s">
        <v>54</v>
      </c>
      <c r="L1171" s="216" t="s">
        <v>55</v>
      </c>
      <c r="M1171" s="219">
        <v>448</v>
      </c>
      <c r="N1171" s="219"/>
      <c r="O1171" s="1154" t="s">
        <v>2328</v>
      </c>
      <c r="P1171" s="1154">
        <v>36</v>
      </c>
      <c r="Q1171" s="1154">
        <v>48</v>
      </c>
      <c r="R1171" s="216">
        <v>36</v>
      </c>
      <c r="S1171" s="626">
        <v>48</v>
      </c>
      <c r="T1171" s="626">
        <f>Table1[[#This Row],[VO Wdth]]</f>
        <v>36</v>
      </c>
      <c r="U1171" s="626">
        <f>Table1[[#This Row],[VO Hgt]]</f>
        <v>48</v>
      </c>
      <c r="V1171" s="222">
        <f t="shared" ref="V1171:V1177" si="421">IF(J1171="Canvas",P1171+BorderGW,P1171)</f>
        <v>44</v>
      </c>
      <c r="W1171" s="222">
        <f t="shared" ref="W1171:W1177" si="422">IF(J1171="Canvas",Q1171+BorderGW,Q1171)</f>
        <v>56</v>
      </c>
      <c r="X1171" s="1114">
        <v>59</v>
      </c>
      <c r="Y1171" s="1154"/>
      <c r="Z1171" s="1154"/>
      <c r="AA1171" s="718">
        <f t="shared" si="415"/>
        <v>17.111111111111111</v>
      </c>
      <c r="AB1171" s="233">
        <f t="shared" si="416"/>
        <v>360.01777777777778</v>
      </c>
      <c r="AC1171" s="225">
        <f t="shared" si="417"/>
        <v>11.293333333333333</v>
      </c>
      <c r="AD1171" s="207">
        <f t="shared" si="418"/>
        <v>28.801422222222222</v>
      </c>
      <c r="AE1171" s="104">
        <f>IF(Table1[[#This Row],[Work Center]]="SwissQ",Materials!G$37,IF(Table1[[#This Row],[Work Center]]="Inca",Materials!G$29,IF(Table1[[#This Row],[Work Center]]="Canon",Materials!G$49,Materials!G$45)))</f>
        <v>8</v>
      </c>
      <c r="AF1171" s="226"/>
      <c r="AG1171" s="115"/>
      <c r="AH1171" s="498">
        <f t="shared" si="411"/>
        <v>22.400000000000002</v>
      </c>
      <c r="AI1171" s="498"/>
      <c r="AJ1171" s="225">
        <f t="shared" si="412"/>
        <v>70.494755555555557</v>
      </c>
      <c r="AK1171" s="650">
        <f t="shared" si="413"/>
        <v>0.84264563492063493</v>
      </c>
      <c r="AL1171" s="225">
        <f>Table1[[#This Row],[WSP/Dealer]]/Table1[[#This Row],[OD Sq Inch]]</f>
        <v>0.25925925925925924</v>
      </c>
      <c r="AM1171" s="218">
        <f>Table1[[#This Row],[OD Wdth]]*Table1[[#This Row],[OD Hgt]]</f>
        <v>1728</v>
      </c>
      <c r="AN1171" s="216">
        <f>Table1[[#This Row],[Min VO]]+Table1[[#This Row],[Max VO]]</f>
        <v>84</v>
      </c>
      <c r="AO1171" s="216"/>
      <c r="AP1171" s="216"/>
      <c r="AQ1171" s="225"/>
      <c r="AR1171" s="225"/>
      <c r="AS1171" s="225"/>
      <c r="AT1171" s="225"/>
      <c r="AU1171" s="1363" t="str">
        <f t="shared" si="414"/>
        <v>-</v>
      </c>
    </row>
    <row r="1172" spans="1:47" s="170" customFormat="1" x14ac:dyDescent="0.2">
      <c r="A1172" s="86" t="s">
        <v>58</v>
      </c>
      <c r="B1172" s="1061" t="s">
        <v>146</v>
      </c>
      <c r="C1172" s="1724" t="s">
        <v>2889</v>
      </c>
      <c r="D1172" s="94" t="s">
        <v>2890</v>
      </c>
      <c r="E1172" s="85" t="s">
        <v>2891</v>
      </c>
      <c r="F1172" s="85" t="s">
        <v>92</v>
      </c>
      <c r="G1172" s="86" t="s">
        <v>132</v>
      </c>
      <c r="H1172" s="86" t="s">
        <v>132</v>
      </c>
      <c r="I1172" s="86" t="s">
        <v>52</v>
      </c>
      <c r="J1172" s="86" t="s">
        <v>53</v>
      </c>
      <c r="K1172" s="86" t="s">
        <v>54</v>
      </c>
      <c r="L1172" s="86" t="s">
        <v>55</v>
      </c>
      <c r="M1172" s="87">
        <v>650</v>
      </c>
      <c r="N1172" s="639">
        <v>720</v>
      </c>
      <c r="O1172" s="655" t="s">
        <v>2328</v>
      </c>
      <c r="P1172" s="655">
        <v>36</v>
      </c>
      <c r="Q1172" s="655">
        <v>48</v>
      </c>
      <c r="R1172" s="60">
        <v>36</v>
      </c>
      <c r="S1172" s="273">
        <v>48</v>
      </c>
      <c r="T1172" s="273">
        <f>Table1[[#This Row],[VO Wdth]]</f>
        <v>36</v>
      </c>
      <c r="U1172" s="273">
        <f>Table1[[#This Row],[VO Hgt]]</f>
        <v>48</v>
      </c>
      <c r="V1172" s="47">
        <f t="shared" si="421"/>
        <v>44</v>
      </c>
      <c r="W1172" s="47">
        <f t="shared" si="422"/>
        <v>56</v>
      </c>
      <c r="X1172" s="557">
        <v>59</v>
      </c>
      <c r="Y1172" s="655"/>
      <c r="Z1172" s="655"/>
      <c r="AA1172" s="717">
        <f t="shared" si="415"/>
        <v>17.111111111111111</v>
      </c>
      <c r="AB1172" s="125">
        <f t="shared" si="416"/>
        <v>360.01777777777778</v>
      </c>
      <c r="AC1172" s="69">
        <f t="shared" si="417"/>
        <v>11.293333333333333</v>
      </c>
      <c r="AD1172" s="48">
        <f t="shared" si="418"/>
        <v>28.801422222222222</v>
      </c>
      <c r="AE1172" s="104">
        <f>IF(Table1[[#This Row],[Work Center]]="SwissQ",Materials!G$37,IF(Table1[[#This Row],[Work Center]]="Inca",Materials!G$29,IF(Table1[[#This Row],[Work Center]]="Canon",Materials!G$49,Materials!G$45)))</f>
        <v>8</v>
      </c>
      <c r="AF1172" s="72">
        <f>'Cali FPS'!C$71</f>
        <v>114.31</v>
      </c>
      <c r="AG1172" s="115"/>
      <c r="AH1172" s="112">
        <f t="shared" si="411"/>
        <v>32.5</v>
      </c>
      <c r="AI1172" s="112"/>
      <c r="AJ1172" s="69">
        <f t="shared" si="412"/>
        <v>194.90475555555554</v>
      </c>
      <c r="AK1172" s="62">
        <f t="shared" si="413"/>
        <v>0.70014652991452997</v>
      </c>
      <c r="AL1172" s="225">
        <f>Table1[[#This Row],[WSP/Dealer]]/Table1[[#This Row],[OD Sq Inch]]</f>
        <v>0.37615740740740738</v>
      </c>
      <c r="AM1172" s="218">
        <f>Table1[[#This Row],[OD Wdth]]*Table1[[#This Row],[OD Hgt]]</f>
        <v>1728</v>
      </c>
      <c r="AN1172" s="216">
        <f>Table1[[#This Row],[Min VO]]+Table1[[#This Row],[Max VO]]</f>
        <v>84</v>
      </c>
      <c r="AO1172" s="101"/>
      <c r="AP1172" s="101"/>
      <c r="AQ1172" s="104"/>
      <c r="AR1172" s="104"/>
      <c r="AS1172" s="104"/>
      <c r="AT1172" s="104"/>
      <c r="AU1172" s="830" t="str">
        <f t="shared" si="414"/>
        <v>-</v>
      </c>
    </row>
    <row r="1173" spans="1:47" s="103" customFormat="1" x14ac:dyDescent="0.2">
      <c r="A1173" s="86" t="s">
        <v>58</v>
      </c>
      <c r="B1173" s="1061" t="s">
        <v>146</v>
      </c>
      <c r="C1173" s="1724" t="s">
        <v>2892</v>
      </c>
      <c r="D1173" s="94" t="s">
        <v>2893</v>
      </c>
      <c r="E1173" s="85" t="s">
        <v>2891</v>
      </c>
      <c r="F1173" s="85" t="s">
        <v>92</v>
      </c>
      <c r="G1173" s="86" t="s">
        <v>132</v>
      </c>
      <c r="H1173" s="86" t="s">
        <v>133</v>
      </c>
      <c r="I1173" s="86" t="s">
        <v>52</v>
      </c>
      <c r="J1173" s="86" t="s">
        <v>53</v>
      </c>
      <c r="K1173" s="86" t="s">
        <v>69</v>
      </c>
      <c r="L1173" s="86" t="s">
        <v>73</v>
      </c>
      <c r="M1173" s="87">
        <f>650+130</f>
        <v>780</v>
      </c>
      <c r="N1173" s="639">
        <v>825</v>
      </c>
      <c r="O1173" s="655" t="s">
        <v>2328</v>
      </c>
      <c r="P1173" s="655">
        <v>36</v>
      </c>
      <c r="Q1173" s="655">
        <v>48</v>
      </c>
      <c r="R1173" s="60">
        <v>36</v>
      </c>
      <c r="S1173" s="273">
        <v>48</v>
      </c>
      <c r="T1173" s="60">
        <v>37</v>
      </c>
      <c r="U1173" s="273" t="str">
        <f>RIGHT(Table1[[#This Row],[OD]],2)</f>
        <v>49</v>
      </c>
      <c r="V1173" s="47">
        <f t="shared" si="421"/>
        <v>44</v>
      </c>
      <c r="W1173" s="47">
        <f t="shared" si="422"/>
        <v>56</v>
      </c>
      <c r="X1173" s="557">
        <v>59</v>
      </c>
      <c r="Y1173" s="655"/>
      <c r="Z1173" s="655"/>
      <c r="AA1173" s="717">
        <f t="shared" si="415"/>
        <v>17.111111111111111</v>
      </c>
      <c r="AB1173" s="125">
        <f t="shared" si="416"/>
        <v>360.01777777777778</v>
      </c>
      <c r="AC1173" s="69">
        <f t="shared" si="417"/>
        <v>11.293333333333333</v>
      </c>
      <c r="AD1173" s="48">
        <f t="shared" si="418"/>
        <v>28.801422222222222</v>
      </c>
      <c r="AE1173" s="104">
        <f>IF(Table1[[#This Row],[Work Center]]="SwissQ",Materials!G$37,IF(Table1[[#This Row],[Work Center]]="Inca",Materials!G$29,IF(Table1[[#This Row],[Work Center]]="Canon",Materials!G$49,Materials!G$45)))</f>
        <v>8</v>
      </c>
      <c r="AF1173" s="69"/>
      <c r="AG1173" s="115"/>
      <c r="AH1173" s="112">
        <f t="shared" si="411"/>
        <v>39</v>
      </c>
      <c r="AI1173" s="112"/>
      <c r="AJ1173" s="69">
        <f t="shared" si="412"/>
        <v>87.094755555555551</v>
      </c>
      <c r="AK1173" s="62">
        <f t="shared" si="413"/>
        <v>0.88834005698005691</v>
      </c>
      <c r="AL1173" s="225">
        <f>Table1[[#This Row],[WSP/Dealer]]/Table1[[#This Row],[OD Sq Inch]]</f>
        <v>0.43022614451185881</v>
      </c>
      <c r="AM1173" s="218">
        <f>Table1[[#This Row],[OD Wdth]]*Table1[[#This Row],[OD Hgt]]</f>
        <v>1813</v>
      </c>
      <c r="AN1173" s="216">
        <f>Table1[[#This Row],[Min VO]]+Table1[[#This Row],[Max VO]]</f>
        <v>84</v>
      </c>
      <c r="AO1173" s="101"/>
      <c r="AP1173" s="101"/>
      <c r="AQ1173" s="104"/>
      <c r="AR1173" s="104"/>
      <c r="AS1173" s="104"/>
      <c r="AT1173" s="104"/>
      <c r="AU1173" s="830" t="str">
        <f t="shared" si="414"/>
        <v>-</v>
      </c>
    </row>
    <row r="1174" spans="1:47" s="103" customFormat="1" x14ac:dyDescent="0.2">
      <c r="A1174" s="86" t="s">
        <v>58</v>
      </c>
      <c r="B1174" s="1061" t="s">
        <v>146</v>
      </c>
      <c r="C1174" s="654" t="s">
        <v>2894</v>
      </c>
      <c r="D1174" s="94" t="s">
        <v>2895</v>
      </c>
      <c r="E1174" s="85" t="s">
        <v>2891</v>
      </c>
      <c r="F1174" s="85" t="s">
        <v>92</v>
      </c>
      <c r="G1174" s="86" t="s">
        <v>132</v>
      </c>
      <c r="H1174" s="86" t="s">
        <v>264</v>
      </c>
      <c r="I1174" s="86" t="s">
        <v>52</v>
      </c>
      <c r="J1174" s="86" t="s">
        <v>53</v>
      </c>
      <c r="K1174" s="86" t="s">
        <v>82</v>
      </c>
      <c r="L1174" s="86" t="s">
        <v>83</v>
      </c>
      <c r="M1174" s="87">
        <v>710</v>
      </c>
      <c r="N1174" s="639">
        <v>780</v>
      </c>
      <c r="O1174" s="655" t="s">
        <v>2328</v>
      </c>
      <c r="P1174" s="655">
        <v>36</v>
      </c>
      <c r="Q1174" s="655">
        <v>48</v>
      </c>
      <c r="R1174" s="60">
        <v>36</v>
      </c>
      <c r="S1174" s="273">
        <v>48</v>
      </c>
      <c r="T1174" s="60">
        <v>38</v>
      </c>
      <c r="U1174" s="273" t="str">
        <f>RIGHT(Table1[[#This Row],[OD]],2)</f>
        <v>50</v>
      </c>
      <c r="V1174" s="47">
        <f t="shared" si="421"/>
        <v>44</v>
      </c>
      <c r="W1174" s="47">
        <f t="shared" si="422"/>
        <v>56</v>
      </c>
      <c r="X1174" s="557">
        <v>59</v>
      </c>
      <c r="Y1174" s="655"/>
      <c r="Z1174" s="655"/>
      <c r="AA1174" s="717">
        <f t="shared" si="415"/>
        <v>17.111111111111111</v>
      </c>
      <c r="AB1174" s="125">
        <f t="shared" si="416"/>
        <v>360.01777777777778</v>
      </c>
      <c r="AC1174" s="69">
        <f t="shared" si="417"/>
        <v>11.293333333333333</v>
      </c>
      <c r="AD1174" s="48">
        <f t="shared" si="418"/>
        <v>28.801422222222222</v>
      </c>
      <c r="AE1174" s="104">
        <f>IF(Table1[[#This Row],[Work Center]]="SwissQ",Materials!G$37,IF(Table1[[#This Row],[Work Center]]="Inca",Materials!G$29,IF(Table1[[#This Row],[Work Center]]="Canon",Materials!G$49,Materials!G$45)))</f>
        <v>8</v>
      </c>
      <c r="AF1174" s="69"/>
      <c r="AG1174" s="115"/>
      <c r="AH1174" s="498">
        <f t="shared" si="411"/>
        <v>35.5</v>
      </c>
      <c r="AI1174" s="498"/>
      <c r="AJ1174" s="69">
        <f t="shared" si="412"/>
        <v>83.594755555555551</v>
      </c>
      <c r="AK1174" s="650">
        <f t="shared" si="413"/>
        <v>0.88226090766823151</v>
      </c>
      <c r="AL1174" s="225">
        <f>Table1[[#This Row],[WSP/Dealer]]/Table1[[#This Row],[OD Sq Inch]]</f>
        <v>0.37368421052631579</v>
      </c>
      <c r="AM1174" s="103">
        <f>Table1[[#This Row],[OD Wdth]]*Table1[[#This Row],[OD Hgt]]</f>
        <v>1900</v>
      </c>
      <c r="AN1174" s="216">
        <f>Table1[[#This Row],[Min VO]]+Table1[[#This Row],[Max VO]]</f>
        <v>84</v>
      </c>
      <c r="AO1174" s="101"/>
      <c r="AP1174" s="101"/>
      <c r="AQ1174" s="104"/>
      <c r="AR1174" s="104"/>
      <c r="AS1174" s="104"/>
      <c r="AT1174" s="104"/>
      <c r="AU1174" s="830" t="str">
        <f t="shared" si="414"/>
        <v>-</v>
      </c>
    </row>
    <row r="1175" spans="1:47" s="103" customFormat="1" x14ac:dyDescent="0.2">
      <c r="A1175" s="86" t="s">
        <v>58</v>
      </c>
      <c r="B1175" s="279" t="s">
        <v>873</v>
      </c>
      <c r="C1175" s="76" t="s">
        <v>2896</v>
      </c>
      <c r="D1175" s="94" t="s">
        <v>2897</v>
      </c>
      <c r="E1175" s="85" t="s">
        <v>2898</v>
      </c>
      <c r="F1175" s="85" t="s">
        <v>99</v>
      </c>
      <c r="G1175" s="86" t="s">
        <v>1867</v>
      </c>
      <c r="H1175" s="86" t="s">
        <v>1867</v>
      </c>
      <c r="I1175" s="86" t="s">
        <v>52</v>
      </c>
      <c r="J1175" s="86" t="s">
        <v>53</v>
      </c>
      <c r="K1175" s="86" t="s">
        <v>54</v>
      </c>
      <c r="L1175" s="86" t="s">
        <v>55</v>
      </c>
      <c r="M1175" s="87">
        <v>700</v>
      </c>
      <c r="N1175" s="639">
        <v>815</v>
      </c>
      <c r="O1175" s="60" t="s">
        <v>56</v>
      </c>
      <c r="P1175" s="60">
        <v>40</v>
      </c>
      <c r="Q1175" s="60">
        <v>50</v>
      </c>
      <c r="R1175" s="60">
        <v>40</v>
      </c>
      <c r="S1175" s="273">
        <v>50</v>
      </c>
      <c r="T1175" s="273">
        <f>Table1[[#This Row],[VO Wdth]]</f>
        <v>40</v>
      </c>
      <c r="U1175" s="273">
        <f>Table1[[#This Row],[VO Hgt]]</f>
        <v>50</v>
      </c>
      <c r="V1175" s="946">
        <f t="shared" si="421"/>
        <v>48</v>
      </c>
      <c r="W1175" s="946">
        <f t="shared" si="422"/>
        <v>58</v>
      </c>
      <c r="X1175" s="138">
        <v>59</v>
      </c>
      <c r="Y1175" s="60"/>
      <c r="Z1175" s="60"/>
      <c r="AA1175" s="717">
        <f t="shared" si="415"/>
        <v>19.333333333333332</v>
      </c>
      <c r="AB1175" s="125">
        <f t="shared" si="416"/>
        <v>406.77333333333331</v>
      </c>
      <c r="AC1175" s="69">
        <f t="shared" si="417"/>
        <v>12.76</v>
      </c>
      <c r="AD1175" s="48">
        <f t="shared" si="418"/>
        <v>32.541866666666664</v>
      </c>
      <c r="AE1175" s="104">
        <f>IF(Table1[[#This Row],[Work Center]]="SwissQ",Materials!G$37,IF(Table1[[#This Row],[Work Center]]="Inca",Materials!G$29,IF(Table1[[#This Row],[Work Center]]="Canon",Materials!G$49,Materials!G$45)))</f>
        <v>8</v>
      </c>
      <c r="AF1175" s="69">
        <f>'Cali FPS'!C$48</f>
        <v>76.3</v>
      </c>
      <c r="AG1175" s="115"/>
      <c r="AH1175" s="498">
        <f t="shared" si="411"/>
        <v>35</v>
      </c>
      <c r="AI1175" s="498"/>
      <c r="AJ1175" s="69">
        <f t="shared" si="412"/>
        <v>164.60186666666667</v>
      </c>
      <c r="AK1175" s="650">
        <f t="shared" si="413"/>
        <v>0.7648544761904762</v>
      </c>
      <c r="AL1175" s="225">
        <f>Table1[[#This Row],[WSP/Dealer]]/Table1[[#This Row],[OD Sq Inch]]</f>
        <v>0.35</v>
      </c>
      <c r="AM1175" s="46">
        <f>Table1[[#This Row],[OD Wdth]]*Table1[[#This Row],[OD Hgt]]</f>
        <v>2000</v>
      </c>
      <c r="AN1175" s="216">
        <f>Table1[[#This Row],[Min VO]]+Table1[[#This Row],[Max VO]]</f>
        <v>90</v>
      </c>
      <c r="AO1175" s="101"/>
      <c r="AP1175" s="101"/>
      <c r="AQ1175" s="104"/>
      <c r="AR1175" s="104"/>
      <c r="AS1175" s="104"/>
      <c r="AT1175" s="104"/>
      <c r="AU1175" s="830" t="str">
        <f t="shared" si="414"/>
        <v>-</v>
      </c>
    </row>
    <row r="1176" spans="1:47" s="117" customFormat="1" hidden="1" x14ac:dyDescent="0.2">
      <c r="A1176" s="216" t="s">
        <v>272</v>
      </c>
      <c r="B1176" s="279" t="s">
        <v>595</v>
      </c>
      <c r="C1176" s="232" t="s">
        <v>2899</v>
      </c>
      <c r="D1176" s="94" t="s">
        <v>2900</v>
      </c>
      <c r="E1176" s="217" t="s">
        <v>2901</v>
      </c>
      <c r="F1176" s="217" t="s">
        <v>99</v>
      </c>
      <c r="G1176" s="216" t="s">
        <v>51</v>
      </c>
      <c r="H1176" s="216" t="s">
        <v>51</v>
      </c>
      <c r="I1176" s="216" t="s">
        <v>52</v>
      </c>
      <c r="J1176" s="216" t="s">
        <v>53</v>
      </c>
      <c r="K1176" s="216" t="s">
        <v>54</v>
      </c>
      <c r="L1176" s="216" t="s">
        <v>55</v>
      </c>
      <c r="M1176" s="219">
        <v>290</v>
      </c>
      <c r="N1176" s="785">
        <f>Table1[[#This Row],[WSP/Dealer]]/0.35</f>
        <v>828.57142857142867</v>
      </c>
      <c r="O1176" s="216" t="s">
        <v>56</v>
      </c>
      <c r="P1176" s="216">
        <v>30</v>
      </c>
      <c r="Q1176" s="216">
        <v>40</v>
      </c>
      <c r="R1176" s="216">
        <v>30</v>
      </c>
      <c r="S1176" s="626">
        <v>40</v>
      </c>
      <c r="T1176" s="626">
        <f>Table1[[#This Row],[VO Wdth]]</f>
        <v>30</v>
      </c>
      <c r="U1176" s="626">
        <f>Table1[[#This Row],[VO Hgt]]</f>
        <v>40</v>
      </c>
      <c r="V1176" s="907">
        <f t="shared" si="421"/>
        <v>38</v>
      </c>
      <c r="W1176" s="907">
        <f t="shared" si="422"/>
        <v>48</v>
      </c>
      <c r="X1176" s="223" t="s">
        <v>57</v>
      </c>
      <c r="Y1176" s="216">
        <v>38</v>
      </c>
      <c r="Z1176" s="216">
        <v>96</v>
      </c>
      <c r="AA1176" s="718">
        <f t="shared" si="415"/>
        <v>12.666666666666666</v>
      </c>
      <c r="AB1176" s="233">
        <f t="shared" si="416"/>
        <v>266.50666666666666</v>
      </c>
      <c r="AC1176" s="225">
        <f t="shared" si="417"/>
        <v>8.36</v>
      </c>
      <c r="AD1176" s="207">
        <f t="shared" si="418"/>
        <v>21.320533333333334</v>
      </c>
      <c r="AE1176" s="104">
        <f>IF(Table1[[#This Row],[Work Center]]="SwissQ",Materials!G$37,IF(Table1[[#This Row],[Work Center]]="Inca",Materials!G$29,IF(Table1[[#This Row],[Work Center]]="Canon",Materials!G$49,Materials!G$45)))</f>
        <v>8</v>
      </c>
      <c r="AF1176" s="225">
        <f>'Cali FPS'!C48</f>
        <v>76.3</v>
      </c>
      <c r="AG1176" s="115"/>
      <c r="AH1176" s="498">
        <f t="shared" si="411"/>
        <v>14.5</v>
      </c>
      <c r="AI1176" s="498"/>
      <c r="AJ1176" s="225">
        <f t="shared" si="412"/>
        <v>128.48053333333331</v>
      </c>
      <c r="AK1176" s="650">
        <f t="shared" si="413"/>
        <v>0.55696367816091963</v>
      </c>
      <c r="AL1176" s="225">
        <f>Table1[[#This Row],[WSP/Dealer]]/Table1[[#This Row],[OD Sq Inch]]</f>
        <v>0.24166666666666667</v>
      </c>
      <c r="AM1176" s="46">
        <f>Table1[[#This Row],[OD Wdth]]*Table1[[#This Row],[OD Hgt]]</f>
        <v>1200</v>
      </c>
      <c r="AN1176" s="216">
        <f>Table1[[#This Row],[Min VO]]+Table1[[#This Row],[Max VO]]</f>
        <v>70</v>
      </c>
      <c r="AO1176" s="216"/>
      <c r="AP1176" s="216"/>
      <c r="AQ1176" s="225"/>
      <c r="AR1176" s="225"/>
      <c r="AS1176" s="225"/>
      <c r="AT1176" s="225"/>
      <c r="AU1176" s="1363" t="str">
        <f t="shared" si="414"/>
        <v>-</v>
      </c>
    </row>
    <row r="1177" spans="1:47" s="117" customFormat="1" hidden="1" x14ac:dyDescent="0.2">
      <c r="A1177" s="1064" t="s">
        <v>110</v>
      </c>
      <c r="B1177" s="1064" t="s">
        <v>250</v>
      </c>
      <c r="C1177" s="100" t="s">
        <v>2902</v>
      </c>
      <c r="D1177" s="168"/>
      <c r="E1177" s="1453" t="s">
        <v>2903</v>
      </c>
      <c r="F1177" s="115" t="s">
        <v>105</v>
      </c>
      <c r="G1177" s="101" t="s">
        <v>643</v>
      </c>
      <c r="H1177" s="101" t="s">
        <v>810</v>
      </c>
      <c r="I1177" s="101" t="s">
        <v>256</v>
      </c>
      <c r="J1177" s="487" t="s">
        <v>257</v>
      </c>
      <c r="K1177" s="101" t="s">
        <v>258</v>
      </c>
      <c r="L1177" s="101" t="s">
        <v>259</v>
      </c>
      <c r="M1177" s="114">
        <v>300</v>
      </c>
      <c r="N1177" s="114"/>
      <c r="O1177" s="101" t="s">
        <v>260</v>
      </c>
      <c r="P1177" s="101">
        <v>20</v>
      </c>
      <c r="Q1177" s="101">
        <v>16</v>
      </c>
      <c r="R1177" s="101">
        <v>16</v>
      </c>
      <c r="S1177" s="697">
        <v>20</v>
      </c>
      <c r="T1177" s="697">
        <v>22</v>
      </c>
      <c r="U1177" s="697">
        <v>18</v>
      </c>
      <c r="V1177" s="1353">
        <f t="shared" si="421"/>
        <v>20</v>
      </c>
      <c r="W1177" s="1353">
        <f t="shared" si="422"/>
        <v>16</v>
      </c>
      <c r="X1177" s="101">
        <v>44</v>
      </c>
      <c r="Y1177" s="101">
        <v>22</v>
      </c>
      <c r="Z1177" s="101">
        <v>18</v>
      </c>
      <c r="AA1177" s="1011">
        <f>(Table1[[#This Row],[Cut Width]]*Table1[[#This Row],[Cut Height]])/144</f>
        <v>2.75</v>
      </c>
      <c r="AB1177" s="184">
        <f>(Table1[[#This Row],[Print Wth]]*Table1[[#This Row],[Print Ht]])/144*canonML</f>
        <v>10.666666666666666</v>
      </c>
      <c r="AC1177" s="104">
        <f>Table1[[#This Row],[Substrate SF]]*Paper</f>
        <v>3.7207499999999998</v>
      </c>
      <c r="AD1177" s="107">
        <f>(Table1[[#This Row],[Print Wth]]*Table1[[#This Row],[Print Ht]])/144*CanonC</f>
        <v>0.60000000000000009</v>
      </c>
      <c r="AE1177" s="104">
        <f>IF(Table1[[#This Row],[Work Center]]="SwissQ",Materials!G$37,IF(Table1[[#This Row],[Work Center]]="Inca",Materials!G$29,IF(Table1[[#This Row],[Work Center]]="Canon",Materials!G$49,Materials!G$45)))</f>
        <v>7</v>
      </c>
      <c r="AF1177" s="102">
        <f>'Cali Frames'!D22</f>
        <v>82.44</v>
      </c>
      <c r="AG1177" s="115"/>
      <c r="AH1177" s="104">
        <f t="shared" si="411"/>
        <v>15</v>
      </c>
      <c r="AI1177" s="406">
        <f>IF(A1177="Codarus",(M1177*0.13))</f>
        <v>39</v>
      </c>
      <c r="AJ1177" s="660">
        <f t="shared" si="412"/>
        <v>108.76075</v>
      </c>
      <c r="AK1177" s="830">
        <f t="shared" si="413"/>
        <v>0.63746416666666661</v>
      </c>
      <c r="AL1177" s="660">
        <f>Table1[[#This Row],[WSP/Dealer]]/Table1[[#This Row],[OD Sq Inch]]</f>
        <v>0.75757575757575757</v>
      </c>
      <c r="AM1177" s="101">
        <f>Table1[[#This Row],[OD Wdth]]*Table1[[#This Row],[OD Hgt]]</f>
        <v>396</v>
      </c>
      <c r="AN1177" s="266">
        <f>Table1[[#This Row],[Min VO]]+Table1[[#This Row],[Max VO]]</f>
        <v>36</v>
      </c>
      <c r="AO1177" s="115"/>
      <c r="AP1177" s="408">
        <v>600</v>
      </c>
      <c r="AQ1177" s="121">
        <f>(Table1[[#This Row],[Desgnr/Retail P]]*0.05)</f>
        <v>30</v>
      </c>
      <c r="AR1177" s="121">
        <f>IF(A1177="Codarus",(AP1177*0.13))</f>
        <v>78</v>
      </c>
      <c r="AS1177" s="121">
        <f>SUM(Table1[[#This Row],[Substrate $]:[GP FINISH]])+Table1[[#This Row],[Retail Royalty]]+Table1[[#This Row],[Retail$Comm]]</f>
        <v>201.76075</v>
      </c>
      <c r="AT1177" s="830">
        <f>IF(AP1177=0,"-",(AP1177-AS1177)/AP1177)</f>
        <v>0.66373208333333333</v>
      </c>
      <c r="AU1177" s="1359">
        <f t="shared" si="414"/>
        <v>0.97787559722222228</v>
      </c>
    </row>
    <row r="1178" spans="1:47" s="884" customFormat="1" hidden="1" x14ac:dyDescent="0.2">
      <c r="A1178" s="551" t="s">
        <v>140</v>
      </c>
      <c r="B1178" s="279" t="s">
        <v>141</v>
      </c>
      <c r="C1178" s="805" t="s">
        <v>2904</v>
      </c>
      <c r="D1178" s="94"/>
      <c r="E1178" s="653" t="s">
        <v>2905</v>
      </c>
      <c r="F1178" s="653" t="s">
        <v>144</v>
      </c>
      <c r="G1178" s="551" t="s">
        <v>1096</v>
      </c>
      <c r="H1178" s="551" t="s">
        <v>2813</v>
      </c>
      <c r="I1178" s="551" t="s">
        <v>52</v>
      </c>
      <c r="J1178" s="856" t="s">
        <v>53</v>
      </c>
      <c r="K1178" s="551" t="s">
        <v>82</v>
      </c>
      <c r="L1178" s="551" t="s">
        <v>83</v>
      </c>
      <c r="M1178" s="857">
        <v>630</v>
      </c>
      <c r="N1178" s="858">
        <f>Table1[[#This Row],[WSP/Dealer]]/0.35</f>
        <v>1800.0000000000002</v>
      </c>
      <c r="O1178" s="551" t="s">
        <v>64</v>
      </c>
      <c r="P1178" s="551">
        <v>32</v>
      </c>
      <c r="Q1178" s="551">
        <v>36</v>
      </c>
      <c r="R1178" s="551">
        <v>32</v>
      </c>
      <c r="S1178" s="984">
        <v>36</v>
      </c>
      <c r="T1178" s="551">
        <v>33</v>
      </c>
      <c r="U1178" s="551">
        <v>37</v>
      </c>
      <c r="V1178" s="881">
        <f t="shared" ref="V1178:V1186" si="423">IF(J1178="Canvas",P1178+Border,P1178)</f>
        <v>40</v>
      </c>
      <c r="W1178" s="881">
        <f t="shared" ref="W1178:W1186" si="424">IF(J1178="Canvas",Q1178+Border,Q1178)</f>
        <v>44</v>
      </c>
      <c r="X1178" s="311">
        <v>40</v>
      </c>
      <c r="Y1178" s="551">
        <v>40</v>
      </c>
      <c r="Z1178" s="551">
        <v>44</v>
      </c>
      <c r="AA1178" s="860">
        <f t="shared" ref="AA1178:AA1203" si="425">V1178*W1178/144</f>
        <v>12.222222222222221</v>
      </c>
      <c r="AB1178" s="861">
        <f>AA1178*Swiss1</f>
        <v>345.88888888888886</v>
      </c>
      <c r="AC1178" s="863">
        <f>AA1178*Canvas</f>
        <v>8.0666666666666664</v>
      </c>
      <c r="AD1178" s="863">
        <f>Table1[[#This Row],[Substrate SF]]*SWISSC1</f>
        <v>34.222222222222214</v>
      </c>
      <c r="AE1178" s="863">
        <f>IF(Table1[[#This Row],[Work Center]]="SwissQ",Materials!G$37,IF(Table1[[#This Row],[Work Center]]="Inca",Materials!G$29,IF(Table1[[#This Row],[Work Center]]="Canon",Materials!G$49,Materials!G$45)))</f>
        <v>20</v>
      </c>
      <c r="AF1178" s="71">
        <f>'Cali Frames'!D130</f>
        <v>111.685</v>
      </c>
      <c r="AG1178" s="653"/>
      <c r="AH1178" s="867">
        <f t="shared" si="411"/>
        <v>31.5</v>
      </c>
      <c r="AI1178" s="867"/>
      <c r="AJ1178" s="867">
        <f t="shared" si="412"/>
        <v>205.47388888888889</v>
      </c>
      <c r="AK1178" s="1087">
        <f t="shared" si="413"/>
        <v>0.67385097001763672</v>
      </c>
      <c r="AL1178" s="867">
        <f>Table1[[#This Row],[WSP/Dealer]]/Table1[[#This Row],[OD Sq Inch]]</f>
        <v>0.51597051597051602</v>
      </c>
      <c r="AM1178" s="869">
        <f>Table1[[#This Row],[OD Wdth]]*Table1[[#This Row],[OD Hgt]]</f>
        <v>1221</v>
      </c>
      <c r="AN1178" s="869">
        <f>Table1[[#This Row],[Min VO]]+Table1[[#This Row],[Max VO]]</f>
        <v>68</v>
      </c>
      <c r="AO1178" s="653"/>
      <c r="AP1178" s="653"/>
      <c r="AQ1178" s="864"/>
      <c r="AR1178" s="864"/>
      <c r="AS1178" s="864"/>
      <c r="AT1178" s="863"/>
      <c r="AU1178" s="1364" t="str">
        <f t="shared" si="414"/>
        <v>-</v>
      </c>
    </row>
    <row r="1179" spans="1:47" s="103" customFormat="1" hidden="1" x14ac:dyDescent="0.2">
      <c r="A1179" s="101" t="s">
        <v>110</v>
      </c>
      <c r="B1179" s="1322" t="s">
        <v>134</v>
      </c>
      <c r="C1179" s="100" t="s">
        <v>2906</v>
      </c>
      <c r="D1179" s="168"/>
      <c r="E1179" s="115" t="s">
        <v>2905</v>
      </c>
      <c r="F1179" s="115" t="s">
        <v>144</v>
      </c>
      <c r="G1179" s="101" t="s">
        <v>2817</v>
      </c>
      <c r="H1179" s="101" t="s">
        <v>2817</v>
      </c>
      <c r="I1179" s="101" t="s">
        <v>52</v>
      </c>
      <c r="J1179" s="487" t="s">
        <v>53</v>
      </c>
      <c r="K1179" s="101" t="s">
        <v>54</v>
      </c>
      <c r="L1179" s="101" t="s">
        <v>55</v>
      </c>
      <c r="M1179" s="114"/>
      <c r="N1179" s="114"/>
      <c r="O1179" s="101" t="s">
        <v>56</v>
      </c>
      <c r="P1179" s="101">
        <v>32</v>
      </c>
      <c r="Q1179" s="101">
        <v>36</v>
      </c>
      <c r="R1179" s="101">
        <v>32</v>
      </c>
      <c r="S1179" s="697">
        <v>36</v>
      </c>
      <c r="T1179" s="101">
        <v>32</v>
      </c>
      <c r="U1179" s="101">
        <v>36</v>
      </c>
      <c r="V1179" s="608">
        <f t="shared" si="423"/>
        <v>40</v>
      </c>
      <c r="W1179" s="608">
        <f t="shared" si="424"/>
        <v>44</v>
      </c>
      <c r="X1179" s="137">
        <v>53</v>
      </c>
      <c r="Y1179" s="101">
        <v>40</v>
      </c>
      <c r="Z1179" s="101">
        <v>44</v>
      </c>
      <c r="AA1179" s="649">
        <f t="shared" si="425"/>
        <v>12.222222222222221</v>
      </c>
      <c r="AB1179" s="184">
        <f>AA1179*IncaG</f>
        <v>257.15555555555551</v>
      </c>
      <c r="AC1179" s="104">
        <f>AA1179*Canvas</f>
        <v>8.0666666666666664</v>
      </c>
      <c r="AD1179" s="1000">
        <f>Table1[[#This Row],[Substrate SF]]*IncaC</f>
        <v>20.572444444444443</v>
      </c>
      <c r="AE1179" s="406">
        <f>IF(Table1[[#This Row],[Work Center]]="SwissQ",Materials!G$37,IF(Table1[[#This Row],[Work Center]]="Inca",Materials!G$29,IF(Table1[[#This Row],[Work Center]]="Canon",Materials!G$49,Materials!G$45)))</f>
        <v>8</v>
      </c>
      <c r="AF1179" s="102">
        <f>'Cali FPS'!C56</f>
        <v>77.37</v>
      </c>
      <c r="AG1179" s="115"/>
      <c r="AH1179" s="405">
        <f t="shared" si="411"/>
        <v>0</v>
      </c>
      <c r="AI1179" s="406">
        <f>IF(A1179="Codarus",(M1179*0.13))</f>
        <v>0</v>
      </c>
      <c r="AJ1179" s="104">
        <f>SUM(AC1179:AI1179)</f>
        <v>114.00911111111111</v>
      </c>
      <c r="AK1179" s="108" t="e">
        <f t="shared" si="413"/>
        <v>#DIV/0!</v>
      </c>
      <c r="AL1179" s="660">
        <f>Table1[[#This Row],[WSP/Dealer]]/Table1[[#This Row],[OD Sq Inch]]</f>
        <v>0</v>
      </c>
      <c r="AM1179" s="400">
        <f>Table1[[#This Row],[OD Wdth]]*Table1[[#This Row],[OD Hgt]]</f>
        <v>1152</v>
      </c>
      <c r="AN1179" s="400">
        <f>Table1[[#This Row],[Min VO]]+Table1[[#This Row],[Max VO]]</f>
        <v>68</v>
      </c>
      <c r="AO1179" s="115"/>
      <c r="AP1179" s="115"/>
      <c r="AQ1179" s="104">
        <f>(Table1[[#This Row],[Desgnr/Retail P]]*0.05)</f>
        <v>0</v>
      </c>
      <c r="AR1179" s="121">
        <f>IF(A1179="Codarus",(AP1179*0.13))</f>
        <v>0</v>
      </c>
      <c r="AS1179" s="121">
        <f>SUM(Table1[[#This Row],[Substrate $]:[GP FINISH]])+Table1[[#This Row],[Retail Royalty]]+Table1[[#This Row],[Retail$Comm]]</f>
        <v>114.00911111111111</v>
      </c>
      <c r="AT1179" s="830" t="str">
        <f>IF(AP1179=0,"-",(AP1179-AS1179)/AP1179)</f>
        <v>-</v>
      </c>
      <c r="AU1179" s="1359" t="str">
        <f t="shared" si="414"/>
        <v>-</v>
      </c>
    </row>
    <row r="1180" spans="1:47" s="63" customFormat="1" x14ac:dyDescent="0.2">
      <c r="A1180" s="86" t="s">
        <v>58</v>
      </c>
      <c r="B1180" s="279" t="s">
        <v>406</v>
      </c>
      <c r="C1180" s="100" t="s">
        <v>2907</v>
      </c>
      <c r="D1180" s="94" t="s">
        <v>2908</v>
      </c>
      <c r="E1180" s="85" t="s">
        <v>2905</v>
      </c>
      <c r="F1180" s="85" t="s">
        <v>144</v>
      </c>
      <c r="G1180" s="86" t="s">
        <v>1096</v>
      </c>
      <c r="H1180" s="86" t="s">
        <v>2813</v>
      </c>
      <c r="I1180" s="86" t="s">
        <v>52</v>
      </c>
      <c r="J1180" s="86" t="s">
        <v>280</v>
      </c>
      <c r="K1180" s="86" t="s">
        <v>69</v>
      </c>
      <c r="L1180" s="86" t="s">
        <v>70</v>
      </c>
      <c r="M1180" s="87">
        <v>621.5</v>
      </c>
      <c r="N1180" s="639">
        <v>630</v>
      </c>
      <c r="O1180" s="551" t="s">
        <v>56</v>
      </c>
      <c r="P1180" s="101">
        <v>32</v>
      </c>
      <c r="Q1180" s="101">
        <v>36</v>
      </c>
      <c r="R1180" s="60">
        <v>32</v>
      </c>
      <c r="S1180" s="273">
        <v>36</v>
      </c>
      <c r="T1180" s="101">
        <v>33</v>
      </c>
      <c r="U1180" s="101" t="str">
        <f>RIGHT(H1180,2)</f>
        <v>37</v>
      </c>
      <c r="V1180" s="608">
        <f t="shared" si="423"/>
        <v>32</v>
      </c>
      <c r="W1180" s="608">
        <f t="shared" si="424"/>
        <v>36</v>
      </c>
      <c r="X1180" s="137" t="s">
        <v>675</v>
      </c>
      <c r="Y1180" s="101"/>
      <c r="Z1180" s="101"/>
      <c r="AA1180" s="649">
        <f t="shared" si="425"/>
        <v>8</v>
      </c>
      <c r="AB1180" s="184">
        <f>AA1180*IncaG</f>
        <v>168.32</v>
      </c>
      <c r="AC1180" s="104">
        <f>PETG48/3</f>
        <v>16.22</v>
      </c>
      <c r="AD1180" s="104">
        <f>AA1180*IncaC</f>
        <v>13.4656</v>
      </c>
      <c r="AE1180" s="104">
        <f>IF(Table1[[#This Row],[Work Center]]="SwissQ",Materials!G$37,IF(Table1[[#This Row],[Work Center]]="Inca",Materials!G$29,IF(Table1[[#This Row],[Work Center]]="Canon",Materials!G$49,Materials!G$45)))</f>
        <v>8</v>
      </c>
      <c r="AF1180" s="104">
        <f>'Cali Frames'!D$292</f>
        <v>115.2375</v>
      </c>
      <c r="AG1180" s="115"/>
      <c r="AH1180" s="498">
        <f t="shared" si="411"/>
        <v>31.075000000000003</v>
      </c>
      <c r="AI1180" s="498"/>
      <c r="AJ1180" s="104">
        <f>SUM(AC1180:AH1180)</f>
        <v>183.99810000000002</v>
      </c>
      <c r="AK1180" s="650">
        <f t="shared" si="413"/>
        <v>0.70394513274336279</v>
      </c>
      <c r="AL1180" s="225">
        <f>Table1[[#This Row],[WSP/Dealer]]/Table1[[#This Row],[OD Sq Inch]]</f>
        <v>0.50900900900900903</v>
      </c>
      <c r="AM1180" s="216">
        <f>Table1[[#This Row],[OD Wdth]]*Table1[[#This Row],[OD Hgt]]</f>
        <v>1221</v>
      </c>
      <c r="AN1180" s="216">
        <f>Table1[[#This Row],[Min VO]]+Table1[[#This Row],[Max VO]]</f>
        <v>68</v>
      </c>
      <c r="AO1180" s="101"/>
      <c r="AP1180" s="101"/>
      <c r="AQ1180" s="104"/>
      <c r="AR1180" s="104"/>
      <c r="AS1180" s="104"/>
      <c r="AT1180" s="104"/>
      <c r="AU1180" s="830" t="str">
        <f t="shared" si="414"/>
        <v>-</v>
      </c>
    </row>
    <row r="1181" spans="1:47" s="103" customFormat="1" x14ac:dyDescent="0.2">
      <c r="A1181" s="86" t="s">
        <v>58</v>
      </c>
      <c r="B1181" s="279" t="s">
        <v>406</v>
      </c>
      <c r="C1181" s="76" t="s">
        <v>2909</v>
      </c>
      <c r="D1181" s="94" t="s">
        <v>2910</v>
      </c>
      <c r="E1181" s="85" t="s">
        <v>2905</v>
      </c>
      <c r="F1181" s="85" t="s">
        <v>144</v>
      </c>
      <c r="G1181" s="86" t="s">
        <v>2817</v>
      </c>
      <c r="H1181" s="86" t="s">
        <v>2813</v>
      </c>
      <c r="I1181" s="86" t="s">
        <v>52</v>
      </c>
      <c r="J1181" s="86" t="s">
        <v>53</v>
      </c>
      <c r="K1181" s="86" t="s">
        <v>69</v>
      </c>
      <c r="L1181" s="86" t="s">
        <v>70</v>
      </c>
      <c r="M1181" s="87">
        <v>621.5</v>
      </c>
      <c r="N1181" s="639">
        <v>630</v>
      </c>
      <c r="O1181" s="551" t="s">
        <v>56</v>
      </c>
      <c r="P1181" s="101">
        <v>32</v>
      </c>
      <c r="Q1181" s="101">
        <v>36</v>
      </c>
      <c r="R1181" s="60">
        <v>32</v>
      </c>
      <c r="S1181" s="273">
        <v>36</v>
      </c>
      <c r="T1181" s="101">
        <v>33</v>
      </c>
      <c r="U1181" s="101">
        <v>39</v>
      </c>
      <c r="V1181" s="608">
        <f t="shared" si="423"/>
        <v>40</v>
      </c>
      <c r="W1181" s="608">
        <f t="shared" si="424"/>
        <v>44</v>
      </c>
      <c r="X1181" s="157" t="s">
        <v>57</v>
      </c>
      <c r="Y1181" s="60">
        <v>40</v>
      </c>
      <c r="Z1181" s="60">
        <v>88</v>
      </c>
      <c r="AA1181" s="649">
        <f t="shared" si="425"/>
        <v>12.222222222222221</v>
      </c>
      <c r="AB1181" s="184">
        <f>AA1181*IncaG</f>
        <v>257.15555555555551</v>
      </c>
      <c r="AC1181" s="104">
        <f>AA1181*Canvas</f>
        <v>8.0666666666666664</v>
      </c>
      <c r="AD1181" s="104">
        <f>AA1181*IncaC</f>
        <v>20.572444444444443</v>
      </c>
      <c r="AE1181" s="104">
        <f>IF(Table1[[#This Row],[Work Center]]="SwissQ",Materials!G$37,IF(Table1[[#This Row],[Work Center]]="Inca",Materials!G$29,IF(Table1[[#This Row],[Work Center]]="Canon",Materials!G$49,Materials!G$45)))</f>
        <v>8</v>
      </c>
      <c r="AF1181" s="104">
        <f>'Cali Frames'!D$292</f>
        <v>115.2375</v>
      </c>
      <c r="AG1181" s="115"/>
      <c r="AH1181" s="498">
        <f t="shared" si="411"/>
        <v>31.075000000000003</v>
      </c>
      <c r="AI1181" s="498"/>
      <c r="AJ1181" s="104">
        <f>SUM(AC1181:AH1181)</f>
        <v>182.95161111111111</v>
      </c>
      <c r="AK1181" s="650">
        <f t="shared" si="413"/>
        <v>0.70562894431036027</v>
      </c>
      <c r="AL1181" s="225">
        <f>Table1[[#This Row],[WSP/Dealer]]/Table1[[#This Row],[OD Sq Inch]]</f>
        <v>0.48290598290598291</v>
      </c>
      <c r="AM1181" s="101">
        <f>Table1[[#This Row],[OD Wdth]]*Table1[[#This Row],[OD Hgt]]</f>
        <v>1287</v>
      </c>
      <c r="AN1181" s="216">
        <f>Table1[[#This Row],[Min VO]]+Table1[[#This Row],[Max VO]]</f>
        <v>68</v>
      </c>
      <c r="AO1181" s="101"/>
      <c r="AP1181" s="101"/>
      <c r="AQ1181" s="104"/>
      <c r="AR1181" s="104"/>
      <c r="AS1181" s="104"/>
      <c r="AT1181" s="104"/>
      <c r="AU1181" s="830" t="str">
        <f t="shared" si="414"/>
        <v>-</v>
      </c>
    </row>
    <row r="1182" spans="1:47" s="103" customFormat="1" x14ac:dyDescent="0.2">
      <c r="A1182" s="68" t="s">
        <v>58</v>
      </c>
      <c r="B1182" s="1152" t="s">
        <v>111</v>
      </c>
      <c r="C1182" s="78" t="s">
        <v>2911</v>
      </c>
      <c r="D1182" s="94"/>
      <c r="E1182" s="84" t="s">
        <v>2912</v>
      </c>
      <c r="F1182" s="84" t="s">
        <v>1738</v>
      </c>
      <c r="G1182" s="68" t="s">
        <v>647</v>
      </c>
      <c r="H1182" s="68" t="s">
        <v>647</v>
      </c>
      <c r="I1182" s="68" t="s">
        <v>52</v>
      </c>
      <c r="J1182" s="140" t="s">
        <v>53</v>
      </c>
      <c r="K1182" s="68" t="s">
        <v>54</v>
      </c>
      <c r="L1182" s="68" t="s">
        <v>55</v>
      </c>
      <c r="M1182" s="141">
        <v>270</v>
      </c>
      <c r="N1182" s="93"/>
      <c r="O1182" s="68" t="s">
        <v>56</v>
      </c>
      <c r="P1182" s="68">
        <v>20</v>
      </c>
      <c r="Q1182" s="68">
        <v>24</v>
      </c>
      <c r="R1182" s="68">
        <v>20</v>
      </c>
      <c r="S1182" s="623">
        <v>24</v>
      </c>
      <c r="T1182" s="68">
        <v>20</v>
      </c>
      <c r="U1182" s="68">
        <v>24</v>
      </c>
      <c r="V1182" s="917">
        <f t="shared" si="423"/>
        <v>28</v>
      </c>
      <c r="W1182" s="917">
        <f t="shared" si="424"/>
        <v>32</v>
      </c>
      <c r="X1182" s="68">
        <v>40</v>
      </c>
      <c r="Y1182" s="68">
        <v>28</v>
      </c>
      <c r="Z1182" s="68">
        <v>32</v>
      </c>
      <c r="AA1182" s="699">
        <f t="shared" si="425"/>
        <v>6.2222222222222223</v>
      </c>
      <c r="AB1182" s="297">
        <f>AA1182*IncaG</f>
        <v>130.91555555555556</v>
      </c>
      <c r="AC1182" s="74">
        <f>AA1182*Canvas</f>
        <v>4.1066666666666674</v>
      </c>
      <c r="AD1182" s="320">
        <f>Table1[[#This Row],[Substrate SF]]*IncaC</f>
        <v>10.473244444444445</v>
      </c>
      <c r="AE1182" s="278">
        <f>IF(Table1[[#This Row],[Work Center]]="SwissQ",Materials!G$37,IF(Table1[[#This Row],[Work Center]]="Inca",Materials!G$29,IF(Table1[[#This Row],[Work Center]]="Canon",Materials!G$49,Materials!G$45)))</f>
        <v>8</v>
      </c>
      <c r="AF1182" s="73">
        <f>'Cali FPS'!C26</f>
        <v>62.16</v>
      </c>
      <c r="AG1182" s="84"/>
      <c r="AH1182" s="278">
        <f t="shared" si="411"/>
        <v>13.5</v>
      </c>
      <c r="AI1182" s="278"/>
      <c r="AJ1182" s="74">
        <f>SUM(AC1182:AI1182)</f>
        <v>98.239911111111113</v>
      </c>
      <c r="AK1182" s="1001">
        <f t="shared" si="413"/>
        <v>0.63614847736625524</v>
      </c>
      <c r="AL1182" s="240">
        <f>Table1[[#This Row],[WSP/Dealer]]/Table1[[#This Row],[OD Sq Inch]]</f>
        <v>0.5625</v>
      </c>
      <c r="AM1182" s="274">
        <f>Table1[[#This Row],[OD Wdth]]*Table1[[#This Row],[OD Hgt]]</f>
        <v>480</v>
      </c>
      <c r="AN1182" s="274">
        <f>Table1[[#This Row],[Min VO]]+Table1[[#This Row],[Max VO]]</f>
        <v>44</v>
      </c>
      <c r="AO1182" s="84"/>
      <c r="AP1182" s="84"/>
      <c r="AQ1182" s="126"/>
      <c r="AR1182" s="126"/>
      <c r="AS1182" s="126"/>
      <c r="AT1182" s="74"/>
      <c r="AU1182" s="1357" t="str">
        <f t="shared" si="414"/>
        <v>-</v>
      </c>
    </row>
    <row r="1183" spans="1:47" s="63" customFormat="1" x14ac:dyDescent="0.2">
      <c r="A1183" s="60" t="s">
        <v>58</v>
      </c>
      <c r="B1183" s="1106" t="s">
        <v>111</v>
      </c>
      <c r="C1183" s="76" t="s">
        <v>2913</v>
      </c>
      <c r="D1183" s="79"/>
      <c r="E1183" s="83" t="s">
        <v>2914</v>
      </c>
      <c r="F1183" s="83" t="s">
        <v>1738</v>
      </c>
      <c r="G1183" s="60" t="s">
        <v>191</v>
      </c>
      <c r="H1183" s="60" t="s">
        <v>193</v>
      </c>
      <c r="I1183" s="60" t="s">
        <v>108</v>
      </c>
      <c r="J1183" s="59" t="s">
        <v>53</v>
      </c>
      <c r="K1183" s="60" t="s">
        <v>69</v>
      </c>
      <c r="L1183" s="60" t="s">
        <v>73</v>
      </c>
      <c r="M1183" s="124">
        <v>1000</v>
      </c>
      <c r="N1183" s="124"/>
      <c r="O1183" s="60" t="s">
        <v>64</v>
      </c>
      <c r="P1183" s="60">
        <v>48</v>
      </c>
      <c r="Q1183" s="60">
        <v>60</v>
      </c>
      <c r="R1183" s="60">
        <v>48</v>
      </c>
      <c r="S1183" s="273">
        <v>60</v>
      </c>
      <c r="T1183" s="60">
        <v>49</v>
      </c>
      <c r="U1183" s="60">
        <v>61</v>
      </c>
      <c r="V1183" s="946">
        <f t="shared" si="423"/>
        <v>56</v>
      </c>
      <c r="W1183" s="946">
        <f t="shared" si="424"/>
        <v>68</v>
      </c>
      <c r="X1183" s="60">
        <v>69</v>
      </c>
      <c r="Y1183" s="60">
        <v>56</v>
      </c>
      <c r="Z1183" s="60">
        <v>68</v>
      </c>
      <c r="AA1183" s="678">
        <f t="shared" si="425"/>
        <v>26.444444444444443</v>
      </c>
      <c r="AB1183" s="329">
        <f>AA1183*SWISSRML</f>
        <v>52.888888888888886</v>
      </c>
      <c r="AC1183" s="176">
        <f t="shared" ref="AC1183:AC1188" si="426">MDFSHEET*0.5</f>
        <v>12.175000000000001</v>
      </c>
      <c r="AD1183" s="176">
        <f>Table1[[#This Row],[Substrate SF]]*Materials!C$41</f>
        <v>5.8177777777777777</v>
      </c>
      <c r="AE1183" s="69">
        <f>IF(Table1[[#This Row],[Work Center]]="SwissQ",Materials!G$37,IF(Table1[[#This Row],[Work Center]]="Inca",Materials!G$29,IF(Table1[[#This Row],[Work Center]]="Canon",Materials!G$49,Materials!G$45)))</f>
        <v>20</v>
      </c>
      <c r="AF1183" s="72">
        <f>'Cali Frames'!D470</f>
        <v>263.70999999999998</v>
      </c>
      <c r="AG1183" s="83"/>
      <c r="AH1183" s="69">
        <f t="shared" si="411"/>
        <v>50</v>
      </c>
      <c r="AI1183" s="69"/>
      <c r="AJ1183" s="176">
        <f t="shared" ref="AJ1183:AJ1190" si="427">SUM(AC1183:AH1183)</f>
        <v>351.70277777777778</v>
      </c>
      <c r="AK1183" s="650">
        <f t="shared" si="413"/>
        <v>0.64829722222222219</v>
      </c>
      <c r="AL1183" s="225">
        <f>Table1[[#This Row],[WSP/Dealer]]/Table1[[#This Row],[OD Sq Inch]]</f>
        <v>0.33456005352960855</v>
      </c>
      <c r="AM1183" s="180">
        <f>Table1[[#This Row],[OD Wdth]]*Table1[[#This Row],[OD Hgt]]</f>
        <v>2989</v>
      </c>
      <c r="AN1183" s="216">
        <f>Table1[[#This Row],[Min VO]]+Table1[[#This Row],[Max VO]]</f>
        <v>108</v>
      </c>
      <c r="AO1183" s="83"/>
      <c r="AP1183" s="83"/>
      <c r="AQ1183" s="540"/>
      <c r="AR1183" s="540"/>
      <c r="AS1183" s="540"/>
      <c r="AT1183" s="69"/>
      <c r="AU1183" s="1361" t="str">
        <f t="shared" si="414"/>
        <v>-</v>
      </c>
    </row>
    <row r="1184" spans="1:47" s="46" customFormat="1" x14ac:dyDescent="0.2">
      <c r="A1184" s="60" t="s">
        <v>58</v>
      </c>
      <c r="B1184" s="1106" t="s">
        <v>486</v>
      </c>
      <c r="C1184" s="76" t="s">
        <v>2915</v>
      </c>
      <c r="D1184" s="79" t="s">
        <v>2916</v>
      </c>
      <c r="E1184" s="83" t="s">
        <v>2917</v>
      </c>
      <c r="F1184" s="83" t="s">
        <v>1738</v>
      </c>
      <c r="G1184" s="60" t="s">
        <v>379</v>
      </c>
      <c r="H1184" s="60" t="s">
        <v>990</v>
      </c>
      <c r="I1184" s="60" t="s">
        <v>52</v>
      </c>
      <c r="J1184" s="59" t="s">
        <v>53</v>
      </c>
      <c r="K1184" s="60" t="s">
        <v>69</v>
      </c>
      <c r="L1184" s="60" t="s">
        <v>70</v>
      </c>
      <c r="M1184" s="124">
        <v>1300</v>
      </c>
      <c r="N1184" s="124"/>
      <c r="O1184" s="60" t="s">
        <v>64</v>
      </c>
      <c r="P1184" s="60">
        <v>48</v>
      </c>
      <c r="Q1184" s="60">
        <v>72</v>
      </c>
      <c r="R1184" s="60">
        <v>48</v>
      </c>
      <c r="S1184" s="273">
        <v>72</v>
      </c>
      <c r="T1184" s="60">
        <v>49</v>
      </c>
      <c r="U1184" s="60">
        <v>73</v>
      </c>
      <c r="V1184" s="946">
        <f t="shared" si="423"/>
        <v>56</v>
      </c>
      <c r="W1184" s="946">
        <f t="shared" si="424"/>
        <v>80</v>
      </c>
      <c r="X1184" s="60">
        <v>82</v>
      </c>
      <c r="Y1184" s="60">
        <v>56</v>
      </c>
      <c r="Z1184" s="60">
        <v>80</v>
      </c>
      <c r="AA1184" s="717">
        <f t="shared" si="425"/>
        <v>31.111111111111111</v>
      </c>
      <c r="AB1184" s="329">
        <f>AA1184*Swiss1ML</f>
        <v>880.44444444444446</v>
      </c>
      <c r="AC1184" s="176">
        <f t="shared" si="426"/>
        <v>12.175000000000001</v>
      </c>
      <c r="AD1184" s="176">
        <f>Table1[[#This Row],[Substrate SF]]*SWISSC1</f>
        <v>87.1111111111111</v>
      </c>
      <c r="AE1184" s="69">
        <f>IF(Table1[[#This Row],[Work Center]]="SwissQ",Materials!G$37,IF(Table1[[#This Row],[Work Center]]="Inca",Materials!G$29,IF(Table1[[#This Row],[Work Center]]="Canon",Materials!G$49,Materials!G$45)))</f>
        <v>20</v>
      </c>
      <c r="AF1184" s="72">
        <f>'Cali Frames'!D337</f>
        <v>263.8</v>
      </c>
      <c r="AG1184" s="83"/>
      <c r="AH1184" s="69">
        <f t="shared" si="411"/>
        <v>65</v>
      </c>
      <c r="AI1184" s="69"/>
      <c r="AJ1184" s="176">
        <f t="shared" si="427"/>
        <v>448.08611111111111</v>
      </c>
      <c r="AK1184" s="650">
        <f t="shared" si="413"/>
        <v>0.65531837606837606</v>
      </c>
      <c r="AL1184" s="225">
        <f>Table1[[#This Row],[WSP/Dealer]]/Table1[[#This Row],[OD Sq Inch]]</f>
        <v>0.36343304445065699</v>
      </c>
      <c r="AM1184" s="180">
        <f>Table1[[#This Row],[OD Wdth]]*Table1[[#This Row],[OD Hgt]]</f>
        <v>3577</v>
      </c>
      <c r="AN1184" s="216">
        <f>Table1[[#This Row],[Min VO]]+Table1[[#This Row],[Max VO]]</f>
        <v>120</v>
      </c>
      <c r="AO1184" s="83"/>
      <c r="AP1184" s="83"/>
      <c r="AQ1184" s="540">
        <f>(Table1[[#This Row],[Desgnr/Retail P]]*0.05)</f>
        <v>0</v>
      </c>
      <c r="AR1184" s="540" t="b">
        <f>IF(A1184="Codarus",(AP1184*0.13))</f>
        <v>0</v>
      </c>
      <c r="AS1184" s="540" t="e" cm="1">
        <f t="array" ref="AS1184">SUM(AC1184:AG1184+AQ+AR)</f>
        <v>#NAME?</v>
      </c>
      <c r="AT1184" s="69" t="e">
        <f>(AP1184-AS1184)/AP1184</f>
        <v>#NAME?</v>
      </c>
      <c r="AU1184" s="1361" t="str">
        <f t="shared" si="414"/>
        <v>-</v>
      </c>
    </row>
    <row r="1185" spans="1:47" s="46" customFormat="1" x14ac:dyDescent="0.2">
      <c r="A1185" s="60" t="s">
        <v>58</v>
      </c>
      <c r="B1185" s="1106" t="s">
        <v>305</v>
      </c>
      <c r="C1185" s="76" t="s">
        <v>2918</v>
      </c>
      <c r="D1185" s="79"/>
      <c r="E1185" s="83" t="s">
        <v>2917</v>
      </c>
      <c r="F1185" s="83" t="s">
        <v>1738</v>
      </c>
      <c r="G1185" s="60" t="s">
        <v>379</v>
      </c>
      <c r="H1185" s="60" t="s">
        <v>990</v>
      </c>
      <c r="I1185" s="60" t="s">
        <v>52</v>
      </c>
      <c r="J1185" s="59" t="s">
        <v>53</v>
      </c>
      <c r="K1185" s="60" t="s">
        <v>69</v>
      </c>
      <c r="L1185" s="60" t="s">
        <v>76</v>
      </c>
      <c r="M1185" s="124">
        <v>1300</v>
      </c>
      <c r="N1185" s="124"/>
      <c r="O1185" s="60" t="s">
        <v>64</v>
      </c>
      <c r="P1185" s="60">
        <v>48</v>
      </c>
      <c r="Q1185" s="60">
        <v>72</v>
      </c>
      <c r="R1185" s="60">
        <v>48</v>
      </c>
      <c r="S1185" s="273">
        <v>72</v>
      </c>
      <c r="T1185" s="60">
        <v>49</v>
      </c>
      <c r="U1185" s="60">
        <v>73</v>
      </c>
      <c r="V1185" s="946">
        <f t="shared" si="423"/>
        <v>56</v>
      </c>
      <c r="W1185" s="946">
        <f t="shared" si="424"/>
        <v>80</v>
      </c>
      <c r="X1185" s="60">
        <v>82</v>
      </c>
      <c r="Y1185" s="60">
        <v>56</v>
      </c>
      <c r="Z1185" s="60">
        <v>80</v>
      </c>
      <c r="AA1185" s="717">
        <f t="shared" si="425"/>
        <v>31.111111111111111</v>
      </c>
      <c r="AB1185" s="329">
        <f>AA1185*Swiss1ML</f>
        <v>880.44444444444446</v>
      </c>
      <c r="AC1185" s="176">
        <f t="shared" si="426"/>
        <v>12.175000000000001</v>
      </c>
      <c r="AD1185" s="176">
        <f>Table1[[#This Row],[Substrate SF]]*SWISSC1</f>
        <v>87.1111111111111</v>
      </c>
      <c r="AE1185" s="69">
        <f>IF(Table1[[#This Row],[Work Center]]="SwissQ",Materials!G$37,IF(Table1[[#This Row],[Work Center]]="Inca",Materials!G$29,IF(Table1[[#This Row],[Work Center]]="Canon",Materials!G$49,Materials!G$45)))</f>
        <v>20</v>
      </c>
      <c r="AF1185" s="72">
        <f>'Cali Frames'!D384</f>
        <v>279.95</v>
      </c>
      <c r="AG1185" s="83"/>
      <c r="AH1185" s="69">
        <f t="shared" si="411"/>
        <v>65</v>
      </c>
      <c r="AI1185" s="69"/>
      <c r="AJ1185" s="176">
        <f t="shared" si="427"/>
        <v>464.23611111111109</v>
      </c>
      <c r="AK1185" s="650">
        <f t="shared" si="413"/>
        <v>0.64289529914529919</v>
      </c>
      <c r="AL1185" s="225">
        <f>Table1[[#This Row],[WSP/Dealer]]/Table1[[#This Row],[OD Sq Inch]]</f>
        <v>0.36343304445065699</v>
      </c>
      <c r="AM1185" s="180">
        <f>Table1[[#This Row],[OD Wdth]]*Table1[[#This Row],[OD Hgt]]</f>
        <v>3577</v>
      </c>
      <c r="AN1185" s="216">
        <f>Table1[[#This Row],[Min VO]]+Table1[[#This Row],[Max VO]]</f>
        <v>120</v>
      </c>
      <c r="AO1185" s="83"/>
      <c r="AP1185" s="83"/>
      <c r="AQ1185" s="540">
        <f>(Table1[[#This Row],[Desgnr/Retail P]]*0.05)</f>
        <v>0</v>
      </c>
      <c r="AR1185" s="540" t="b">
        <f>IF(A1185="Codarus",(AP1185*0.13))</f>
        <v>0</v>
      </c>
      <c r="AS1185" s="540" t="e" cm="1">
        <f t="array" ref="AS1185">SUM(AC1185:AG1185+AQ+AR)</f>
        <v>#NAME?</v>
      </c>
      <c r="AT1185" s="69" t="e">
        <f>(AP1185-AS1185)/AP1185</f>
        <v>#NAME?</v>
      </c>
      <c r="AU1185" s="1361" t="str">
        <f t="shared" si="414"/>
        <v>-</v>
      </c>
    </row>
    <row r="1186" spans="1:47" s="103" customFormat="1" x14ac:dyDescent="0.2">
      <c r="A1186" s="180" t="s">
        <v>58</v>
      </c>
      <c r="B1186" s="1073" t="s">
        <v>599</v>
      </c>
      <c r="C1186" s="302" t="s">
        <v>2919</v>
      </c>
      <c r="D1186" s="79" t="s">
        <v>2920</v>
      </c>
      <c r="E1186" s="284" t="s">
        <v>2917</v>
      </c>
      <c r="F1186" s="284" t="s">
        <v>1738</v>
      </c>
      <c r="G1186" s="180" t="s">
        <v>379</v>
      </c>
      <c r="H1186" s="180" t="s">
        <v>379</v>
      </c>
      <c r="I1186" s="180" t="s">
        <v>52</v>
      </c>
      <c r="J1186" s="310" t="s">
        <v>53</v>
      </c>
      <c r="K1186" s="180" t="s">
        <v>54</v>
      </c>
      <c r="L1186" s="180" t="s">
        <v>55</v>
      </c>
      <c r="M1186" s="292">
        <v>1120</v>
      </c>
      <c r="N1186" s="285"/>
      <c r="O1186" s="60" t="s">
        <v>64</v>
      </c>
      <c r="P1186" s="180">
        <v>48</v>
      </c>
      <c r="Q1186" s="180">
        <v>72</v>
      </c>
      <c r="R1186" s="180">
        <v>48</v>
      </c>
      <c r="S1186" s="813">
        <v>72</v>
      </c>
      <c r="T1186" s="180">
        <v>48</v>
      </c>
      <c r="U1186" s="180">
        <v>72</v>
      </c>
      <c r="V1186" s="946">
        <f t="shared" si="423"/>
        <v>56</v>
      </c>
      <c r="W1186" s="946">
        <f t="shared" si="424"/>
        <v>80</v>
      </c>
      <c r="X1186" s="180">
        <v>82</v>
      </c>
      <c r="Y1186" s="180">
        <v>56</v>
      </c>
      <c r="Z1186" s="180">
        <v>80</v>
      </c>
      <c r="AA1186" s="717">
        <f t="shared" si="425"/>
        <v>31.111111111111111</v>
      </c>
      <c r="AB1186" s="329">
        <f>AA1186*Swiss1ML</f>
        <v>880.44444444444446</v>
      </c>
      <c r="AC1186" s="176">
        <f t="shared" si="426"/>
        <v>12.175000000000001</v>
      </c>
      <c r="AD1186" s="176">
        <f>Table1[[#This Row],[Substrate SF]]*SWISSC1</f>
        <v>87.1111111111111</v>
      </c>
      <c r="AE1186" s="69">
        <f>IF(Table1[[#This Row],[Work Center]]="SwissQ",Materials!G$37,IF(Table1[[#This Row],[Work Center]]="Inca",Materials!G$29,IF(Table1[[#This Row],[Work Center]]="Canon",Materials!G$49,Materials!G$45)))</f>
        <v>20</v>
      </c>
      <c r="AF1186" s="290">
        <f>'Cali FPS'!C126</f>
        <v>189.88</v>
      </c>
      <c r="AG1186" s="284"/>
      <c r="AH1186" s="69">
        <f t="shared" si="411"/>
        <v>56</v>
      </c>
      <c r="AI1186" s="69"/>
      <c r="AJ1186" s="176">
        <f t="shared" si="427"/>
        <v>365.16611111111109</v>
      </c>
      <c r="AK1186" s="650">
        <f t="shared" si="413"/>
        <v>0.67395882936507934</v>
      </c>
      <c r="AL1186" s="225">
        <f>Table1[[#This Row],[WSP/Dealer]]/Table1[[#This Row],[OD Sq Inch]]</f>
        <v>0.32407407407407407</v>
      </c>
      <c r="AM1186" s="180">
        <f>Table1[[#This Row],[OD Wdth]]*Table1[[#This Row],[OD Hgt]]</f>
        <v>3456</v>
      </c>
      <c r="AN1186" s="216">
        <f>Table1[[#This Row],[Min VO]]+Table1[[#This Row],[Max VO]]</f>
        <v>120</v>
      </c>
      <c r="AO1186" s="284"/>
      <c r="AP1186" s="284"/>
      <c r="AQ1186" s="296"/>
      <c r="AR1186" s="296"/>
      <c r="AS1186" s="296"/>
      <c r="AT1186" s="176"/>
      <c r="AU1186" s="1358" t="str">
        <f t="shared" si="414"/>
        <v>-</v>
      </c>
    </row>
    <row r="1187" spans="1:47" s="103" customFormat="1" hidden="1" x14ac:dyDescent="0.2">
      <c r="A1187" s="374" t="s">
        <v>187</v>
      </c>
      <c r="B1187" s="1061" t="s">
        <v>261</v>
      </c>
      <c r="C1187" s="317" t="s">
        <v>2921</v>
      </c>
      <c r="D1187" s="94"/>
      <c r="E1187" s="375" t="s">
        <v>2922</v>
      </c>
      <c r="F1187" s="375" t="s">
        <v>585</v>
      </c>
      <c r="G1187" s="274" t="s">
        <v>2923</v>
      </c>
      <c r="H1187" s="274" t="s">
        <v>2923</v>
      </c>
      <c r="I1187" s="274" t="s">
        <v>52</v>
      </c>
      <c r="J1187" s="344" t="s">
        <v>280</v>
      </c>
      <c r="K1187" s="274" t="s">
        <v>281</v>
      </c>
      <c r="L1187" s="274" t="s">
        <v>282</v>
      </c>
      <c r="M1187" s="318">
        <v>1980</v>
      </c>
      <c r="N1187" s="71"/>
      <c r="O1187" s="274" t="s">
        <v>64</v>
      </c>
      <c r="P1187" s="274">
        <v>28</v>
      </c>
      <c r="Q1187" s="274">
        <v>36</v>
      </c>
      <c r="R1187" s="274">
        <v>28</v>
      </c>
      <c r="S1187" s="274">
        <v>36</v>
      </c>
      <c r="T1187" s="274">
        <v>28</v>
      </c>
      <c r="U1187" s="274">
        <v>36</v>
      </c>
      <c r="V1187" s="686">
        <v>28</v>
      </c>
      <c r="W1187" s="686">
        <v>36</v>
      </c>
      <c r="X1187" s="343" t="s">
        <v>283</v>
      </c>
      <c r="Y1187" s="274"/>
      <c r="Z1187" s="274"/>
      <c r="AA1187" s="727">
        <f t="shared" si="425"/>
        <v>7</v>
      </c>
      <c r="AB1187" s="341">
        <f>AA1187*Swiss1</f>
        <v>198.1</v>
      </c>
      <c r="AC1187" s="278">
        <f t="shared" si="426"/>
        <v>12.175000000000001</v>
      </c>
      <c r="AD1187" s="278">
        <f>Table1[[#This Row],[Substrate SF]]*Materials!C$37</f>
        <v>19.599999999999998</v>
      </c>
      <c r="AE1187" s="104">
        <f>IF(Table1[[#This Row],[Work Center]]="SwissQ",Materials!G$37,IF(Table1[[#This Row],[Work Center]]="Inca",Materials!G$29,IF(Table1[[#This Row],[Work Center]]="Canon",Materials!G$49,Materials!G$45)))</f>
        <v>20</v>
      </c>
      <c r="AF1187" s="321">
        <f>'Cali Frames'!D540</f>
        <v>104.7375</v>
      </c>
      <c r="AG1187" s="320"/>
      <c r="AH1187" s="498">
        <f t="shared" si="411"/>
        <v>99</v>
      </c>
      <c r="AI1187" s="498"/>
      <c r="AJ1187" s="278">
        <f t="shared" si="427"/>
        <v>255.51249999999999</v>
      </c>
      <c r="AK1187" s="650">
        <f t="shared" si="413"/>
        <v>0.87095328282828277</v>
      </c>
      <c r="AL1187" s="225">
        <f>Table1[[#This Row],[WSP/Dealer]]/Table1[[#This Row],[OD Sq Inch]]</f>
        <v>1.9642857142857142</v>
      </c>
      <c r="AM1187" s="274">
        <f>Table1[[#This Row],[OD Wdth]]*Table1[[#This Row],[OD Hgt]]</f>
        <v>1008</v>
      </c>
      <c r="AN1187" s="238">
        <f>Table1[[#This Row],[Min VO]]+Table1[[#This Row],[Max VO]]</f>
        <v>64</v>
      </c>
      <c r="AO1187" s="275"/>
      <c r="AP1187" s="275"/>
      <c r="AQ1187" s="320"/>
      <c r="AR1187" s="320"/>
      <c r="AS1187" s="320"/>
      <c r="AT1187" s="278"/>
      <c r="AU1187" s="1368" t="str">
        <f t="shared" si="414"/>
        <v>-</v>
      </c>
    </row>
    <row r="1188" spans="1:47" s="237" customFormat="1" x14ac:dyDescent="0.2">
      <c r="A1188" s="180" t="s">
        <v>58</v>
      </c>
      <c r="B1188" s="279" t="s">
        <v>587</v>
      </c>
      <c r="C1188" s="281" t="s">
        <v>2924</v>
      </c>
      <c r="D1188" s="94"/>
      <c r="E1188" s="291" t="s">
        <v>2922</v>
      </c>
      <c r="F1188" s="291" t="s">
        <v>585</v>
      </c>
      <c r="G1188" s="180" t="s">
        <v>2923</v>
      </c>
      <c r="H1188" s="180" t="s">
        <v>2923</v>
      </c>
      <c r="I1188" s="180" t="s">
        <v>52</v>
      </c>
      <c r="J1188" s="310" t="s">
        <v>280</v>
      </c>
      <c r="K1188" s="180" t="s">
        <v>281</v>
      </c>
      <c r="L1188" s="180" t="s">
        <v>282</v>
      </c>
      <c r="M1188" s="292">
        <v>575</v>
      </c>
      <c r="N1188" s="639">
        <v>575</v>
      </c>
      <c r="O1188" s="180" t="s">
        <v>64</v>
      </c>
      <c r="P1188" s="180">
        <v>28</v>
      </c>
      <c r="Q1188" s="180">
        <v>36</v>
      </c>
      <c r="R1188" s="180">
        <v>28</v>
      </c>
      <c r="S1188" s="180">
        <v>36</v>
      </c>
      <c r="T1188" s="180">
        <v>28</v>
      </c>
      <c r="U1188" s="180">
        <v>36</v>
      </c>
      <c r="V1188" s="947">
        <v>28</v>
      </c>
      <c r="W1188" s="947">
        <v>36</v>
      </c>
      <c r="X1188" s="289" t="s">
        <v>283</v>
      </c>
      <c r="Y1188" s="180"/>
      <c r="Z1188" s="180"/>
      <c r="AA1188" s="678">
        <f t="shared" si="425"/>
        <v>7</v>
      </c>
      <c r="AB1188" s="329">
        <f>AA1188*Swiss1</f>
        <v>198.1</v>
      </c>
      <c r="AC1188" s="176">
        <f t="shared" si="426"/>
        <v>12.175000000000001</v>
      </c>
      <c r="AD1188" s="176">
        <f>Table1[[#This Row],[Substrate SF]]*Materials!C$37</f>
        <v>19.599999999999998</v>
      </c>
      <c r="AE1188" s="104">
        <f>IF(Table1[[#This Row],[Work Center]]="SwissQ",Materials!G$37,IF(Table1[[#This Row],[Work Center]]="Inca",Materials!G$29,IF(Table1[[#This Row],[Work Center]]="Canon",Materials!G$49,Materials!G$45)))</f>
        <v>20</v>
      </c>
      <c r="AF1188" s="290">
        <f>'Cali Frames'!D540</f>
        <v>104.7375</v>
      </c>
      <c r="AG1188" s="296"/>
      <c r="AH1188" s="498">
        <f t="shared" si="411"/>
        <v>28.75</v>
      </c>
      <c r="AI1188" s="498"/>
      <c r="AJ1188" s="176">
        <f t="shared" si="427"/>
        <v>185.26249999999999</v>
      </c>
      <c r="AK1188" s="650">
        <f t="shared" si="413"/>
        <v>0.67780434782608701</v>
      </c>
      <c r="AL1188" s="225">
        <f>Table1[[#This Row],[WSP/Dealer]]/Table1[[#This Row],[OD Sq Inch]]</f>
        <v>0.57043650793650791</v>
      </c>
      <c r="AM1188" s="180">
        <f>Table1[[#This Row],[OD Wdth]]*Table1[[#This Row],[OD Hgt]]</f>
        <v>1008</v>
      </c>
      <c r="AN1188" s="216">
        <f>Table1[[#This Row],[Min VO]]+Table1[[#This Row],[Max VO]]</f>
        <v>64</v>
      </c>
      <c r="AO1188" s="284"/>
      <c r="AP1188" s="284"/>
      <c r="AQ1188" s="296"/>
      <c r="AR1188" s="296"/>
      <c r="AS1188" s="296"/>
      <c r="AT1188" s="176"/>
      <c r="AU1188" s="1358" t="str">
        <f t="shared" si="414"/>
        <v>-</v>
      </c>
    </row>
    <row r="1189" spans="1:47" s="237" customFormat="1" hidden="1" x14ac:dyDescent="0.2">
      <c r="A1189" s="374" t="s">
        <v>187</v>
      </c>
      <c r="B1189" s="279" t="s">
        <v>261</v>
      </c>
      <c r="C1189" s="436" t="s">
        <v>2925</v>
      </c>
      <c r="D1189" s="94"/>
      <c r="E1189" s="436" t="s">
        <v>2926</v>
      </c>
      <c r="F1189" s="375" t="s">
        <v>585</v>
      </c>
      <c r="G1189" s="274" t="s">
        <v>2923</v>
      </c>
      <c r="H1189" s="274" t="s">
        <v>2923</v>
      </c>
      <c r="I1189" s="274" t="s">
        <v>108</v>
      </c>
      <c r="J1189" s="68" t="s">
        <v>197</v>
      </c>
      <c r="K1189" s="274" t="s">
        <v>198</v>
      </c>
      <c r="L1189" s="274" t="s">
        <v>199</v>
      </c>
      <c r="M1189" s="696">
        <v>60</v>
      </c>
      <c r="N1189" s="71"/>
      <c r="O1189" s="274" t="s">
        <v>64</v>
      </c>
      <c r="P1189" s="274">
        <v>28</v>
      </c>
      <c r="Q1189" s="274">
        <v>36</v>
      </c>
      <c r="R1189" s="274">
        <v>28</v>
      </c>
      <c r="S1189" s="274">
        <v>36</v>
      </c>
      <c r="T1189" s="274">
        <v>28</v>
      </c>
      <c r="U1189" s="274">
        <v>36</v>
      </c>
      <c r="V1189" s="686">
        <f>Table1[[#This Row],[VO Wdth]]+Materials!$C$7</f>
        <v>30</v>
      </c>
      <c r="W1189" s="686">
        <f>Table1[[#This Row],[VO Hgt]]+Materials!$C$7</f>
        <v>38</v>
      </c>
      <c r="X1189" s="343" t="s">
        <v>197</v>
      </c>
      <c r="Y1189" s="68"/>
      <c r="Z1189" s="68"/>
      <c r="AA1189" s="699">
        <f t="shared" si="425"/>
        <v>7.916666666666667</v>
      </c>
      <c r="AB1189" s="341">
        <f>AA1189*SWISSRML</f>
        <v>15.833333333333334</v>
      </c>
      <c r="AC1189" s="74">
        <f>Table1[[#This Row],[Substrate SF]]*POster</f>
        <v>5.8900000000000006</v>
      </c>
      <c r="AD1189" s="278">
        <f>Table1[[#This Row],[Substrate SF]]*SWISSRC</f>
        <v>1.7416666666666667</v>
      </c>
      <c r="AE1189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189" s="73">
        <v>0</v>
      </c>
      <c r="AG1189" s="126">
        <f>Materials!D$76</f>
        <v>10.82</v>
      </c>
      <c r="AH1189" s="498">
        <f t="shared" si="411"/>
        <v>3</v>
      </c>
      <c r="AI1189" s="498"/>
      <c r="AJ1189" s="278">
        <f t="shared" si="427"/>
        <v>31.451666666666668</v>
      </c>
      <c r="AK1189" s="650">
        <f t="shared" si="413"/>
        <v>0.47580555555555554</v>
      </c>
      <c r="AL1189" s="225">
        <f>Table1[[#This Row],[WSP/Dealer]]/Table1[[#This Row],[OD Sq Inch]]</f>
        <v>5.9523809523809521E-2</v>
      </c>
      <c r="AM1189" s="274">
        <f>Table1[[#This Row],[OD Wdth]]*Table1[[#This Row],[OD Hgt]]</f>
        <v>1008</v>
      </c>
      <c r="AN1189" s="84"/>
      <c r="AO1189" s="84"/>
      <c r="AP1189" s="84"/>
      <c r="AQ1189" s="126"/>
      <c r="AR1189" s="126"/>
      <c r="AS1189" s="126"/>
      <c r="AT1189" s="74"/>
      <c r="AU1189" s="1357" t="str">
        <f t="shared" si="414"/>
        <v>-</v>
      </c>
    </row>
    <row r="1190" spans="1:47" s="119" customFormat="1" hidden="1" x14ac:dyDescent="0.2">
      <c r="A1190" s="495" t="s">
        <v>318</v>
      </c>
      <c r="B1190" s="279" t="s">
        <v>96</v>
      </c>
      <c r="C1190" s="496" t="s">
        <v>2927</v>
      </c>
      <c r="D1190" s="94">
        <v>176805</v>
      </c>
      <c r="E1190" s="401" t="s">
        <v>2928</v>
      </c>
      <c r="F1190" s="115" t="s">
        <v>131</v>
      </c>
      <c r="G1190" s="400" t="s">
        <v>519</v>
      </c>
      <c r="H1190" s="400" t="s">
        <v>688</v>
      </c>
      <c r="I1190" s="645" t="s">
        <v>52</v>
      </c>
      <c r="J1190" s="497" t="s">
        <v>53</v>
      </c>
      <c r="K1190" s="400" t="s">
        <v>69</v>
      </c>
      <c r="L1190" s="400" t="s">
        <v>73</v>
      </c>
      <c r="M1190" s="544">
        <v>260</v>
      </c>
      <c r="N1190" s="786">
        <v>650</v>
      </c>
      <c r="O1190" s="645" t="s">
        <v>56</v>
      </c>
      <c r="P1190" s="400">
        <v>16</v>
      </c>
      <c r="Q1190" s="400">
        <v>20</v>
      </c>
      <c r="R1190" s="400">
        <v>16</v>
      </c>
      <c r="S1190" s="1244">
        <v>20</v>
      </c>
      <c r="T1190" s="400">
        <v>17</v>
      </c>
      <c r="U1190" s="400">
        <v>21</v>
      </c>
      <c r="V1190" s="404">
        <f>IF(J1190="Canvas",P1190+Border,P1190)</f>
        <v>24</v>
      </c>
      <c r="W1190" s="404">
        <f>IF(J1190="Canvas",Q1190+Border,Q1190)</f>
        <v>28</v>
      </c>
      <c r="X1190" s="525">
        <v>53</v>
      </c>
      <c r="Y1190" s="400">
        <v>24</v>
      </c>
      <c r="Z1190" s="400">
        <v>28</v>
      </c>
      <c r="AA1190" s="724">
        <f t="shared" si="425"/>
        <v>4.666666666666667</v>
      </c>
      <c r="AB1190" s="329">
        <f>AA1190*IncaG</f>
        <v>98.186666666666667</v>
      </c>
      <c r="AC1190" s="104">
        <f>AA1190*Canvas</f>
        <v>3.0800000000000005</v>
      </c>
      <c r="AD1190" s="175">
        <f>Table1[[#This Row],[Substrate SF]]*Materials!C$37</f>
        <v>13.066666666666666</v>
      </c>
      <c r="AE1190" s="104">
        <f>IF(Table1[[#This Row],[Work Center]]="SwissQ",Materials!G$37,IF(Table1[[#This Row],[Work Center]]="Inca",Materials!G$29,IF(Table1[[#This Row],[Work Center]]="Canon",Materials!G$49,Materials!G$45)))</f>
        <v>8</v>
      </c>
      <c r="AF1190" s="406">
        <f>'Cali Frames'!D414</f>
        <v>89.83</v>
      </c>
      <c r="AG1190" s="121"/>
      <c r="AH1190" s="112">
        <f t="shared" ref="AH1190:AH1221" si="428">(M1190*0.05)</f>
        <v>13</v>
      </c>
      <c r="AI1190" s="112"/>
      <c r="AJ1190" s="406">
        <f t="shared" si="427"/>
        <v>126.97666666666666</v>
      </c>
      <c r="AK1190" s="62">
        <f t="shared" ref="AK1190:AK1221" si="429">(M1190-AJ1190)/M1190</f>
        <v>0.51162820512820517</v>
      </c>
      <c r="AL1190" s="225">
        <f>Table1[[#This Row],[WSP/Dealer]]/Table1[[#This Row],[OD Sq Inch]]</f>
        <v>0.72829131652661061</v>
      </c>
      <c r="AM1190" s="399">
        <f>Table1[[#This Row],[OD Wdth]]*Table1[[#This Row],[OD Hgt]]</f>
        <v>357</v>
      </c>
      <c r="AN1190" s="400" t="str">
        <f>Table1[[#This Row],[Color]]</f>
        <v>NF</v>
      </c>
      <c r="AO1190" s="115" t="str">
        <f>Table1[[#This Row],[Print Type]]</f>
        <v>Synograph</v>
      </c>
      <c r="AP1190" s="121"/>
      <c r="AQ1190" s="121"/>
      <c r="AR1190" s="121"/>
      <c r="AS1190" s="121"/>
      <c r="AT1190" s="104"/>
      <c r="AU1190" s="1366" t="str">
        <f t="shared" si="414"/>
        <v>-</v>
      </c>
    </row>
    <row r="1191" spans="1:47" s="113" customFormat="1" hidden="1" x14ac:dyDescent="0.2">
      <c r="A1191" s="101" t="s">
        <v>110</v>
      </c>
      <c r="B1191" s="1322" t="s">
        <v>134</v>
      </c>
      <c r="C1191" s="100" t="s">
        <v>2929</v>
      </c>
      <c r="D1191" s="168"/>
      <c r="E1191" s="115" t="s">
        <v>2930</v>
      </c>
      <c r="F1191" s="115" t="s">
        <v>1569</v>
      </c>
      <c r="G1191" s="101" t="s">
        <v>482</v>
      </c>
      <c r="H1191" s="101" t="s">
        <v>482</v>
      </c>
      <c r="I1191" s="101" t="s">
        <v>52</v>
      </c>
      <c r="J1191" s="101" t="s">
        <v>53</v>
      </c>
      <c r="K1191" s="101" t="s">
        <v>54</v>
      </c>
      <c r="L1191" s="101" t="s">
        <v>55</v>
      </c>
      <c r="M1191" s="299">
        <v>850</v>
      </c>
      <c r="N1191" s="829">
        <v>850</v>
      </c>
      <c r="O1191" s="101" t="s">
        <v>56</v>
      </c>
      <c r="P1191" s="101">
        <v>40</v>
      </c>
      <c r="Q1191" s="101">
        <v>60</v>
      </c>
      <c r="R1191" s="101">
        <v>40</v>
      </c>
      <c r="S1191" s="697">
        <v>60</v>
      </c>
      <c r="T1191" s="697">
        <f>Table1[[#This Row],[VO Wdth]]</f>
        <v>40</v>
      </c>
      <c r="U1191" s="697">
        <f>Table1[[#This Row],[VO Hgt]]</f>
        <v>60</v>
      </c>
      <c r="V1191" s="106">
        <f>IF(J1191="Canvas",P1191+Border,P1191)</f>
        <v>48</v>
      </c>
      <c r="W1191" s="106">
        <f>IF(J1191="Canvas",Q1191+Border,Q1191)</f>
        <v>68</v>
      </c>
      <c r="X1191" s="137">
        <v>122</v>
      </c>
      <c r="Y1191" s="101">
        <v>48</v>
      </c>
      <c r="Z1191" s="101">
        <v>68</v>
      </c>
      <c r="AA1191" s="649">
        <f t="shared" si="425"/>
        <v>22.666666666666668</v>
      </c>
      <c r="AB1191" s="184">
        <f>AA1191*IncaG</f>
        <v>476.90666666666669</v>
      </c>
      <c r="AC1191" s="104">
        <f>AA1191*Canvas</f>
        <v>14.96</v>
      </c>
      <c r="AD1191" s="107">
        <f>AA1191*IncaC</f>
        <v>38.152533333333338</v>
      </c>
      <c r="AE1191" s="104">
        <f>IF(Table1[[#This Row],[Work Center]]="SwissQ",Materials!G$37,IF(Table1[[#This Row],[Work Center]]="Inca",Materials!G$29,IF(Table1[[#This Row],[Work Center]]="Canon",Materials!G$49,Materials!G$45)))</f>
        <v>8</v>
      </c>
      <c r="AF1191" s="104">
        <f>'Cali FPS'!C$89</f>
        <v>112.01750000000001</v>
      </c>
      <c r="AG1191" s="115"/>
      <c r="AH1191" s="107">
        <f t="shared" si="428"/>
        <v>42.5</v>
      </c>
      <c r="AI1191" s="405">
        <f>IF(A1191="Codarus",(M1191*0.13))</f>
        <v>110.5</v>
      </c>
      <c r="AJ1191" s="104">
        <f>SUM(AC1191:AI1191)</f>
        <v>326.13003333333336</v>
      </c>
      <c r="AK1191" s="108">
        <f t="shared" si="429"/>
        <v>0.61631760784313727</v>
      </c>
      <c r="AL1191" s="660">
        <f>Table1[[#This Row],[WSP/Dealer]]/Table1[[#This Row],[OD Sq Inch]]</f>
        <v>0.35416666666666669</v>
      </c>
      <c r="AM1191" s="103">
        <f>Table1[[#This Row],[OD Wdth]]*Table1[[#This Row],[OD Hgt]]</f>
        <v>2400</v>
      </c>
      <c r="AN1191" s="266">
        <f>Table1[[#This Row],[Min VO]]+Table1[[#This Row],[Max VO]]</f>
        <v>100</v>
      </c>
      <c r="AO1191" s="101"/>
      <c r="AP1191" s="101"/>
      <c r="AQ1191" s="104">
        <f>(Table1[[#This Row],[Desgnr/Retail P]]*0.05)</f>
        <v>0</v>
      </c>
      <c r="AR1191" s="121">
        <f>IF(A1191="Codarus",(AP1191*0.13))</f>
        <v>0</v>
      </c>
      <c r="AS1191" s="121">
        <f>SUM(Table1[[#This Row],[Substrate $]:[GP FINISH]])+Table1[[#This Row],[Retail Royalty]]+Table1[[#This Row],[Retail$Comm]]</f>
        <v>173.13003333333336</v>
      </c>
      <c r="AT1191" s="830" t="str">
        <f>IF(AP1191=0,"-",(AP1191-AS1191)/AP1191)</f>
        <v>-</v>
      </c>
      <c r="AU1191" s="830" t="str">
        <f t="shared" si="414"/>
        <v>-</v>
      </c>
    </row>
    <row r="1192" spans="1:47" s="171" customFormat="1" x14ac:dyDescent="0.2">
      <c r="A1192" s="86" t="s">
        <v>58</v>
      </c>
      <c r="B1192" s="1061" t="s">
        <v>406</v>
      </c>
      <c r="C1192" s="76" t="s">
        <v>2931</v>
      </c>
      <c r="D1192" s="94" t="s">
        <v>2932</v>
      </c>
      <c r="E1192" s="85" t="s">
        <v>2930</v>
      </c>
      <c r="F1192" s="85" t="s">
        <v>1569</v>
      </c>
      <c r="G1192" s="86" t="s">
        <v>482</v>
      </c>
      <c r="H1192" s="86" t="s">
        <v>488</v>
      </c>
      <c r="I1192" s="68" t="s">
        <v>52</v>
      </c>
      <c r="J1192" s="86" t="s">
        <v>53</v>
      </c>
      <c r="K1192" s="86" t="s">
        <v>69</v>
      </c>
      <c r="L1192" s="86" t="s">
        <v>70</v>
      </c>
      <c r="M1192" s="87">
        <v>986</v>
      </c>
      <c r="N1192" s="639">
        <v>970</v>
      </c>
      <c r="O1192" s="551" t="s">
        <v>56</v>
      </c>
      <c r="P1192" s="101">
        <v>40</v>
      </c>
      <c r="Q1192" s="101">
        <v>60</v>
      </c>
      <c r="R1192" s="60">
        <v>40</v>
      </c>
      <c r="S1192" s="273">
        <v>60</v>
      </c>
      <c r="T1192" s="101">
        <v>41</v>
      </c>
      <c r="U1192" s="101">
        <v>61</v>
      </c>
      <c r="V1192" s="106">
        <f>IF(J1192="Canvas",P1192+Border,P1192)</f>
        <v>48</v>
      </c>
      <c r="W1192" s="106">
        <f>IF(J1192="Canvas",Q1192+Border,Q1192)</f>
        <v>68</v>
      </c>
      <c r="X1192" s="137">
        <v>69</v>
      </c>
      <c r="Y1192" s="101"/>
      <c r="Z1192" s="101"/>
      <c r="AA1192" s="649">
        <f t="shared" si="425"/>
        <v>22.666666666666668</v>
      </c>
      <c r="AB1192" s="184">
        <f>AA1192*IncaG</f>
        <v>476.90666666666669</v>
      </c>
      <c r="AC1192" s="104">
        <f>AA1192*Canvas</f>
        <v>14.96</v>
      </c>
      <c r="AD1192" s="107">
        <f>AA1192*IncaC</f>
        <v>38.152533333333338</v>
      </c>
      <c r="AE1192" s="104">
        <f>IF(Table1[[#This Row],[Work Center]]="SwissQ",Materials!G$37,IF(Table1[[#This Row],[Work Center]]="Inca",Materials!G$29,IF(Table1[[#This Row],[Work Center]]="Canon",Materials!G$49,Materials!G$45)))</f>
        <v>8</v>
      </c>
      <c r="AF1192" s="104" t="e">
        <f>'Cali Frames'!#REF!</f>
        <v>#REF!</v>
      </c>
      <c r="AG1192" s="115"/>
      <c r="AH1192" s="498">
        <f t="shared" si="428"/>
        <v>49.300000000000004</v>
      </c>
      <c r="AI1192" s="498"/>
      <c r="AJ1192" s="104" t="e">
        <f t="shared" ref="AJ1192:AJ1212" si="430">SUM(AC1192:AH1192)</f>
        <v>#REF!</v>
      </c>
      <c r="AK1192" s="650" t="e">
        <f t="shared" si="429"/>
        <v>#REF!</v>
      </c>
      <c r="AL1192" s="225">
        <f>Table1[[#This Row],[WSP/Dealer]]/Table1[[#This Row],[OD Sq Inch]]</f>
        <v>0.39424230307876851</v>
      </c>
      <c r="AM1192" s="218">
        <f>Table1[[#This Row],[OD Wdth]]*Table1[[#This Row],[OD Hgt]]</f>
        <v>2501</v>
      </c>
      <c r="AN1192" s="216">
        <f>Table1[[#This Row],[Min VO]]+Table1[[#This Row],[Max VO]]</f>
        <v>100</v>
      </c>
      <c r="AO1192" s="101"/>
      <c r="AP1192" s="101"/>
      <c r="AQ1192" s="104"/>
      <c r="AR1192" s="104"/>
      <c r="AS1192" s="104"/>
      <c r="AT1192" s="104"/>
      <c r="AU1192" s="830" t="str">
        <f t="shared" si="414"/>
        <v>-</v>
      </c>
    </row>
    <row r="1193" spans="1:47" s="63" customFormat="1" x14ac:dyDescent="0.2">
      <c r="A1193" s="86" t="s">
        <v>58</v>
      </c>
      <c r="B1193" s="1061" t="s">
        <v>406</v>
      </c>
      <c r="C1193" s="100" t="s">
        <v>2933</v>
      </c>
      <c r="D1193" s="94" t="s">
        <v>2934</v>
      </c>
      <c r="E1193" s="85" t="s">
        <v>2935</v>
      </c>
      <c r="F1193" s="85" t="s">
        <v>1569</v>
      </c>
      <c r="G1193" s="86" t="s">
        <v>482</v>
      </c>
      <c r="H1193" s="86" t="s">
        <v>488</v>
      </c>
      <c r="I1193" s="86" t="s">
        <v>52</v>
      </c>
      <c r="J1193" s="86" t="s">
        <v>280</v>
      </c>
      <c r="K1193" s="86" t="s">
        <v>69</v>
      </c>
      <c r="L1193" s="86" t="s">
        <v>70</v>
      </c>
      <c r="M1193" s="87">
        <v>986</v>
      </c>
      <c r="N1193" s="639">
        <v>970</v>
      </c>
      <c r="O1193" s="551" t="s">
        <v>56</v>
      </c>
      <c r="P1193" s="101">
        <v>40</v>
      </c>
      <c r="Q1193" s="101">
        <v>60</v>
      </c>
      <c r="R1193" s="60">
        <v>40</v>
      </c>
      <c r="S1193" s="273">
        <v>60</v>
      </c>
      <c r="T1193" s="101">
        <v>41</v>
      </c>
      <c r="U1193" s="101" t="str">
        <f>RIGHT(H1193,2)</f>
        <v>61</v>
      </c>
      <c r="V1193" s="608">
        <f>IF(J1193="Canvas",P1193+Border,P1193)</f>
        <v>40</v>
      </c>
      <c r="W1193" s="608">
        <f>IF(J1193="Canvas",Q1193+Border,Q1193)</f>
        <v>60</v>
      </c>
      <c r="X1193" s="137" t="s">
        <v>2471</v>
      </c>
      <c r="Y1193" s="101"/>
      <c r="Z1193" s="101"/>
      <c r="AA1193" s="649">
        <f t="shared" si="425"/>
        <v>16.666666666666668</v>
      </c>
      <c r="AB1193" s="184">
        <f>AA1193*IncaG</f>
        <v>350.66666666666669</v>
      </c>
      <c r="AC1193" s="104">
        <f>PETG60/2</f>
        <v>29.16</v>
      </c>
      <c r="AD1193" s="104">
        <f>AA1193*IncaC</f>
        <v>28.053333333333335</v>
      </c>
      <c r="AE1193" s="104">
        <f>IF(Table1[[#This Row],[Work Center]]="SwissQ",Materials!G$37,IF(Table1[[#This Row],[Work Center]]="Inca",Materials!G$29,IF(Table1[[#This Row],[Work Center]]="Canon",Materials!G$49,Materials!G$45)))</f>
        <v>8</v>
      </c>
      <c r="AF1193" s="104" t="e">
        <f>'Cali Frames'!#REF!</f>
        <v>#REF!</v>
      </c>
      <c r="AG1193" s="115"/>
      <c r="AH1193" s="498">
        <f t="shared" si="428"/>
        <v>49.300000000000004</v>
      </c>
      <c r="AI1193" s="498"/>
      <c r="AJ1193" s="104" t="e">
        <f t="shared" si="430"/>
        <v>#REF!</v>
      </c>
      <c r="AK1193" s="650" t="e">
        <f t="shared" si="429"/>
        <v>#REF!</v>
      </c>
      <c r="AL1193" s="225">
        <f>Table1[[#This Row],[WSP/Dealer]]/Table1[[#This Row],[OD Sq Inch]]</f>
        <v>0.39424230307876851</v>
      </c>
      <c r="AM1193" s="101">
        <f>Table1[[#This Row],[OD Wdth]]*Table1[[#This Row],[OD Hgt]]</f>
        <v>2501</v>
      </c>
      <c r="AN1193" s="216">
        <f>Table1[[#This Row],[Min VO]]+Table1[[#This Row],[Max VO]]</f>
        <v>100</v>
      </c>
      <c r="AO1193" s="101"/>
      <c r="AP1193" s="101"/>
      <c r="AQ1193" s="104"/>
      <c r="AR1193" s="104"/>
      <c r="AS1193" s="104"/>
      <c r="AT1193" s="104"/>
      <c r="AU1193" s="830" t="str">
        <f t="shared" si="414"/>
        <v>-</v>
      </c>
    </row>
    <row r="1194" spans="1:47" s="173" customFormat="1" hidden="1" x14ac:dyDescent="0.2">
      <c r="A1194" s="400" t="s">
        <v>95</v>
      </c>
      <c r="B1194" s="1061" t="s">
        <v>96</v>
      </c>
      <c r="C1194" s="100" t="s">
        <v>2936</v>
      </c>
      <c r="D1194" s="94"/>
      <c r="E1194" s="115" t="s">
        <v>2937</v>
      </c>
      <c r="F1194" s="115" t="s">
        <v>1569</v>
      </c>
      <c r="G1194" s="101" t="s">
        <v>637</v>
      </c>
      <c r="H1194" s="101" t="s">
        <v>637</v>
      </c>
      <c r="I1194" s="101" t="s">
        <v>52</v>
      </c>
      <c r="J1194" s="487" t="s">
        <v>53</v>
      </c>
      <c r="K1194" s="101" t="s">
        <v>54</v>
      </c>
      <c r="L1194" s="101" t="s">
        <v>55</v>
      </c>
      <c r="M1194" s="299">
        <v>950</v>
      </c>
      <c r="N1194" s="102"/>
      <c r="O1194" s="101" t="s">
        <v>64</v>
      </c>
      <c r="P1194" s="101">
        <v>60</v>
      </c>
      <c r="Q1194" s="101">
        <v>48</v>
      </c>
      <c r="R1194" s="101">
        <v>48</v>
      </c>
      <c r="S1194" s="697">
        <v>60</v>
      </c>
      <c r="T1194" s="101">
        <v>60</v>
      </c>
      <c r="U1194" s="101">
        <v>48</v>
      </c>
      <c r="V1194" s="608">
        <f>IF(J1194="Canvas",P1194+Border,P1194)</f>
        <v>68</v>
      </c>
      <c r="W1194" s="608">
        <f>IF(J1194="Canvas",Q1194+Border,Q1194)</f>
        <v>56</v>
      </c>
      <c r="X1194" s="137">
        <v>69</v>
      </c>
      <c r="Y1194" s="101">
        <v>68</v>
      </c>
      <c r="Z1194" s="101">
        <v>56</v>
      </c>
      <c r="AA1194" s="649">
        <f t="shared" si="425"/>
        <v>26.444444444444443</v>
      </c>
      <c r="AB1194" s="184">
        <f t="shared" ref="AB1194:AB1203" si="431">AA1194*Swiss1</f>
        <v>748.37777777777774</v>
      </c>
      <c r="AC1194" s="104">
        <f t="shared" ref="AC1194:AC1203" si="432">AA1194*Canvas</f>
        <v>17.453333333333333</v>
      </c>
      <c r="AD1194" s="104">
        <f>Table1[[#This Row],[Substrate SF]]*SWISSC1</f>
        <v>74.044444444444437</v>
      </c>
      <c r="AE1194" s="104">
        <f>IF(Table1[[#This Row],[Work Center]]="SwissQ",Materials!G$37,IF(Table1[[#This Row],[Work Center]]="Inca",Materials!G$29,IF(Table1[[#This Row],[Work Center]]="Canon",Materials!G$49,Materials!G$45)))</f>
        <v>20</v>
      </c>
      <c r="AF1194" s="102">
        <f>'Cali FPS'!C121</f>
        <v>188.18</v>
      </c>
      <c r="AG1194" s="115"/>
      <c r="AH1194" s="104">
        <f t="shared" si="428"/>
        <v>47.5</v>
      </c>
      <c r="AI1194" s="104"/>
      <c r="AJ1194" s="104">
        <f t="shared" si="430"/>
        <v>347.17777777777781</v>
      </c>
      <c r="AK1194" s="830">
        <f t="shared" si="429"/>
        <v>0.6345497076023392</v>
      </c>
      <c r="AL1194" s="660">
        <f>Table1[[#This Row],[WSP/Dealer]]/Table1[[#This Row],[OD Sq Inch]]</f>
        <v>0.3298611111111111</v>
      </c>
      <c r="AM1194" s="266">
        <f>Table1[[#This Row],[OD Wdth]]*Table1[[#This Row],[OD Hgt]]</f>
        <v>2880</v>
      </c>
      <c r="AN1194" s="266">
        <f>Table1[[#This Row],[Min VO]]+Table1[[#This Row],[Max VO]]</f>
        <v>108</v>
      </c>
      <c r="AO1194" s="115"/>
      <c r="AP1194" s="115"/>
      <c r="AQ1194" s="121"/>
      <c r="AR1194" s="121"/>
      <c r="AS1194" s="121"/>
      <c r="AT1194" s="104"/>
      <c r="AU1194" s="1359" t="str">
        <f t="shared" si="414"/>
        <v>-</v>
      </c>
    </row>
    <row r="1195" spans="1:47" s="103" customFormat="1" hidden="1" x14ac:dyDescent="0.2">
      <c r="A1195" s="1302" t="s">
        <v>110</v>
      </c>
      <c r="B1195" s="1062" t="s">
        <v>96</v>
      </c>
      <c r="C1195" s="122" t="s">
        <v>2938</v>
      </c>
      <c r="D1195" s="168"/>
      <c r="E1195" s="327" t="s">
        <v>2939</v>
      </c>
      <c r="F1195" s="327" t="s">
        <v>114</v>
      </c>
      <c r="G1195" s="303" t="s">
        <v>647</v>
      </c>
      <c r="H1195" s="101" t="s">
        <v>2940</v>
      </c>
      <c r="I1195" s="303" t="s">
        <v>52</v>
      </c>
      <c r="J1195" s="1320" t="s">
        <v>257</v>
      </c>
      <c r="K1195" s="303" t="s">
        <v>258</v>
      </c>
      <c r="L1195" s="303" t="s">
        <v>269</v>
      </c>
      <c r="M1195" s="692">
        <v>350</v>
      </c>
      <c r="N1195" s="829">
        <v>350</v>
      </c>
      <c r="O1195" s="303" t="s">
        <v>64</v>
      </c>
      <c r="P1195" s="303">
        <v>20</v>
      </c>
      <c r="Q1195" s="303">
        <v>24</v>
      </c>
      <c r="R1195" s="303">
        <v>20</v>
      </c>
      <c r="S1195" s="303">
        <v>24</v>
      </c>
      <c r="T1195" s="303">
        <v>21</v>
      </c>
      <c r="U1195" s="303">
        <v>25</v>
      </c>
      <c r="V1195" s="1570">
        <f>IF(J1195="Canvas",P1195+Materials!C$5,P1195)</f>
        <v>20</v>
      </c>
      <c r="W1195" s="1570">
        <f>IF(J1195="Canvas",Q1195+Materials!C$5,Q1195)</f>
        <v>24</v>
      </c>
      <c r="X1195" s="1792" t="s">
        <v>257</v>
      </c>
      <c r="Y1195" s="303">
        <v>20</v>
      </c>
      <c r="Z1195" s="303">
        <v>24</v>
      </c>
      <c r="AA1195" s="1572">
        <f t="shared" si="425"/>
        <v>3.3333333333333335</v>
      </c>
      <c r="AB1195" s="1573">
        <f t="shared" si="431"/>
        <v>94.333333333333343</v>
      </c>
      <c r="AC1195" s="1199">
        <f t="shared" si="432"/>
        <v>2.2000000000000002</v>
      </c>
      <c r="AD1195" s="1199">
        <f>Table1[[#This Row],[Substrate SF]]*Materials!C$37</f>
        <v>9.3333333333333339</v>
      </c>
      <c r="AE1195" s="104">
        <f>IF(Table1[[#This Row],[Work Center]]="SwissQ",Materials!G$37,IF(Table1[[#This Row],[Work Center]]="Inca",Materials!G$29,IF(Table1[[#This Row],[Work Center]]="Canon",Materials!G$49,Materials!G$45)))</f>
        <v>20</v>
      </c>
      <c r="AF1195" s="388">
        <f>'Cali Frames'!D61</f>
        <v>95.182500000000005</v>
      </c>
      <c r="AG1195" s="327"/>
      <c r="AH1195" s="104">
        <f t="shared" si="428"/>
        <v>17.5</v>
      </c>
      <c r="AI1195" s="405">
        <f t="shared" ref="AI1195:AI1200" si="433">IF(A1195="Codarus",(M1195*0.13))</f>
        <v>45.5</v>
      </c>
      <c r="AJ1195" s="1800">
        <f t="shared" si="430"/>
        <v>144.21583333333334</v>
      </c>
      <c r="AK1195" s="830">
        <f t="shared" si="429"/>
        <v>0.58795476190476192</v>
      </c>
      <c r="AL1195" s="660">
        <f>Table1[[#This Row],[WSP/Dealer]]/Table1[[#This Row],[OD Sq Inch]]</f>
        <v>0.66666666666666663</v>
      </c>
      <c r="AM1195" s="1302">
        <f>Table1[[#This Row],[OD Wdth]]*Table1[[#This Row],[OD Hgt]]</f>
        <v>525</v>
      </c>
      <c r="AN1195" s="1302">
        <f>Table1[[#This Row],[Min VO]]+Table1[[#This Row],[Max VO]]</f>
        <v>44</v>
      </c>
      <c r="AO1195" s="327"/>
      <c r="AP1195" s="1200">
        <v>700</v>
      </c>
      <c r="AQ1195" s="1200">
        <f>(Table1[[#This Row],[Desgnr/Retail P]]*0.05)</f>
        <v>35</v>
      </c>
      <c r="AR1195" s="1200">
        <f t="shared" ref="AR1195:AR1200" si="434">IF(A1195="Codarus",(AP1195*0.13))</f>
        <v>91</v>
      </c>
      <c r="AS1195" s="1200">
        <f>SUM(Table1[[#This Row],[Substrate $]:[GP FINISH]])+Table1[[#This Row],[Retail Royalty]]+Table1[[#This Row],[Retail$Comm]]</f>
        <v>252.71583333333334</v>
      </c>
      <c r="AT1195" s="1334">
        <f t="shared" ref="AT1195:AT1200" si="435">IF(AP1195=0,"-",(AP1195-AS1195)/AP1195)</f>
        <v>0.63897738095238099</v>
      </c>
      <c r="AU1195" s="1379">
        <f t="shared" si="414"/>
        <v>0.98174350340136052</v>
      </c>
    </row>
    <row r="1196" spans="1:47" s="103" customFormat="1" hidden="1" x14ac:dyDescent="0.2">
      <c r="A1196" s="1302" t="s">
        <v>110</v>
      </c>
      <c r="B1196" s="1322" t="s">
        <v>486</v>
      </c>
      <c r="C1196" s="122" t="s">
        <v>2941</v>
      </c>
      <c r="D1196" s="168"/>
      <c r="E1196" s="327" t="s">
        <v>2939</v>
      </c>
      <c r="F1196" s="327" t="s">
        <v>114</v>
      </c>
      <c r="G1196" s="303" t="s">
        <v>647</v>
      </c>
      <c r="H1196" s="303" t="s">
        <v>2940</v>
      </c>
      <c r="I1196" s="303" t="s">
        <v>52</v>
      </c>
      <c r="J1196" s="1320" t="s">
        <v>257</v>
      </c>
      <c r="K1196" s="303" t="s">
        <v>258</v>
      </c>
      <c r="L1196" s="303" t="s">
        <v>259</v>
      </c>
      <c r="M1196" s="494">
        <v>350</v>
      </c>
      <c r="N1196" s="114"/>
      <c r="O1196" s="303" t="s">
        <v>64</v>
      </c>
      <c r="P1196" s="303">
        <v>20</v>
      </c>
      <c r="Q1196" s="303">
        <v>24</v>
      </c>
      <c r="R1196" s="303">
        <v>20</v>
      </c>
      <c r="S1196" s="303">
        <v>24</v>
      </c>
      <c r="T1196" s="303">
        <v>21</v>
      </c>
      <c r="U1196" s="303">
        <v>25</v>
      </c>
      <c r="V1196" s="1570">
        <f>IF(J1196="Canvas",P1196+Materials!C$5,P1196)</f>
        <v>20</v>
      </c>
      <c r="W1196" s="1570">
        <f>IF(J1196="Canvas",Q1196+Materials!C$5,Q1196)</f>
        <v>24</v>
      </c>
      <c r="X1196" s="1792" t="s">
        <v>257</v>
      </c>
      <c r="Y1196" s="303">
        <v>20</v>
      </c>
      <c r="Z1196" s="303">
        <v>24</v>
      </c>
      <c r="AA1196" s="1572">
        <f t="shared" si="425"/>
        <v>3.3333333333333335</v>
      </c>
      <c r="AB1196" s="1573">
        <f t="shared" si="431"/>
        <v>94.333333333333343</v>
      </c>
      <c r="AC1196" s="1199">
        <f t="shared" si="432"/>
        <v>2.2000000000000002</v>
      </c>
      <c r="AD1196" s="1199">
        <f>Table1[[#This Row],[Substrate SF]]*Materials!C$37</f>
        <v>9.3333333333333339</v>
      </c>
      <c r="AE1196" s="104">
        <f>IF(Table1[[#This Row],[Work Center]]="SwissQ",Materials!G$37,IF(Table1[[#This Row],[Work Center]]="Inca",Materials!G$29,IF(Table1[[#This Row],[Work Center]]="Canon",Materials!G$49,Materials!G$45)))</f>
        <v>20</v>
      </c>
      <c r="AF1196" s="388">
        <f>'Cali Frames'!D31</f>
        <v>88</v>
      </c>
      <c r="AG1196" s="327"/>
      <c r="AH1196" s="104">
        <f t="shared" si="428"/>
        <v>17.5</v>
      </c>
      <c r="AI1196" s="406">
        <f t="shared" si="433"/>
        <v>45.5</v>
      </c>
      <c r="AJ1196" s="1800">
        <f t="shared" si="430"/>
        <v>137.03333333333333</v>
      </c>
      <c r="AK1196" s="830">
        <f t="shared" si="429"/>
        <v>0.6084761904761905</v>
      </c>
      <c r="AL1196" s="660">
        <f>Table1[[#This Row],[WSP/Dealer]]/Table1[[#This Row],[OD Sq Inch]]</f>
        <v>0.66666666666666663</v>
      </c>
      <c r="AM1196" s="1302">
        <f>Table1[[#This Row],[OD Wdth]]*Table1[[#This Row],[OD Hgt]]</f>
        <v>525</v>
      </c>
      <c r="AN1196" s="1302">
        <f>Table1[[#This Row],[Min VO]]+Table1[[#This Row],[Max VO]]</f>
        <v>44</v>
      </c>
      <c r="AO1196" s="327"/>
      <c r="AP1196" s="1200">
        <v>700</v>
      </c>
      <c r="AQ1196" s="1200">
        <f>(Table1[[#This Row],[Desgnr/Retail P]]*0.05)</f>
        <v>35</v>
      </c>
      <c r="AR1196" s="1200">
        <f t="shared" si="434"/>
        <v>91</v>
      </c>
      <c r="AS1196" s="1200">
        <f>SUM(Table1[[#This Row],[Substrate $]:[GP FINISH]])+Table1[[#This Row],[Retail Royalty]]+Table1[[#This Row],[Retail$Comm]]</f>
        <v>245.53333333333333</v>
      </c>
      <c r="AT1196" s="1334">
        <f t="shared" si="435"/>
        <v>0.64923809523809528</v>
      </c>
      <c r="AU1196" s="1379">
        <f t="shared" si="414"/>
        <v>0.98145034013605437</v>
      </c>
    </row>
    <row r="1197" spans="1:47" s="103" customFormat="1" hidden="1" x14ac:dyDescent="0.2">
      <c r="A1197" s="400" t="s">
        <v>110</v>
      </c>
      <c r="B1197" s="1322" t="s">
        <v>96</v>
      </c>
      <c r="C1197" s="122" t="s">
        <v>2942</v>
      </c>
      <c r="D1197" s="168"/>
      <c r="E1197" s="327" t="s">
        <v>2943</v>
      </c>
      <c r="F1197" s="327" t="s">
        <v>114</v>
      </c>
      <c r="G1197" s="303" t="s">
        <v>647</v>
      </c>
      <c r="H1197" s="303" t="s">
        <v>2940</v>
      </c>
      <c r="I1197" s="303" t="s">
        <v>52</v>
      </c>
      <c r="J1197" s="1320" t="s">
        <v>257</v>
      </c>
      <c r="K1197" s="101" t="s">
        <v>258</v>
      </c>
      <c r="L1197" s="303" t="s">
        <v>269</v>
      </c>
      <c r="M1197" s="299">
        <v>350</v>
      </c>
      <c r="N1197" s="829">
        <v>350</v>
      </c>
      <c r="O1197" s="303" t="s">
        <v>64</v>
      </c>
      <c r="P1197" s="303">
        <v>20</v>
      </c>
      <c r="Q1197" s="303">
        <v>24</v>
      </c>
      <c r="R1197" s="303">
        <v>20</v>
      </c>
      <c r="S1197" s="303">
        <v>24</v>
      </c>
      <c r="T1197" s="303">
        <v>21</v>
      </c>
      <c r="U1197" s="303">
        <v>25</v>
      </c>
      <c r="V1197" s="608">
        <f>IF(J1197="Canvas",P1197+Materials!C$5,P1197)</f>
        <v>20</v>
      </c>
      <c r="W1197" s="608">
        <f>IF(J1197="Canvas",Q1197+Materials!C$5,Q1197)</f>
        <v>24</v>
      </c>
      <c r="X1197" s="1792" t="s">
        <v>257</v>
      </c>
      <c r="Y1197" s="303">
        <v>20</v>
      </c>
      <c r="Z1197" s="303">
        <v>24</v>
      </c>
      <c r="AA1197" s="649">
        <f t="shared" si="425"/>
        <v>3.3333333333333335</v>
      </c>
      <c r="AB1197" s="184">
        <f t="shared" si="431"/>
        <v>94.333333333333343</v>
      </c>
      <c r="AC1197" s="104">
        <f t="shared" si="432"/>
        <v>2.2000000000000002</v>
      </c>
      <c r="AD1197" s="107">
        <f>Table1[[#This Row],[Substrate SF]]*Materials!C$37</f>
        <v>9.3333333333333339</v>
      </c>
      <c r="AE1197" s="104">
        <f>IF(Table1[[#This Row],[Work Center]]="SwissQ",Materials!G$37,IF(Table1[[#This Row],[Work Center]]="Inca",Materials!G$29,IF(Table1[[#This Row],[Work Center]]="Canon",Materials!G$49,Materials!G$45)))</f>
        <v>20</v>
      </c>
      <c r="AF1197" s="388">
        <f>'Cali Frames'!D61</f>
        <v>95.182500000000005</v>
      </c>
      <c r="AG1197" s="327"/>
      <c r="AH1197" s="104">
        <f t="shared" si="428"/>
        <v>17.5</v>
      </c>
      <c r="AI1197" s="406">
        <f t="shared" si="433"/>
        <v>45.5</v>
      </c>
      <c r="AJ1197" s="406">
        <f t="shared" si="430"/>
        <v>144.21583333333334</v>
      </c>
      <c r="AK1197" s="830">
        <f t="shared" si="429"/>
        <v>0.58795476190476192</v>
      </c>
      <c r="AL1197" s="660">
        <f>Table1[[#This Row],[WSP/Dealer]]/Table1[[#This Row],[OD Sq Inch]]</f>
        <v>0.66666666666666663</v>
      </c>
      <c r="AM1197" s="399">
        <f>Table1[[#This Row],[OD Wdth]]*Table1[[#This Row],[OD Hgt]]</f>
        <v>525</v>
      </c>
      <c r="AN1197" s="400">
        <f>Table1[[#This Row],[Min VO]]+Table1[[#This Row],[Max VO]]</f>
        <v>44</v>
      </c>
      <c r="AO1197" s="327"/>
      <c r="AP1197" s="327"/>
      <c r="AQ1197" s="1200">
        <f>(Table1[[#This Row],[Desgnr/Retail P]]*0.05)</f>
        <v>0</v>
      </c>
      <c r="AR1197" s="1200">
        <f t="shared" si="434"/>
        <v>0</v>
      </c>
      <c r="AS1197" s="1200">
        <f>SUM(Table1[[#This Row],[Substrate $]:[GP FINISH]])+Table1[[#This Row],[Retail Royalty]]+Table1[[#This Row],[Retail$Comm]]</f>
        <v>126.71583333333334</v>
      </c>
      <c r="AT1197" s="1334" t="str">
        <f t="shared" si="435"/>
        <v>-</v>
      </c>
      <c r="AU1197" s="1379" t="str">
        <f t="shared" si="414"/>
        <v>-</v>
      </c>
    </row>
    <row r="1198" spans="1:47" s="103" customFormat="1" hidden="1" x14ac:dyDescent="0.2">
      <c r="A1198" s="400" t="s">
        <v>110</v>
      </c>
      <c r="B1198" s="1062" t="s">
        <v>96</v>
      </c>
      <c r="C1198" s="122" t="s">
        <v>2944</v>
      </c>
      <c r="D1198" s="168"/>
      <c r="E1198" s="327" t="s">
        <v>2945</v>
      </c>
      <c r="F1198" s="327" t="s">
        <v>114</v>
      </c>
      <c r="G1198" s="303" t="s">
        <v>647</v>
      </c>
      <c r="H1198" s="303" t="s">
        <v>2940</v>
      </c>
      <c r="I1198" s="303" t="s">
        <v>52</v>
      </c>
      <c r="J1198" s="1320" t="s">
        <v>257</v>
      </c>
      <c r="K1198" s="101" t="s">
        <v>258</v>
      </c>
      <c r="L1198" s="303" t="s">
        <v>269</v>
      </c>
      <c r="M1198" s="299">
        <v>350</v>
      </c>
      <c r="N1198" s="829">
        <v>350</v>
      </c>
      <c r="O1198" s="303" t="s">
        <v>64</v>
      </c>
      <c r="P1198" s="303">
        <v>20</v>
      </c>
      <c r="Q1198" s="303">
        <v>24</v>
      </c>
      <c r="R1198" s="303">
        <v>20</v>
      </c>
      <c r="S1198" s="303">
        <v>24</v>
      </c>
      <c r="T1198" s="303">
        <v>21</v>
      </c>
      <c r="U1198" s="303">
        <v>25</v>
      </c>
      <c r="V1198" s="608">
        <f>IF(J1198="Canvas",P1198+Materials!C$5,P1198)</f>
        <v>20</v>
      </c>
      <c r="W1198" s="608">
        <f>IF(J1198="Canvas",Q1198+Materials!C$5,Q1198)</f>
        <v>24</v>
      </c>
      <c r="X1198" s="1792" t="s">
        <v>257</v>
      </c>
      <c r="Y1198" s="303">
        <v>20</v>
      </c>
      <c r="Z1198" s="303">
        <v>24</v>
      </c>
      <c r="AA1198" s="649">
        <f t="shared" si="425"/>
        <v>3.3333333333333335</v>
      </c>
      <c r="AB1198" s="184">
        <f t="shared" si="431"/>
        <v>94.333333333333343</v>
      </c>
      <c r="AC1198" s="104">
        <f t="shared" si="432"/>
        <v>2.2000000000000002</v>
      </c>
      <c r="AD1198" s="104">
        <f>Table1[[#This Row],[Substrate SF]]*Materials!C$37</f>
        <v>9.3333333333333339</v>
      </c>
      <c r="AE1198" s="104">
        <f>IF(Table1[[#This Row],[Work Center]]="SwissQ",Materials!G$37,IF(Table1[[#This Row],[Work Center]]="Inca",Materials!G$29,IF(Table1[[#This Row],[Work Center]]="Canon",Materials!G$49,Materials!G$45)))</f>
        <v>20</v>
      </c>
      <c r="AF1198" s="388">
        <f>'Cali Frames'!D61</f>
        <v>95.182500000000005</v>
      </c>
      <c r="AG1198" s="327"/>
      <c r="AH1198" s="104">
        <f t="shared" si="428"/>
        <v>17.5</v>
      </c>
      <c r="AI1198" s="406">
        <f t="shared" si="433"/>
        <v>45.5</v>
      </c>
      <c r="AJ1198" s="406">
        <f t="shared" si="430"/>
        <v>144.21583333333334</v>
      </c>
      <c r="AK1198" s="830">
        <f t="shared" si="429"/>
        <v>0.58795476190476192</v>
      </c>
      <c r="AL1198" s="660">
        <f>Table1[[#This Row],[WSP/Dealer]]/Table1[[#This Row],[OD Sq Inch]]</f>
        <v>0.66666666666666663</v>
      </c>
      <c r="AM1198" s="400">
        <f>Table1[[#This Row],[OD Wdth]]*Table1[[#This Row],[OD Hgt]]</f>
        <v>525</v>
      </c>
      <c r="AN1198" s="400">
        <f>Table1[[#This Row],[Min VO]]+Table1[[#This Row],[Max VO]]</f>
        <v>44</v>
      </c>
      <c r="AO1198" s="327"/>
      <c r="AP1198" s="327"/>
      <c r="AQ1198" s="1200">
        <f>(Table1[[#This Row],[Desgnr/Retail P]]*0.05)</f>
        <v>0</v>
      </c>
      <c r="AR1198" s="1200">
        <f t="shared" si="434"/>
        <v>0</v>
      </c>
      <c r="AS1198" s="1200">
        <f>SUM(Table1[[#This Row],[Substrate $]:[GP FINISH]])+Table1[[#This Row],[Retail Royalty]]+Table1[[#This Row],[Retail$Comm]]</f>
        <v>126.71583333333334</v>
      </c>
      <c r="AT1198" s="1334" t="str">
        <f t="shared" si="435"/>
        <v>-</v>
      </c>
      <c r="AU1198" s="1379" t="str">
        <f t="shared" si="414"/>
        <v>-</v>
      </c>
    </row>
    <row r="1199" spans="1:47" s="103" customFormat="1" hidden="1" x14ac:dyDescent="0.2">
      <c r="A1199" s="400" t="s">
        <v>110</v>
      </c>
      <c r="B1199" s="1322" t="s">
        <v>96</v>
      </c>
      <c r="C1199" s="122" t="s">
        <v>2946</v>
      </c>
      <c r="D1199" s="168"/>
      <c r="E1199" s="327" t="s">
        <v>2947</v>
      </c>
      <c r="F1199" s="327" t="s">
        <v>114</v>
      </c>
      <c r="G1199" s="303" t="s">
        <v>647</v>
      </c>
      <c r="H1199" s="303" t="s">
        <v>1213</v>
      </c>
      <c r="I1199" s="303" t="s">
        <v>52</v>
      </c>
      <c r="J1199" s="1320" t="s">
        <v>257</v>
      </c>
      <c r="K1199" s="101" t="s">
        <v>258</v>
      </c>
      <c r="L1199" s="303" t="s">
        <v>269</v>
      </c>
      <c r="M1199" s="299">
        <v>350</v>
      </c>
      <c r="N1199" s="829">
        <v>350</v>
      </c>
      <c r="O1199" s="303" t="s">
        <v>64</v>
      </c>
      <c r="P1199" s="303">
        <v>20</v>
      </c>
      <c r="Q1199" s="303">
        <v>24</v>
      </c>
      <c r="R1199" s="303">
        <v>20</v>
      </c>
      <c r="S1199" s="303">
        <v>24</v>
      </c>
      <c r="T1199" s="303">
        <v>21</v>
      </c>
      <c r="U1199" s="303">
        <v>25</v>
      </c>
      <c r="V1199" s="608">
        <f>IF(J1199="Canvas",P1199+Materials!C$5,P1199)</f>
        <v>20</v>
      </c>
      <c r="W1199" s="608">
        <f>IF(J1199="Canvas",Q1199+Materials!C$5,Q1199)</f>
        <v>24</v>
      </c>
      <c r="X1199" s="1395"/>
      <c r="Y1199" s="303">
        <v>20</v>
      </c>
      <c r="Z1199" s="303">
        <v>24</v>
      </c>
      <c r="AA1199" s="649">
        <f t="shared" si="425"/>
        <v>3.3333333333333335</v>
      </c>
      <c r="AB1199" s="184">
        <f t="shared" si="431"/>
        <v>94.333333333333343</v>
      </c>
      <c r="AC1199" s="104">
        <f t="shared" si="432"/>
        <v>2.2000000000000002</v>
      </c>
      <c r="AD1199" s="104">
        <f>Table1[[#This Row],[Substrate SF]]*Materials!C$37</f>
        <v>9.3333333333333339</v>
      </c>
      <c r="AE1199" s="104">
        <f>IF(Table1[[#This Row],[Work Center]]="SwissQ",Materials!G$37,IF(Table1[[#This Row],[Work Center]]="Inca",Materials!G$29,IF(Table1[[#This Row],[Work Center]]="Canon",Materials!G$49,Materials!G$45)))</f>
        <v>20</v>
      </c>
      <c r="AF1199" s="388">
        <f>'Cali Frames'!D61</f>
        <v>95.182500000000005</v>
      </c>
      <c r="AG1199" s="327"/>
      <c r="AH1199" s="104">
        <f t="shared" si="428"/>
        <v>17.5</v>
      </c>
      <c r="AI1199" s="406">
        <f t="shared" si="433"/>
        <v>45.5</v>
      </c>
      <c r="AJ1199" s="406">
        <f t="shared" si="430"/>
        <v>144.21583333333334</v>
      </c>
      <c r="AK1199" s="830">
        <f t="shared" si="429"/>
        <v>0.58795476190476192</v>
      </c>
      <c r="AL1199" s="660">
        <f>Table1[[#This Row],[WSP/Dealer]]/Table1[[#This Row],[OD Sq Inch]]</f>
        <v>0.66666666666666663</v>
      </c>
      <c r="AM1199" s="400">
        <f>Table1[[#This Row],[OD Wdth]]*Table1[[#This Row],[OD Hgt]]</f>
        <v>525</v>
      </c>
      <c r="AN1199" s="400">
        <f>Table1[[#This Row],[Min VO]]+Table1[[#This Row],[Max VO]]</f>
        <v>44</v>
      </c>
      <c r="AO1199" s="327"/>
      <c r="AP1199" s="327"/>
      <c r="AQ1199" s="1200">
        <f>(Table1[[#This Row],[Desgnr/Retail P]]*0.05)</f>
        <v>0</v>
      </c>
      <c r="AR1199" s="1200">
        <f t="shared" si="434"/>
        <v>0</v>
      </c>
      <c r="AS1199" s="1200">
        <f>SUM(Table1[[#This Row],[Substrate $]:[GP FINISH]])+Table1[[#This Row],[Retail Royalty]]+Table1[[#This Row],[Retail$Comm]]</f>
        <v>126.71583333333334</v>
      </c>
      <c r="AT1199" s="1334" t="str">
        <f t="shared" si="435"/>
        <v>-</v>
      </c>
      <c r="AU1199" s="1379" t="str">
        <f t="shared" si="414"/>
        <v>-</v>
      </c>
    </row>
    <row r="1200" spans="1:47" s="103" customFormat="1" hidden="1" x14ac:dyDescent="0.2">
      <c r="A1200" s="400" t="s">
        <v>110</v>
      </c>
      <c r="B1200" s="1322" t="s">
        <v>486</v>
      </c>
      <c r="C1200" s="122" t="s">
        <v>2948</v>
      </c>
      <c r="D1200" s="168"/>
      <c r="E1200" s="327" t="s">
        <v>2947</v>
      </c>
      <c r="F1200" s="327" t="s">
        <v>114</v>
      </c>
      <c r="G1200" s="303" t="s">
        <v>647</v>
      </c>
      <c r="H1200" s="101" t="s">
        <v>1213</v>
      </c>
      <c r="I1200" s="303" t="s">
        <v>52</v>
      </c>
      <c r="J1200" s="1320" t="s">
        <v>257</v>
      </c>
      <c r="K1200" s="101" t="s">
        <v>258</v>
      </c>
      <c r="L1200" s="303" t="s">
        <v>259</v>
      </c>
      <c r="M1200" s="114">
        <v>350</v>
      </c>
      <c r="N1200" s="114"/>
      <c r="O1200" s="303" t="s">
        <v>64</v>
      </c>
      <c r="P1200" s="303">
        <v>20</v>
      </c>
      <c r="Q1200" s="303">
        <v>24</v>
      </c>
      <c r="R1200" s="303">
        <v>20</v>
      </c>
      <c r="S1200" s="303">
        <v>24</v>
      </c>
      <c r="T1200" s="303">
        <v>21</v>
      </c>
      <c r="U1200" s="303">
        <v>25</v>
      </c>
      <c r="V1200" s="608">
        <f>IF(J1200="Canvas",P1200+Materials!C$5,P1200)</f>
        <v>20</v>
      </c>
      <c r="W1200" s="608">
        <f>IF(J1200="Canvas",Q1200+Materials!C$5,Q1200)</f>
        <v>24</v>
      </c>
      <c r="X1200" s="303" t="s">
        <v>257</v>
      </c>
      <c r="Y1200" s="303">
        <v>20</v>
      </c>
      <c r="Z1200" s="303">
        <v>24</v>
      </c>
      <c r="AA1200" s="649">
        <f t="shared" si="425"/>
        <v>3.3333333333333335</v>
      </c>
      <c r="AB1200" s="184">
        <f t="shared" si="431"/>
        <v>94.333333333333343</v>
      </c>
      <c r="AC1200" s="104">
        <f t="shared" si="432"/>
        <v>2.2000000000000002</v>
      </c>
      <c r="AD1200" s="104">
        <f>Table1[[#This Row],[Substrate SF]]*Materials!C$37</f>
        <v>9.3333333333333339</v>
      </c>
      <c r="AE1200" s="104">
        <f>IF(Table1[[#This Row],[Work Center]]="SwissQ",Materials!G$37,IF(Table1[[#This Row],[Work Center]]="Inca",Materials!G$29,IF(Table1[[#This Row],[Work Center]]="Canon",Materials!G$49,Materials!G$45)))</f>
        <v>20</v>
      </c>
      <c r="AF1200" s="388">
        <f>'Cali Frames'!D31</f>
        <v>88</v>
      </c>
      <c r="AG1200" s="327"/>
      <c r="AH1200" s="104">
        <f t="shared" si="428"/>
        <v>17.5</v>
      </c>
      <c r="AI1200" s="406">
        <f t="shared" si="433"/>
        <v>45.5</v>
      </c>
      <c r="AJ1200" s="406">
        <f t="shared" si="430"/>
        <v>137.03333333333333</v>
      </c>
      <c r="AK1200" s="830">
        <f t="shared" si="429"/>
        <v>0.6084761904761905</v>
      </c>
      <c r="AL1200" s="660">
        <f>Table1[[#This Row],[WSP/Dealer]]/Table1[[#This Row],[OD Sq Inch]]</f>
        <v>0.66666666666666663</v>
      </c>
      <c r="AM1200" s="400">
        <f>Table1[[#This Row],[OD Wdth]]*Table1[[#This Row],[OD Hgt]]</f>
        <v>525</v>
      </c>
      <c r="AN1200" s="400">
        <f>Table1[[#This Row],[Min VO]]+Table1[[#This Row],[Max VO]]</f>
        <v>44</v>
      </c>
      <c r="AO1200" s="327"/>
      <c r="AP1200" s="1200">
        <v>700</v>
      </c>
      <c r="AQ1200" s="1200">
        <f>(Table1[[#This Row],[Desgnr/Retail P]]*0.05)</f>
        <v>35</v>
      </c>
      <c r="AR1200" s="1200">
        <f t="shared" si="434"/>
        <v>91</v>
      </c>
      <c r="AS1200" s="1200">
        <f>SUM(Table1[[#This Row],[Substrate $]:[GP FINISH]])+Table1[[#This Row],[Retail Royalty]]+Table1[[#This Row],[Retail$Comm]]</f>
        <v>245.53333333333333</v>
      </c>
      <c r="AT1200" s="1334">
        <f t="shared" si="435"/>
        <v>0.64923809523809528</v>
      </c>
      <c r="AU1200" s="1379">
        <f t="shared" si="414"/>
        <v>0.98145034013605437</v>
      </c>
    </row>
    <row r="1201" spans="1:47" s="103" customFormat="1" x14ac:dyDescent="0.2">
      <c r="A1201" s="180" t="s">
        <v>58</v>
      </c>
      <c r="B1201" s="1061" t="s">
        <v>96</v>
      </c>
      <c r="C1201" s="80" t="s">
        <v>2949</v>
      </c>
      <c r="D1201" s="94"/>
      <c r="E1201" s="492" t="s">
        <v>2950</v>
      </c>
      <c r="F1201" s="492" t="s">
        <v>114</v>
      </c>
      <c r="G1201" s="92" t="s">
        <v>647</v>
      </c>
      <c r="H1201" s="91" t="s">
        <v>1213</v>
      </c>
      <c r="I1201" s="92" t="s">
        <v>52</v>
      </c>
      <c r="J1201" s="797" t="s">
        <v>257</v>
      </c>
      <c r="K1201" s="60" t="s">
        <v>258</v>
      </c>
      <c r="L1201" s="92" t="s">
        <v>269</v>
      </c>
      <c r="M1201" s="179">
        <v>350</v>
      </c>
      <c r="N1201" s="656">
        <v>350</v>
      </c>
      <c r="O1201" s="92" t="s">
        <v>64</v>
      </c>
      <c r="P1201" s="92">
        <v>20</v>
      </c>
      <c r="Q1201" s="92">
        <v>24</v>
      </c>
      <c r="R1201" s="92">
        <v>20</v>
      </c>
      <c r="S1201" s="92">
        <v>24</v>
      </c>
      <c r="T1201" s="92">
        <v>21</v>
      </c>
      <c r="U1201" s="92">
        <v>25</v>
      </c>
      <c r="V1201" s="946">
        <f>IF(J1201="Canvas",P1201+Materials!C$5,P1201)</f>
        <v>20</v>
      </c>
      <c r="W1201" s="946">
        <f>IF(J1201="Canvas",Q1201+Materials!C$5,Q1201)</f>
        <v>24</v>
      </c>
      <c r="X1201" s="1282"/>
      <c r="Y1201" s="92">
        <v>20</v>
      </c>
      <c r="Z1201" s="92">
        <v>24</v>
      </c>
      <c r="AA1201" s="717">
        <f t="shared" si="425"/>
        <v>3.3333333333333335</v>
      </c>
      <c r="AB1201" s="125">
        <f t="shared" si="431"/>
        <v>94.333333333333343</v>
      </c>
      <c r="AC1201" s="69">
        <f t="shared" si="432"/>
        <v>2.2000000000000002</v>
      </c>
      <c r="AD1201" s="69">
        <f>Table1[[#This Row],[Substrate SF]]*Materials!C$37</f>
        <v>9.3333333333333339</v>
      </c>
      <c r="AE1201" s="69">
        <f>IF(Table1[[#This Row],[Work Center]]="SwissQ",Materials!G$37,IF(Table1[[#This Row],[Work Center]]="Inca",Materials!G$29,IF(Table1[[#This Row],[Work Center]]="Canon",Materials!G$49,Materials!G$45)))</f>
        <v>20</v>
      </c>
      <c r="AF1201" s="1280">
        <f>'Cali Frames'!D61</f>
        <v>95.182500000000005</v>
      </c>
      <c r="AG1201" s="492"/>
      <c r="AH1201" s="69">
        <f t="shared" si="428"/>
        <v>17.5</v>
      </c>
      <c r="AI1201" s="69"/>
      <c r="AJ1201" s="176">
        <f t="shared" si="430"/>
        <v>144.21583333333334</v>
      </c>
      <c r="AK1201" s="650">
        <f t="shared" si="429"/>
        <v>0.58795476190476192</v>
      </c>
      <c r="AL1201" s="225">
        <f>Table1[[#This Row],[WSP/Dealer]]/Table1[[#This Row],[OD Sq Inch]]</f>
        <v>0.66666666666666663</v>
      </c>
      <c r="AM1201" s="180">
        <f>Table1[[#This Row],[OD Wdth]]*Table1[[#This Row],[OD Hgt]]</f>
        <v>525</v>
      </c>
      <c r="AN1201" s="180">
        <f>Table1[[#This Row],[Min VO]]+Table1[[#This Row],[Max VO]]</f>
        <v>44</v>
      </c>
      <c r="AO1201" s="492"/>
      <c r="AP1201" s="492"/>
      <c r="AQ1201" s="1813"/>
      <c r="AR1201" s="1813"/>
      <c r="AS1201" s="1813"/>
      <c r="AT1201" s="1321"/>
      <c r="AU1201" s="1823" t="str">
        <f t="shared" si="414"/>
        <v>-</v>
      </c>
    </row>
    <row r="1202" spans="1:47" s="103" customFormat="1" hidden="1" x14ac:dyDescent="0.2">
      <c r="A1202" s="400" t="s">
        <v>110</v>
      </c>
      <c r="B1202" s="1062" t="s">
        <v>486</v>
      </c>
      <c r="C1202" s="122" t="s">
        <v>2951</v>
      </c>
      <c r="D1202" s="168"/>
      <c r="E1202" s="327" t="s">
        <v>2952</v>
      </c>
      <c r="F1202" s="327" t="s">
        <v>114</v>
      </c>
      <c r="G1202" s="303" t="s">
        <v>647</v>
      </c>
      <c r="H1202" s="303" t="s">
        <v>2940</v>
      </c>
      <c r="I1202" s="303" t="s">
        <v>52</v>
      </c>
      <c r="J1202" s="1320" t="s">
        <v>257</v>
      </c>
      <c r="K1202" s="101" t="s">
        <v>258</v>
      </c>
      <c r="L1202" s="303" t="s">
        <v>259</v>
      </c>
      <c r="M1202" s="114">
        <v>350</v>
      </c>
      <c r="N1202" s="114"/>
      <c r="O1202" s="303" t="s">
        <v>64</v>
      </c>
      <c r="P1202" s="303">
        <v>20</v>
      </c>
      <c r="Q1202" s="303">
        <v>24</v>
      </c>
      <c r="R1202" s="303">
        <v>20</v>
      </c>
      <c r="S1202" s="303">
        <v>24</v>
      </c>
      <c r="T1202" s="303">
        <v>21</v>
      </c>
      <c r="U1202" s="303">
        <v>25</v>
      </c>
      <c r="V1202" s="608">
        <f>IF(J1202="Canvas",P1202+Materials!C$5,P1202)</f>
        <v>20</v>
      </c>
      <c r="W1202" s="608">
        <f>IF(J1202="Canvas",Q1202+Materials!C$5,Q1202)</f>
        <v>24</v>
      </c>
      <c r="X1202" s="303" t="s">
        <v>257</v>
      </c>
      <c r="Y1202" s="303">
        <v>20</v>
      </c>
      <c r="Z1202" s="303">
        <v>24</v>
      </c>
      <c r="AA1202" s="649">
        <f t="shared" si="425"/>
        <v>3.3333333333333335</v>
      </c>
      <c r="AB1202" s="184">
        <f t="shared" si="431"/>
        <v>94.333333333333343</v>
      </c>
      <c r="AC1202" s="104">
        <f t="shared" si="432"/>
        <v>2.2000000000000002</v>
      </c>
      <c r="AD1202" s="104">
        <f>Table1[[#This Row],[Substrate SF]]*Materials!C$37</f>
        <v>9.3333333333333339</v>
      </c>
      <c r="AE1202" s="104">
        <f>IF(Table1[[#This Row],[Work Center]]="SwissQ",Materials!G$37,IF(Table1[[#This Row],[Work Center]]="Inca",Materials!G$29,IF(Table1[[#This Row],[Work Center]]="Canon",Materials!G$49,Materials!G$45)))</f>
        <v>20</v>
      </c>
      <c r="AF1202" s="388">
        <f>'Cali Frames'!D31</f>
        <v>88</v>
      </c>
      <c r="AG1202" s="327"/>
      <c r="AH1202" s="104">
        <f t="shared" si="428"/>
        <v>17.5</v>
      </c>
      <c r="AI1202" s="406">
        <f>IF(A1202="Codarus",(M1202*0.13))</f>
        <v>45.5</v>
      </c>
      <c r="AJ1202" s="406">
        <f t="shared" si="430"/>
        <v>137.03333333333333</v>
      </c>
      <c r="AK1202" s="830">
        <f t="shared" si="429"/>
        <v>0.6084761904761905</v>
      </c>
      <c r="AL1202" s="660">
        <f>Table1[[#This Row],[WSP/Dealer]]/Table1[[#This Row],[OD Sq Inch]]</f>
        <v>0.66666666666666663</v>
      </c>
      <c r="AM1202" s="400">
        <f>Table1[[#This Row],[OD Wdth]]*Table1[[#This Row],[OD Hgt]]</f>
        <v>525</v>
      </c>
      <c r="AN1202" s="400">
        <f>Table1[[#This Row],[Min VO]]+Table1[[#This Row],[Max VO]]</f>
        <v>44</v>
      </c>
      <c r="AO1202" s="327"/>
      <c r="AP1202" s="1200">
        <v>700</v>
      </c>
      <c r="AQ1202" s="1200">
        <f>(Table1[[#This Row],[Desgnr/Retail P]]*0.05)</f>
        <v>35</v>
      </c>
      <c r="AR1202" s="1200">
        <f>IF(A1202="Codarus",(AP1202*0.13))</f>
        <v>91</v>
      </c>
      <c r="AS1202" s="121">
        <f>SUM(Table1[[#This Row],[Substrate $]:[GP FINISH]])+Table1[[#This Row],[Retail Royalty]]+Table1[[#This Row],[Retail$Comm]]</f>
        <v>245.53333333333333</v>
      </c>
      <c r="AT1202" s="830">
        <f>IF(AP1202=0,"-",(AP1202-AS1202)/AP1202)</f>
        <v>0.64923809523809528</v>
      </c>
      <c r="AU1202" s="1379">
        <f t="shared" si="414"/>
        <v>0.98145034013605437</v>
      </c>
    </row>
    <row r="1203" spans="1:47" s="103" customFormat="1" hidden="1" x14ac:dyDescent="0.2">
      <c r="A1203" s="400" t="s">
        <v>996</v>
      </c>
      <c r="B1203" s="1322" t="s">
        <v>96</v>
      </c>
      <c r="C1203" s="122" t="s">
        <v>2953</v>
      </c>
      <c r="D1203" s="168"/>
      <c r="E1203" s="327" t="s">
        <v>2952</v>
      </c>
      <c r="F1203" s="327" t="s">
        <v>114</v>
      </c>
      <c r="G1203" s="303" t="s">
        <v>647</v>
      </c>
      <c r="H1203" s="303" t="s">
        <v>2940</v>
      </c>
      <c r="I1203" s="303" t="s">
        <v>52</v>
      </c>
      <c r="J1203" s="1320" t="s">
        <v>257</v>
      </c>
      <c r="K1203" s="101" t="s">
        <v>258</v>
      </c>
      <c r="L1203" s="303" t="s">
        <v>269</v>
      </c>
      <c r="M1203" s="299">
        <v>350</v>
      </c>
      <c r="N1203" s="829">
        <v>350</v>
      </c>
      <c r="O1203" s="303" t="s">
        <v>64</v>
      </c>
      <c r="P1203" s="303">
        <v>20</v>
      </c>
      <c r="Q1203" s="303">
        <v>24</v>
      </c>
      <c r="R1203" s="303">
        <v>20</v>
      </c>
      <c r="S1203" s="303">
        <v>24</v>
      </c>
      <c r="T1203" s="303">
        <v>21</v>
      </c>
      <c r="U1203" s="303">
        <v>25</v>
      </c>
      <c r="V1203" s="608">
        <f>IF(J1203="Canvas",P1203+Materials!C$5,P1203)</f>
        <v>20</v>
      </c>
      <c r="W1203" s="608">
        <f>IF(J1203="Canvas",Q1203+Materials!C$5,Q1203)</f>
        <v>24</v>
      </c>
      <c r="X1203" s="1792" t="s">
        <v>257</v>
      </c>
      <c r="Y1203" s="303">
        <v>20</v>
      </c>
      <c r="Z1203" s="303">
        <v>24</v>
      </c>
      <c r="AA1203" s="649">
        <f t="shared" si="425"/>
        <v>3.3333333333333335</v>
      </c>
      <c r="AB1203" s="184">
        <f t="shared" si="431"/>
        <v>94.333333333333343</v>
      </c>
      <c r="AC1203" s="104">
        <f t="shared" si="432"/>
        <v>2.2000000000000002</v>
      </c>
      <c r="AD1203" s="104">
        <f>Table1[[#This Row],[Substrate SF]]*Materials!C$37</f>
        <v>9.3333333333333339</v>
      </c>
      <c r="AE1203" s="104">
        <f>IF(Table1[[#This Row],[Work Center]]="SwissQ",Materials!G$37,IF(Table1[[#This Row],[Work Center]]="Inca",Materials!G$29,IF(Table1[[#This Row],[Work Center]]="Canon",Materials!G$49,Materials!G$45)))</f>
        <v>20</v>
      </c>
      <c r="AF1203" s="388">
        <f>'Cali Frames'!D61</f>
        <v>95.182500000000005</v>
      </c>
      <c r="AG1203" s="327"/>
      <c r="AH1203" s="104">
        <f t="shared" si="428"/>
        <v>17.5</v>
      </c>
      <c r="AI1203" s="104"/>
      <c r="AJ1203" s="406">
        <f t="shared" si="430"/>
        <v>144.21583333333334</v>
      </c>
      <c r="AK1203" s="830">
        <f t="shared" si="429"/>
        <v>0.58795476190476192</v>
      </c>
      <c r="AL1203" s="660">
        <f>Table1[[#This Row],[WSP/Dealer]]/Table1[[#This Row],[OD Sq Inch]]</f>
        <v>0.66666666666666663</v>
      </c>
      <c r="AM1203" s="400">
        <f>Table1[[#This Row],[OD Wdth]]*Table1[[#This Row],[OD Hgt]]</f>
        <v>525</v>
      </c>
      <c r="AN1203" s="400">
        <f>Table1[[#This Row],[Min VO]]+Table1[[#This Row],[Max VO]]</f>
        <v>44</v>
      </c>
      <c r="AO1203" s="327"/>
      <c r="AP1203" s="327"/>
      <c r="AQ1203" s="1200"/>
      <c r="AR1203" s="1200"/>
      <c r="AS1203" s="1200"/>
      <c r="AT1203" s="1199"/>
      <c r="AU1203" s="1379" t="str">
        <f t="shared" si="414"/>
        <v>-</v>
      </c>
    </row>
    <row r="1204" spans="1:47" s="103" customFormat="1" hidden="1" x14ac:dyDescent="0.2">
      <c r="A1204" s="238" t="s">
        <v>101</v>
      </c>
      <c r="B1204" s="279" t="s">
        <v>65</v>
      </c>
      <c r="C1204" s="959" t="s">
        <v>2954</v>
      </c>
      <c r="D1204" s="94"/>
      <c r="E1204" s="803" t="s">
        <v>2955</v>
      </c>
      <c r="F1204" s="803" t="s">
        <v>138</v>
      </c>
      <c r="G1204" s="272" t="s">
        <v>139</v>
      </c>
      <c r="H1204" s="272" t="s">
        <v>139</v>
      </c>
      <c r="I1204" s="272" t="s">
        <v>52</v>
      </c>
      <c r="J1204" s="272" t="s">
        <v>53</v>
      </c>
      <c r="K1204" s="216" t="s">
        <v>54</v>
      </c>
      <c r="L1204" s="272" t="s">
        <v>55</v>
      </c>
      <c r="M1204" s="141">
        <v>240</v>
      </c>
      <c r="N1204" s="219"/>
      <c r="O1204" s="272" t="s">
        <v>64</v>
      </c>
      <c r="P1204" s="272">
        <v>24</v>
      </c>
      <c r="Q1204" s="272">
        <v>24</v>
      </c>
      <c r="R1204" s="272">
        <v>24</v>
      </c>
      <c r="S1204" s="1774">
        <v>24</v>
      </c>
      <c r="T1204" s="272">
        <v>24</v>
      </c>
      <c r="U1204" s="272">
        <v>24</v>
      </c>
      <c r="V1204" s="907">
        <f>IF(J1204="Canvas",P1204+BorderGW,P1204)</f>
        <v>32</v>
      </c>
      <c r="W1204" s="907">
        <f>IF(J1204="Canvas",Q1204+BorderGW,Q1204)</f>
        <v>32</v>
      </c>
      <c r="X1204" s="1791">
        <v>40</v>
      </c>
      <c r="Y1204" s="1794">
        <f>Table1[[#This Row],[Print Wth]]</f>
        <v>32</v>
      </c>
      <c r="Z1204" s="1794">
        <f>Table1[[#This Row],[Print Ht]]</f>
        <v>32</v>
      </c>
      <c r="AA1204" s="892">
        <f>Table1[[#This Row],[Cut Width]]*Table1[[#This Row],[Cut Height]]/144</f>
        <v>7.1111111111111107</v>
      </c>
      <c r="AB1204" s="898">
        <f>Table1[[#This Row],[Print Wth]]*Table1[[#This Row],[Print Ht]]/144*Swiss1ML</f>
        <v>201.24444444444444</v>
      </c>
      <c r="AC1204" s="867">
        <f>Table1[[#This Row],[Substrate SF]]*Canvas</f>
        <v>4.6933333333333334</v>
      </c>
      <c r="AD1204" s="867">
        <f>(Table1[[#This Row],[Print Wth]]*Table1[[#This Row],[Print Ht]])/144*SWISSC1</f>
        <v>19.911111111111108</v>
      </c>
      <c r="AE1204" s="863">
        <f>IF(Table1[[#This Row],[Work Center]]="SwissQ",Materials!G$37,IF(Table1[[#This Row],[Work Center]]="Inca",Materials!G$29,IF(Table1[[#This Row],[Work Center]]="Canon",Materials!G$49,Materials!G$45)))</f>
        <v>20</v>
      </c>
      <c r="AF1204" s="1797">
        <f>'Cali FPS'!C32</f>
        <v>63.47</v>
      </c>
      <c r="AG1204" s="327"/>
      <c r="AH1204" s="498">
        <f t="shared" si="428"/>
        <v>12</v>
      </c>
      <c r="AI1204" s="498"/>
      <c r="AJ1204" s="225">
        <f t="shared" si="430"/>
        <v>120.07444444444444</v>
      </c>
      <c r="AK1204" s="650">
        <f t="shared" si="429"/>
        <v>0.49968981481481484</v>
      </c>
      <c r="AL1204" s="225">
        <f>Table1[[#This Row],[WSP/Dealer]]/Table1[[#This Row],[OD Sq Inch]]</f>
        <v>0.41666666666666669</v>
      </c>
      <c r="AM1204" s="101">
        <f>Table1[[#This Row],[OD Wdth]]*Table1[[#This Row],[OD Hgt]]</f>
        <v>576</v>
      </c>
      <c r="AN1204" s="216">
        <f>Table1[[#This Row],[Min VO]]+Table1[[#This Row],[Max VO]]</f>
        <v>48</v>
      </c>
      <c r="AO1204" s="272" t="s">
        <v>1716</v>
      </c>
      <c r="AP1204" s="979"/>
      <c r="AQ1204" s="979"/>
      <c r="AR1204" s="979"/>
      <c r="AS1204" s="979"/>
      <c r="AT1204" s="979"/>
      <c r="AU1204" s="1819" t="str">
        <f t="shared" si="414"/>
        <v>-</v>
      </c>
    </row>
    <row r="1205" spans="1:47" s="63" customFormat="1" hidden="1" x14ac:dyDescent="0.2">
      <c r="A1205" s="216" t="s">
        <v>272</v>
      </c>
      <c r="B1205" s="279" t="s">
        <v>273</v>
      </c>
      <c r="C1205" s="959" t="s">
        <v>2956</v>
      </c>
      <c r="D1205" s="94"/>
      <c r="E1205" s="803" t="s">
        <v>2957</v>
      </c>
      <c r="F1205" s="803" t="s">
        <v>138</v>
      </c>
      <c r="G1205" s="272" t="s">
        <v>276</v>
      </c>
      <c r="H1205" s="272" t="s">
        <v>276</v>
      </c>
      <c r="I1205" s="272" t="s">
        <v>108</v>
      </c>
      <c r="J1205" s="272" t="s">
        <v>53</v>
      </c>
      <c r="K1205" s="216" t="s">
        <v>54</v>
      </c>
      <c r="L1205" s="272" t="s">
        <v>55</v>
      </c>
      <c r="M1205" s="219">
        <v>100</v>
      </c>
      <c r="N1205" s="219"/>
      <c r="O1205" s="272" t="s">
        <v>109</v>
      </c>
      <c r="P1205" s="272">
        <v>16</v>
      </c>
      <c r="Q1205" s="272">
        <v>16</v>
      </c>
      <c r="R1205" s="272">
        <v>16</v>
      </c>
      <c r="S1205" s="1774">
        <v>16</v>
      </c>
      <c r="T1205" s="272">
        <f>P1205</f>
        <v>16</v>
      </c>
      <c r="U1205" s="1774" t="str">
        <f>RIGHT(Table1[[#This Row],[OD]],2)</f>
        <v>16</v>
      </c>
      <c r="V1205" s="907">
        <f>IF(J1205="Canvas",P1205+BorderGW,P1205)</f>
        <v>24</v>
      </c>
      <c r="W1205" s="907">
        <f>IF(J1205="Canvas",Q1205+BorderGW,Q1205)</f>
        <v>24</v>
      </c>
      <c r="X1205" s="1791">
        <v>40</v>
      </c>
      <c r="Y1205" s="272"/>
      <c r="Z1205" s="272"/>
      <c r="AA1205" s="718">
        <f>V1205*W1205/144</f>
        <v>4</v>
      </c>
      <c r="AB1205" s="233">
        <f>AA1205*EPSONM</f>
        <v>18</v>
      </c>
      <c r="AC1205" s="225">
        <f>AA1205*Canvas</f>
        <v>2.64</v>
      </c>
      <c r="AD1205" s="225">
        <f>Table1[[#This Row],[Ink g/mL]]*EPSONC</f>
        <v>3.96</v>
      </c>
      <c r="AE1205" s="104">
        <f>IF(Table1[[#This Row],[Work Center]]="SwissQ",Materials!G$37,IF(Table1[[#This Row],[Work Center]]="Inca",Materials!G$29,IF(Table1[[#This Row],[Work Center]]="Canon",Materials!G$49,Materials!G$45)))</f>
        <v>5</v>
      </c>
      <c r="AF1205" s="979">
        <f>'CALI_SONDER '!H$3</f>
        <v>43.8</v>
      </c>
      <c r="AG1205" s="1797"/>
      <c r="AH1205" s="498">
        <f t="shared" si="428"/>
        <v>5</v>
      </c>
      <c r="AI1205" s="498"/>
      <c r="AJ1205" s="225">
        <f t="shared" si="430"/>
        <v>60.4</v>
      </c>
      <c r="AK1205" s="650">
        <f t="shared" si="429"/>
        <v>0.39600000000000002</v>
      </c>
      <c r="AL1205" s="225">
        <f>Table1[[#This Row],[WSP/Dealer]]/Table1[[#This Row],[OD Sq Inch]]</f>
        <v>0.390625</v>
      </c>
      <c r="AM1205" s="216">
        <f>Table1[[#This Row],[OD Wdth]]*Table1[[#This Row],[OD Hgt]]</f>
        <v>256</v>
      </c>
      <c r="AN1205" s="216">
        <f>Table1[[#This Row],[Min VO]]+Table1[[#This Row],[Max VO]]</f>
        <v>32</v>
      </c>
      <c r="AO1205" s="272" t="s">
        <v>277</v>
      </c>
      <c r="AP1205" s="979"/>
      <c r="AQ1205" s="979"/>
      <c r="AR1205" s="979"/>
      <c r="AS1205" s="979"/>
      <c r="AT1205" s="979"/>
      <c r="AU1205" s="1821" t="str">
        <f t="shared" si="414"/>
        <v>-</v>
      </c>
    </row>
    <row r="1206" spans="1:47" s="63" customFormat="1" hidden="1" x14ac:dyDescent="0.2">
      <c r="A1206" s="216" t="s">
        <v>272</v>
      </c>
      <c r="B1206" s="279" t="s">
        <v>273</v>
      </c>
      <c r="C1206" s="959" t="s">
        <v>2958</v>
      </c>
      <c r="D1206" s="94"/>
      <c r="E1206" s="803" t="s">
        <v>2959</v>
      </c>
      <c r="F1206" s="803" t="s">
        <v>138</v>
      </c>
      <c r="G1206" s="272" t="s">
        <v>276</v>
      </c>
      <c r="H1206" s="272" t="s">
        <v>276</v>
      </c>
      <c r="I1206" s="272" t="s">
        <v>52</v>
      </c>
      <c r="J1206" s="272" t="s">
        <v>53</v>
      </c>
      <c r="K1206" s="216" t="s">
        <v>54</v>
      </c>
      <c r="L1206" s="272" t="s">
        <v>55</v>
      </c>
      <c r="M1206" s="219">
        <v>150</v>
      </c>
      <c r="N1206" s="219"/>
      <c r="O1206" s="272" t="s">
        <v>56</v>
      </c>
      <c r="P1206" s="272">
        <v>16</v>
      </c>
      <c r="Q1206" s="272">
        <v>16</v>
      </c>
      <c r="R1206" s="272">
        <v>16</v>
      </c>
      <c r="S1206" s="1774">
        <v>16</v>
      </c>
      <c r="T1206" s="272">
        <f>P1206</f>
        <v>16</v>
      </c>
      <c r="U1206" s="1774" t="str">
        <f>RIGHT(Table1[[#This Row],[OD]],2)</f>
        <v>16</v>
      </c>
      <c r="V1206" s="222">
        <f>IF(J1206="Canvas",P1206+BorderGW,P1206)</f>
        <v>24</v>
      </c>
      <c r="W1206" s="222">
        <f>IF(J1206="Canvas",Q1206+BorderGW,Q1206)</f>
        <v>24</v>
      </c>
      <c r="X1206" s="1791" t="s">
        <v>286</v>
      </c>
      <c r="Y1206" s="272">
        <v>28</v>
      </c>
      <c r="Z1206" s="272">
        <v>92</v>
      </c>
      <c r="AA1206" s="718">
        <f>V1206*W1206/144</f>
        <v>4</v>
      </c>
      <c r="AB1206" s="233">
        <f>AA1206*IncaG</f>
        <v>84.16</v>
      </c>
      <c r="AC1206" s="225">
        <f>AA1206*Canvas</f>
        <v>2.64</v>
      </c>
      <c r="AD1206" s="206">
        <f>Table1[[#This Row],[Ink g/mL]]*Materials!$C$29</f>
        <v>6.7328000000000001</v>
      </c>
      <c r="AE1206" s="104">
        <f>IF(Table1[[#This Row],[Work Center]]="SwissQ",Materials!G$37,IF(Table1[[#This Row],[Work Center]]="Inca",Materials!G$29,IF(Table1[[#This Row],[Work Center]]="Canon",Materials!G$49,Materials!G$45)))</f>
        <v>8</v>
      </c>
      <c r="AF1206" s="979">
        <f>'CALI_SONDER '!H$3</f>
        <v>43.8</v>
      </c>
      <c r="AG1206" s="1797"/>
      <c r="AH1206" s="112">
        <f t="shared" si="428"/>
        <v>7.5</v>
      </c>
      <c r="AI1206" s="112"/>
      <c r="AJ1206" s="225">
        <f t="shared" si="430"/>
        <v>68.672799999999995</v>
      </c>
      <c r="AK1206" s="62">
        <f t="shared" si="429"/>
        <v>0.5421813333333334</v>
      </c>
      <c r="AL1206" s="225">
        <f>Table1[[#This Row],[WSP/Dealer]]/Table1[[#This Row],[OD Sq Inch]]</f>
        <v>0.5859375</v>
      </c>
      <c r="AM1206" s="103">
        <f>Table1[[#This Row],[OD Wdth]]*Table1[[#This Row],[OD Hgt]]</f>
        <v>256</v>
      </c>
      <c r="AN1206" s="216">
        <f>Table1[[#This Row],[Min VO]]+Table1[[#This Row],[Max VO]]</f>
        <v>32</v>
      </c>
      <c r="AO1206" s="272" t="s">
        <v>277</v>
      </c>
      <c r="AP1206" s="979"/>
      <c r="AQ1206" s="979"/>
      <c r="AR1206" s="979"/>
      <c r="AS1206" s="979"/>
      <c r="AT1206" s="979"/>
      <c r="AU1206" s="1819" t="str">
        <f t="shared" si="414"/>
        <v>-</v>
      </c>
    </row>
    <row r="1207" spans="1:47" s="63" customFormat="1" hidden="1" x14ac:dyDescent="0.2">
      <c r="A1207" s="216" t="s">
        <v>272</v>
      </c>
      <c r="B1207" s="1061" t="s">
        <v>273</v>
      </c>
      <c r="C1207" s="959" t="s">
        <v>2960</v>
      </c>
      <c r="D1207" s="94"/>
      <c r="E1207" s="803" t="s">
        <v>2961</v>
      </c>
      <c r="F1207" s="803" t="s">
        <v>138</v>
      </c>
      <c r="G1207" s="272" t="s">
        <v>2962</v>
      </c>
      <c r="H1207" s="272" t="s">
        <v>2962</v>
      </c>
      <c r="I1207" s="272" t="s">
        <v>52</v>
      </c>
      <c r="J1207" s="272" t="s">
        <v>53</v>
      </c>
      <c r="K1207" s="216" t="s">
        <v>54</v>
      </c>
      <c r="L1207" s="272" t="s">
        <v>55</v>
      </c>
      <c r="M1207" s="219">
        <v>300</v>
      </c>
      <c r="N1207" s="219"/>
      <c r="O1207" s="272" t="s">
        <v>56</v>
      </c>
      <c r="P1207" s="272">
        <v>48</v>
      </c>
      <c r="Q1207" s="272">
        <v>16</v>
      </c>
      <c r="R1207" s="272">
        <v>16</v>
      </c>
      <c r="S1207" s="1774">
        <v>48</v>
      </c>
      <c r="T1207" s="272">
        <f>P1207</f>
        <v>48</v>
      </c>
      <c r="U1207" s="272">
        <f>Q1207</f>
        <v>16</v>
      </c>
      <c r="V1207" s="907">
        <f>3*24</f>
        <v>72</v>
      </c>
      <c r="W1207" s="907">
        <f>IF(J1207="Canvas",Q1207+BorderGW,Q1207)</f>
        <v>24</v>
      </c>
      <c r="X1207" s="1791" t="s">
        <v>1070</v>
      </c>
      <c r="Y1207" s="272">
        <v>24</v>
      </c>
      <c r="Z1207" s="272">
        <v>72</v>
      </c>
      <c r="AA1207" s="718">
        <f>V1207*W1207/144</f>
        <v>12</v>
      </c>
      <c r="AB1207" s="233">
        <f>AA1207*IncaG</f>
        <v>252.48</v>
      </c>
      <c r="AC1207" s="225">
        <f>AA1207*Canvas</f>
        <v>7.92</v>
      </c>
      <c r="AD1207" s="206">
        <f>Table1[[#This Row],[Ink g/mL]]*Materials!$C$29</f>
        <v>20.198399999999999</v>
      </c>
      <c r="AE1207" s="104">
        <f>IF(Table1[[#This Row],[Work Center]]="SwissQ",Materials!G$37,IF(Table1[[#This Row],[Work Center]]="Inca",Materials!G$29,IF(Table1[[#This Row],[Work Center]]="Canon",Materials!G$49,Materials!G$45)))</f>
        <v>8</v>
      </c>
      <c r="AF1207" s="1797"/>
      <c r="AG1207" s="327"/>
      <c r="AH1207" s="498">
        <f t="shared" si="428"/>
        <v>15</v>
      </c>
      <c r="AI1207" s="498"/>
      <c r="AJ1207" s="225">
        <f t="shared" si="430"/>
        <v>51.118400000000001</v>
      </c>
      <c r="AK1207" s="650">
        <f t="shared" si="429"/>
        <v>0.82960533333333331</v>
      </c>
      <c r="AL1207" s="225">
        <f>Table1[[#This Row],[WSP/Dealer]]/Table1[[#This Row],[OD Sq Inch]]</f>
        <v>0.390625</v>
      </c>
      <c r="AM1207" s="101">
        <f>Table1[[#This Row],[OD Wdth]]*Table1[[#This Row],[OD Hgt]]</f>
        <v>768</v>
      </c>
      <c r="AN1207" s="216">
        <f>Table1[[#This Row],[Min VO]]+Table1[[#This Row],[Max VO]]</f>
        <v>64</v>
      </c>
      <c r="AO1207" s="272" t="s">
        <v>1716</v>
      </c>
      <c r="AP1207" s="979"/>
      <c r="AQ1207" s="979"/>
      <c r="AR1207" s="979"/>
      <c r="AS1207" s="979"/>
      <c r="AT1207" s="979"/>
      <c r="AU1207" s="1819" t="str">
        <f t="shared" si="414"/>
        <v>-</v>
      </c>
    </row>
    <row r="1208" spans="1:47" s="103" customFormat="1" hidden="1" x14ac:dyDescent="0.2">
      <c r="A1208" s="272" t="s">
        <v>272</v>
      </c>
      <c r="B1208" s="1061" t="s">
        <v>273</v>
      </c>
      <c r="C1208" s="1312" t="s">
        <v>2963</v>
      </c>
      <c r="D1208" s="94"/>
      <c r="E1208" s="803" t="s">
        <v>2964</v>
      </c>
      <c r="F1208" s="803" t="s">
        <v>138</v>
      </c>
      <c r="G1208" s="272" t="s">
        <v>2962</v>
      </c>
      <c r="H1208" s="272" t="s">
        <v>2962</v>
      </c>
      <c r="I1208" s="272" t="s">
        <v>108</v>
      </c>
      <c r="J1208" s="272" t="s">
        <v>53</v>
      </c>
      <c r="K1208" s="272" t="s">
        <v>54</v>
      </c>
      <c r="L1208" s="272" t="s">
        <v>55</v>
      </c>
      <c r="M1208" s="219">
        <v>250</v>
      </c>
      <c r="N1208" s="219"/>
      <c r="O1208" s="272" t="s">
        <v>109</v>
      </c>
      <c r="P1208" s="272">
        <v>48</v>
      </c>
      <c r="Q1208" s="272">
        <v>16</v>
      </c>
      <c r="R1208" s="272">
        <v>16</v>
      </c>
      <c r="S1208" s="1774">
        <v>48</v>
      </c>
      <c r="T1208" s="272">
        <f>P1208</f>
        <v>48</v>
      </c>
      <c r="U1208" s="272">
        <f>Q1208</f>
        <v>16</v>
      </c>
      <c r="V1208" s="1786">
        <f>3*23.06</f>
        <v>69.179999999999993</v>
      </c>
      <c r="W1208" s="1786">
        <f>IF(J1208="Canvas",Q1208+BorderGW,Q1208)</f>
        <v>24</v>
      </c>
      <c r="X1208" s="1791">
        <v>82</v>
      </c>
      <c r="Y1208" s="272"/>
      <c r="Z1208" s="272"/>
      <c r="AA1208" s="1796">
        <f>3*3.69</f>
        <v>11.07</v>
      </c>
      <c r="AB1208" s="233">
        <f>AA1208*EPSONM</f>
        <v>49.814999999999998</v>
      </c>
      <c r="AC1208" s="1797">
        <f>AA1208*Canvas</f>
        <v>7.3062000000000005</v>
      </c>
      <c r="AD1208" s="207">
        <f>Table1[[#This Row],[Ink g/mL]]*EPSONC</f>
        <v>10.959299999999999</v>
      </c>
      <c r="AE1208" s="104">
        <f>IF(Table1[[#This Row],[Work Center]]="SwissQ",Materials!G$37,IF(Table1[[#This Row],[Work Center]]="Inca",Materials!G$29,IF(Table1[[#This Row],[Work Center]]="Canon",Materials!G$49,Materials!G$45)))</f>
        <v>5</v>
      </c>
      <c r="AF1208" s="1797">
        <f>'Cali FPS'!C20</f>
        <v>74.55</v>
      </c>
      <c r="AG1208" s="327"/>
      <c r="AH1208" s="498">
        <f t="shared" si="428"/>
        <v>12.5</v>
      </c>
      <c r="AI1208" s="498"/>
      <c r="AJ1208" s="1797">
        <f t="shared" si="430"/>
        <v>110.3155</v>
      </c>
      <c r="AK1208" s="650">
        <f t="shared" si="429"/>
        <v>0.55873800000000007</v>
      </c>
      <c r="AL1208" s="225">
        <f>Table1[[#This Row],[WSP/Dealer]]/Table1[[#This Row],[OD Sq Inch]]</f>
        <v>0.32552083333333331</v>
      </c>
      <c r="AM1208" s="303">
        <f>Table1[[#This Row],[OD Wdth]]*Table1[[#This Row],[OD Hgt]]</f>
        <v>768</v>
      </c>
      <c r="AN1208" s="272">
        <f>Table1[[#This Row],[Min VO]]+Table1[[#This Row],[Max VO]]</f>
        <v>64</v>
      </c>
      <c r="AO1208" s="272" t="s">
        <v>1716</v>
      </c>
      <c r="AP1208" s="979"/>
      <c r="AQ1208" s="979"/>
      <c r="AR1208" s="979"/>
      <c r="AS1208" s="979"/>
      <c r="AT1208" s="979"/>
      <c r="AU1208" s="1821" t="str">
        <f t="shared" si="414"/>
        <v>-</v>
      </c>
    </row>
    <row r="1209" spans="1:47" s="103" customFormat="1" hidden="1" x14ac:dyDescent="0.2">
      <c r="A1209" s="101" t="s">
        <v>110</v>
      </c>
      <c r="B1209" s="1062" t="s">
        <v>250</v>
      </c>
      <c r="C1209" s="100" t="s">
        <v>2965</v>
      </c>
      <c r="D1209" s="168"/>
      <c r="E1209" s="100" t="s">
        <v>2966</v>
      </c>
      <c r="F1209" s="115" t="s">
        <v>301</v>
      </c>
      <c r="G1209" s="101" t="s">
        <v>302</v>
      </c>
      <c r="H1209" s="101" t="s">
        <v>303</v>
      </c>
      <c r="I1209" s="101" t="s">
        <v>256</v>
      </c>
      <c r="J1209" s="101" t="s">
        <v>257</v>
      </c>
      <c r="K1209" s="101" t="s">
        <v>258</v>
      </c>
      <c r="L1209" s="101" t="s">
        <v>259</v>
      </c>
      <c r="M1209" s="1278">
        <v>350</v>
      </c>
      <c r="N1209" s="102"/>
      <c r="O1209" s="101" t="s">
        <v>260</v>
      </c>
      <c r="P1209" s="101">
        <v>24</v>
      </c>
      <c r="Q1209" s="101">
        <v>32</v>
      </c>
      <c r="R1209" s="101">
        <v>24</v>
      </c>
      <c r="S1209" s="101">
        <v>32</v>
      </c>
      <c r="T1209" s="101">
        <v>26</v>
      </c>
      <c r="U1209" s="101">
        <v>34</v>
      </c>
      <c r="V1209" s="608">
        <f>IF(J1209="Canvas",P1209+Materials!C$5,P1209)</f>
        <v>24</v>
      </c>
      <c r="W1209" s="608">
        <f>IF(J1209="Canvas",Q1209+Materials!C$5,Q1209)</f>
        <v>32</v>
      </c>
      <c r="X1209" s="137">
        <v>44</v>
      </c>
      <c r="Y1209" s="101">
        <v>26</v>
      </c>
      <c r="Z1209" s="101">
        <v>34</v>
      </c>
      <c r="AA1209" s="1011">
        <f>(Table1[[#This Row],[Cut Width]]*Table1[[#This Row],[Cut Height]])/144</f>
        <v>6.1388888888888893</v>
      </c>
      <c r="AB1209" s="184">
        <f>(Table1[[#This Row],[Print Wth]]*Table1[[#This Row],[Print Ht]])/144*canonML</f>
        <v>25.599999999999998</v>
      </c>
      <c r="AC1209" s="104">
        <f>Table1[[#This Row],[Substrate SF]]*Paper</f>
        <v>8.3059166666666666</v>
      </c>
      <c r="AD1209" s="107">
        <f>(Table1[[#This Row],[Print Wth]]*Table1[[#This Row],[Print Ht]])/144*CanonC</f>
        <v>1.44</v>
      </c>
      <c r="AE1209" s="104">
        <f>IF(Table1[[#This Row],[Work Center]]="SwissQ",Materials!G$37,IF(Table1[[#This Row],[Work Center]]="Inca",Materials!G$29,IF(Table1[[#This Row],[Work Center]]="Canon",Materials!G$49,Materials!G$45)))</f>
        <v>7</v>
      </c>
      <c r="AF1209" s="104">
        <f>'Cali Frames'!D36</f>
        <v>114.08</v>
      </c>
      <c r="AG1209" s="115"/>
      <c r="AH1209" s="104">
        <f t="shared" si="428"/>
        <v>17.5</v>
      </c>
      <c r="AI1209" s="406">
        <f>IF(A1209="Codarus",(M1209*0.13))</f>
        <v>45.5</v>
      </c>
      <c r="AJ1209" s="406">
        <f t="shared" si="430"/>
        <v>148.32591666666667</v>
      </c>
      <c r="AK1209" s="830">
        <f t="shared" si="429"/>
        <v>0.57621166666666668</v>
      </c>
      <c r="AL1209" s="660">
        <f>Table1[[#This Row],[WSP/Dealer]]/Table1[[#This Row],[OD Sq Inch]]</f>
        <v>0.39592760180995473</v>
      </c>
      <c r="AM1209" s="399">
        <f>Table1[[#This Row],[OD Wdth]]*Table1[[#This Row],[OD Hgt]]</f>
        <v>884</v>
      </c>
      <c r="AN1209" s="400">
        <f>Table1[[#This Row],[Min VO]]+Table1[[#This Row],[Max VO]]</f>
        <v>56</v>
      </c>
      <c r="AO1209" s="101"/>
      <c r="AP1209" s="1812">
        <v>700</v>
      </c>
      <c r="AQ1209" s="1200">
        <f>(Table1[[#This Row],[Desgnr/Retail P]]*0.05)</f>
        <v>35</v>
      </c>
      <c r="AR1209" s="1200">
        <f>IF(A1209="Codarus",(AP1209*0.13))</f>
        <v>91</v>
      </c>
      <c r="AS1209" s="121">
        <f>SUM(Table1[[#This Row],[Substrate $]:[GP FINISH]])+Table1[[#This Row],[Retail Royalty]]+Table1[[#This Row],[Retail$Comm]]</f>
        <v>256.82591666666667</v>
      </c>
      <c r="AT1209" s="830">
        <f>IF(AP1209=0,"-",(AP1209-AS1209)/AP1209)</f>
        <v>0.63310583333333337</v>
      </c>
      <c r="AU1209" s="1379">
        <f t="shared" si="414"/>
        <v>0.98191126190476197</v>
      </c>
    </row>
    <row r="1210" spans="1:47" s="101" customFormat="1" x14ac:dyDescent="0.2">
      <c r="A1210" s="68" t="s">
        <v>58</v>
      </c>
      <c r="B1210" s="1152" t="s">
        <v>1013</v>
      </c>
      <c r="C1210" s="94" t="s">
        <v>2967</v>
      </c>
      <c r="D1210" s="94" t="s">
        <v>2968</v>
      </c>
      <c r="E1210" s="84" t="s">
        <v>2969</v>
      </c>
      <c r="F1210" s="84" t="s">
        <v>531</v>
      </c>
      <c r="G1210" s="68" t="s">
        <v>2970</v>
      </c>
      <c r="H1210" s="68" t="s">
        <v>2970</v>
      </c>
      <c r="I1210" s="68" t="s">
        <v>52</v>
      </c>
      <c r="J1210" s="140" t="s">
        <v>53</v>
      </c>
      <c r="K1210" s="68" t="s">
        <v>54</v>
      </c>
      <c r="L1210" s="68" t="s">
        <v>55</v>
      </c>
      <c r="M1210" s="141">
        <v>1250</v>
      </c>
      <c r="N1210" s="93"/>
      <c r="O1210" s="68" t="s">
        <v>56</v>
      </c>
      <c r="P1210" s="68">
        <v>50</v>
      </c>
      <c r="Q1210" s="68">
        <v>80</v>
      </c>
      <c r="R1210" s="68">
        <v>50</v>
      </c>
      <c r="S1210" s="68">
        <v>80</v>
      </c>
      <c r="T1210" s="623">
        <v>50</v>
      </c>
      <c r="U1210" s="623">
        <v>80</v>
      </c>
      <c r="V1210" s="917">
        <f>IF(J1210="Canvas",P1210+Border,P1210)</f>
        <v>58</v>
      </c>
      <c r="W1210" s="917">
        <f>IF(J1210="Canvas",Q1210+Border,Q1210)</f>
        <v>88</v>
      </c>
      <c r="X1210" s="68">
        <v>59</v>
      </c>
      <c r="Y1210" s="68">
        <v>58</v>
      </c>
      <c r="Z1210" s="68">
        <v>88</v>
      </c>
      <c r="AA1210" s="699">
        <f>V1210*W1210/144</f>
        <v>35.444444444444443</v>
      </c>
      <c r="AB1210" s="297">
        <f>AA1210*IncaG</f>
        <v>745.75111111111107</v>
      </c>
      <c r="AC1210" s="74">
        <f>AA1210*Canvas</f>
        <v>23.393333333333334</v>
      </c>
      <c r="AD1210" s="67">
        <f>Table1[[#This Row],[Substrate SF]]*IncaC</f>
        <v>59.660088888888886</v>
      </c>
      <c r="AE1210" s="74">
        <f>IF(Table1[[#This Row],[Work Center]]="SwissQ",Materials!G$37,IF(Table1[[#This Row],[Work Center]]="Inca",Materials!G$29,IF(Table1[[#This Row],[Work Center]]="Canon",Materials!G$49,Materials!G$45)))</f>
        <v>8</v>
      </c>
      <c r="AF1210" s="73">
        <f>'Cali FPS'!C134</f>
        <v>210</v>
      </c>
      <c r="AG1210" s="84"/>
      <c r="AH1210" s="74">
        <f t="shared" si="428"/>
        <v>62.5</v>
      </c>
      <c r="AI1210" s="74"/>
      <c r="AJ1210" s="74">
        <f t="shared" si="430"/>
        <v>363.55342222222225</v>
      </c>
      <c r="AK1210" s="1001">
        <f t="shared" si="429"/>
        <v>0.7091572622222222</v>
      </c>
      <c r="AL1210" s="240">
        <f>Table1[[#This Row],[WSP/Dealer]]/Table1[[#This Row],[OD Sq Inch]]</f>
        <v>0.3125</v>
      </c>
      <c r="AM1210" s="63">
        <f>Table1[[#This Row],[OD Wdth]]*Table1[[#This Row],[OD Hgt]]</f>
        <v>4000</v>
      </c>
      <c r="AN1210" s="238">
        <f>Table1[[#This Row],[Min VO]]+Table1[[#This Row],[Max VO]]</f>
        <v>130</v>
      </c>
      <c r="AO1210" s="84"/>
      <c r="AP1210" s="84"/>
      <c r="AQ1210" s="126"/>
      <c r="AR1210" s="126"/>
      <c r="AS1210" s="126"/>
      <c r="AT1210" s="74"/>
      <c r="AU1210" s="1357" t="str">
        <f t="shared" si="414"/>
        <v>-</v>
      </c>
    </row>
    <row r="1211" spans="1:47" s="101" customFormat="1" x14ac:dyDescent="0.2">
      <c r="A1211" s="68" t="s">
        <v>58</v>
      </c>
      <c r="B1211" s="1152" t="s">
        <v>1013</v>
      </c>
      <c r="C1211" s="94" t="s">
        <v>2971</v>
      </c>
      <c r="D1211" s="94" t="s">
        <v>2972</v>
      </c>
      <c r="E1211" s="84" t="s">
        <v>2973</v>
      </c>
      <c r="F1211" s="84" t="s">
        <v>531</v>
      </c>
      <c r="G1211" s="68" t="s">
        <v>2970</v>
      </c>
      <c r="H1211" s="68" t="s">
        <v>2970</v>
      </c>
      <c r="I1211" s="68" t="s">
        <v>52</v>
      </c>
      <c r="J1211" s="140" t="s">
        <v>53</v>
      </c>
      <c r="K1211" s="68" t="s">
        <v>54</v>
      </c>
      <c r="L1211" s="68" t="s">
        <v>55</v>
      </c>
      <c r="M1211" s="141">
        <v>1250</v>
      </c>
      <c r="N1211" s="93"/>
      <c r="O1211" s="68" t="s">
        <v>56</v>
      </c>
      <c r="P1211" s="68">
        <v>50</v>
      </c>
      <c r="Q1211" s="68">
        <v>80</v>
      </c>
      <c r="R1211" s="68">
        <v>50</v>
      </c>
      <c r="S1211" s="68">
        <v>80</v>
      </c>
      <c r="T1211" s="623">
        <v>50</v>
      </c>
      <c r="U1211" s="623">
        <v>80</v>
      </c>
      <c r="V1211" s="66">
        <f>IF(J1211="Canvas",P1211+Border,P1211)</f>
        <v>58</v>
      </c>
      <c r="W1211" s="66">
        <f>IF(J1211="Canvas",Q1211+Border,Q1211)</f>
        <v>88</v>
      </c>
      <c r="X1211" s="68">
        <v>59</v>
      </c>
      <c r="Y1211" s="68">
        <v>58</v>
      </c>
      <c r="Z1211" s="68">
        <v>88</v>
      </c>
      <c r="AA1211" s="699">
        <f>V1211*W1211/144</f>
        <v>35.444444444444443</v>
      </c>
      <c r="AB1211" s="297">
        <f>AA1211*IncaG</f>
        <v>745.75111111111107</v>
      </c>
      <c r="AC1211" s="74">
        <f>AA1211*Canvas</f>
        <v>23.393333333333334</v>
      </c>
      <c r="AD1211" s="67">
        <f>Table1[[#This Row],[Substrate SF]]*IncaC</f>
        <v>59.660088888888886</v>
      </c>
      <c r="AE1211" s="74">
        <f>IF(Table1[[#This Row],[Work Center]]="SwissQ",Materials!G$37,IF(Table1[[#This Row],[Work Center]]="Inca",Materials!G$29,IF(Table1[[#This Row],[Work Center]]="Canon",Materials!G$49,Materials!G$45)))</f>
        <v>8</v>
      </c>
      <c r="AF1211" s="73">
        <f>'Cali FPS'!C134</f>
        <v>210</v>
      </c>
      <c r="AG1211" s="84"/>
      <c r="AH1211" s="74">
        <f t="shared" si="428"/>
        <v>62.5</v>
      </c>
      <c r="AI1211" s="74"/>
      <c r="AJ1211" s="74">
        <f t="shared" si="430"/>
        <v>363.55342222222225</v>
      </c>
      <c r="AK1211" s="1001">
        <f t="shared" si="429"/>
        <v>0.7091572622222222</v>
      </c>
      <c r="AL1211" s="240">
        <f>Table1[[#This Row],[WSP/Dealer]]/Table1[[#This Row],[OD Sq Inch]]</f>
        <v>0.3125</v>
      </c>
      <c r="AM1211" s="63">
        <f>Table1[[#This Row],[OD Wdth]]*Table1[[#This Row],[OD Hgt]]</f>
        <v>4000</v>
      </c>
      <c r="AN1211" s="238">
        <f>Table1[[#This Row],[Min VO]]+Table1[[#This Row],[Max VO]]</f>
        <v>130</v>
      </c>
      <c r="AO1211" s="84"/>
      <c r="AP1211" s="84"/>
      <c r="AQ1211" s="126"/>
      <c r="AR1211" s="126"/>
      <c r="AS1211" s="126"/>
      <c r="AT1211" s="74"/>
      <c r="AU1211" s="1357" t="str">
        <f t="shared" si="414"/>
        <v>-</v>
      </c>
    </row>
    <row r="1212" spans="1:47" s="334" customFormat="1" x14ac:dyDescent="0.2">
      <c r="A1212" s="86" t="s">
        <v>58</v>
      </c>
      <c r="B1212" s="279" t="s">
        <v>527</v>
      </c>
      <c r="C1212" s="77" t="s">
        <v>2974</v>
      </c>
      <c r="D1212" s="94" t="s">
        <v>2975</v>
      </c>
      <c r="E1212" s="85" t="s">
        <v>2976</v>
      </c>
      <c r="F1212" s="85" t="s">
        <v>531</v>
      </c>
      <c r="G1212" s="86" t="s">
        <v>2977</v>
      </c>
      <c r="H1212" s="86" t="s">
        <v>2977</v>
      </c>
      <c r="I1212" s="86" t="s">
        <v>52</v>
      </c>
      <c r="J1212" s="86" t="s">
        <v>53</v>
      </c>
      <c r="K1212" s="86" t="s">
        <v>54</v>
      </c>
      <c r="L1212" s="86" t="s">
        <v>55</v>
      </c>
      <c r="M1212" s="87">
        <v>650</v>
      </c>
      <c r="N1212" s="639">
        <v>660</v>
      </c>
      <c r="O1212" s="551" t="s">
        <v>56</v>
      </c>
      <c r="P1212" s="101">
        <v>30</v>
      </c>
      <c r="Q1212" s="101">
        <v>48</v>
      </c>
      <c r="R1212" s="101">
        <v>30</v>
      </c>
      <c r="S1212" s="101">
        <v>48</v>
      </c>
      <c r="T1212" s="273">
        <f>Table1[[#This Row],[VO Wdth]]</f>
        <v>30</v>
      </c>
      <c r="U1212" s="273">
        <f>Table1[[#This Row],[VO Hgt]]</f>
        <v>48</v>
      </c>
      <c r="V1212" s="106">
        <f>IF(J1212="Canvas",P1212+Border,P1212)</f>
        <v>38</v>
      </c>
      <c r="W1212" s="106">
        <f>IF(J1212="Canvas",Q1212+Border,Q1212)</f>
        <v>56</v>
      </c>
      <c r="X1212" s="157" t="s">
        <v>57</v>
      </c>
      <c r="Y1212" s="60">
        <v>38</v>
      </c>
      <c r="Z1212" s="60">
        <v>112</v>
      </c>
      <c r="AA1212" s="649">
        <f>V1212*W1212/144</f>
        <v>14.777777777777779</v>
      </c>
      <c r="AB1212" s="184">
        <f>AA1212*IncaG</f>
        <v>310.92444444444448</v>
      </c>
      <c r="AC1212" s="104">
        <f>AA1212*Canvas</f>
        <v>9.7533333333333339</v>
      </c>
      <c r="AD1212" s="107">
        <f>Table1[[#This Row],[Substrate SF]]*IncaC</f>
        <v>24.873955555555558</v>
      </c>
      <c r="AE1212" s="104">
        <f>IF(Table1[[#This Row],[Work Center]]="SwissQ",Materials!G$37,IF(Table1[[#This Row],[Work Center]]="Inca",Materials!G$29,IF(Table1[[#This Row],[Work Center]]="Canon",Materials!G$49,Materials!G$45)))</f>
        <v>8</v>
      </c>
      <c r="AF1212" s="74">
        <f>'Cali FPS'!C50</f>
        <v>105.875</v>
      </c>
      <c r="AG1212" s="115"/>
      <c r="AH1212" s="498">
        <f t="shared" si="428"/>
        <v>32.5</v>
      </c>
      <c r="AI1212" s="498"/>
      <c r="AJ1212" s="104">
        <f t="shared" si="430"/>
        <v>181.0022888888889</v>
      </c>
      <c r="AK1212" s="650">
        <f t="shared" si="429"/>
        <v>0.72153494017094022</v>
      </c>
      <c r="AL1212" s="225">
        <f>Table1[[#This Row],[WSP/Dealer]]/Table1[[#This Row],[OD Sq Inch]]</f>
        <v>0.4513888888888889</v>
      </c>
      <c r="AM1212" s="103">
        <f>Table1[[#This Row],[OD Wdth]]*Table1[[#This Row],[OD Hgt]]</f>
        <v>1440</v>
      </c>
      <c r="AN1212" s="216">
        <f>Table1[[#This Row],[Min VO]]+Table1[[#This Row],[Max VO]]</f>
        <v>78</v>
      </c>
      <c r="AO1212" s="101"/>
      <c r="AP1212" s="101"/>
      <c r="AQ1212" s="104"/>
      <c r="AR1212" s="104"/>
      <c r="AS1212" s="104"/>
      <c r="AT1212" s="104"/>
      <c r="AU1212" s="830" t="str">
        <f t="shared" si="414"/>
        <v>-</v>
      </c>
    </row>
    <row r="1213" spans="1:47" s="528" customFormat="1" hidden="1" x14ac:dyDescent="0.2">
      <c r="A1213" s="374" t="s">
        <v>187</v>
      </c>
      <c r="B1213" s="1061" t="s">
        <v>188</v>
      </c>
      <c r="C1213" s="94" t="s">
        <v>2978</v>
      </c>
      <c r="D1213" s="94"/>
      <c r="E1213" s="84" t="s">
        <v>2979</v>
      </c>
      <c r="F1213" s="84" t="s">
        <v>531</v>
      </c>
      <c r="G1213" s="68" t="s">
        <v>132</v>
      </c>
      <c r="H1213" s="68" t="s">
        <v>133</v>
      </c>
      <c r="I1213" s="68" t="s">
        <v>52</v>
      </c>
      <c r="J1213" s="140" t="s">
        <v>53</v>
      </c>
      <c r="K1213" s="68" t="s">
        <v>69</v>
      </c>
      <c r="L1213" s="68" t="s">
        <v>70</v>
      </c>
      <c r="M1213" s="93">
        <v>2450</v>
      </c>
      <c r="N1213" s="71"/>
      <c r="O1213" s="68" t="s">
        <v>56</v>
      </c>
      <c r="P1213" s="798">
        <v>36</v>
      </c>
      <c r="Q1213" s="798">
        <v>48</v>
      </c>
      <c r="R1213" s="68">
        <v>36</v>
      </c>
      <c r="S1213" s="623">
        <v>48</v>
      </c>
      <c r="T1213" s="68">
        <v>37</v>
      </c>
      <c r="U1213" s="623" t="str">
        <f>RIGHT(Table1[[#This Row],[OD]],2)</f>
        <v>49</v>
      </c>
      <c r="V1213" s="917"/>
      <c r="W1213" s="917"/>
      <c r="X1213" s="189"/>
      <c r="Y1213" s="68"/>
      <c r="Z1213" s="68"/>
      <c r="AA1213" s="699"/>
      <c r="AB1213" s="297"/>
      <c r="AC1213" s="74"/>
      <c r="AD1213" s="118"/>
      <c r="AE1213" s="126"/>
      <c r="AF1213" s="73"/>
      <c r="AG1213" s="84"/>
      <c r="AH1213" s="498">
        <f t="shared" si="428"/>
        <v>122.5</v>
      </c>
      <c r="AI1213" s="498"/>
      <c r="AJ1213" s="126"/>
      <c r="AK1213" s="650">
        <f t="shared" si="429"/>
        <v>1</v>
      </c>
      <c r="AL1213" s="225" t="e">
        <f>Table1[[#This Row],[WSP/Dealer]]/Table1[[#This Row],[OD Sq Inch]]</f>
        <v>#DIV/0!</v>
      </c>
      <c r="AM1213" s="119"/>
      <c r="AN1213" s="84"/>
      <c r="AO1213" s="84"/>
      <c r="AP1213" s="84"/>
      <c r="AQ1213" s="126"/>
      <c r="AR1213" s="126"/>
      <c r="AS1213" s="126"/>
      <c r="AT1213" s="74"/>
      <c r="AU1213" s="1357" t="str">
        <f t="shared" si="414"/>
        <v>-</v>
      </c>
    </row>
    <row r="1214" spans="1:47" s="101" customFormat="1" hidden="1" x14ac:dyDescent="0.2">
      <c r="A1214" s="374" t="s">
        <v>187</v>
      </c>
      <c r="B1214" s="1061" t="s">
        <v>188</v>
      </c>
      <c r="C1214" s="94" t="s">
        <v>2980</v>
      </c>
      <c r="D1214" s="94"/>
      <c r="E1214" s="84" t="s">
        <v>2979</v>
      </c>
      <c r="F1214" s="84" t="s">
        <v>531</v>
      </c>
      <c r="G1214" s="68" t="s">
        <v>132</v>
      </c>
      <c r="H1214" s="68" t="s">
        <v>132</v>
      </c>
      <c r="I1214" s="68" t="s">
        <v>52</v>
      </c>
      <c r="J1214" s="140" t="s">
        <v>53</v>
      </c>
      <c r="K1214" s="68" t="s">
        <v>54</v>
      </c>
      <c r="L1214" s="68" t="s">
        <v>55</v>
      </c>
      <c r="M1214" s="93">
        <v>2095</v>
      </c>
      <c r="N1214" s="71"/>
      <c r="O1214" s="68" t="s">
        <v>56</v>
      </c>
      <c r="P1214" s="798">
        <v>36</v>
      </c>
      <c r="Q1214" s="798">
        <v>48</v>
      </c>
      <c r="R1214" s="68">
        <v>36</v>
      </c>
      <c r="S1214" s="65">
        <v>48</v>
      </c>
      <c r="T1214" s="65">
        <f>Table1[[#This Row],[VO Wdth]]</f>
        <v>36</v>
      </c>
      <c r="U1214" s="65">
        <f>Table1[[#This Row],[VO Hgt]]</f>
        <v>48</v>
      </c>
      <c r="V1214" s="66"/>
      <c r="W1214" s="66"/>
      <c r="X1214" s="189"/>
      <c r="Y1214" s="68"/>
      <c r="Z1214" s="68"/>
      <c r="AA1214" s="699"/>
      <c r="AB1214" s="297"/>
      <c r="AC1214" s="74"/>
      <c r="AD1214" s="118"/>
      <c r="AE1214" s="126"/>
      <c r="AF1214" s="73"/>
      <c r="AG1214" s="84"/>
      <c r="AH1214" s="112">
        <f t="shared" si="428"/>
        <v>104.75</v>
      </c>
      <c r="AI1214" s="112"/>
      <c r="AJ1214" s="118"/>
      <c r="AK1214" s="62">
        <f t="shared" si="429"/>
        <v>1</v>
      </c>
      <c r="AL1214" s="225" t="e">
        <f>Table1[[#This Row],[WSP/Dealer]]/Table1[[#This Row],[OD Sq Inch]]</f>
        <v>#DIV/0!</v>
      </c>
      <c r="AM1214" s="119"/>
      <c r="AN1214" s="84"/>
      <c r="AO1214" s="84"/>
      <c r="AP1214" s="84"/>
      <c r="AQ1214" s="126"/>
      <c r="AR1214" s="126"/>
      <c r="AS1214" s="126"/>
      <c r="AT1214" s="74"/>
      <c r="AU1214" s="1357" t="str">
        <f t="shared" si="414"/>
        <v>-</v>
      </c>
    </row>
    <row r="1215" spans="1:47" s="103" customFormat="1" hidden="1" x14ac:dyDescent="0.2">
      <c r="A1215" s="373" t="s">
        <v>187</v>
      </c>
      <c r="B1215" s="1061" t="s">
        <v>188</v>
      </c>
      <c r="C1215" s="94" t="s">
        <v>2981</v>
      </c>
      <c r="D1215" s="94"/>
      <c r="E1215" s="84" t="s">
        <v>2979</v>
      </c>
      <c r="F1215" s="84" t="s">
        <v>531</v>
      </c>
      <c r="G1215" s="68" t="s">
        <v>132</v>
      </c>
      <c r="H1215" s="68" t="s">
        <v>133</v>
      </c>
      <c r="I1215" s="68" t="s">
        <v>52</v>
      </c>
      <c r="J1215" s="140" t="s">
        <v>53</v>
      </c>
      <c r="K1215" s="68" t="s">
        <v>69</v>
      </c>
      <c r="L1215" s="68" t="s">
        <v>73</v>
      </c>
      <c r="M1215" s="93">
        <v>2450</v>
      </c>
      <c r="N1215" s="71"/>
      <c r="O1215" s="68" t="s">
        <v>56</v>
      </c>
      <c r="P1215" s="798">
        <v>36</v>
      </c>
      <c r="Q1215" s="798">
        <v>48</v>
      </c>
      <c r="R1215" s="68">
        <v>36</v>
      </c>
      <c r="S1215" s="65">
        <v>48</v>
      </c>
      <c r="T1215" s="63">
        <v>37</v>
      </c>
      <c r="U1215" s="65" t="str">
        <f>RIGHT(Table1[[#This Row],[OD]],2)</f>
        <v>49</v>
      </c>
      <c r="V1215" s="66"/>
      <c r="W1215" s="66"/>
      <c r="X1215" s="189"/>
      <c r="Y1215" s="68"/>
      <c r="Z1215" s="68"/>
      <c r="AA1215" s="699"/>
      <c r="AB1215" s="297"/>
      <c r="AC1215" s="74"/>
      <c r="AD1215" s="118"/>
      <c r="AE1215" s="126"/>
      <c r="AF1215" s="73"/>
      <c r="AG1215" s="84"/>
      <c r="AH1215" s="112">
        <f t="shared" si="428"/>
        <v>122.5</v>
      </c>
      <c r="AI1215" s="112"/>
      <c r="AJ1215" s="118"/>
      <c r="AK1215" s="62">
        <f t="shared" si="429"/>
        <v>1</v>
      </c>
      <c r="AL1215" s="225" t="e">
        <f>Table1[[#This Row],[WSP/Dealer]]/Table1[[#This Row],[OD Sq Inch]]</f>
        <v>#DIV/0!</v>
      </c>
      <c r="AM1215" s="119"/>
      <c r="AN1215" s="84"/>
      <c r="AO1215" s="119"/>
      <c r="AP1215" s="84"/>
      <c r="AQ1215" s="126"/>
      <c r="AR1215" s="126"/>
      <c r="AS1215" s="126"/>
      <c r="AT1215" s="74"/>
      <c r="AU1215" s="1356" t="str">
        <f t="shared" si="414"/>
        <v>-</v>
      </c>
    </row>
    <row r="1216" spans="1:47" s="103" customFormat="1" hidden="1" x14ac:dyDescent="0.2">
      <c r="A1216" s="374" t="s">
        <v>187</v>
      </c>
      <c r="B1216" s="279" t="s">
        <v>188</v>
      </c>
      <c r="C1216" s="94" t="s">
        <v>2982</v>
      </c>
      <c r="D1216" s="94"/>
      <c r="E1216" s="84" t="s">
        <v>2983</v>
      </c>
      <c r="F1216" s="84" t="s">
        <v>531</v>
      </c>
      <c r="G1216" s="68" t="s">
        <v>132</v>
      </c>
      <c r="H1216" s="68" t="s">
        <v>132</v>
      </c>
      <c r="I1216" s="68" t="s">
        <v>108</v>
      </c>
      <c r="J1216" s="140" t="s">
        <v>53</v>
      </c>
      <c r="K1216" s="68" t="s">
        <v>198</v>
      </c>
      <c r="L1216" s="68" t="s">
        <v>199</v>
      </c>
      <c r="M1216" s="93">
        <v>90</v>
      </c>
      <c r="N1216" s="71"/>
      <c r="O1216" s="68" t="s">
        <v>56</v>
      </c>
      <c r="P1216" s="798">
        <v>36</v>
      </c>
      <c r="Q1216" s="798">
        <v>48</v>
      </c>
      <c r="R1216" s="68">
        <v>36</v>
      </c>
      <c r="S1216" s="623">
        <v>48</v>
      </c>
      <c r="T1216" s="623">
        <f>Table1[[#This Row],[VO Wdth]]</f>
        <v>36</v>
      </c>
      <c r="U1216" s="623">
        <f>Table1[[#This Row],[VO Hgt]]</f>
        <v>48</v>
      </c>
      <c r="V1216" s="686">
        <f>Table1[[#This Row],[VO Wdth]]+Materials!$C$7</f>
        <v>38</v>
      </c>
      <c r="W1216" s="686">
        <f>Table1[[#This Row],[VO Hgt]]+Materials!$C$7</f>
        <v>50</v>
      </c>
      <c r="X1216" s="343" t="s">
        <v>197</v>
      </c>
      <c r="Y1216" s="68"/>
      <c r="Z1216" s="68"/>
      <c r="AA1216" s="699">
        <f>V1216*W1216/144</f>
        <v>13.194444444444445</v>
      </c>
      <c r="AB1216" s="297">
        <f>AA1216*IncaGR</f>
        <v>13.458333333333334</v>
      </c>
      <c r="AC1216" s="74">
        <f>Table1[[#This Row],[Substrate SF]]*POster</f>
        <v>9.8166666666666664</v>
      </c>
      <c r="AD1216" s="208">
        <f>Table1[[#This Row],[Ink g/mL]]*IncaCR</f>
        <v>1.0766666666666667</v>
      </c>
      <c r="AE1216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216" s="73">
        <v>0</v>
      </c>
      <c r="AG1216" s="126">
        <f>Materials!D$76</f>
        <v>10.82</v>
      </c>
      <c r="AH1216" s="498">
        <f t="shared" si="428"/>
        <v>4.5</v>
      </c>
      <c r="AI1216" s="498"/>
      <c r="AJ1216" s="278">
        <f>SUM(AC1216:AH1216)</f>
        <v>36.213333333333331</v>
      </c>
      <c r="AK1216" s="650">
        <f t="shared" si="429"/>
        <v>0.59762962962962962</v>
      </c>
      <c r="AL1216" s="225">
        <f>Table1[[#This Row],[WSP/Dealer]]/Table1[[#This Row],[OD Sq Inch]]</f>
        <v>5.2083333333333336E-2</v>
      </c>
      <c r="AM1216" s="170">
        <f>Table1[[#This Row],[OD Wdth]]*Table1[[#This Row],[OD Hgt]]</f>
        <v>1728</v>
      </c>
      <c r="AN1216" s="84"/>
      <c r="AO1216" s="84"/>
      <c r="AP1216" s="84"/>
      <c r="AQ1216" s="126"/>
      <c r="AR1216" s="126"/>
      <c r="AS1216" s="126"/>
      <c r="AT1216" s="74"/>
      <c r="AU1216" s="1357" t="str">
        <f t="shared" si="414"/>
        <v>-</v>
      </c>
    </row>
    <row r="1217" spans="1:47" s="68" customFormat="1" x14ac:dyDescent="0.2">
      <c r="A1217" s="68" t="s">
        <v>58</v>
      </c>
      <c r="B1217" s="279" t="s">
        <v>527</v>
      </c>
      <c r="C1217" s="94" t="s">
        <v>2984</v>
      </c>
      <c r="D1217" s="94"/>
      <c r="E1217" s="84" t="s">
        <v>2985</v>
      </c>
      <c r="F1217" s="84" t="s">
        <v>531</v>
      </c>
      <c r="G1217" s="68" t="s">
        <v>2986</v>
      </c>
      <c r="H1217" s="68" t="s">
        <v>2986</v>
      </c>
      <c r="I1217" s="68" t="s">
        <v>52</v>
      </c>
      <c r="J1217" s="68" t="s">
        <v>53</v>
      </c>
      <c r="K1217" s="68" t="s">
        <v>54</v>
      </c>
      <c r="L1217" s="68" t="s">
        <v>55</v>
      </c>
      <c r="M1217" s="93">
        <v>1400</v>
      </c>
      <c r="N1217" s="831">
        <v>1300</v>
      </c>
      <c r="O1217" s="68" t="s">
        <v>56</v>
      </c>
      <c r="P1217" s="68">
        <v>56</v>
      </c>
      <c r="Q1217" s="68">
        <v>74</v>
      </c>
      <c r="R1217" s="68">
        <v>56</v>
      </c>
      <c r="S1217" s="68">
        <v>74</v>
      </c>
      <c r="T1217" s="623">
        <f>Table1[[#This Row],[VO Wdth]]</f>
        <v>56</v>
      </c>
      <c r="U1217" s="623">
        <f>Table1[[#This Row],[VO Hgt]]</f>
        <v>74</v>
      </c>
      <c r="V1217" s="917">
        <f>IF(J1217="Canvas",P1217+Border,P1217)</f>
        <v>64</v>
      </c>
      <c r="W1217" s="917">
        <f>IF(J1217="Canvas",Q1217+Border,Q1217)</f>
        <v>82</v>
      </c>
      <c r="X1217" s="189">
        <v>59</v>
      </c>
      <c r="AA1217" s="699">
        <f>V1217*W1217/144</f>
        <v>36.444444444444443</v>
      </c>
      <c r="AB1217" s="297">
        <f>AA1217*IncaG</f>
        <v>766.79111111111104</v>
      </c>
      <c r="AC1217" s="74">
        <f>AA1217*Canvas</f>
        <v>24.053333333333335</v>
      </c>
      <c r="AD1217" s="67">
        <f>Table1[[#This Row],[Substrate SF]]*IncaC</f>
        <v>61.343288888888885</v>
      </c>
      <c r="AE1217" s="74">
        <f>IF(Table1[[#This Row],[Work Center]]="SwissQ",Materials!G$37,IF(Table1[[#This Row],[Work Center]]="Inca",Materials!G$29,IF(Table1[[#This Row],[Work Center]]="Canon",Materials!G$49,Materials!G$45)))</f>
        <v>8</v>
      </c>
      <c r="AF1217" s="74">
        <f>'Cali FPS'!C$151</f>
        <v>231.26250000000002</v>
      </c>
      <c r="AG1217" s="84"/>
      <c r="AH1217" s="74">
        <f t="shared" si="428"/>
        <v>70</v>
      </c>
      <c r="AI1217" s="74"/>
      <c r="AJ1217" s="74">
        <f>SUM(AC1217:AH1217)</f>
        <v>394.65912222222221</v>
      </c>
      <c r="AK1217" s="1001">
        <f t="shared" si="429"/>
        <v>0.71810062698412702</v>
      </c>
      <c r="AL1217" s="240">
        <f>Table1[[#This Row],[WSP/Dealer]]/Table1[[#This Row],[OD Sq Inch]]</f>
        <v>0.33783783783783783</v>
      </c>
      <c r="AM1217" s="63">
        <f>Table1[[#This Row],[OD Wdth]]*Table1[[#This Row],[OD Hgt]]</f>
        <v>4144</v>
      </c>
      <c r="AN1217" s="238">
        <f>Table1[[#This Row],[Min VO]]+Table1[[#This Row],[Max VO]]</f>
        <v>130</v>
      </c>
      <c r="AQ1217" s="74"/>
      <c r="AR1217" s="74"/>
      <c r="AS1217" s="74"/>
      <c r="AT1217" s="74"/>
      <c r="AU1217" s="1001" t="str">
        <f t="shared" si="414"/>
        <v>-</v>
      </c>
    </row>
    <row r="1218" spans="1:47" s="68" customFormat="1" x14ac:dyDescent="0.2">
      <c r="A1218" s="86" t="s">
        <v>58</v>
      </c>
      <c r="B1218" s="279" t="s">
        <v>527</v>
      </c>
      <c r="C1218" s="79" t="s">
        <v>2987</v>
      </c>
      <c r="D1218" s="94" t="s">
        <v>2988</v>
      </c>
      <c r="E1218" s="85" t="s">
        <v>2989</v>
      </c>
      <c r="F1218" s="85" t="s">
        <v>531</v>
      </c>
      <c r="G1218" s="86" t="s">
        <v>2977</v>
      </c>
      <c r="H1218" s="86" t="s">
        <v>2977</v>
      </c>
      <c r="I1218" s="86" t="s">
        <v>52</v>
      </c>
      <c r="J1218" s="86" t="s">
        <v>53</v>
      </c>
      <c r="K1218" s="86" t="s">
        <v>54</v>
      </c>
      <c r="L1218" s="86" t="s">
        <v>55</v>
      </c>
      <c r="M1218" s="87">
        <v>650</v>
      </c>
      <c r="N1218" s="639">
        <v>660</v>
      </c>
      <c r="O1218" s="60" t="s">
        <v>56</v>
      </c>
      <c r="P1218" s="60">
        <v>30</v>
      </c>
      <c r="Q1218" s="60">
        <v>48</v>
      </c>
      <c r="R1218" s="60">
        <v>30</v>
      </c>
      <c r="S1218" s="60">
        <v>48</v>
      </c>
      <c r="T1218" s="273">
        <f>Table1[[#This Row],[VO Wdth]]</f>
        <v>30</v>
      </c>
      <c r="U1218" s="273">
        <f>Table1[[#This Row],[VO Hgt]]</f>
        <v>48</v>
      </c>
      <c r="V1218" s="946">
        <f>IF(J1218="Canvas",P1218+Border,P1218)</f>
        <v>38</v>
      </c>
      <c r="W1218" s="946">
        <f>IF(J1218="Canvas",Q1218+Border,Q1218)</f>
        <v>56</v>
      </c>
      <c r="X1218" s="157" t="s">
        <v>57</v>
      </c>
      <c r="Y1218" s="60">
        <v>38</v>
      </c>
      <c r="Z1218" s="60">
        <v>112</v>
      </c>
      <c r="AA1218" s="717">
        <f>V1218*W1218/144</f>
        <v>14.777777777777779</v>
      </c>
      <c r="AB1218" s="125">
        <f>AA1218*IncaG</f>
        <v>310.92444444444448</v>
      </c>
      <c r="AC1218" s="69">
        <f>AA1218*Canvas</f>
        <v>9.7533333333333339</v>
      </c>
      <c r="AD1218" s="48">
        <f>Table1[[#This Row],[Substrate SF]]*IncaC</f>
        <v>24.873955555555558</v>
      </c>
      <c r="AE1218" s="104">
        <f>IF(Table1[[#This Row],[Work Center]]="SwissQ",Materials!G$37,IF(Table1[[#This Row],[Work Center]]="Inca",Materials!G$29,IF(Table1[[#This Row],[Work Center]]="Canon",Materials!G$49,Materials!G$45)))</f>
        <v>8</v>
      </c>
      <c r="AF1218" s="69">
        <f>'Cali FPS'!C50</f>
        <v>105.875</v>
      </c>
      <c r="AG1218" s="115"/>
      <c r="AH1218" s="498">
        <f t="shared" si="428"/>
        <v>32.5</v>
      </c>
      <c r="AI1218" s="112"/>
      <c r="AJ1218" s="69">
        <f>SUM(AC1218:AH1218)</f>
        <v>181.0022888888889</v>
      </c>
      <c r="AK1218" s="650">
        <f t="shared" si="429"/>
        <v>0.72153494017094022</v>
      </c>
      <c r="AL1218" s="225">
        <f>Table1[[#This Row],[WSP/Dealer]]/Table1[[#This Row],[OD Sq Inch]]</f>
        <v>0.4513888888888889</v>
      </c>
      <c r="AM1218" s="97">
        <f>Table1[[#This Row],[OD Wdth]]*Table1[[#This Row],[OD Hgt]]</f>
        <v>1440</v>
      </c>
      <c r="AN1218" s="216">
        <f>Table1[[#This Row],[Min VO]]+Table1[[#This Row],[Max VO]]</f>
        <v>78</v>
      </c>
      <c r="AO1218" s="60"/>
      <c r="AP1218" s="60"/>
      <c r="AQ1218" s="69"/>
      <c r="AR1218" s="69"/>
      <c r="AS1218" s="69"/>
      <c r="AT1218" s="69"/>
      <c r="AU1218" s="650" t="str">
        <f t="shared" si="414"/>
        <v>-</v>
      </c>
    </row>
    <row r="1219" spans="1:47" s="68" customFormat="1" hidden="1" x14ac:dyDescent="0.2">
      <c r="A1219" s="216" t="s">
        <v>272</v>
      </c>
      <c r="B1219" s="1061" t="s">
        <v>533</v>
      </c>
      <c r="C1219" s="234" t="s">
        <v>2990</v>
      </c>
      <c r="D1219" s="94" t="s">
        <v>2991</v>
      </c>
      <c r="E1219" s="217" t="s">
        <v>2989</v>
      </c>
      <c r="F1219" s="217" t="s">
        <v>531</v>
      </c>
      <c r="G1219" s="216" t="s">
        <v>2977</v>
      </c>
      <c r="H1219" s="216" t="s">
        <v>2977</v>
      </c>
      <c r="I1219" s="216" t="s">
        <v>52</v>
      </c>
      <c r="J1219" s="216" t="s">
        <v>53</v>
      </c>
      <c r="K1219" s="216" t="s">
        <v>54</v>
      </c>
      <c r="L1219" s="216" t="s">
        <v>55</v>
      </c>
      <c r="M1219" s="219">
        <v>290</v>
      </c>
      <c r="N1219" s="219"/>
      <c r="O1219" s="216" t="s">
        <v>56</v>
      </c>
      <c r="P1219" s="216">
        <v>30</v>
      </c>
      <c r="Q1219" s="216">
        <v>48</v>
      </c>
      <c r="R1219" s="216">
        <v>30</v>
      </c>
      <c r="S1219" s="216">
        <v>48</v>
      </c>
      <c r="T1219" s="626">
        <f>Table1[[#This Row],[VO Wdth]]</f>
        <v>30</v>
      </c>
      <c r="U1219" s="626">
        <f>Table1[[#This Row],[VO Hgt]]</f>
        <v>48</v>
      </c>
      <c r="V1219" s="907">
        <f>IF(J1219="Canvas",P1219+Border,P1219)</f>
        <v>38</v>
      </c>
      <c r="W1219" s="907">
        <f>IF(J1219="Canvas",Q1219+Border,Q1219)</f>
        <v>56</v>
      </c>
      <c r="X1219" s="223" t="s">
        <v>57</v>
      </c>
      <c r="Y1219" s="216">
        <v>38</v>
      </c>
      <c r="Z1219" s="216">
        <v>112</v>
      </c>
      <c r="AA1219" s="718">
        <f>V1219*W1219/144</f>
        <v>14.777777777777779</v>
      </c>
      <c r="AB1219" s="233">
        <f>AA1219*IncaG</f>
        <v>310.92444444444448</v>
      </c>
      <c r="AC1219" s="225">
        <f>AA1219*Canvas</f>
        <v>9.7533333333333339</v>
      </c>
      <c r="AD1219" s="225">
        <f>Table1[[#This Row],[Substrate SF]]*IncaC</f>
        <v>24.873955555555558</v>
      </c>
      <c r="AE1219" s="104">
        <f>IF(Table1[[#This Row],[Work Center]]="SwissQ",Materials!G$37,IF(Table1[[#This Row],[Work Center]]="Inca",Materials!G$29,IF(Table1[[#This Row],[Work Center]]="Canon",Materials!G$49,Materials!G$45)))</f>
        <v>8</v>
      </c>
      <c r="AF1219" s="226">
        <f>'CALI_SONDER '!H13</f>
        <v>82.18</v>
      </c>
      <c r="AG1219" s="225"/>
      <c r="AH1219" s="498">
        <f t="shared" si="428"/>
        <v>14.5</v>
      </c>
      <c r="AI1219" s="112"/>
      <c r="AJ1219" s="225">
        <f>SUM(AC1219:AH1219)</f>
        <v>139.30728888888891</v>
      </c>
      <c r="AK1219" s="650">
        <f t="shared" si="429"/>
        <v>0.5196300383141762</v>
      </c>
      <c r="AL1219" s="225">
        <f>Table1[[#This Row],[WSP/Dealer]]/Table1[[#This Row],[OD Sq Inch]]</f>
        <v>0.2013888888888889</v>
      </c>
      <c r="AM1219" s="216">
        <f>Table1[[#This Row],[OD Wdth]]*Table1[[#This Row],[OD Hgt]]</f>
        <v>1440</v>
      </c>
      <c r="AN1219" s="216">
        <f>Table1[[#This Row],[Min VO]]+Table1[[#This Row],[Max VO]]</f>
        <v>78</v>
      </c>
      <c r="AO1219" s="216"/>
      <c r="AP1219" s="216"/>
      <c r="AQ1219" s="225"/>
      <c r="AR1219" s="225"/>
      <c r="AS1219" s="225"/>
      <c r="AT1219" s="225"/>
      <c r="AU1219" s="1363" t="str">
        <f t="shared" si="414"/>
        <v>-</v>
      </c>
    </row>
    <row r="1220" spans="1:47" s="68" customFormat="1" hidden="1" x14ac:dyDescent="0.2">
      <c r="A1220" s="374" t="s">
        <v>187</v>
      </c>
      <c r="B1220" s="1061" t="s">
        <v>188</v>
      </c>
      <c r="C1220" s="94" t="s">
        <v>2992</v>
      </c>
      <c r="D1220" s="94"/>
      <c r="E1220" s="84" t="s">
        <v>2993</v>
      </c>
      <c r="F1220" s="84" t="s">
        <v>531</v>
      </c>
      <c r="G1220" s="68" t="s">
        <v>132</v>
      </c>
      <c r="H1220" s="68" t="s">
        <v>133</v>
      </c>
      <c r="I1220" s="68" t="s">
        <v>52</v>
      </c>
      <c r="J1220" s="140" t="s">
        <v>53</v>
      </c>
      <c r="K1220" s="68" t="s">
        <v>69</v>
      </c>
      <c r="L1220" s="68" t="s">
        <v>70</v>
      </c>
      <c r="M1220" s="93">
        <v>2450</v>
      </c>
      <c r="N1220" s="71"/>
      <c r="O1220" s="68" t="s">
        <v>56</v>
      </c>
      <c r="P1220" s="798">
        <v>36</v>
      </c>
      <c r="Q1220" s="798">
        <v>48</v>
      </c>
      <c r="R1220" s="68">
        <v>36</v>
      </c>
      <c r="S1220" s="623">
        <v>48</v>
      </c>
      <c r="T1220" s="68">
        <v>37</v>
      </c>
      <c r="U1220" s="623" t="str">
        <f>RIGHT(Table1[[#This Row],[OD]],2)</f>
        <v>49</v>
      </c>
      <c r="V1220" s="917"/>
      <c r="W1220" s="917"/>
      <c r="X1220" s="189"/>
      <c r="AA1220" s="649"/>
      <c r="AB1220" s="184"/>
      <c r="AC1220" s="104"/>
      <c r="AD1220" s="121"/>
      <c r="AE1220" s="121"/>
      <c r="AF1220" s="102"/>
      <c r="AG1220" s="115"/>
      <c r="AH1220" s="498">
        <f t="shared" si="428"/>
        <v>122.5</v>
      </c>
      <c r="AI1220" s="498"/>
      <c r="AJ1220" s="121"/>
      <c r="AK1220" s="650">
        <f t="shared" si="429"/>
        <v>1</v>
      </c>
      <c r="AL1220" s="225" t="e">
        <f>Table1[[#This Row],[WSP/Dealer]]/Table1[[#This Row],[OD Sq Inch]]</f>
        <v>#DIV/0!</v>
      </c>
      <c r="AM1220" s="115"/>
      <c r="AN1220" s="115"/>
      <c r="AO1220" s="115"/>
      <c r="AP1220" s="115"/>
      <c r="AQ1220" s="121"/>
      <c r="AR1220" s="121"/>
      <c r="AS1220" s="121"/>
      <c r="AT1220" s="104"/>
      <c r="AU1220" s="1359" t="str">
        <f t="shared" si="414"/>
        <v>-</v>
      </c>
    </row>
    <row r="1221" spans="1:47" s="63" customFormat="1" hidden="1" x14ac:dyDescent="0.2">
      <c r="A1221" s="374" t="s">
        <v>187</v>
      </c>
      <c r="B1221" s="1061" t="s">
        <v>188</v>
      </c>
      <c r="C1221" s="94" t="s">
        <v>2994</v>
      </c>
      <c r="D1221" s="94"/>
      <c r="E1221" s="84" t="s">
        <v>2993</v>
      </c>
      <c r="F1221" s="84" t="s">
        <v>531</v>
      </c>
      <c r="G1221" s="68" t="s">
        <v>132</v>
      </c>
      <c r="H1221" s="68" t="s">
        <v>132</v>
      </c>
      <c r="I1221" s="68" t="s">
        <v>52</v>
      </c>
      <c r="J1221" s="140" t="s">
        <v>53</v>
      </c>
      <c r="K1221" s="68" t="s">
        <v>54</v>
      </c>
      <c r="L1221" s="68" t="s">
        <v>55</v>
      </c>
      <c r="M1221" s="93">
        <v>2095</v>
      </c>
      <c r="N1221" s="71"/>
      <c r="O1221" s="68" t="s">
        <v>56</v>
      </c>
      <c r="P1221" s="798">
        <v>36</v>
      </c>
      <c r="Q1221" s="798">
        <v>48</v>
      </c>
      <c r="R1221" s="68">
        <v>36</v>
      </c>
      <c r="S1221" s="623">
        <v>48</v>
      </c>
      <c r="T1221" s="623">
        <f>Table1[[#This Row],[VO Wdth]]</f>
        <v>36</v>
      </c>
      <c r="U1221" s="623">
        <f>Table1[[#This Row],[VO Hgt]]</f>
        <v>48</v>
      </c>
      <c r="V1221" s="917"/>
      <c r="W1221" s="917"/>
      <c r="X1221" s="189"/>
      <c r="Y1221" s="68"/>
      <c r="Z1221" s="68"/>
      <c r="AA1221" s="649"/>
      <c r="AB1221" s="184"/>
      <c r="AC1221" s="104"/>
      <c r="AD1221" s="121"/>
      <c r="AE1221" s="121"/>
      <c r="AF1221" s="102"/>
      <c r="AG1221" s="115"/>
      <c r="AH1221" s="498">
        <f t="shared" si="428"/>
        <v>104.75</v>
      </c>
      <c r="AI1221" s="498"/>
      <c r="AJ1221" s="121"/>
      <c r="AK1221" s="650">
        <f t="shared" si="429"/>
        <v>1</v>
      </c>
      <c r="AL1221" s="225" t="e">
        <f>Table1[[#This Row],[WSP/Dealer]]/Table1[[#This Row],[OD Sq Inch]]</f>
        <v>#DIV/0!</v>
      </c>
      <c r="AM1221" s="115"/>
      <c r="AN1221" s="115"/>
      <c r="AO1221" s="115"/>
      <c r="AP1221" s="115"/>
      <c r="AQ1221" s="121"/>
      <c r="AR1221" s="121"/>
      <c r="AS1221" s="121"/>
      <c r="AT1221" s="104"/>
      <c r="AU1221" s="1359" t="str">
        <f t="shared" si="414"/>
        <v>-</v>
      </c>
    </row>
    <row r="1222" spans="1:47" s="63" customFormat="1" hidden="1" x14ac:dyDescent="0.2">
      <c r="A1222" s="373" t="s">
        <v>187</v>
      </c>
      <c r="B1222" s="279" t="s">
        <v>188</v>
      </c>
      <c r="C1222" s="94" t="s">
        <v>2995</v>
      </c>
      <c r="D1222" s="94"/>
      <c r="E1222" s="84" t="s">
        <v>2993</v>
      </c>
      <c r="F1222" s="84" t="s">
        <v>531</v>
      </c>
      <c r="G1222" s="68" t="s">
        <v>132</v>
      </c>
      <c r="H1222" s="68" t="s">
        <v>133</v>
      </c>
      <c r="I1222" s="68" t="s">
        <v>52</v>
      </c>
      <c r="J1222" s="140" t="s">
        <v>53</v>
      </c>
      <c r="K1222" s="68" t="s">
        <v>69</v>
      </c>
      <c r="L1222" s="68" t="s">
        <v>73</v>
      </c>
      <c r="M1222" s="93">
        <v>2450</v>
      </c>
      <c r="N1222" s="71"/>
      <c r="O1222" s="68" t="s">
        <v>56</v>
      </c>
      <c r="P1222" s="798">
        <v>36</v>
      </c>
      <c r="Q1222" s="798">
        <v>48</v>
      </c>
      <c r="R1222" s="68">
        <v>36</v>
      </c>
      <c r="S1222" s="623">
        <v>48</v>
      </c>
      <c r="T1222" s="68">
        <v>37</v>
      </c>
      <c r="U1222" s="623" t="str">
        <f>RIGHT(Table1[[#This Row],[OD]],2)</f>
        <v>49</v>
      </c>
      <c r="V1222" s="917"/>
      <c r="W1222" s="917"/>
      <c r="X1222" s="189"/>
      <c r="Y1222" s="68"/>
      <c r="Z1222" s="68"/>
      <c r="AA1222" s="649"/>
      <c r="AB1222" s="184"/>
      <c r="AC1222" s="104"/>
      <c r="AD1222" s="121"/>
      <c r="AE1222" s="121"/>
      <c r="AF1222" s="102"/>
      <c r="AG1222" s="115"/>
      <c r="AH1222" s="498">
        <f t="shared" ref="AH1222:AH1253" si="436">(M1222*0.05)</f>
        <v>122.5</v>
      </c>
      <c r="AI1222" s="498"/>
      <c r="AJ1222" s="121"/>
      <c r="AK1222" s="650">
        <f t="shared" ref="AK1222:AK1253" si="437">(M1222-AJ1222)/M1222</f>
        <v>1</v>
      </c>
      <c r="AL1222" s="225" t="e">
        <f>Table1[[#This Row],[WSP/Dealer]]/Table1[[#This Row],[OD Sq Inch]]</f>
        <v>#DIV/0!</v>
      </c>
      <c r="AM1222" s="115"/>
      <c r="AN1222" s="115"/>
      <c r="AO1222" s="115"/>
      <c r="AP1222" s="115"/>
      <c r="AQ1222" s="121"/>
      <c r="AR1222" s="121"/>
      <c r="AS1222" s="121"/>
      <c r="AT1222" s="104"/>
      <c r="AU1222" s="1359" t="str">
        <f t="shared" ref="AU1222:AU1285" si="438">IF(AQ1222=0,"-",(AQ1222-AT1222)/AQ1222)</f>
        <v>-</v>
      </c>
    </row>
    <row r="1223" spans="1:47" s="103" customFormat="1" hidden="1" x14ac:dyDescent="0.2">
      <c r="A1223" s="374" t="s">
        <v>187</v>
      </c>
      <c r="B1223" s="279" t="s">
        <v>188</v>
      </c>
      <c r="C1223" s="94" t="s">
        <v>2996</v>
      </c>
      <c r="D1223" s="94"/>
      <c r="E1223" s="84" t="s">
        <v>2997</v>
      </c>
      <c r="F1223" s="84" t="s">
        <v>531</v>
      </c>
      <c r="G1223" s="68" t="s">
        <v>132</v>
      </c>
      <c r="H1223" s="68" t="s">
        <v>132</v>
      </c>
      <c r="I1223" s="68" t="s">
        <v>108</v>
      </c>
      <c r="J1223" s="140" t="s">
        <v>53</v>
      </c>
      <c r="K1223" s="68" t="s">
        <v>198</v>
      </c>
      <c r="L1223" s="68" t="s">
        <v>199</v>
      </c>
      <c r="M1223" s="93">
        <v>90</v>
      </c>
      <c r="N1223" s="71"/>
      <c r="O1223" s="68" t="s">
        <v>56</v>
      </c>
      <c r="P1223" s="798">
        <v>36</v>
      </c>
      <c r="Q1223" s="798">
        <v>48</v>
      </c>
      <c r="R1223" s="68">
        <v>36</v>
      </c>
      <c r="S1223" s="623">
        <v>48</v>
      </c>
      <c r="T1223" s="623">
        <f>Table1[[#This Row],[VO Wdth]]</f>
        <v>36</v>
      </c>
      <c r="U1223" s="623">
        <f>Table1[[#This Row],[VO Hgt]]</f>
        <v>48</v>
      </c>
      <c r="V1223" s="686">
        <f>Table1[[#This Row],[VO Wdth]]+Materials!$C$7</f>
        <v>38</v>
      </c>
      <c r="W1223" s="686">
        <f>Table1[[#This Row],[VO Hgt]]+Materials!$C$7</f>
        <v>50</v>
      </c>
      <c r="X1223" s="343" t="s">
        <v>197</v>
      </c>
      <c r="Y1223" s="68"/>
      <c r="Z1223" s="68"/>
      <c r="AA1223" s="699">
        <f>V1223*W1223/144</f>
        <v>13.194444444444445</v>
      </c>
      <c r="AB1223" s="297">
        <f>AA1223*IncaGR</f>
        <v>13.458333333333334</v>
      </c>
      <c r="AC1223" s="74">
        <f>Table1[[#This Row],[Substrate SF]]*POster</f>
        <v>9.8166666666666664</v>
      </c>
      <c r="AD1223" s="240">
        <f>Table1[[#This Row],[Ink g/mL]]*IncaCR</f>
        <v>1.0766666666666667</v>
      </c>
      <c r="AE122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223" s="73">
        <v>0</v>
      </c>
      <c r="AG1223" s="126">
        <f>Materials!D$76</f>
        <v>10.82</v>
      </c>
      <c r="AH1223" s="498">
        <f t="shared" si="436"/>
        <v>4.5</v>
      </c>
      <c r="AI1223" s="498"/>
      <c r="AJ1223" s="278">
        <f>SUM(AC1223:AH1223)</f>
        <v>36.213333333333331</v>
      </c>
      <c r="AK1223" s="650">
        <f t="shared" si="437"/>
        <v>0.59762962962962962</v>
      </c>
      <c r="AL1223" s="225">
        <f>Table1[[#This Row],[WSP/Dealer]]/Table1[[#This Row],[OD Sq Inch]]</f>
        <v>5.2083333333333336E-2</v>
      </c>
      <c r="AM1223" s="274">
        <f>Table1[[#This Row],[OD Wdth]]*Table1[[#This Row],[OD Hgt]]</f>
        <v>1728</v>
      </c>
      <c r="AN1223" s="115"/>
      <c r="AO1223" s="115"/>
      <c r="AP1223" s="115"/>
      <c r="AQ1223" s="121"/>
      <c r="AR1223" s="121"/>
      <c r="AS1223" s="121"/>
      <c r="AT1223" s="104"/>
      <c r="AU1223" s="1359" t="str">
        <f t="shared" si="438"/>
        <v>-</v>
      </c>
    </row>
    <row r="1224" spans="1:47" s="63" customFormat="1" x14ac:dyDescent="0.2">
      <c r="A1224" s="86" t="s">
        <v>58</v>
      </c>
      <c r="B1224" s="279" t="s">
        <v>527</v>
      </c>
      <c r="C1224" s="79" t="s">
        <v>2998</v>
      </c>
      <c r="D1224" s="94"/>
      <c r="E1224" s="85" t="s">
        <v>2999</v>
      </c>
      <c r="F1224" s="85" t="s">
        <v>531</v>
      </c>
      <c r="G1224" s="86" t="s">
        <v>2986</v>
      </c>
      <c r="H1224" s="86" t="s">
        <v>2986</v>
      </c>
      <c r="I1224" s="86" t="s">
        <v>52</v>
      </c>
      <c r="J1224" s="86" t="s">
        <v>53</v>
      </c>
      <c r="K1224" s="86" t="s">
        <v>54</v>
      </c>
      <c r="L1224" s="86" t="s">
        <v>55</v>
      </c>
      <c r="M1224" s="87">
        <v>1400</v>
      </c>
      <c r="N1224" s="639">
        <v>1300</v>
      </c>
      <c r="O1224" s="60" t="s">
        <v>56</v>
      </c>
      <c r="P1224" s="60">
        <v>56</v>
      </c>
      <c r="Q1224" s="60">
        <v>74</v>
      </c>
      <c r="R1224" s="60">
        <v>56</v>
      </c>
      <c r="S1224" s="60">
        <v>74</v>
      </c>
      <c r="T1224" s="273">
        <f>Table1[[#This Row],[VO Wdth]]</f>
        <v>56</v>
      </c>
      <c r="U1224" s="273">
        <f>Table1[[#This Row],[VO Hgt]]</f>
        <v>74</v>
      </c>
      <c r="V1224" s="946">
        <f>IF(J1224="Canvas",P1224+Border,P1224)</f>
        <v>64</v>
      </c>
      <c r="W1224" s="946">
        <f>IF(J1224="Canvas",Q1224+Border,Q1224)</f>
        <v>82</v>
      </c>
      <c r="X1224" s="189">
        <v>59</v>
      </c>
      <c r="Y1224" s="68"/>
      <c r="Z1224" s="68"/>
      <c r="AA1224" s="717">
        <f>V1224*W1224/144</f>
        <v>36.444444444444443</v>
      </c>
      <c r="AB1224" s="125">
        <f>AA1224*IncaG</f>
        <v>766.79111111111104</v>
      </c>
      <c r="AC1224" s="69">
        <f>AA1224*Canvas</f>
        <v>24.053333333333335</v>
      </c>
      <c r="AD1224" s="69">
        <f>Table1[[#This Row],[Substrate SF]]*IncaC</f>
        <v>61.343288888888885</v>
      </c>
      <c r="AE1224" s="104">
        <f>IF(Table1[[#This Row],[Work Center]]="SwissQ",Materials!G$37,IF(Table1[[#This Row],[Work Center]]="Inca",Materials!G$29,IF(Table1[[#This Row],[Work Center]]="Canon",Materials!G$49,Materials!G$45)))</f>
        <v>8</v>
      </c>
      <c r="AF1224" s="69">
        <f>'Cali FPS'!C$151</f>
        <v>231.26250000000002</v>
      </c>
      <c r="AG1224" s="115"/>
      <c r="AH1224" s="498">
        <f t="shared" si="436"/>
        <v>70</v>
      </c>
      <c r="AI1224" s="498"/>
      <c r="AJ1224" s="69">
        <f>SUM(AC1224:AH1224)</f>
        <v>394.65912222222221</v>
      </c>
      <c r="AK1224" s="650">
        <f t="shared" si="437"/>
        <v>0.71810062698412702</v>
      </c>
      <c r="AL1224" s="225">
        <f>Table1[[#This Row],[WSP/Dealer]]/Table1[[#This Row],[OD Sq Inch]]</f>
        <v>0.33783783783783783</v>
      </c>
      <c r="AM1224" s="101">
        <f>Table1[[#This Row],[OD Wdth]]*Table1[[#This Row],[OD Hgt]]</f>
        <v>4144</v>
      </c>
      <c r="AN1224" s="216">
        <f>Table1[[#This Row],[Min VO]]+Table1[[#This Row],[Max VO]]</f>
        <v>130</v>
      </c>
      <c r="AO1224" s="60"/>
      <c r="AP1224" s="60"/>
      <c r="AQ1224" s="69"/>
      <c r="AR1224" s="69"/>
      <c r="AS1224" s="69"/>
      <c r="AT1224" s="69"/>
      <c r="AU1224" s="650" t="str">
        <f t="shared" si="438"/>
        <v>-</v>
      </c>
    </row>
    <row r="1225" spans="1:47" s="326" customFormat="1" x14ac:dyDescent="0.2">
      <c r="A1225" s="86" t="s">
        <v>58</v>
      </c>
      <c r="B1225" s="279" t="s">
        <v>527</v>
      </c>
      <c r="C1225" s="77" t="s">
        <v>3000</v>
      </c>
      <c r="D1225" s="94" t="s">
        <v>3001</v>
      </c>
      <c r="E1225" s="85" t="s">
        <v>3002</v>
      </c>
      <c r="F1225" s="85" t="s">
        <v>531</v>
      </c>
      <c r="G1225" s="86" t="s">
        <v>449</v>
      </c>
      <c r="H1225" s="86" t="s">
        <v>449</v>
      </c>
      <c r="I1225" s="86" t="s">
        <v>52</v>
      </c>
      <c r="J1225" s="86" t="s">
        <v>53</v>
      </c>
      <c r="K1225" s="86" t="s">
        <v>54</v>
      </c>
      <c r="L1225" s="86" t="s">
        <v>55</v>
      </c>
      <c r="M1225" s="87">
        <v>580</v>
      </c>
      <c r="N1225" s="639">
        <v>580</v>
      </c>
      <c r="O1225" s="551" t="s">
        <v>56</v>
      </c>
      <c r="P1225" s="101">
        <v>36</v>
      </c>
      <c r="Q1225" s="101">
        <v>36</v>
      </c>
      <c r="R1225" s="101">
        <v>36</v>
      </c>
      <c r="S1225" s="101">
        <v>36</v>
      </c>
      <c r="T1225" s="273">
        <f>Table1[[#This Row],[VO Wdth]]</f>
        <v>36</v>
      </c>
      <c r="U1225" s="273">
        <f>Table1[[#This Row],[VO Hgt]]</f>
        <v>36</v>
      </c>
      <c r="V1225" s="608">
        <f>IF(J1225="Canvas",P1225+Border,P1225)</f>
        <v>44</v>
      </c>
      <c r="W1225" s="608">
        <f>IF(J1225="Canvas",Q1225+Border,Q1225)</f>
        <v>44</v>
      </c>
      <c r="X1225" s="189">
        <v>53</v>
      </c>
      <c r="Y1225" s="68"/>
      <c r="Z1225" s="68"/>
      <c r="AA1225" s="649">
        <f>V1225*W1225/144</f>
        <v>13.444444444444445</v>
      </c>
      <c r="AB1225" s="184">
        <f>AA1225*IncaG</f>
        <v>282.87111111111108</v>
      </c>
      <c r="AC1225" s="104">
        <f>AA1225*Canvas</f>
        <v>8.8733333333333331</v>
      </c>
      <c r="AD1225" s="104">
        <f>Table1[[#This Row],[Substrate SF]]*IncaC</f>
        <v>22.629688888888889</v>
      </c>
      <c r="AE1225" s="104">
        <f>IF(Table1[[#This Row],[Work Center]]="SwissQ",Materials!G$37,IF(Table1[[#This Row],[Work Center]]="Inca",Materials!G$29,IF(Table1[[#This Row],[Work Center]]="Canon",Materials!G$49,Materials!G$45)))</f>
        <v>8</v>
      </c>
      <c r="AF1225" s="104">
        <f>'Cali FPS'!C67</f>
        <v>83.46</v>
      </c>
      <c r="AG1225" s="115"/>
      <c r="AH1225" s="498">
        <f t="shared" si="436"/>
        <v>29</v>
      </c>
      <c r="AI1225" s="498"/>
      <c r="AJ1225" s="104">
        <f>SUM(AC1225:AH1225)</f>
        <v>151.96302222222221</v>
      </c>
      <c r="AK1225" s="650">
        <f t="shared" si="437"/>
        <v>0.73799478927203066</v>
      </c>
      <c r="AL1225" s="225">
        <f>Table1[[#This Row],[WSP/Dealer]]/Table1[[#This Row],[OD Sq Inch]]</f>
        <v>0.44753086419753085</v>
      </c>
      <c r="AM1225" s="101">
        <f>Table1[[#This Row],[OD Wdth]]*Table1[[#This Row],[OD Hgt]]</f>
        <v>1296</v>
      </c>
      <c r="AN1225" s="216">
        <f>Table1[[#This Row],[Min VO]]+Table1[[#This Row],[Max VO]]</f>
        <v>72</v>
      </c>
      <c r="AO1225" s="101"/>
      <c r="AP1225" s="101"/>
      <c r="AQ1225" s="104"/>
      <c r="AR1225" s="104"/>
      <c r="AS1225" s="104"/>
      <c r="AT1225" s="104"/>
      <c r="AU1225" s="830" t="str">
        <f t="shared" si="438"/>
        <v>-</v>
      </c>
    </row>
    <row r="1226" spans="1:47" s="326" customFormat="1" x14ac:dyDescent="0.2">
      <c r="A1226" s="86" t="s">
        <v>58</v>
      </c>
      <c r="B1226" s="1061" t="s">
        <v>527</v>
      </c>
      <c r="C1226" s="77" t="s">
        <v>3003</v>
      </c>
      <c r="D1226" s="94" t="s">
        <v>3004</v>
      </c>
      <c r="E1226" s="85" t="s">
        <v>3005</v>
      </c>
      <c r="F1226" s="85" t="s">
        <v>531</v>
      </c>
      <c r="G1226" s="86" t="s">
        <v>405</v>
      </c>
      <c r="H1226" s="86" t="s">
        <v>405</v>
      </c>
      <c r="I1226" s="86" t="s">
        <v>52</v>
      </c>
      <c r="J1226" s="86" t="s">
        <v>53</v>
      </c>
      <c r="K1226" s="86" t="s">
        <v>54</v>
      </c>
      <c r="L1226" s="86" t="s">
        <v>55</v>
      </c>
      <c r="M1226" s="87">
        <v>750</v>
      </c>
      <c r="N1226" s="639">
        <v>830</v>
      </c>
      <c r="O1226" s="551" t="s">
        <v>56</v>
      </c>
      <c r="P1226" s="101">
        <v>48</v>
      </c>
      <c r="Q1226" s="101">
        <v>48</v>
      </c>
      <c r="R1226" s="101">
        <v>48</v>
      </c>
      <c r="S1226" s="101">
        <v>48</v>
      </c>
      <c r="T1226" s="273">
        <f>Table1[[#This Row],[VO Wdth]]</f>
        <v>48</v>
      </c>
      <c r="U1226" s="273">
        <f>Table1[[#This Row],[VO Hgt]]</f>
        <v>48</v>
      </c>
      <c r="V1226" s="608">
        <f>IF(J1226="Canvas",P1226+Border,P1226)</f>
        <v>56</v>
      </c>
      <c r="W1226" s="608">
        <f>IF(J1226="Canvas",Q1226+Border,Q1226)</f>
        <v>56</v>
      </c>
      <c r="X1226" s="189">
        <v>59</v>
      </c>
      <c r="Y1226" s="68"/>
      <c r="Z1226" s="68"/>
      <c r="AA1226" s="649">
        <f>V1226*W1226/144</f>
        <v>21.777777777777779</v>
      </c>
      <c r="AB1226" s="184">
        <f>AA1226*IncaG</f>
        <v>458.20444444444445</v>
      </c>
      <c r="AC1226" s="104">
        <f>AA1226*Canvas</f>
        <v>14.373333333333335</v>
      </c>
      <c r="AD1226" s="104">
        <f>Table1[[#This Row],[Substrate SF]]*IncaC</f>
        <v>36.656355555555557</v>
      </c>
      <c r="AE1226" s="104">
        <f>IF(Table1[[#This Row],[Work Center]]="SwissQ",Materials!G$37,IF(Table1[[#This Row],[Work Center]]="Inca",Materials!G$29,IF(Table1[[#This Row],[Work Center]]="Canon",Materials!G$49,Materials!G$45)))</f>
        <v>8</v>
      </c>
      <c r="AF1226" s="104">
        <f>'Cali FPS'!C117</f>
        <v>119.7</v>
      </c>
      <c r="AG1226" s="115"/>
      <c r="AH1226" s="498">
        <f t="shared" si="436"/>
        <v>37.5</v>
      </c>
      <c r="AI1226" s="498"/>
      <c r="AJ1226" s="104">
        <f>SUM(AC1226:AH1226)</f>
        <v>216.22968888888889</v>
      </c>
      <c r="AK1226" s="650">
        <f t="shared" si="437"/>
        <v>0.71169374814814823</v>
      </c>
      <c r="AL1226" s="225">
        <f>Table1[[#This Row],[WSP/Dealer]]/Table1[[#This Row],[OD Sq Inch]]</f>
        <v>0.32552083333333331</v>
      </c>
      <c r="AM1226" s="216">
        <f>Table1[[#This Row],[OD Wdth]]*Table1[[#This Row],[OD Hgt]]</f>
        <v>2304</v>
      </c>
      <c r="AN1226" s="216">
        <f>Table1[[#This Row],[Min VO]]+Table1[[#This Row],[Max VO]]</f>
        <v>96</v>
      </c>
      <c r="AO1226" s="101"/>
      <c r="AP1226" s="101"/>
      <c r="AQ1226" s="104"/>
      <c r="AR1226" s="104"/>
      <c r="AS1226" s="104"/>
      <c r="AT1226" s="104"/>
      <c r="AU1226" s="830" t="str">
        <f t="shared" si="438"/>
        <v>-</v>
      </c>
    </row>
    <row r="1227" spans="1:47" s="326" customFormat="1" hidden="1" x14ac:dyDescent="0.2">
      <c r="A1227" s="216" t="s">
        <v>272</v>
      </c>
      <c r="B1227" s="1061" t="s">
        <v>273</v>
      </c>
      <c r="C1227" s="342" t="s">
        <v>3006</v>
      </c>
      <c r="D1227" s="94"/>
      <c r="E1227" s="217" t="s">
        <v>3005</v>
      </c>
      <c r="F1227" s="217" t="s">
        <v>531</v>
      </c>
      <c r="G1227" s="216" t="s">
        <v>405</v>
      </c>
      <c r="H1227" s="216" t="s">
        <v>405</v>
      </c>
      <c r="I1227" s="216" t="s">
        <v>52</v>
      </c>
      <c r="J1227" s="216" t="s">
        <v>53</v>
      </c>
      <c r="K1227" s="216" t="s">
        <v>54</v>
      </c>
      <c r="L1227" s="216" t="s">
        <v>55</v>
      </c>
      <c r="M1227" s="219">
        <v>400</v>
      </c>
      <c r="N1227" s="219"/>
      <c r="O1227" s="216" t="s">
        <v>56</v>
      </c>
      <c r="P1227" s="216">
        <v>48</v>
      </c>
      <c r="Q1227" s="216">
        <v>48</v>
      </c>
      <c r="R1227" s="216">
        <v>48</v>
      </c>
      <c r="S1227" s="216">
        <v>48</v>
      </c>
      <c r="T1227" s="216">
        <v>48</v>
      </c>
      <c r="U1227" s="216">
        <v>48</v>
      </c>
      <c r="V1227" s="907">
        <f>IF(J1227="Canvas",P1227+Border,P1227)</f>
        <v>56</v>
      </c>
      <c r="W1227" s="907">
        <f>IF(J1227="Canvas",Q1227+Border,Q1227)</f>
        <v>56</v>
      </c>
      <c r="X1227" s="223">
        <v>59</v>
      </c>
      <c r="Y1227" s="216"/>
      <c r="Z1227" s="216"/>
      <c r="AA1227" s="718">
        <f>V1227*W1227/144</f>
        <v>21.777777777777779</v>
      </c>
      <c r="AB1227" s="233">
        <f>AA1227*IncaG</f>
        <v>458.20444444444445</v>
      </c>
      <c r="AC1227" s="225">
        <f>AA1227*Canvas</f>
        <v>14.373333333333335</v>
      </c>
      <c r="AD1227" s="986">
        <f>Table1[[#This Row],[Ink g/mL]]*Materials!$C$29</f>
        <v>36.656355555555557</v>
      </c>
      <c r="AE1227" s="104">
        <f>IF(Table1[[#This Row],[Work Center]]="SwissQ",Materials!G$37,IF(Table1[[#This Row],[Work Center]]="Inca",Materials!G$29,IF(Table1[[#This Row],[Work Center]]="Canon",Materials!G$49,Materials!G$45)))</f>
        <v>8</v>
      </c>
      <c r="AF1227" s="225"/>
      <c r="AG1227" s="115"/>
      <c r="AH1227" s="498">
        <f t="shared" si="436"/>
        <v>20</v>
      </c>
      <c r="AI1227" s="498"/>
      <c r="AJ1227" s="225">
        <f>SUM(AC1227:AH1227)</f>
        <v>79.029688888888899</v>
      </c>
      <c r="AK1227" s="650">
        <f t="shared" si="437"/>
        <v>0.80242577777777768</v>
      </c>
      <c r="AL1227" s="225">
        <f>Table1[[#This Row],[WSP/Dealer]]/Table1[[#This Row],[OD Sq Inch]]</f>
        <v>0.1736111111111111</v>
      </c>
      <c r="AM1227" s="110">
        <f>Table1[[#This Row],[OD Wdth]]*Table1[[#This Row],[OD Hgt]]</f>
        <v>2304</v>
      </c>
      <c r="AN1227" s="216">
        <f>Table1[[#This Row],[Min VO]]+Table1[[#This Row],[Max VO]]</f>
        <v>96</v>
      </c>
      <c r="AO1227" s="216" t="s">
        <v>467</v>
      </c>
      <c r="AP1227" s="226"/>
      <c r="AQ1227" s="226"/>
      <c r="AR1227" s="226"/>
      <c r="AS1227" s="226"/>
      <c r="AT1227" s="226"/>
      <c r="AU1227" s="1363" t="str">
        <f t="shared" si="438"/>
        <v>-</v>
      </c>
    </row>
    <row r="1228" spans="1:47" s="326" customFormat="1" hidden="1" x14ac:dyDescent="0.2">
      <c r="A1228" s="374" t="s">
        <v>187</v>
      </c>
      <c r="B1228" s="1061" t="s">
        <v>188</v>
      </c>
      <c r="C1228" s="94" t="s">
        <v>3007</v>
      </c>
      <c r="D1228" s="94"/>
      <c r="E1228" s="84" t="s">
        <v>3005</v>
      </c>
      <c r="F1228" s="553" t="s">
        <v>531</v>
      </c>
      <c r="G1228" s="238" t="s">
        <v>405</v>
      </c>
      <c r="H1228" s="238" t="s">
        <v>145</v>
      </c>
      <c r="I1228" s="68" t="s">
        <v>3008</v>
      </c>
      <c r="J1228" s="140" t="s">
        <v>3009</v>
      </c>
      <c r="K1228" s="68" t="s">
        <v>69</v>
      </c>
      <c r="L1228" s="68" t="s">
        <v>70</v>
      </c>
      <c r="M1228" s="93">
        <v>2750</v>
      </c>
      <c r="N1228" s="71"/>
      <c r="O1228" s="68"/>
      <c r="P1228" s="68"/>
      <c r="Q1228" s="68"/>
      <c r="R1228" s="68"/>
      <c r="S1228" s="68"/>
      <c r="T1228" s="68"/>
      <c r="U1228" s="68"/>
      <c r="V1228" s="917"/>
      <c r="W1228" s="917"/>
      <c r="X1228" s="189"/>
      <c r="Y1228" s="68"/>
      <c r="Z1228" s="68"/>
      <c r="AA1228" s="699"/>
      <c r="AB1228" s="297"/>
      <c r="AC1228" s="74"/>
      <c r="AD1228" s="126"/>
      <c r="AE1228" s="126"/>
      <c r="AF1228" s="73"/>
      <c r="AG1228" s="84"/>
      <c r="AH1228" s="498">
        <f t="shared" si="436"/>
        <v>137.5</v>
      </c>
      <c r="AI1228" s="498"/>
      <c r="AJ1228" s="126"/>
      <c r="AK1228" s="650">
        <f t="shared" si="437"/>
        <v>1</v>
      </c>
      <c r="AL1228" s="225" t="e">
        <f>Table1[[#This Row],[WSP/Dealer]]/Table1[[#This Row],[OD Sq Inch]]</f>
        <v>#DIV/0!</v>
      </c>
      <c r="AM1228" s="84"/>
      <c r="AN1228" s="84"/>
      <c r="AO1228" s="84"/>
      <c r="AP1228" s="535"/>
      <c r="AQ1228" s="535"/>
      <c r="AR1228" s="535"/>
      <c r="AS1228" s="535"/>
      <c r="AT1228" s="73"/>
      <c r="AU1228" s="1357" t="str">
        <f t="shared" si="438"/>
        <v>-</v>
      </c>
    </row>
    <row r="1229" spans="1:47" s="326" customFormat="1" hidden="1" x14ac:dyDescent="0.2">
      <c r="A1229" s="374" t="s">
        <v>187</v>
      </c>
      <c r="B1229" s="1061" t="s">
        <v>188</v>
      </c>
      <c r="C1229" s="94" t="s">
        <v>3010</v>
      </c>
      <c r="D1229" s="94"/>
      <c r="E1229" s="84" t="s">
        <v>3005</v>
      </c>
      <c r="F1229" s="553" t="s">
        <v>531</v>
      </c>
      <c r="G1229" s="238" t="s">
        <v>405</v>
      </c>
      <c r="H1229" s="238" t="s">
        <v>405</v>
      </c>
      <c r="I1229" s="68" t="s">
        <v>3008</v>
      </c>
      <c r="J1229" s="140" t="s">
        <v>3009</v>
      </c>
      <c r="K1229" s="68" t="s">
        <v>54</v>
      </c>
      <c r="L1229" s="68" t="s">
        <v>55</v>
      </c>
      <c r="M1229" s="93">
        <v>2250</v>
      </c>
      <c r="N1229" s="71"/>
      <c r="O1229" s="68"/>
      <c r="P1229" s="68"/>
      <c r="Q1229" s="68"/>
      <c r="R1229" s="68"/>
      <c r="S1229" s="68"/>
      <c r="T1229" s="68"/>
      <c r="U1229" s="68"/>
      <c r="V1229" s="66"/>
      <c r="W1229" s="66"/>
      <c r="X1229" s="189"/>
      <c r="Y1229" s="68"/>
      <c r="Z1229" s="68"/>
      <c r="AA1229" s="699"/>
      <c r="AB1229" s="297"/>
      <c r="AC1229" s="74"/>
      <c r="AD1229" s="118"/>
      <c r="AE1229" s="126"/>
      <c r="AF1229" s="73"/>
      <c r="AG1229" s="84"/>
      <c r="AH1229" s="498">
        <f t="shared" si="436"/>
        <v>112.5</v>
      </c>
      <c r="AI1229" s="498"/>
      <c r="AJ1229" s="126"/>
      <c r="AK1229" s="650">
        <f t="shared" si="437"/>
        <v>1</v>
      </c>
      <c r="AL1229" s="225" t="e">
        <f>Table1[[#This Row],[WSP/Dealer]]/Table1[[#This Row],[OD Sq Inch]]</f>
        <v>#DIV/0!</v>
      </c>
      <c r="AM1229" s="119"/>
      <c r="AN1229" s="84"/>
      <c r="AO1229" s="84"/>
      <c r="AP1229" s="535"/>
      <c r="AQ1229" s="535"/>
      <c r="AR1229" s="535"/>
      <c r="AS1229" s="535"/>
      <c r="AT1229" s="73"/>
      <c r="AU1229" s="1357" t="str">
        <f t="shared" si="438"/>
        <v>-</v>
      </c>
    </row>
    <row r="1230" spans="1:47" s="362" customFormat="1" hidden="1" x14ac:dyDescent="0.2">
      <c r="A1230" s="374" t="s">
        <v>187</v>
      </c>
      <c r="B1230" s="1061" t="s">
        <v>188</v>
      </c>
      <c r="C1230" s="94" t="s">
        <v>3011</v>
      </c>
      <c r="D1230" s="94"/>
      <c r="E1230" s="84" t="s">
        <v>3012</v>
      </c>
      <c r="F1230" s="553" t="s">
        <v>531</v>
      </c>
      <c r="G1230" s="238" t="s">
        <v>405</v>
      </c>
      <c r="H1230" s="238" t="s">
        <v>405</v>
      </c>
      <c r="I1230" s="68" t="s">
        <v>3013</v>
      </c>
      <c r="J1230" s="140" t="s">
        <v>3009</v>
      </c>
      <c r="K1230" s="68" t="s">
        <v>198</v>
      </c>
      <c r="L1230" s="68" t="s">
        <v>199</v>
      </c>
      <c r="M1230" s="93">
        <v>90</v>
      </c>
      <c r="N1230" s="71"/>
      <c r="O1230" s="274" t="s">
        <v>64</v>
      </c>
      <c r="P1230" s="68">
        <v>48</v>
      </c>
      <c r="Q1230" s="68">
        <v>48</v>
      </c>
      <c r="R1230" s="68">
        <v>48</v>
      </c>
      <c r="S1230" s="68">
        <v>48</v>
      </c>
      <c r="T1230" s="68">
        <v>48</v>
      </c>
      <c r="U1230" s="68">
        <v>48</v>
      </c>
      <c r="V1230" s="277">
        <f>Table1[[#This Row],[VO Wdth]]+Materials!$C$7</f>
        <v>50</v>
      </c>
      <c r="W1230" s="277">
        <f>Table1[[#This Row],[VO Hgt]]+Materials!$C$7</f>
        <v>50</v>
      </c>
      <c r="X1230" s="343" t="s">
        <v>197</v>
      </c>
      <c r="Y1230" s="68"/>
      <c r="Z1230" s="68"/>
      <c r="AA1230" s="699">
        <f t="shared" ref="AA1230:AA1240" si="439">V1230*W1230/144</f>
        <v>17.361111111111111</v>
      </c>
      <c r="AB1230" s="341">
        <f>AA1230*SWISSRML</f>
        <v>34.722222222222221</v>
      </c>
      <c r="AC1230" s="74">
        <f>Table1[[#This Row],[Substrate SF]]*POster</f>
        <v>12.916666666666666</v>
      </c>
      <c r="AD1230" s="263">
        <f>Table1[[#This Row],[Substrate SF]]*SWISSRC</f>
        <v>3.8194444444444442</v>
      </c>
      <c r="AE1230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230" s="73">
        <v>0</v>
      </c>
      <c r="AG1230" s="126">
        <f>Materials!D$76</f>
        <v>10.82</v>
      </c>
      <c r="AH1230" s="498">
        <f t="shared" si="436"/>
        <v>4.5</v>
      </c>
      <c r="AI1230" s="498"/>
      <c r="AJ1230" s="278">
        <f>SUM(AC1230:AH1230)</f>
        <v>42.056111111111107</v>
      </c>
      <c r="AK1230" s="650">
        <f t="shared" si="437"/>
        <v>0.53270987654320989</v>
      </c>
      <c r="AL1230" s="225">
        <f>Table1[[#This Row],[WSP/Dealer]]/Table1[[#This Row],[OD Sq Inch]]</f>
        <v>3.90625E-2</v>
      </c>
      <c r="AM1230" s="170">
        <f>Table1[[#This Row],[OD Wdth]]*Table1[[#This Row],[OD Hgt]]</f>
        <v>2304</v>
      </c>
      <c r="AN1230" s="84"/>
      <c r="AO1230" s="84"/>
      <c r="AP1230" s="84"/>
      <c r="AQ1230" s="126"/>
      <c r="AR1230" s="126"/>
      <c r="AS1230" s="126"/>
      <c r="AT1230" s="74"/>
      <c r="AU1230" s="1357" t="str">
        <f t="shared" si="438"/>
        <v>-</v>
      </c>
    </row>
    <row r="1231" spans="1:47" s="326" customFormat="1" hidden="1" x14ac:dyDescent="0.2">
      <c r="A1231" s="216" t="s">
        <v>272</v>
      </c>
      <c r="B1231" s="1061" t="s">
        <v>273</v>
      </c>
      <c r="C1231" s="342" t="s">
        <v>3014</v>
      </c>
      <c r="D1231" s="94"/>
      <c r="E1231" s="217" t="s">
        <v>3015</v>
      </c>
      <c r="F1231" s="217" t="s">
        <v>531</v>
      </c>
      <c r="G1231" s="216" t="s">
        <v>405</v>
      </c>
      <c r="H1231" s="216" t="s">
        <v>405</v>
      </c>
      <c r="I1231" s="216" t="s">
        <v>108</v>
      </c>
      <c r="J1231" s="216" t="s">
        <v>53</v>
      </c>
      <c r="K1231" s="216" t="s">
        <v>54</v>
      </c>
      <c r="L1231" s="216" t="s">
        <v>55</v>
      </c>
      <c r="M1231" s="219">
        <v>350</v>
      </c>
      <c r="N1231" s="219"/>
      <c r="O1231" s="216" t="s">
        <v>109</v>
      </c>
      <c r="P1231" s="216">
        <v>48</v>
      </c>
      <c r="Q1231" s="216">
        <v>48</v>
      </c>
      <c r="R1231" s="216">
        <v>48</v>
      </c>
      <c r="S1231" s="216">
        <v>48</v>
      </c>
      <c r="T1231" s="216">
        <v>48</v>
      </c>
      <c r="U1231" s="216">
        <v>48</v>
      </c>
      <c r="V1231" s="907">
        <f>IF(J1231="Canvas",P1231+Border,P1231)</f>
        <v>56</v>
      </c>
      <c r="W1231" s="907">
        <f>IF(J1231="Canvas",Q1231+Border,Q1231)</f>
        <v>56</v>
      </c>
      <c r="X1231" s="223">
        <v>59</v>
      </c>
      <c r="Y1231" s="216"/>
      <c r="Z1231" s="216"/>
      <c r="AA1231" s="718">
        <f t="shared" si="439"/>
        <v>21.777777777777779</v>
      </c>
      <c r="AB1231" s="233">
        <f>AA1231*EPSONM</f>
        <v>98</v>
      </c>
      <c r="AC1231" s="225">
        <f>AA1231*Canvas</f>
        <v>14.373333333333335</v>
      </c>
      <c r="AD1231" s="207">
        <f>Table1[[#This Row],[Ink g/mL]]*EPSONC</f>
        <v>21.56</v>
      </c>
      <c r="AE1231" s="104">
        <f>IF(Table1[[#This Row],[Work Center]]="SwissQ",Materials!G$37,IF(Table1[[#This Row],[Work Center]]="Inca",Materials!G$29,IF(Table1[[#This Row],[Work Center]]="Canon",Materials!G$49,Materials!G$45)))</f>
        <v>5</v>
      </c>
      <c r="AF1231" s="225">
        <f>'Cali FPS'!C117</f>
        <v>119.7</v>
      </c>
      <c r="AG1231" s="115"/>
      <c r="AH1231" s="498">
        <f t="shared" si="436"/>
        <v>17.5</v>
      </c>
      <c r="AI1231" s="498"/>
      <c r="AJ1231" s="225">
        <f>SUM(AC1231:AH1231)</f>
        <v>178.13333333333333</v>
      </c>
      <c r="AK1231" s="650">
        <f t="shared" si="437"/>
        <v>0.49104761904761907</v>
      </c>
      <c r="AL1231" s="225">
        <f>Table1[[#This Row],[WSP/Dealer]]/Table1[[#This Row],[OD Sq Inch]]</f>
        <v>0.15190972222222221</v>
      </c>
      <c r="AM1231" s="103">
        <f>Table1[[#This Row],[OD Wdth]]*Table1[[#This Row],[OD Hgt]]</f>
        <v>2304</v>
      </c>
      <c r="AN1231" s="216">
        <f>Table1[[#This Row],[Min VO]]+Table1[[#This Row],[Max VO]]</f>
        <v>96</v>
      </c>
      <c r="AO1231" s="216" t="s">
        <v>467</v>
      </c>
      <c r="AP1231" s="226"/>
      <c r="AQ1231" s="226"/>
      <c r="AR1231" s="226"/>
      <c r="AS1231" s="226"/>
      <c r="AT1231" s="226"/>
      <c r="AU1231" s="1363" t="str">
        <f t="shared" si="438"/>
        <v>-</v>
      </c>
    </row>
    <row r="1232" spans="1:47" s="103" customFormat="1" hidden="1" x14ac:dyDescent="0.2">
      <c r="A1232" s="101" t="s">
        <v>110</v>
      </c>
      <c r="B1232" s="1067" t="s">
        <v>134</v>
      </c>
      <c r="C1232" s="168" t="s">
        <v>3016</v>
      </c>
      <c r="D1232" s="168"/>
      <c r="E1232" s="115" t="s">
        <v>3017</v>
      </c>
      <c r="F1232" s="115" t="s">
        <v>531</v>
      </c>
      <c r="G1232" s="101" t="s">
        <v>132</v>
      </c>
      <c r="H1232" s="101" t="s">
        <v>132</v>
      </c>
      <c r="I1232" s="101" t="s">
        <v>52</v>
      </c>
      <c r="J1232" s="487" t="s">
        <v>53</v>
      </c>
      <c r="K1232" s="101" t="s">
        <v>54</v>
      </c>
      <c r="L1232" s="101" t="s">
        <v>55</v>
      </c>
      <c r="M1232" s="114">
        <v>400</v>
      </c>
      <c r="N1232" s="114"/>
      <c r="O1232" s="101" t="s">
        <v>56</v>
      </c>
      <c r="P1232" s="101">
        <v>36</v>
      </c>
      <c r="Q1232" s="101">
        <v>48</v>
      </c>
      <c r="R1232" s="101">
        <v>36</v>
      </c>
      <c r="S1232" s="101">
        <v>48</v>
      </c>
      <c r="T1232" s="697">
        <v>36</v>
      </c>
      <c r="U1232" s="697">
        <v>48</v>
      </c>
      <c r="V1232" s="608">
        <f>IF(J1232="Canvas",P1232+Border,P1232)</f>
        <v>44</v>
      </c>
      <c r="W1232" s="608">
        <f>IF(J1232="Canvas",Q1232+Border,Q1232)</f>
        <v>56</v>
      </c>
      <c r="X1232" s="137">
        <v>59</v>
      </c>
      <c r="Y1232" s="101">
        <v>44</v>
      </c>
      <c r="Z1232" s="101">
        <v>56</v>
      </c>
      <c r="AA1232" s="649">
        <f t="shared" si="439"/>
        <v>17.111111111111111</v>
      </c>
      <c r="AB1232" s="184">
        <f>AA1232*IncaG</f>
        <v>360.01777777777778</v>
      </c>
      <c r="AC1232" s="104">
        <f>AA1232*Canvas</f>
        <v>11.293333333333333</v>
      </c>
      <c r="AD1232" s="1066">
        <f>Table1[[#This Row],[Substrate SF]]*IncaC</f>
        <v>28.801422222222222</v>
      </c>
      <c r="AE1232" s="406">
        <f>IF(Table1[[#This Row],[Work Center]]="SwissQ",Materials!G$37,IF(Table1[[#This Row],[Work Center]]="Inca",Materials!G$29,IF(Table1[[#This Row],[Work Center]]="Canon",Materials!G$49,Materials!G$45)))</f>
        <v>8</v>
      </c>
      <c r="AF1232" s="102">
        <f>'Cali FPS'!C71</f>
        <v>114.31</v>
      </c>
      <c r="AG1232" s="115"/>
      <c r="AH1232" s="406">
        <f t="shared" si="436"/>
        <v>20</v>
      </c>
      <c r="AI1232" s="406">
        <f>IF(A1232="Codarus",(M1232*0.13))</f>
        <v>52</v>
      </c>
      <c r="AJ1232" s="104">
        <f>SUM(AC1232:AI1232)</f>
        <v>234.40475555555554</v>
      </c>
      <c r="AK1232" s="830">
        <f t="shared" si="437"/>
        <v>0.41398811111111117</v>
      </c>
      <c r="AL1232" s="660">
        <f>Table1[[#This Row],[WSP/Dealer]]/Table1[[#This Row],[OD Sq Inch]]</f>
        <v>0.23148148148148148</v>
      </c>
      <c r="AM1232" s="399">
        <f>Table1[[#This Row],[OD Wdth]]*Table1[[#This Row],[OD Hgt]]</f>
        <v>1728</v>
      </c>
      <c r="AN1232" s="400">
        <f>Table1[[#This Row],[Min VO]]+Table1[[#This Row],[Max VO]]</f>
        <v>84</v>
      </c>
      <c r="AO1232" s="115"/>
      <c r="AP1232" s="121">
        <v>800</v>
      </c>
      <c r="AQ1232" s="121">
        <f>(Table1[[#This Row],[Desgnr/Retail P]]*0.05)</f>
        <v>40</v>
      </c>
      <c r="AR1232" s="121">
        <f>IF(A1232="Codarus",(AP1232*0.13))</f>
        <v>104</v>
      </c>
      <c r="AS1232" s="121">
        <f>SUM(Table1[[#This Row],[Substrate $]:[GP FINISH]])+Table1[[#This Row],[Retail Royalty]]+Table1[[#This Row],[Retail$Comm]]</f>
        <v>306.40475555555554</v>
      </c>
      <c r="AT1232" s="830">
        <f>IF(AP1232=0,"-",(AP1232-AS1232)/AP1232)</f>
        <v>0.61699405555555553</v>
      </c>
      <c r="AU1232" s="1359">
        <f t="shared" si="438"/>
        <v>0.98457514861111106</v>
      </c>
    </row>
    <row r="1233" spans="1:47" s="63" customFormat="1" x14ac:dyDescent="0.2">
      <c r="A1233" s="60" t="s">
        <v>58</v>
      </c>
      <c r="B1233" s="1061" t="s">
        <v>718</v>
      </c>
      <c r="C1233" s="79" t="s">
        <v>3018</v>
      </c>
      <c r="D1233" s="94" t="s">
        <v>3019</v>
      </c>
      <c r="E1233" s="83" t="s">
        <v>3020</v>
      </c>
      <c r="F1233" s="83" t="s">
        <v>531</v>
      </c>
      <c r="G1233" s="60" t="s">
        <v>449</v>
      </c>
      <c r="H1233" s="60" t="s">
        <v>449</v>
      </c>
      <c r="I1233" s="60" t="s">
        <v>52</v>
      </c>
      <c r="J1233" s="60" t="s">
        <v>53</v>
      </c>
      <c r="K1233" s="60" t="s">
        <v>54</v>
      </c>
      <c r="L1233" s="60" t="s">
        <v>55</v>
      </c>
      <c r="M1233" s="124">
        <v>580</v>
      </c>
      <c r="N1233" s="639">
        <v>580</v>
      </c>
      <c r="O1233" s="60" t="s">
        <v>64</v>
      </c>
      <c r="P1233" s="60">
        <v>36</v>
      </c>
      <c r="Q1233" s="60">
        <v>36</v>
      </c>
      <c r="R1233" s="60">
        <v>36</v>
      </c>
      <c r="S1233" s="60">
        <v>36</v>
      </c>
      <c r="T1233" s="273">
        <f>Table1[[#This Row],[VO Wdth]]</f>
        <v>36</v>
      </c>
      <c r="U1233" s="273">
        <f>Table1[[#This Row],[VO Hgt]]</f>
        <v>36</v>
      </c>
      <c r="V1233" s="946">
        <f>IF(J1233="Canvas",P1233+Border,P1233)</f>
        <v>44</v>
      </c>
      <c r="W1233" s="946">
        <f>IF(J1233="Canvas",Q1233+Border,Q1233)</f>
        <v>44</v>
      </c>
      <c r="X1233" s="138">
        <v>53</v>
      </c>
      <c r="Y1233" s="60"/>
      <c r="Z1233" s="60"/>
      <c r="AA1233" s="717">
        <f t="shared" si="439"/>
        <v>13.444444444444445</v>
      </c>
      <c r="AB1233" s="125">
        <f>AA1233*Swiss1ML</f>
        <v>380.47777777777782</v>
      </c>
      <c r="AC1233" s="69">
        <f>AA1233*Canvas</f>
        <v>8.8733333333333331</v>
      </c>
      <c r="AD1233" s="69">
        <f>Table1[[#This Row],[Substrate SF]]*IncaC</f>
        <v>22.629688888888889</v>
      </c>
      <c r="AE1233" s="69">
        <f>IF(Table1[[#This Row],[Work Center]]="SwissQ",Materials!G$37,IF(Table1[[#This Row],[Work Center]]="Inca",Materials!G$29,IF(Table1[[#This Row],[Work Center]]="Canon",Materials!G$49,Materials!G$45)))</f>
        <v>20</v>
      </c>
      <c r="AF1233" s="69">
        <f>'Cali FPS'!C68</f>
        <v>106.575</v>
      </c>
      <c r="AG1233" s="83"/>
      <c r="AH1233" s="498">
        <f t="shared" si="436"/>
        <v>29</v>
      </c>
      <c r="AI1233" s="498"/>
      <c r="AJ1233" s="69">
        <f t="shared" ref="AJ1233:AJ1260" si="440">SUM(AC1233:AH1233)</f>
        <v>187.07802222222222</v>
      </c>
      <c r="AK1233" s="650">
        <f t="shared" si="437"/>
        <v>0.67745168582375481</v>
      </c>
      <c r="AL1233" s="225">
        <f>Table1[[#This Row],[WSP/Dealer]]/Table1[[#This Row],[OD Sq Inch]]</f>
        <v>0.44753086419753085</v>
      </c>
      <c r="AM1233" s="60">
        <f>Table1[[#This Row],[OD Wdth]]*Table1[[#This Row],[OD Hgt]]</f>
        <v>1296</v>
      </c>
      <c r="AN1233" s="216">
        <f>Table1[[#This Row],[Min VO]]+Table1[[#This Row],[Max VO]]</f>
        <v>72</v>
      </c>
      <c r="AO1233" s="60"/>
      <c r="AP1233" s="60"/>
      <c r="AQ1233" s="69"/>
      <c r="AR1233" s="69"/>
      <c r="AS1233" s="69"/>
      <c r="AT1233" s="69"/>
      <c r="AU1233" s="650" t="str">
        <f t="shared" si="438"/>
        <v>-</v>
      </c>
    </row>
    <row r="1234" spans="1:47" s="63" customFormat="1" hidden="1" x14ac:dyDescent="0.2">
      <c r="A1234" s="374" t="s">
        <v>187</v>
      </c>
      <c r="B1234" s="1061" t="s">
        <v>261</v>
      </c>
      <c r="C1234" s="317" t="s">
        <v>3021</v>
      </c>
      <c r="D1234" s="94"/>
      <c r="E1234" s="375" t="s">
        <v>3022</v>
      </c>
      <c r="F1234" s="375" t="s">
        <v>585</v>
      </c>
      <c r="G1234" s="274" t="s">
        <v>1026</v>
      </c>
      <c r="H1234" s="274" t="s">
        <v>1026</v>
      </c>
      <c r="I1234" s="274" t="s">
        <v>52</v>
      </c>
      <c r="J1234" s="344" t="s">
        <v>280</v>
      </c>
      <c r="K1234" s="274" t="s">
        <v>281</v>
      </c>
      <c r="L1234" s="274" t="s">
        <v>282</v>
      </c>
      <c r="M1234" s="318">
        <v>2130</v>
      </c>
      <c r="N1234" s="71"/>
      <c r="O1234" s="274" t="s">
        <v>64</v>
      </c>
      <c r="P1234" s="274">
        <v>30</v>
      </c>
      <c r="Q1234" s="274">
        <v>40</v>
      </c>
      <c r="R1234" s="274">
        <v>30</v>
      </c>
      <c r="S1234" s="274">
        <v>40</v>
      </c>
      <c r="T1234" s="274">
        <v>30</v>
      </c>
      <c r="U1234" s="274">
        <v>40</v>
      </c>
      <c r="V1234" s="686">
        <v>30</v>
      </c>
      <c r="W1234" s="686">
        <v>40</v>
      </c>
      <c r="X1234" s="343" t="s">
        <v>283</v>
      </c>
      <c r="Y1234" s="274"/>
      <c r="Z1234" s="274"/>
      <c r="AA1234" s="727">
        <f t="shared" si="439"/>
        <v>8.3333333333333339</v>
      </c>
      <c r="AB1234" s="341">
        <f>AA1234*Swiss1</f>
        <v>235.83333333333334</v>
      </c>
      <c r="AC1234" s="278">
        <f>MDFSHEET*0.5</f>
        <v>12.175000000000001</v>
      </c>
      <c r="AD1234" s="278">
        <f>Table1[[#This Row],[Substrate SF]]*Materials!C$37</f>
        <v>23.333333333333332</v>
      </c>
      <c r="AE1234" s="104">
        <f>IF(Table1[[#This Row],[Work Center]]="SwissQ",Materials!G$37,IF(Table1[[#This Row],[Work Center]]="Inca",Materials!G$29,IF(Table1[[#This Row],[Work Center]]="Canon",Materials!G$49,Materials!G$45)))</f>
        <v>20</v>
      </c>
      <c r="AF1234" s="321">
        <f>'Cali Frames'!D541</f>
        <v>126.02</v>
      </c>
      <c r="AG1234" s="320"/>
      <c r="AH1234" s="498">
        <f t="shared" si="436"/>
        <v>106.5</v>
      </c>
      <c r="AI1234" s="498"/>
      <c r="AJ1234" s="278">
        <f t="shared" si="440"/>
        <v>288.02833333333331</v>
      </c>
      <c r="AK1234" s="650">
        <f t="shared" si="437"/>
        <v>0.86477543035993742</v>
      </c>
      <c r="AL1234" s="225">
        <f>Table1[[#This Row],[WSP/Dealer]]/Table1[[#This Row],[OD Sq Inch]]</f>
        <v>1.7749999999999999</v>
      </c>
      <c r="AM1234" s="274">
        <f>Table1[[#This Row],[OD Wdth]]*Table1[[#This Row],[OD Hgt]]</f>
        <v>1200</v>
      </c>
      <c r="AN1234" s="238">
        <f>Table1[[#This Row],[Min VO]]+Table1[[#This Row],[Max VO]]</f>
        <v>70</v>
      </c>
      <c r="AO1234" s="275"/>
      <c r="AP1234" s="275"/>
      <c r="AQ1234" s="320"/>
      <c r="AR1234" s="320"/>
      <c r="AS1234" s="320"/>
      <c r="AT1234" s="278"/>
      <c r="AU1234" s="1368" t="str">
        <f t="shared" si="438"/>
        <v>-</v>
      </c>
    </row>
    <row r="1235" spans="1:47" s="63" customFormat="1" x14ac:dyDescent="0.2">
      <c r="A1235" s="180" t="s">
        <v>58</v>
      </c>
      <c r="B1235" s="1061" t="s">
        <v>587</v>
      </c>
      <c r="C1235" s="281" t="s">
        <v>3023</v>
      </c>
      <c r="D1235" s="94"/>
      <c r="E1235" s="291" t="s">
        <v>3022</v>
      </c>
      <c r="F1235" s="291" t="s">
        <v>585</v>
      </c>
      <c r="G1235" s="180" t="s">
        <v>1026</v>
      </c>
      <c r="H1235" s="180" t="s">
        <v>1026</v>
      </c>
      <c r="I1235" s="180" t="s">
        <v>52</v>
      </c>
      <c r="J1235" s="310" t="s">
        <v>280</v>
      </c>
      <c r="K1235" s="180" t="s">
        <v>281</v>
      </c>
      <c r="L1235" s="180" t="s">
        <v>282</v>
      </c>
      <c r="M1235" s="292">
        <v>625</v>
      </c>
      <c r="N1235" s="639">
        <v>625</v>
      </c>
      <c r="O1235" s="180" t="s">
        <v>64</v>
      </c>
      <c r="P1235" s="180">
        <v>30</v>
      </c>
      <c r="Q1235" s="180">
        <v>40</v>
      </c>
      <c r="R1235" s="180">
        <v>30</v>
      </c>
      <c r="S1235" s="180">
        <v>40</v>
      </c>
      <c r="T1235" s="180">
        <v>30</v>
      </c>
      <c r="U1235" s="180">
        <v>40</v>
      </c>
      <c r="V1235" s="947">
        <v>30</v>
      </c>
      <c r="W1235" s="947">
        <v>40</v>
      </c>
      <c r="X1235" s="289" t="s">
        <v>283</v>
      </c>
      <c r="Y1235" s="180"/>
      <c r="Z1235" s="180"/>
      <c r="AA1235" s="678">
        <f t="shared" si="439"/>
        <v>8.3333333333333339</v>
      </c>
      <c r="AB1235" s="329">
        <f>AA1235*Swiss1</f>
        <v>235.83333333333334</v>
      </c>
      <c r="AC1235" s="176">
        <f>MDFSHEET*0.5</f>
        <v>12.175000000000001</v>
      </c>
      <c r="AD1235" s="176">
        <f>Table1[[#This Row],[Substrate SF]]*Materials!C$37</f>
        <v>23.333333333333332</v>
      </c>
      <c r="AE1235" s="104">
        <f>IF(Table1[[#This Row],[Work Center]]="SwissQ",Materials!G$37,IF(Table1[[#This Row],[Work Center]]="Inca",Materials!G$29,IF(Table1[[#This Row],[Work Center]]="Canon",Materials!G$49,Materials!G$45)))</f>
        <v>20</v>
      </c>
      <c r="AF1235" s="290">
        <f>'Cali Frames'!D541</f>
        <v>126.02</v>
      </c>
      <c r="AG1235" s="296"/>
      <c r="AH1235" s="498">
        <f t="shared" si="436"/>
        <v>31.25</v>
      </c>
      <c r="AI1235" s="498"/>
      <c r="AJ1235" s="176">
        <f t="shared" si="440"/>
        <v>212.77833333333334</v>
      </c>
      <c r="AK1235" s="650">
        <f t="shared" si="437"/>
        <v>0.65955466666666673</v>
      </c>
      <c r="AL1235" s="225">
        <f>Table1[[#This Row],[WSP/Dealer]]/Table1[[#This Row],[OD Sq Inch]]</f>
        <v>0.52083333333333337</v>
      </c>
      <c r="AM1235" s="180">
        <f>Table1[[#This Row],[OD Wdth]]*Table1[[#This Row],[OD Hgt]]</f>
        <v>1200</v>
      </c>
      <c r="AN1235" s="216">
        <f>Table1[[#This Row],[Min VO]]+Table1[[#This Row],[Max VO]]</f>
        <v>70</v>
      </c>
      <c r="AO1235" s="284"/>
      <c r="AP1235" s="284"/>
      <c r="AQ1235" s="296"/>
      <c r="AR1235" s="296"/>
      <c r="AS1235" s="296"/>
      <c r="AT1235" s="176"/>
      <c r="AU1235" s="1358" t="str">
        <f t="shared" si="438"/>
        <v>-</v>
      </c>
    </row>
    <row r="1236" spans="1:47" s="63" customFormat="1" hidden="1" x14ac:dyDescent="0.2">
      <c r="A1236" s="374" t="s">
        <v>187</v>
      </c>
      <c r="B1236" s="1061" t="s">
        <v>261</v>
      </c>
      <c r="C1236" s="436" t="s">
        <v>3024</v>
      </c>
      <c r="D1236" s="94"/>
      <c r="E1236" s="436" t="s">
        <v>3025</v>
      </c>
      <c r="F1236" s="375" t="s">
        <v>585</v>
      </c>
      <c r="G1236" s="274" t="s">
        <v>1026</v>
      </c>
      <c r="H1236" s="274" t="s">
        <v>1026</v>
      </c>
      <c r="I1236" s="274" t="s">
        <v>108</v>
      </c>
      <c r="J1236" s="68" t="s">
        <v>197</v>
      </c>
      <c r="K1236" s="274" t="s">
        <v>198</v>
      </c>
      <c r="L1236" s="274" t="s">
        <v>199</v>
      </c>
      <c r="M1236" s="455">
        <v>60</v>
      </c>
      <c r="N1236" s="71"/>
      <c r="O1236" s="274" t="s">
        <v>64</v>
      </c>
      <c r="P1236" s="274">
        <v>30</v>
      </c>
      <c r="Q1236" s="274">
        <v>40</v>
      </c>
      <c r="R1236" s="274">
        <v>30</v>
      </c>
      <c r="S1236" s="274">
        <v>40</v>
      </c>
      <c r="T1236" s="274">
        <v>30</v>
      </c>
      <c r="U1236" s="274">
        <v>40</v>
      </c>
      <c r="V1236" s="686">
        <f>Table1[[#This Row],[VO Wdth]]+Materials!$C$7</f>
        <v>32</v>
      </c>
      <c r="W1236" s="686">
        <f>Table1[[#This Row],[VO Hgt]]+Materials!$C$7</f>
        <v>42</v>
      </c>
      <c r="X1236" s="343" t="s">
        <v>197</v>
      </c>
      <c r="Y1236" s="68"/>
      <c r="Z1236" s="68"/>
      <c r="AA1236" s="699">
        <f t="shared" si="439"/>
        <v>9.3333333333333339</v>
      </c>
      <c r="AB1236" s="341">
        <f>AA1236*SWISSRML</f>
        <v>18.666666666666668</v>
      </c>
      <c r="AC1236" s="74">
        <f>Table1[[#This Row],[Substrate SF]]*POster</f>
        <v>6.944</v>
      </c>
      <c r="AD1236" s="278">
        <f>Table1[[#This Row],[Substrate SF]]*SWISSRC</f>
        <v>2.0533333333333337</v>
      </c>
      <c r="AE1236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236" s="73">
        <v>0</v>
      </c>
      <c r="AG1236" s="126">
        <f>Materials!D$76</f>
        <v>10.82</v>
      </c>
      <c r="AH1236" s="498">
        <f t="shared" si="436"/>
        <v>3</v>
      </c>
      <c r="AI1236" s="498"/>
      <c r="AJ1236" s="278">
        <f t="shared" si="440"/>
        <v>32.817333333333337</v>
      </c>
      <c r="AK1236" s="650">
        <f t="shared" si="437"/>
        <v>0.45304444444444436</v>
      </c>
      <c r="AL1236" s="225">
        <f>Table1[[#This Row],[WSP/Dealer]]/Table1[[#This Row],[OD Sq Inch]]</f>
        <v>0.05</v>
      </c>
      <c r="AM1236" s="274">
        <f>Table1[[#This Row],[OD Wdth]]*Table1[[#This Row],[OD Hgt]]</f>
        <v>1200</v>
      </c>
      <c r="AN1236" s="84"/>
      <c r="AO1236" s="84"/>
      <c r="AP1236" s="84"/>
      <c r="AQ1236" s="126"/>
      <c r="AR1236" s="126"/>
      <c r="AS1236" s="126"/>
      <c r="AT1236" s="74"/>
      <c r="AU1236" s="1357" t="str">
        <f t="shared" si="438"/>
        <v>-</v>
      </c>
    </row>
    <row r="1237" spans="1:47" s="103" customFormat="1" hidden="1" x14ac:dyDescent="0.2">
      <c r="A1237" s="374" t="s">
        <v>187</v>
      </c>
      <c r="B1237" s="1061" t="s">
        <v>261</v>
      </c>
      <c r="C1237" s="317" t="s">
        <v>3026</v>
      </c>
      <c r="D1237" s="94"/>
      <c r="E1237" s="375" t="s">
        <v>3027</v>
      </c>
      <c r="F1237" s="375" t="s">
        <v>585</v>
      </c>
      <c r="G1237" s="274" t="s">
        <v>1026</v>
      </c>
      <c r="H1237" s="274" t="s">
        <v>1026</v>
      </c>
      <c r="I1237" s="274" t="s">
        <v>52</v>
      </c>
      <c r="J1237" s="344" t="s">
        <v>280</v>
      </c>
      <c r="K1237" s="274" t="s">
        <v>281</v>
      </c>
      <c r="L1237" s="274" t="s">
        <v>282</v>
      </c>
      <c r="M1237" s="318">
        <v>2130</v>
      </c>
      <c r="N1237" s="71"/>
      <c r="O1237" s="274" t="s">
        <v>64</v>
      </c>
      <c r="P1237" s="274">
        <v>30</v>
      </c>
      <c r="Q1237" s="274">
        <v>40</v>
      </c>
      <c r="R1237" s="274">
        <v>30</v>
      </c>
      <c r="S1237" s="274">
        <v>40</v>
      </c>
      <c r="T1237" s="274">
        <v>30</v>
      </c>
      <c r="U1237" s="274">
        <v>40</v>
      </c>
      <c r="V1237" s="277">
        <v>30</v>
      </c>
      <c r="W1237" s="277">
        <v>40</v>
      </c>
      <c r="X1237" s="343" t="s">
        <v>283</v>
      </c>
      <c r="Y1237" s="274"/>
      <c r="Z1237" s="274"/>
      <c r="AA1237" s="727">
        <f t="shared" si="439"/>
        <v>8.3333333333333339</v>
      </c>
      <c r="AB1237" s="341">
        <f>AA1237*Swiss1</f>
        <v>235.83333333333334</v>
      </c>
      <c r="AC1237" s="278">
        <f>MDFSHEET*0.5</f>
        <v>12.175000000000001</v>
      </c>
      <c r="AD1237" s="263">
        <f>Table1[[#This Row],[Substrate SF]]*Materials!C$37</f>
        <v>23.333333333333332</v>
      </c>
      <c r="AE1237" s="104">
        <f>IF(Table1[[#This Row],[Work Center]]="SwissQ",Materials!G$37,IF(Table1[[#This Row],[Work Center]]="Inca",Materials!G$29,IF(Table1[[#This Row],[Work Center]]="Canon",Materials!G$49,Materials!G$45)))</f>
        <v>20</v>
      </c>
      <c r="AF1237" s="321">
        <f>'Cali Frames'!D541</f>
        <v>126.02</v>
      </c>
      <c r="AG1237" s="320"/>
      <c r="AH1237" s="498">
        <f t="shared" si="436"/>
        <v>106.5</v>
      </c>
      <c r="AI1237" s="498"/>
      <c r="AJ1237" s="278">
        <f t="shared" si="440"/>
        <v>288.02833333333331</v>
      </c>
      <c r="AK1237" s="650">
        <f t="shared" si="437"/>
        <v>0.86477543035993742</v>
      </c>
      <c r="AL1237" s="225">
        <f>Table1[[#This Row],[WSP/Dealer]]/Table1[[#This Row],[OD Sq Inch]]</f>
        <v>1.7749999999999999</v>
      </c>
      <c r="AM1237" s="170">
        <f>Table1[[#This Row],[OD Wdth]]*Table1[[#This Row],[OD Hgt]]</f>
        <v>1200</v>
      </c>
      <c r="AN1237" s="238">
        <f>Table1[[#This Row],[Min VO]]+Table1[[#This Row],[Max VO]]</f>
        <v>70</v>
      </c>
      <c r="AO1237" s="275"/>
      <c r="AP1237" s="275"/>
      <c r="AQ1237" s="320"/>
      <c r="AR1237" s="320"/>
      <c r="AS1237" s="320"/>
      <c r="AT1237" s="278"/>
      <c r="AU1237" s="1368" t="str">
        <f t="shared" si="438"/>
        <v>-</v>
      </c>
    </row>
    <row r="1238" spans="1:47" s="63" customFormat="1" x14ac:dyDescent="0.2">
      <c r="A1238" s="180" t="s">
        <v>58</v>
      </c>
      <c r="B1238" s="1061" t="s">
        <v>587</v>
      </c>
      <c r="C1238" s="281" t="s">
        <v>3028</v>
      </c>
      <c r="D1238" s="94"/>
      <c r="E1238" s="291" t="s">
        <v>3027</v>
      </c>
      <c r="F1238" s="291" t="s">
        <v>585</v>
      </c>
      <c r="G1238" s="180" t="s">
        <v>1026</v>
      </c>
      <c r="H1238" s="180" t="s">
        <v>1026</v>
      </c>
      <c r="I1238" s="180" t="s">
        <v>52</v>
      </c>
      <c r="J1238" s="310" t="s">
        <v>280</v>
      </c>
      <c r="K1238" s="180" t="s">
        <v>281</v>
      </c>
      <c r="L1238" s="180" t="s">
        <v>282</v>
      </c>
      <c r="M1238" s="292">
        <v>625</v>
      </c>
      <c r="N1238" s="639">
        <v>625</v>
      </c>
      <c r="O1238" s="180" t="s">
        <v>64</v>
      </c>
      <c r="P1238" s="180">
        <v>30</v>
      </c>
      <c r="Q1238" s="180">
        <v>40</v>
      </c>
      <c r="R1238" s="180">
        <v>30</v>
      </c>
      <c r="S1238" s="180">
        <v>40</v>
      </c>
      <c r="T1238" s="180">
        <v>30</v>
      </c>
      <c r="U1238" s="180">
        <v>40</v>
      </c>
      <c r="V1238" s="174">
        <v>30</v>
      </c>
      <c r="W1238" s="174">
        <v>40</v>
      </c>
      <c r="X1238" s="289" t="s">
        <v>283</v>
      </c>
      <c r="Y1238" s="180"/>
      <c r="Z1238" s="180"/>
      <c r="AA1238" s="678">
        <f t="shared" si="439"/>
        <v>8.3333333333333339</v>
      </c>
      <c r="AB1238" s="329">
        <f>AA1238*Swiss1</f>
        <v>235.83333333333334</v>
      </c>
      <c r="AC1238" s="176">
        <f>MDFSHEET*0.5</f>
        <v>12.175000000000001</v>
      </c>
      <c r="AD1238" s="175">
        <f>Table1[[#This Row],[Substrate SF]]*Materials!C$37</f>
        <v>23.333333333333332</v>
      </c>
      <c r="AE1238" s="104">
        <f>IF(Table1[[#This Row],[Work Center]]="SwissQ",Materials!G$37,IF(Table1[[#This Row],[Work Center]]="Inca",Materials!G$29,IF(Table1[[#This Row],[Work Center]]="Canon",Materials!G$49,Materials!G$45)))</f>
        <v>20</v>
      </c>
      <c r="AF1238" s="290">
        <f>'Cali Frames'!D541</f>
        <v>126.02</v>
      </c>
      <c r="AG1238" s="296"/>
      <c r="AH1238" s="498">
        <f t="shared" si="436"/>
        <v>31.25</v>
      </c>
      <c r="AI1238" s="498"/>
      <c r="AJ1238" s="176">
        <f t="shared" si="440"/>
        <v>212.77833333333334</v>
      </c>
      <c r="AK1238" s="650">
        <f t="shared" si="437"/>
        <v>0.65955466666666673</v>
      </c>
      <c r="AL1238" s="225">
        <f>Table1[[#This Row],[WSP/Dealer]]/Table1[[#This Row],[OD Sq Inch]]</f>
        <v>0.52083333333333337</v>
      </c>
      <c r="AM1238" s="173">
        <f>Table1[[#This Row],[OD Wdth]]*Table1[[#This Row],[OD Hgt]]</f>
        <v>1200</v>
      </c>
      <c r="AN1238" s="216">
        <f>Table1[[#This Row],[Min VO]]+Table1[[#This Row],[Max VO]]</f>
        <v>70</v>
      </c>
      <c r="AO1238" s="284"/>
      <c r="AP1238" s="284"/>
      <c r="AQ1238" s="296"/>
      <c r="AR1238" s="296"/>
      <c r="AS1238" s="296"/>
      <c r="AT1238" s="176"/>
      <c r="AU1238" s="1358" t="str">
        <f t="shared" si="438"/>
        <v>-</v>
      </c>
    </row>
    <row r="1239" spans="1:47" s="63" customFormat="1" hidden="1" x14ac:dyDescent="0.2">
      <c r="A1239" s="374" t="s">
        <v>187</v>
      </c>
      <c r="B1239" s="1061" t="s">
        <v>261</v>
      </c>
      <c r="C1239" s="436" t="s">
        <v>3029</v>
      </c>
      <c r="D1239" s="94"/>
      <c r="E1239" s="436" t="s">
        <v>3030</v>
      </c>
      <c r="F1239" s="375" t="s">
        <v>585</v>
      </c>
      <c r="G1239" s="274" t="s">
        <v>1026</v>
      </c>
      <c r="H1239" s="274" t="s">
        <v>1026</v>
      </c>
      <c r="I1239" s="274" t="s">
        <v>108</v>
      </c>
      <c r="J1239" s="68" t="s">
        <v>197</v>
      </c>
      <c r="K1239" s="274" t="s">
        <v>198</v>
      </c>
      <c r="L1239" s="274" t="s">
        <v>199</v>
      </c>
      <c r="M1239" s="696">
        <v>60</v>
      </c>
      <c r="N1239" s="71"/>
      <c r="O1239" s="274" t="s">
        <v>64</v>
      </c>
      <c r="P1239" s="274">
        <v>30</v>
      </c>
      <c r="Q1239" s="274">
        <v>40</v>
      </c>
      <c r="R1239" s="274">
        <v>30</v>
      </c>
      <c r="S1239" s="274">
        <v>40</v>
      </c>
      <c r="T1239" s="274">
        <v>30</v>
      </c>
      <c r="U1239" s="274">
        <v>40</v>
      </c>
      <c r="V1239" s="686">
        <f>Table1[[#This Row],[VO Wdth]]+Materials!$C$7</f>
        <v>32</v>
      </c>
      <c r="W1239" s="686">
        <f>Table1[[#This Row],[VO Hgt]]+Materials!$C$7</f>
        <v>42</v>
      </c>
      <c r="X1239" s="343" t="s">
        <v>197</v>
      </c>
      <c r="Y1239" s="68"/>
      <c r="Z1239" s="68"/>
      <c r="AA1239" s="699">
        <f t="shared" si="439"/>
        <v>9.3333333333333339</v>
      </c>
      <c r="AB1239" s="341">
        <f>AA1239*SWISSRML</f>
        <v>18.666666666666668</v>
      </c>
      <c r="AC1239" s="74">
        <f>Table1[[#This Row],[Substrate SF]]*POster</f>
        <v>6.944</v>
      </c>
      <c r="AD1239" s="263">
        <f>Table1[[#This Row],[Substrate SF]]*SWISSRC</f>
        <v>2.0533333333333337</v>
      </c>
      <c r="AE1239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239" s="73">
        <v>0</v>
      </c>
      <c r="AG1239" s="126">
        <f>Materials!D$76</f>
        <v>10.82</v>
      </c>
      <c r="AH1239" s="498">
        <f t="shared" si="436"/>
        <v>3</v>
      </c>
      <c r="AI1239" s="498"/>
      <c r="AJ1239" s="278">
        <f t="shared" si="440"/>
        <v>32.817333333333337</v>
      </c>
      <c r="AK1239" s="650">
        <f t="shared" si="437"/>
        <v>0.45304444444444436</v>
      </c>
      <c r="AL1239" s="225">
        <f>Table1[[#This Row],[WSP/Dealer]]/Table1[[#This Row],[OD Sq Inch]]</f>
        <v>0.05</v>
      </c>
      <c r="AM1239" s="170">
        <f>Table1[[#This Row],[OD Wdth]]*Table1[[#This Row],[OD Hgt]]</f>
        <v>1200</v>
      </c>
      <c r="AN1239" s="84"/>
      <c r="AO1239" s="84"/>
      <c r="AP1239" s="84"/>
      <c r="AQ1239" s="126"/>
      <c r="AR1239" s="126"/>
      <c r="AS1239" s="126"/>
      <c r="AT1239" s="74"/>
      <c r="AU1239" s="1357" t="str">
        <f t="shared" si="438"/>
        <v>-</v>
      </c>
    </row>
    <row r="1240" spans="1:47" s="63" customFormat="1" hidden="1" x14ac:dyDescent="0.2">
      <c r="A1240" s="68" t="s">
        <v>3031</v>
      </c>
      <c r="B1240" s="1072" t="s">
        <v>250</v>
      </c>
      <c r="C1240" s="627" t="s">
        <v>3032</v>
      </c>
      <c r="D1240" s="94"/>
      <c r="E1240" s="172" t="s">
        <v>3033</v>
      </c>
      <c r="F1240" s="172" t="s">
        <v>585</v>
      </c>
      <c r="G1240" s="68" t="s">
        <v>191</v>
      </c>
      <c r="H1240" s="68" t="s">
        <v>193</v>
      </c>
      <c r="I1240" s="68" t="s">
        <v>52</v>
      </c>
      <c r="J1240" s="140" t="s">
        <v>280</v>
      </c>
      <c r="K1240" s="68" t="s">
        <v>69</v>
      </c>
      <c r="L1240" s="68" t="s">
        <v>70</v>
      </c>
      <c r="M1240" s="93">
        <v>800</v>
      </c>
      <c r="N1240" s="93"/>
      <c r="O1240" s="68" t="s">
        <v>64</v>
      </c>
      <c r="P1240" s="68">
        <v>48</v>
      </c>
      <c r="Q1240" s="68">
        <v>60</v>
      </c>
      <c r="R1240" s="68">
        <v>48</v>
      </c>
      <c r="S1240" s="68">
        <v>60</v>
      </c>
      <c r="T1240" s="68">
        <v>49</v>
      </c>
      <c r="U1240" s="68">
        <v>61</v>
      </c>
      <c r="V1240" s="881">
        <f>IF(J1240="Canvas",P1240+BorderGW,P1240)</f>
        <v>48</v>
      </c>
      <c r="W1240" s="881">
        <f>IF(J1240="Canvas",Q1240+BorderGW,Q1240)</f>
        <v>60</v>
      </c>
      <c r="X1240" s="68" t="s">
        <v>283</v>
      </c>
      <c r="Y1240" s="68">
        <v>48</v>
      </c>
      <c r="Z1240" s="68">
        <v>60</v>
      </c>
      <c r="AA1240" s="727">
        <f t="shared" si="439"/>
        <v>20</v>
      </c>
      <c r="AB1240" s="341">
        <f>AA1240*Swiss1</f>
        <v>566</v>
      </c>
      <c r="AC1240" s="278">
        <f>MDFSHEET*0.5</f>
        <v>12.175000000000001</v>
      </c>
      <c r="AD1240" s="263">
        <f>Table1[[#This Row],[Substrate SF]]*Materials!C$37</f>
        <v>56</v>
      </c>
      <c r="AE1240" s="74">
        <f>IF(Table1[[#This Row],[Work Center]]="SwissQ",Materials!G$37,IF(Table1[[#This Row],[Work Center]]="Inca",Materials!G$29,IF(Table1[[#This Row],[Work Center]]="Canon",Materials!G$49,Materials!G$45)))</f>
        <v>20</v>
      </c>
      <c r="AF1240" s="73">
        <f>'Cali Frames'!D335</f>
        <v>258.27999999999997</v>
      </c>
      <c r="AG1240" s="126"/>
      <c r="AH1240" s="74">
        <f t="shared" si="436"/>
        <v>40</v>
      </c>
      <c r="AI1240" s="74"/>
      <c r="AJ1240" s="278">
        <f t="shared" si="440"/>
        <v>386.45499999999998</v>
      </c>
      <c r="AK1240" s="1001">
        <f t="shared" si="437"/>
        <v>0.51693125000000006</v>
      </c>
      <c r="AL1240" s="240">
        <f>Table1[[#This Row],[WSP/Dealer]]/Table1[[#This Row],[OD Sq Inch]]</f>
        <v>0.26764804282368687</v>
      </c>
      <c r="AM1240" s="274">
        <f>Table1[[#This Row],[OD Wdth]]*Table1[[#This Row],[OD Hgt]]</f>
        <v>2989</v>
      </c>
      <c r="AN1240" s="238">
        <f>Table1[[#This Row],[Min VO]]+Table1[[#This Row],[Max VO]]</f>
        <v>108</v>
      </c>
      <c r="AO1240" s="84"/>
      <c r="AP1240" s="84"/>
      <c r="AQ1240" s="126">
        <f>(Table1[[#This Row],[Desgnr/Retail P]]*0.05)</f>
        <v>0</v>
      </c>
      <c r="AR1240" s="126" t="b">
        <f>IF(A1240="Codarus",(AP1240*0.13))</f>
        <v>0</v>
      </c>
      <c r="AS1240" s="126" t="e" cm="1">
        <f t="array" ref="AS1240">SUM(AC1240:AG1240+AQ+AR)</f>
        <v>#NAME?</v>
      </c>
      <c r="AT1240" s="74" t="e">
        <f>(AP1240-AS1240)/AP1240</f>
        <v>#NAME?</v>
      </c>
      <c r="AU1240" s="1357" t="str">
        <f t="shared" si="438"/>
        <v>-</v>
      </c>
    </row>
    <row r="1241" spans="1:47" s="119" customFormat="1" hidden="1" x14ac:dyDescent="0.2">
      <c r="A1241" s="101" t="s">
        <v>101</v>
      </c>
      <c r="B1241" s="1062" t="s">
        <v>102</v>
      </c>
      <c r="C1241" s="1032" t="s">
        <v>3034</v>
      </c>
      <c r="D1241" s="77"/>
      <c r="E1241" s="653" t="s">
        <v>3035</v>
      </c>
      <c r="F1241" s="653" t="s">
        <v>3036</v>
      </c>
      <c r="G1241" s="551" t="s">
        <v>354</v>
      </c>
      <c r="H1241" s="551" t="s">
        <v>354</v>
      </c>
      <c r="I1241" s="551" t="s">
        <v>52</v>
      </c>
      <c r="J1241" s="551" t="s">
        <v>53</v>
      </c>
      <c r="K1241" s="551" t="s">
        <v>54</v>
      </c>
      <c r="L1241" s="551" t="s">
        <v>55</v>
      </c>
      <c r="M1241" s="141">
        <v>280</v>
      </c>
      <c r="N1241" s="902"/>
      <c r="O1241" s="101" t="s">
        <v>64</v>
      </c>
      <c r="P1241" s="984">
        <v>24</v>
      </c>
      <c r="Q1241" s="984">
        <v>30</v>
      </c>
      <c r="R1241" s="551">
        <v>24</v>
      </c>
      <c r="S1241" s="984">
        <v>30</v>
      </c>
      <c r="T1241" s="984">
        <v>24</v>
      </c>
      <c r="U1241" s="984">
        <v>30</v>
      </c>
      <c r="V1241" s="881">
        <f>IF(J1241="Canvas",P1241+BorderGW,P1241)</f>
        <v>32</v>
      </c>
      <c r="W1241" s="881">
        <f>IF(J1241="Canvas",Q1241+BorderGW,Q1241)</f>
        <v>38</v>
      </c>
      <c r="X1241" s="1165" t="s">
        <v>1070</v>
      </c>
      <c r="Y1241" s="881">
        <f>Table1[[#This Row],[Print Wth]]</f>
        <v>32</v>
      </c>
      <c r="Z1241" s="881">
        <f>Table1[[#This Row],[Print Ht]]</f>
        <v>38</v>
      </c>
      <c r="AA1241" s="892">
        <f>Table1[[#This Row],[Cut Width]]*Table1[[#This Row],[Cut Height]]/144</f>
        <v>8.4444444444444446</v>
      </c>
      <c r="AB1241" s="898">
        <f>Table1[[#This Row],[Print Wth]]*Table1[[#This Row],[Print Ht]]/144*Swiss1ML</f>
        <v>238.97777777777779</v>
      </c>
      <c r="AC1241" s="867">
        <f>Table1[[#This Row],[Substrate SF]]*Canvas</f>
        <v>5.5733333333333341</v>
      </c>
      <c r="AD1241" s="865">
        <f>(Table1[[#This Row],[Print Wth]]*Table1[[#This Row],[Print Ht]])/144*SWISSC1</f>
        <v>23.644444444444442</v>
      </c>
      <c r="AE1241" s="863">
        <f>IF(Table1[[#This Row],[Work Center]]="SwissQ",Materials!G$37,IF(Table1[[#This Row],[Work Center]]="Inca",Materials!G$29,IF(Table1[[#This Row],[Work Center]]="Canon",Materials!G$49,Materials!G$45)))</f>
        <v>20</v>
      </c>
      <c r="AF1241" s="863">
        <f>'Cali FPS'!C35</f>
        <v>74.2</v>
      </c>
      <c r="AG1241" s="653"/>
      <c r="AH1241" s="863">
        <f t="shared" si="436"/>
        <v>14</v>
      </c>
      <c r="AI1241" s="863"/>
      <c r="AJ1241" s="863">
        <f t="shared" si="440"/>
        <v>137.41777777777779</v>
      </c>
      <c r="AK1241" s="1163">
        <f t="shared" si="437"/>
        <v>0.50922222222222224</v>
      </c>
      <c r="AL1241" s="895">
        <f>Table1[[#This Row],[WSP/Dealer]]/Table1[[#This Row],[OD Sq Inch]]</f>
        <v>0.3888888888888889</v>
      </c>
      <c r="AM1241" s="551">
        <f>Table1[[#This Row],[OD Wdth]]*Table1[[#This Row],[OD Hgt]]</f>
        <v>720</v>
      </c>
      <c r="AN1241" s="779">
        <f>Table1[[#This Row],[Min VO]]+Table1[[#This Row],[Max VO]]</f>
        <v>54</v>
      </c>
      <c r="AO1241" s="551"/>
      <c r="AP1241" s="551"/>
      <c r="AQ1241" s="863"/>
      <c r="AR1241" s="863"/>
      <c r="AS1241" s="863"/>
      <c r="AT1241" s="863"/>
      <c r="AU1241" s="1163" t="str">
        <f t="shared" si="438"/>
        <v>-</v>
      </c>
    </row>
    <row r="1242" spans="1:47" s="119" customFormat="1" hidden="1" x14ac:dyDescent="0.2">
      <c r="A1242" s="101" t="s">
        <v>101</v>
      </c>
      <c r="B1242" s="1062" t="s">
        <v>102</v>
      </c>
      <c r="C1242" s="1032" t="s">
        <v>3037</v>
      </c>
      <c r="D1242" s="77"/>
      <c r="E1242" s="653" t="s">
        <v>3038</v>
      </c>
      <c r="F1242" s="653" t="s">
        <v>3036</v>
      </c>
      <c r="G1242" s="551" t="s">
        <v>354</v>
      </c>
      <c r="H1242" s="551" t="s">
        <v>354</v>
      </c>
      <c r="I1242" s="551" t="s">
        <v>52</v>
      </c>
      <c r="J1242" s="551" t="s">
        <v>53</v>
      </c>
      <c r="K1242" s="551" t="s">
        <v>54</v>
      </c>
      <c r="L1242" s="551" t="s">
        <v>55</v>
      </c>
      <c r="M1242" s="141">
        <v>280</v>
      </c>
      <c r="N1242" s="902"/>
      <c r="O1242" s="101" t="s">
        <v>64</v>
      </c>
      <c r="P1242" s="984">
        <v>24</v>
      </c>
      <c r="Q1242" s="984">
        <v>30</v>
      </c>
      <c r="R1242" s="551">
        <v>24</v>
      </c>
      <c r="S1242" s="984">
        <v>30</v>
      </c>
      <c r="T1242" s="984">
        <v>24</v>
      </c>
      <c r="U1242" s="984">
        <v>30</v>
      </c>
      <c r="V1242" s="881">
        <f>IF(J1242="Canvas",P1242+BorderGW,P1242)</f>
        <v>32</v>
      </c>
      <c r="W1242" s="881">
        <f>IF(J1242="Canvas",Q1242+BorderGW,Q1242)</f>
        <v>38</v>
      </c>
      <c r="X1242" s="1165" t="s">
        <v>1070</v>
      </c>
      <c r="Y1242" s="881">
        <f>Table1[[#This Row],[Print Wth]]</f>
        <v>32</v>
      </c>
      <c r="Z1242" s="881">
        <f>Table1[[#This Row],[Print Ht]]</f>
        <v>38</v>
      </c>
      <c r="AA1242" s="892">
        <f>Table1[[#This Row],[Cut Width]]*Table1[[#This Row],[Cut Height]]/144</f>
        <v>8.4444444444444446</v>
      </c>
      <c r="AB1242" s="898">
        <f>Table1[[#This Row],[Print Wth]]*Table1[[#This Row],[Print Ht]]/144*Swiss1ML</f>
        <v>238.97777777777779</v>
      </c>
      <c r="AC1242" s="867">
        <f>Table1[[#This Row],[Substrate SF]]*Canvas</f>
        <v>5.5733333333333341</v>
      </c>
      <c r="AD1242" s="865">
        <f>(Table1[[#This Row],[Print Wth]]*Table1[[#This Row],[Print Ht]])/144*SWISSC1</f>
        <v>23.644444444444442</v>
      </c>
      <c r="AE1242" s="863">
        <f>IF(Table1[[#This Row],[Work Center]]="SwissQ",Materials!G$37,IF(Table1[[#This Row],[Work Center]]="Inca",Materials!G$29,IF(Table1[[#This Row],[Work Center]]="Canon",Materials!G$49,Materials!G$45)))</f>
        <v>20</v>
      </c>
      <c r="AF1242" s="863">
        <f>'Cali FPS'!C35</f>
        <v>74.2</v>
      </c>
      <c r="AG1242" s="653"/>
      <c r="AH1242" s="863">
        <f t="shared" si="436"/>
        <v>14</v>
      </c>
      <c r="AI1242" s="863"/>
      <c r="AJ1242" s="863">
        <f t="shared" si="440"/>
        <v>137.41777777777779</v>
      </c>
      <c r="AK1242" s="1163">
        <f t="shared" si="437"/>
        <v>0.50922222222222224</v>
      </c>
      <c r="AL1242" s="895">
        <f>Table1[[#This Row],[WSP/Dealer]]/Table1[[#This Row],[OD Sq Inch]]</f>
        <v>0.3888888888888889</v>
      </c>
      <c r="AM1242" s="551">
        <f>Table1[[#This Row],[OD Wdth]]*Table1[[#This Row],[OD Hgt]]</f>
        <v>720</v>
      </c>
      <c r="AN1242" s="779">
        <f>Table1[[#This Row],[Min VO]]+Table1[[#This Row],[Max VO]]</f>
        <v>54</v>
      </c>
      <c r="AO1242" s="551"/>
      <c r="AP1242" s="551"/>
      <c r="AQ1242" s="863"/>
      <c r="AR1242" s="863"/>
      <c r="AS1242" s="863"/>
      <c r="AT1242" s="863"/>
      <c r="AU1242" s="1163" t="str">
        <f t="shared" si="438"/>
        <v>-</v>
      </c>
    </row>
    <row r="1243" spans="1:47" s="113" customFormat="1" hidden="1" x14ac:dyDescent="0.2">
      <c r="A1243" s="101" t="s">
        <v>101</v>
      </c>
      <c r="B1243" s="1322" t="s">
        <v>102</v>
      </c>
      <c r="C1243" s="1032" t="s">
        <v>3039</v>
      </c>
      <c r="D1243" s="77"/>
      <c r="E1243" s="653" t="s">
        <v>3040</v>
      </c>
      <c r="F1243" s="653" t="s">
        <v>3036</v>
      </c>
      <c r="G1243" s="551" t="s">
        <v>354</v>
      </c>
      <c r="H1243" s="551" t="s">
        <v>354</v>
      </c>
      <c r="I1243" s="551" t="s">
        <v>52</v>
      </c>
      <c r="J1243" s="551" t="s">
        <v>53</v>
      </c>
      <c r="K1243" s="551" t="s">
        <v>54</v>
      </c>
      <c r="L1243" s="551" t="s">
        <v>55</v>
      </c>
      <c r="M1243" s="141">
        <v>280</v>
      </c>
      <c r="N1243" s="902"/>
      <c r="O1243" s="101" t="s">
        <v>64</v>
      </c>
      <c r="P1243" s="984">
        <v>24</v>
      </c>
      <c r="Q1243" s="984">
        <v>30</v>
      </c>
      <c r="R1243" s="551">
        <v>24</v>
      </c>
      <c r="S1243" s="984">
        <v>30</v>
      </c>
      <c r="T1243" s="984">
        <v>24</v>
      </c>
      <c r="U1243" s="984">
        <v>30</v>
      </c>
      <c r="V1243" s="881">
        <f>IF(J1243="Canvas",P1243+BorderGW,P1243)</f>
        <v>32</v>
      </c>
      <c r="W1243" s="881">
        <f>IF(J1243="Canvas",Q1243+BorderGW,Q1243)</f>
        <v>38</v>
      </c>
      <c r="X1243" s="1165" t="s">
        <v>1070</v>
      </c>
      <c r="Y1243" s="881">
        <f>Table1[[#This Row],[Print Wth]]</f>
        <v>32</v>
      </c>
      <c r="Z1243" s="881">
        <f>Table1[[#This Row],[Print Ht]]</f>
        <v>38</v>
      </c>
      <c r="AA1243" s="892">
        <f>Table1[[#This Row],[Cut Width]]*Table1[[#This Row],[Cut Height]]/144</f>
        <v>8.4444444444444446</v>
      </c>
      <c r="AB1243" s="898">
        <f>Table1[[#This Row],[Print Wth]]*Table1[[#This Row],[Print Ht]]/144*Swiss1ML</f>
        <v>238.97777777777779</v>
      </c>
      <c r="AC1243" s="867">
        <f>Table1[[#This Row],[Substrate SF]]*Canvas</f>
        <v>5.5733333333333341</v>
      </c>
      <c r="AD1243" s="865">
        <f>(Table1[[#This Row],[Print Wth]]*Table1[[#This Row],[Print Ht]])/144*SWISSC1</f>
        <v>23.644444444444442</v>
      </c>
      <c r="AE1243" s="863">
        <f>IF(Table1[[#This Row],[Work Center]]="SwissQ",Materials!G$37,IF(Table1[[#This Row],[Work Center]]="Inca",Materials!G$29,IF(Table1[[#This Row],[Work Center]]="Canon",Materials!G$49,Materials!G$45)))</f>
        <v>20</v>
      </c>
      <c r="AF1243" s="863">
        <f>'Cali FPS'!C35</f>
        <v>74.2</v>
      </c>
      <c r="AG1243" s="653"/>
      <c r="AH1243" s="863">
        <f t="shared" si="436"/>
        <v>14</v>
      </c>
      <c r="AI1243" s="863"/>
      <c r="AJ1243" s="863">
        <f t="shared" si="440"/>
        <v>137.41777777777779</v>
      </c>
      <c r="AK1243" s="1163">
        <f t="shared" si="437"/>
        <v>0.50922222222222224</v>
      </c>
      <c r="AL1243" s="895">
        <f>Table1[[#This Row],[WSP/Dealer]]/Table1[[#This Row],[OD Sq Inch]]</f>
        <v>0.3888888888888889</v>
      </c>
      <c r="AM1243" s="779">
        <f>Table1[[#This Row],[OD Wdth]]*Table1[[#This Row],[OD Hgt]]</f>
        <v>720</v>
      </c>
      <c r="AN1243" s="779">
        <f>Table1[[#This Row],[Min VO]]+Table1[[#This Row],[Max VO]]</f>
        <v>54</v>
      </c>
      <c r="AO1243" s="551"/>
      <c r="AP1243" s="551"/>
      <c r="AQ1243" s="863"/>
      <c r="AR1243" s="863"/>
      <c r="AS1243" s="863"/>
      <c r="AT1243" s="863"/>
      <c r="AU1243" s="1163" t="str">
        <f t="shared" si="438"/>
        <v>-</v>
      </c>
    </row>
    <row r="1244" spans="1:47" s="103" customFormat="1" hidden="1" x14ac:dyDescent="0.2">
      <c r="A1244" s="101" t="s">
        <v>101</v>
      </c>
      <c r="B1244" s="1322" t="s">
        <v>102</v>
      </c>
      <c r="C1244" s="1032" t="s">
        <v>3041</v>
      </c>
      <c r="D1244" s="77"/>
      <c r="E1244" s="653" t="s">
        <v>3042</v>
      </c>
      <c r="F1244" s="653" t="s">
        <v>3036</v>
      </c>
      <c r="G1244" s="551" t="s">
        <v>354</v>
      </c>
      <c r="H1244" s="551" t="s">
        <v>354</v>
      </c>
      <c r="I1244" s="551" t="s">
        <v>52</v>
      </c>
      <c r="J1244" s="551" t="s">
        <v>53</v>
      </c>
      <c r="K1244" s="551" t="s">
        <v>54</v>
      </c>
      <c r="L1244" s="551" t="s">
        <v>55</v>
      </c>
      <c r="M1244" s="141">
        <v>280</v>
      </c>
      <c r="N1244" s="902"/>
      <c r="O1244" s="101" t="s">
        <v>64</v>
      </c>
      <c r="P1244" s="984">
        <v>24</v>
      </c>
      <c r="Q1244" s="984">
        <v>30</v>
      </c>
      <c r="R1244" s="551">
        <v>24</v>
      </c>
      <c r="S1244" s="984">
        <v>30</v>
      </c>
      <c r="T1244" s="984">
        <v>24</v>
      </c>
      <c r="U1244" s="984">
        <v>30</v>
      </c>
      <c r="V1244" s="881">
        <f>IF(J1244="Canvas",P1244+BorderGW,P1244)</f>
        <v>32</v>
      </c>
      <c r="W1244" s="881">
        <f>IF(J1244="Canvas",Q1244+BorderGW,Q1244)</f>
        <v>38</v>
      </c>
      <c r="X1244" s="1165" t="s">
        <v>1070</v>
      </c>
      <c r="Y1244" s="881">
        <f>Table1[[#This Row],[Print Wth]]</f>
        <v>32</v>
      </c>
      <c r="Z1244" s="881">
        <f>Table1[[#This Row],[Print Ht]]</f>
        <v>38</v>
      </c>
      <c r="AA1244" s="892">
        <f>Table1[[#This Row],[Cut Width]]*Table1[[#This Row],[Cut Height]]/144</f>
        <v>8.4444444444444446</v>
      </c>
      <c r="AB1244" s="898">
        <f>Table1[[#This Row],[Print Wth]]*Table1[[#This Row],[Print Ht]]/144*Swiss1ML</f>
        <v>238.97777777777779</v>
      </c>
      <c r="AC1244" s="867">
        <f>Table1[[#This Row],[Substrate SF]]*Canvas</f>
        <v>5.5733333333333341</v>
      </c>
      <c r="AD1244" s="865">
        <f>(Table1[[#This Row],[Print Wth]]*Table1[[#This Row],[Print Ht]])/144*SWISSC1</f>
        <v>23.644444444444442</v>
      </c>
      <c r="AE1244" s="863">
        <f>IF(Table1[[#This Row],[Work Center]]="SwissQ",Materials!G$37,IF(Table1[[#This Row],[Work Center]]="Inca",Materials!G$29,IF(Table1[[#This Row],[Work Center]]="Canon",Materials!G$49,Materials!G$45)))</f>
        <v>20</v>
      </c>
      <c r="AF1244" s="863">
        <f>'Cali FPS'!C35</f>
        <v>74.2</v>
      </c>
      <c r="AG1244" s="653"/>
      <c r="AH1244" s="863">
        <f t="shared" si="436"/>
        <v>14</v>
      </c>
      <c r="AI1244" s="863"/>
      <c r="AJ1244" s="863">
        <f t="shared" si="440"/>
        <v>137.41777777777779</v>
      </c>
      <c r="AK1244" s="1163">
        <f t="shared" si="437"/>
        <v>0.50922222222222224</v>
      </c>
      <c r="AL1244" s="895">
        <f>Table1[[#This Row],[WSP/Dealer]]/Table1[[#This Row],[OD Sq Inch]]</f>
        <v>0.3888888888888889</v>
      </c>
      <c r="AM1244" s="779">
        <f>Table1[[#This Row],[OD Wdth]]*Table1[[#This Row],[OD Hgt]]</f>
        <v>720</v>
      </c>
      <c r="AN1244" s="779">
        <f>Table1[[#This Row],[Min VO]]+Table1[[#This Row],[Max VO]]</f>
        <v>54</v>
      </c>
      <c r="AO1244" s="551"/>
      <c r="AP1244" s="551"/>
      <c r="AQ1244" s="863"/>
      <c r="AR1244" s="863"/>
      <c r="AS1244" s="863"/>
      <c r="AT1244" s="863"/>
      <c r="AU1244" s="1163" t="str">
        <f t="shared" si="438"/>
        <v>-</v>
      </c>
    </row>
    <row r="1245" spans="1:47" s="63" customFormat="1" hidden="1" x14ac:dyDescent="0.2">
      <c r="A1245" s="68" t="s">
        <v>187</v>
      </c>
      <c r="B1245" s="1061" t="s">
        <v>292</v>
      </c>
      <c r="C1245" s="653" t="s">
        <v>3043</v>
      </c>
      <c r="D1245" s="94"/>
      <c r="E1245" s="84" t="s">
        <v>3044</v>
      </c>
      <c r="F1245" s="84" t="s">
        <v>349</v>
      </c>
      <c r="G1245" s="68" t="s">
        <v>1115</v>
      </c>
      <c r="H1245" s="68" t="s">
        <v>1116</v>
      </c>
      <c r="I1245" s="68" t="s">
        <v>52</v>
      </c>
      <c r="J1245" s="68" t="s">
        <v>53</v>
      </c>
      <c r="K1245" s="68" t="s">
        <v>54</v>
      </c>
      <c r="L1245" s="68" t="s">
        <v>70</v>
      </c>
      <c r="M1245" s="93">
        <v>2400</v>
      </c>
      <c r="N1245" s="71"/>
      <c r="O1245" s="68" t="s">
        <v>56</v>
      </c>
      <c r="P1245" s="68">
        <v>54</v>
      </c>
      <c r="Q1245" s="68">
        <v>42</v>
      </c>
      <c r="R1245" s="68">
        <v>42</v>
      </c>
      <c r="S1245" s="68">
        <v>54</v>
      </c>
      <c r="T1245" s="68">
        <v>55</v>
      </c>
      <c r="U1245" s="68">
        <v>43</v>
      </c>
      <c r="V1245" s="917">
        <f t="shared" ref="V1245:V1260" si="441">IF(J1245="Canvas",P1245+Border,P1245)</f>
        <v>62</v>
      </c>
      <c r="W1245" s="917">
        <f t="shared" ref="W1245:W1260" si="442">IF(J1245="Canvas",Q1245+Border,Q1245)</f>
        <v>50</v>
      </c>
      <c r="X1245" s="189"/>
      <c r="Y1245" s="68"/>
      <c r="Z1245" s="68"/>
      <c r="AA1245" s="699">
        <f t="shared" ref="AA1245:AA1260" si="443">V1245*W1245/144</f>
        <v>21.527777777777779</v>
      </c>
      <c r="AB1245" s="297">
        <f t="shared" ref="AB1245:AB1259" si="444">AA1245*IncaG</f>
        <v>452.94444444444446</v>
      </c>
      <c r="AC1245" s="74">
        <f t="shared" ref="AC1245:AC1258" si="445">AA1245*Canvas</f>
        <v>14.208333333333334</v>
      </c>
      <c r="AD1245" s="319">
        <f>Table1[[#This Row],[Substrate SF]]*IncaC</f>
        <v>36.235555555555557</v>
      </c>
      <c r="AE1245" s="278">
        <f>IF(Table1[[#This Row],[Work Center]]="SwissQ",Materials!G$37,IF(Table1[[#This Row],[Work Center]]="Inca",Materials!G$29,IF(Table1[[#This Row],[Work Center]]="Canon",Materials!G$49,Materials!G$45)))</f>
        <v>8</v>
      </c>
      <c r="AF1245" s="321">
        <f>'Cali Frames'!D$321</f>
        <v>160.19499999999999</v>
      </c>
      <c r="AG1245" s="126"/>
      <c r="AH1245" s="278">
        <f t="shared" si="436"/>
        <v>120</v>
      </c>
      <c r="AI1245" s="278"/>
      <c r="AJ1245" s="278">
        <f t="shared" si="440"/>
        <v>338.63888888888891</v>
      </c>
      <c r="AK1245" s="650">
        <f t="shared" si="437"/>
        <v>0.85890046296296307</v>
      </c>
      <c r="AL1245" s="225">
        <f>Table1[[#This Row],[WSP/Dealer]]/Table1[[#This Row],[OD Sq Inch]]</f>
        <v>1.014799154334038</v>
      </c>
      <c r="AM1245" s="274">
        <f>Table1[[#This Row],[OD Wdth]]*Table1[[#This Row],[OD Hgt]]</f>
        <v>2365</v>
      </c>
      <c r="AN1245" s="216">
        <f>Table1[[#This Row],[Min VO]]+Table1[[#This Row],[Max VO]]</f>
        <v>96</v>
      </c>
      <c r="AO1245" s="84"/>
      <c r="AP1245" s="84"/>
      <c r="AQ1245" s="126"/>
      <c r="AR1245" s="126"/>
      <c r="AS1245" s="126"/>
      <c r="AT1245" s="74"/>
      <c r="AU1245" s="1357" t="str">
        <f t="shared" si="438"/>
        <v>-</v>
      </c>
    </row>
    <row r="1246" spans="1:47" s="45" customFormat="1" hidden="1" x14ac:dyDescent="0.2">
      <c r="A1246" s="551" t="s">
        <v>140</v>
      </c>
      <c r="B1246" s="1061" t="s">
        <v>141</v>
      </c>
      <c r="C1246" s="653" t="s">
        <v>3045</v>
      </c>
      <c r="D1246" s="94"/>
      <c r="E1246" s="653" t="s">
        <v>3046</v>
      </c>
      <c r="F1246" s="653" t="s">
        <v>349</v>
      </c>
      <c r="G1246" s="551" t="s">
        <v>637</v>
      </c>
      <c r="H1246" s="551" t="s">
        <v>1119</v>
      </c>
      <c r="I1246" s="551" t="s">
        <v>52</v>
      </c>
      <c r="J1246" s="856" t="s">
        <v>53</v>
      </c>
      <c r="K1246" s="551" t="s">
        <v>69</v>
      </c>
      <c r="L1246" s="551" t="s">
        <v>73</v>
      </c>
      <c r="M1246" s="857">
        <v>1100</v>
      </c>
      <c r="N1246" s="858">
        <f>Table1[[#This Row],[WSP/Dealer]]/0.35</f>
        <v>3142.8571428571431</v>
      </c>
      <c r="O1246" s="551" t="s">
        <v>56</v>
      </c>
      <c r="P1246" s="551">
        <v>60</v>
      </c>
      <c r="Q1246" s="551">
        <v>48</v>
      </c>
      <c r="R1246" s="551">
        <v>48</v>
      </c>
      <c r="S1246" s="551">
        <v>60</v>
      </c>
      <c r="T1246" s="551">
        <v>61</v>
      </c>
      <c r="U1246" s="551">
        <v>49</v>
      </c>
      <c r="V1246" s="881">
        <f t="shared" si="441"/>
        <v>68</v>
      </c>
      <c r="W1246" s="881">
        <f t="shared" si="442"/>
        <v>56</v>
      </c>
      <c r="X1246" s="311">
        <v>69</v>
      </c>
      <c r="Y1246" s="551">
        <v>68</v>
      </c>
      <c r="Z1246" s="551">
        <v>56</v>
      </c>
      <c r="AA1246" s="860">
        <f t="shared" si="443"/>
        <v>26.444444444444443</v>
      </c>
      <c r="AB1246" s="861">
        <f t="shared" si="444"/>
        <v>556.39111111111106</v>
      </c>
      <c r="AC1246" s="863">
        <f t="shared" si="445"/>
        <v>17.453333333333333</v>
      </c>
      <c r="AD1246" s="876">
        <f>Table1[[#This Row],[Substrate SF]]*IncaC</f>
        <v>44.511288888888885</v>
      </c>
      <c r="AE1246" s="867">
        <f>IF(Table1[[#This Row],[Work Center]]="SwissQ",Materials!G$37,IF(Table1[[#This Row],[Work Center]]="Inca",Materials!G$29,IF(Table1[[#This Row],[Work Center]]="Canon",Materials!G$49,Materials!G$45)))</f>
        <v>8</v>
      </c>
      <c r="AF1246" s="71">
        <f>'Cali Frames'!D470</f>
        <v>263.70999999999998</v>
      </c>
      <c r="AG1246" s="864"/>
      <c r="AH1246" s="867">
        <f t="shared" si="436"/>
        <v>55</v>
      </c>
      <c r="AI1246" s="867"/>
      <c r="AJ1246" s="867">
        <f t="shared" si="440"/>
        <v>388.67462222222218</v>
      </c>
      <c r="AK1246" s="1087">
        <f t="shared" si="437"/>
        <v>0.64665943434343442</v>
      </c>
      <c r="AL1246" s="867">
        <f>Table1[[#This Row],[WSP/Dealer]]/Table1[[#This Row],[OD Sq Inch]]</f>
        <v>0.36801605888256944</v>
      </c>
      <c r="AM1246" s="869">
        <f>Table1[[#This Row],[OD Wdth]]*Table1[[#This Row],[OD Hgt]]</f>
        <v>2989</v>
      </c>
      <c r="AN1246" s="869">
        <f>Table1[[#This Row],[Min VO]]+Table1[[#This Row],[Max VO]]</f>
        <v>108</v>
      </c>
      <c r="AO1246" s="653"/>
      <c r="AP1246" s="653"/>
      <c r="AQ1246" s="864"/>
      <c r="AR1246" s="864"/>
      <c r="AS1246" s="864"/>
      <c r="AT1246" s="863"/>
      <c r="AU1246" s="1364" t="str">
        <f t="shared" si="438"/>
        <v>-</v>
      </c>
    </row>
    <row r="1247" spans="1:47" s="45" customFormat="1" x14ac:dyDescent="0.2">
      <c r="A1247" s="551" t="s">
        <v>58</v>
      </c>
      <c r="B1247" s="1150" t="s">
        <v>310</v>
      </c>
      <c r="C1247" s="653" t="s">
        <v>3047</v>
      </c>
      <c r="D1247" s="77"/>
      <c r="E1247" s="653" t="s">
        <v>3048</v>
      </c>
      <c r="F1247" s="653" t="s">
        <v>308</v>
      </c>
      <c r="G1247" s="551" t="s">
        <v>819</v>
      </c>
      <c r="H1247" s="551" t="s">
        <v>819</v>
      </c>
      <c r="I1247" s="551" t="s">
        <v>52</v>
      </c>
      <c r="J1247" s="856" t="s">
        <v>53</v>
      </c>
      <c r="K1247" s="551" t="s">
        <v>54</v>
      </c>
      <c r="L1247" s="551" t="s">
        <v>55</v>
      </c>
      <c r="M1247" s="896">
        <v>575</v>
      </c>
      <c r="N1247" s="896"/>
      <c r="O1247" s="551" t="s">
        <v>56</v>
      </c>
      <c r="P1247" s="551">
        <v>32</v>
      </c>
      <c r="Q1247" s="551">
        <v>40</v>
      </c>
      <c r="R1247" s="551">
        <v>32</v>
      </c>
      <c r="S1247" s="551">
        <v>40</v>
      </c>
      <c r="T1247" s="551">
        <v>32</v>
      </c>
      <c r="U1247" s="551">
        <v>40</v>
      </c>
      <c r="V1247" s="881">
        <f t="shared" si="441"/>
        <v>40</v>
      </c>
      <c r="W1247" s="881">
        <f t="shared" si="442"/>
        <v>48</v>
      </c>
      <c r="X1247" s="551" t="s">
        <v>3049</v>
      </c>
      <c r="Y1247" s="551">
        <v>40</v>
      </c>
      <c r="Z1247" s="551">
        <v>48</v>
      </c>
      <c r="AA1247" s="860">
        <f t="shared" si="443"/>
        <v>13.333333333333334</v>
      </c>
      <c r="AB1247" s="861">
        <f t="shared" si="444"/>
        <v>280.53333333333336</v>
      </c>
      <c r="AC1247" s="863">
        <f t="shared" si="445"/>
        <v>8.8000000000000007</v>
      </c>
      <c r="AD1247" s="994">
        <f>Table1[[#This Row],[Substrate SF]]*IncaC</f>
        <v>22.442666666666668</v>
      </c>
      <c r="AE1247" s="867">
        <f>IF(Table1[[#This Row],[Work Center]]="SwissQ",Materials!G$37,IF(Table1[[#This Row],[Work Center]]="Inca",Materials!G$29,IF(Table1[[#This Row],[Work Center]]="Canon",Materials!G$49,Materials!G$45)))</f>
        <v>8</v>
      </c>
      <c r="AF1247" s="71">
        <f>'Cali FPS'!C58</f>
        <v>83.3</v>
      </c>
      <c r="AG1247" s="864"/>
      <c r="AH1247" s="863">
        <f t="shared" si="436"/>
        <v>28.75</v>
      </c>
      <c r="AI1247" s="863"/>
      <c r="AJ1247" s="863">
        <f t="shared" si="440"/>
        <v>151.29266666666666</v>
      </c>
      <c r="AK1247" s="1163">
        <f t="shared" si="437"/>
        <v>0.73688231884057975</v>
      </c>
      <c r="AL1247" s="863">
        <f>Table1[[#This Row],[WSP/Dealer]]/Table1[[#This Row],[OD Sq Inch]]</f>
        <v>0.44921875</v>
      </c>
      <c r="AM1247" s="551">
        <f>Table1[[#This Row],[OD Wdth]]*Table1[[#This Row],[OD Hgt]]</f>
        <v>1280</v>
      </c>
      <c r="AN1247" s="551">
        <f>Table1[[#This Row],[Min VO]]+Table1[[#This Row],[Max VO]]</f>
        <v>72</v>
      </c>
      <c r="AO1247" s="653"/>
      <c r="AP1247" s="653"/>
      <c r="AQ1247" s="864">
        <f>(Table1[[#This Row],[Desgnr/Retail P]]*0.05)</f>
        <v>0</v>
      </c>
      <c r="AR1247" s="864" t="b">
        <f t="shared" ref="AR1247:AR1258" si="446">IF(A1247="Codarus",(AP1247*0.13))</f>
        <v>0</v>
      </c>
      <c r="AS1247" s="864" t="e" cm="1">
        <f t="array" ref="AS1247">SUM(AC1247:AG1247+AQ+AR)</f>
        <v>#NAME?</v>
      </c>
      <c r="AT1247" s="863" t="e">
        <f t="shared" ref="AT1247:AT1258" si="447">(AP1247-AS1247)/AP1247</f>
        <v>#NAME?</v>
      </c>
      <c r="AU1247" s="1364" t="str">
        <f t="shared" si="438"/>
        <v>-</v>
      </c>
    </row>
    <row r="1248" spans="1:47" s="63" customFormat="1" x14ac:dyDescent="0.2">
      <c r="A1248" s="68" t="s">
        <v>58</v>
      </c>
      <c r="B1248" s="1152" t="s">
        <v>310</v>
      </c>
      <c r="C1248" s="84" t="s">
        <v>3050</v>
      </c>
      <c r="D1248" s="94"/>
      <c r="E1248" s="84" t="s">
        <v>3048</v>
      </c>
      <c r="F1248" s="84" t="s">
        <v>308</v>
      </c>
      <c r="G1248" s="68" t="s">
        <v>819</v>
      </c>
      <c r="H1248" s="68" t="s">
        <v>3051</v>
      </c>
      <c r="I1248" s="68" t="s">
        <v>52</v>
      </c>
      <c r="J1248" s="140" t="s">
        <v>53</v>
      </c>
      <c r="K1248" s="68" t="s">
        <v>69</v>
      </c>
      <c r="L1248" s="68" t="s">
        <v>70</v>
      </c>
      <c r="M1248" s="93">
        <v>675</v>
      </c>
      <c r="N1248" s="93"/>
      <c r="O1248" s="68" t="s">
        <v>56</v>
      </c>
      <c r="P1248" s="68">
        <v>32</v>
      </c>
      <c r="Q1248" s="68">
        <v>40</v>
      </c>
      <c r="R1248" s="68">
        <v>32</v>
      </c>
      <c r="S1248" s="68">
        <v>40</v>
      </c>
      <c r="T1248" s="68">
        <v>33</v>
      </c>
      <c r="U1248" s="68">
        <v>41</v>
      </c>
      <c r="V1248" s="917">
        <f t="shared" si="441"/>
        <v>40</v>
      </c>
      <c r="W1248" s="917">
        <f t="shared" si="442"/>
        <v>48</v>
      </c>
      <c r="X1248" s="68" t="s">
        <v>3049</v>
      </c>
      <c r="Y1248" s="68">
        <v>40</v>
      </c>
      <c r="Z1248" s="68">
        <v>48</v>
      </c>
      <c r="AA1248" s="699">
        <f t="shared" si="443"/>
        <v>13.333333333333334</v>
      </c>
      <c r="AB1248" s="297">
        <f t="shared" si="444"/>
        <v>280.53333333333336</v>
      </c>
      <c r="AC1248" s="74">
        <f t="shared" si="445"/>
        <v>8.8000000000000007</v>
      </c>
      <c r="AD1248" s="320">
        <f>Table1[[#This Row],[Substrate SF]]*IncaC</f>
        <v>22.442666666666668</v>
      </c>
      <c r="AE1248" s="278">
        <f>IF(Table1[[#This Row],[Work Center]]="SwissQ",Materials!G$37,IF(Table1[[#This Row],[Work Center]]="Inca",Materials!G$29,IF(Table1[[#This Row],[Work Center]]="Canon",Materials!G$49,Materials!G$45)))</f>
        <v>8</v>
      </c>
      <c r="AF1248" s="73">
        <f>'Cali Frames'!D293</f>
        <v>126.7</v>
      </c>
      <c r="AG1248" s="126"/>
      <c r="AH1248" s="74">
        <f t="shared" si="436"/>
        <v>33.75</v>
      </c>
      <c r="AI1248" s="74"/>
      <c r="AJ1248" s="74">
        <f t="shared" si="440"/>
        <v>199.69266666666667</v>
      </c>
      <c r="AK1248" s="1001">
        <f t="shared" si="437"/>
        <v>0.70415901234567901</v>
      </c>
      <c r="AL1248" s="74">
        <f>Table1[[#This Row],[WSP/Dealer]]/Table1[[#This Row],[OD Sq Inch]]</f>
        <v>0.49889135254988914</v>
      </c>
      <c r="AM1248" s="68">
        <f>Table1[[#This Row],[OD Wdth]]*Table1[[#This Row],[OD Hgt]]</f>
        <v>1353</v>
      </c>
      <c r="AN1248" s="68">
        <f>Table1[[#This Row],[Min VO]]+Table1[[#This Row],[Max VO]]</f>
        <v>72</v>
      </c>
      <c r="AO1248" s="84"/>
      <c r="AP1248" s="84"/>
      <c r="AQ1248" s="126">
        <f>(Table1[[#This Row],[Desgnr/Retail P]]*0.05)</f>
        <v>0</v>
      </c>
      <c r="AR1248" s="126" t="b">
        <f t="shared" si="446"/>
        <v>0</v>
      </c>
      <c r="AS1248" s="126" t="e" cm="1">
        <f t="array" ref="AS1248">SUM(AC1248:AG1248+AQ+AR)</f>
        <v>#NAME?</v>
      </c>
      <c r="AT1248" s="74" t="e">
        <f t="shared" si="447"/>
        <v>#NAME?</v>
      </c>
      <c r="AU1248" s="1357" t="str">
        <f t="shared" si="438"/>
        <v>-</v>
      </c>
    </row>
    <row r="1249" spans="1:47" s="45" customFormat="1" x14ac:dyDescent="0.2">
      <c r="A1249" s="551" t="s">
        <v>58</v>
      </c>
      <c r="B1249" s="1107" t="s">
        <v>310</v>
      </c>
      <c r="C1249" s="653" t="s">
        <v>3052</v>
      </c>
      <c r="D1249" s="77"/>
      <c r="E1249" s="653" t="s">
        <v>3053</v>
      </c>
      <c r="F1249" s="653" t="s">
        <v>308</v>
      </c>
      <c r="G1249" s="551" t="s">
        <v>819</v>
      </c>
      <c r="H1249" s="551" t="s">
        <v>819</v>
      </c>
      <c r="I1249" s="551" t="s">
        <v>52</v>
      </c>
      <c r="J1249" s="856" t="s">
        <v>53</v>
      </c>
      <c r="K1249" s="551" t="s">
        <v>54</v>
      </c>
      <c r="L1249" s="551" t="s">
        <v>55</v>
      </c>
      <c r="M1249" s="896">
        <v>575</v>
      </c>
      <c r="N1249" s="896"/>
      <c r="O1249" s="551" t="s">
        <v>56</v>
      </c>
      <c r="P1249" s="551">
        <v>32</v>
      </c>
      <c r="Q1249" s="551">
        <v>40</v>
      </c>
      <c r="R1249" s="551">
        <v>32</v>
      </c>
      <c r="S1249" s="551">
        <v>40</v>
      </c>
      <c r="T1249" s="551">
        <v>32</v>
      </c>
      <c r="U1249" s="551">
        <v>40</v>
      </c>
      <c r="V1249" s="881">
        <f t="shared" si="441"/>
        <v>40</v>
      </c>
      <c r="W1249" s="881">
        <f t="shared" si="442"/>
        <v>48</v>
      </c>
      <c r="X1249" s="551" t="s">
        <v>3049</v>
      </c>
      <c r="Y1249" s="551">
        <v>40</v>
      </c>
      <c r="Z1249" s="551">
        <v>48</v>
      </c>
      <c r="AA1249" s="860">
        <f t="shared" si="443"/>
        <v>13.333333333333334</v>
      </c>
      <c r="AB1249" s="861">
        <f t="shared" si="444"/>
        <v>280.53333333333336</v>
      </c>
      <c r="AC1249" s="863">
        <f t="shared" si="445"/>
        <v>8.8000000000000007</v>
      </c>
      <c r="AD1249" s="876">
        <f>Table1[[#This Row],[Substrate SF]]*IncaC</f>
        <v>22.442666666666668</v>
      </c>
      <c r="AE1249" s="867">
        <f>IF(Table1[[#This Row],[Work Center]]="SwissQ",Materials!G$37,IF(Table1[[#This Row],[Work Center]]="Inca",Materials!G$29,IF(Table1[[#This Row],[Work Center]]="Canon",Materials!G$49,Materials!G$45)))</f>
        <v>8</v>
      </c>
      <c r="AF1249" s="71">
        <f>'Cali FPS'!C58</f>
        <v>83.3</v>
      </c>
      <c r="AG1249" s="864"/>
      <c r="AH1249" s="863">
        <f t="shared" si="436"/>
        <v>28.75</v>
      </c>
      <c r="AI1249" s="863"/>
      <c r="AJ1249" s="863">
        <f t="shared" si="440"/>
        <v>151.29266666666666</v>
      </c>
      <c r="AK1249" s="1163">
        <f t="shared" si="437"/>
        <v>0.73688231884057975</v>
      </c>
      <c r="AL1249" s="863">
        <f>Table1[[#This Row],[WSP/Dealer]]/Table1[[#This Row],[OD Sq Inch]]</f>
        <v>0.44921875</v>
      </c>
      <c r="AM1249" s="551">
        <f>Table1[[#This Row],[OD Wdth]]*Table1[[#This Row],[OD Hgt]]</f>
        <v>1280</v>
      </c>
      <c r="AN1249" s="551">
        <f>Table1[[#This Row],[Min VO]]+Table1[[#This Row],[Max VO]]</f>
        <v>72</v>
      </c>
      <c r="AO1249" s="653"/>
      <c r="AP1249" s="653"/>
      <c r="AQ1249" s="864">
        <f>(Table1[[#This Row],[Desgnr/Retail P]]*0.05)</f>
        <v>0</v>
      </c>
      <c r="AR1249" s="864" t="b">
        <f t="shared" si="446"/>
        <v>0</v>
      </c>
      <c r="AS1249" s="864" t="e" cm="1">
        <f t="array" ref="AS1249">SUM(AC1249:AG1249+AQ+AR)</f>
        <v>#NAME?</v>
      </c>
      <c r="AT1249" s="863" t="e">
        <f t="shared" si="447"/>
        <v>#NAME?</v>
      </c>
      <c r="AU1249" s="1364" t="str">
        <f t="shared" si="438"/>
        <v>-</v>
      </c>
    </row>
    <row r="1250" spans="1:47" s="63" customFormat="1" x14ac:dyDescent="0.2">
      <c r="A1250" s="68" t="s">
        <v>58</v>
      </c>
      <c r="B1250" s="1072" t="s">
        <v>310</v>
      </c>
      <c r="C1250" s="84" t="s">
        <v>3054</v>
      </c>
      <c r="D1250" s="94"/>
      <c r="E1250" s="84" t="s">
        <v>3053</v>
      </c>
      <c r="F1250" s="84" t="s">
        <v>308</v>
      </c>
      <c r="G1250" s="68" t="s">
        <v>819</v>
      </c>
      <c r="H1250" s="68" t="s">
        <v>3051</v>
      </c>
      <c r="I1250" s="68" t="s">
        <v>52</v>
      </c>
      <c r="J1250" s="140" t="s">
        <v>53</v>
      </c>
      <c r="K1250" s="68" t="s">
        <v>69</v>
      </c>
      <c r="L1250" s="68" t="s">
        <v>70</v>
      </c>
      <c r="M1250" s="93">
        <v>675</v>
      </c>
      <c r="N1250" s="93"/>
      <c r="O1250" s="68" t="s">
        <v>56</v>
      </c>
      <c r="P1250" s="68">
        <v>32</v>
      </c>
      <c r="Q1250" s="68">
        <v>40</v>
      </c>
      <c r="R1250" s="68">
        <v>32</v>
      </c>
      <c r="S1250" s="68">
        <v>40</v>
      </c>
      <c r="T1250" s="68">
        <v>33</v>
      </c>
      <c r="U1250" s="68">
        <v>41</v>
      </c>
      <c r="V1250" s="917">
        <f t="shared" si="441"/>
        <v>40</v>
      </c>
      <c r="W1250" s="917">
        <f t="shared" si="442"/>
        <v>48</v>
      </c>
      <c r="X1250" s="68" t="s">
        <v>3049</v>
      </c>
      <c r="Y1250" s="68">
        <v>40</v>
      </c>
      <c r="Z1250" s="68">
        <v>48</v>
      </c>
      <c r="AA1250" s="699">
        <f t="shared" si="443"/>
        <v>13.333333333333334</v>
      </c>
      <c r="AB1250" s="297">
        <f t="shared" si="444"/>
        <v>280.53333333333336</v>
      </c>
      <c r="AC1250" s="74">
        <f t="shared" si="445"/>
        <v>8.8000000000000007</v>
      </c>
      <c r="AD1250" s="319">
        <f>Table1[[#This Row],[Substrate SF]]*IncaC</f>
        <v>22.442666666666668</v>
      </c>
      <c r="AE1250" s="278">
        <f>IF(Table1[[#This Row],[Work Center]]="SwissQ",Materials!G$37,IF(Table1[[#This Row],[Work Center]]="Inca",Materials!G$29,IF(Table1[[#This Row],[Work Center]]="Canon",Materials!G$49,Materials!G$45)))</f>
        <v>8</v>
      </c>
      <c r="AF1250" s="73">
        <f>'Cali Frames'!D293</f>
        <v>126.7</v>
      </c>
      <c r="AG1250" s="126"/>
      <c r="AH1250" s="74">
        <f t="shared" si="436"/>
        <v>33.75</v>
      </c>
      <c r="AI1250" s="74"/>
      <c r="AJ1250" s="74">
        <f t="shared" si="440"/>
        <v>199.69266666666667</v>
      </c>
      <c r="AK1250" s="1001">
        <f t="shared" si="437"/>
        <v>0.70415901234567901</v>
      </c>
      <c r="AL1250" s="74">
        <f>Table1[[#This Row],[WSP/Dealer]]/Table1[[#This Row],[OD Sq Inch]]</f>
        <v>0.49889135254988914</v>
      </c>
      <c r="AM1250" s="68">
        <f>Table1[[#This Row],[OD Wdth]]*Table1[[#This Row],[OD Hgt]]</f>
        <v>1353</v>
      </c>
      <c r="AN1250" s="68">
        <f>Table1[[#This Row],[Min VO]]+Table1[[#This Row],[Max VO]]</f>
        <v>72</v>
      </c>
      <c r="AO1250" s="84"/>
      <c r="AP1250" s="84"/>
      <c r="AQ1250" s="126">
        <f>(Table1[[#This Row],[Desgnr/Retail P]]*0.05)</f>
        <v>0</v>
      </c>
      <c r="AR1250" s="126" t="b">
        <f t="shared" si="446"/>
        <v>0</v>
      </c>
      <c r="AS1250" s="126" t="e" cm="1">
        <f t="array" ref="AS1250">SUM(AC1250:AG1250+AQ+AR)</f>
        <v>#NAME?</v>
      </c>
      <c r="AT1250" s="74" t="e">
        <f t="shared" si="447"/>
        <v>#NAME?</v>
      </c>
      <c r="AU1250" s="1357" t="str">
        <f t="shared" si="438"/>
        <v>-</v>
      </c>
    </row>
    <row r="1251" spans="1:47" s="45" customFormat="1" x14ac:dyDescent="0.2">
      <c r="A1251" s="551" t="s">
        <v>58</v>
      </c>
      <c r="B1251" s="1107" t="s">
        <v>310</v>
      </c>
      <c r="C1251" s="653" t="s">
        <v>3055</v>
      </c>
      <c r="D1251" s="77"/>
      <c r="E1251" s="653" t="s">
        <v>3056</v>
      </c>
      <c r="F1251" s="653" t="s">
        <v>308</v>
      </c>
      <c r="G1251" s="551" t="s">
        <v>819</v>
      </c>
      <c r="H1251" s="551" t="s">
        <v>819</v>
      </c>
      <c r="I1251" s="551" t="s">
        <v>52</v>
      </c>
      <c r="J1251" s="856" t="s">
        <v>53</v>
      </c>
      <c r="K1251" s="551" t="s">
        <v>54</v>
      </c>
      <c r="L1251" s="551" t="s">
        <v>55</v>
      </c>
      <c r="M1251" s="896">
        <v>575</v>
      </c>
      <c r="N1251" s="896"/>
      <c r="O1251" s="551" t="s">
        <v>56</v>
      </c>
      <c r="P1251" s="551">
        <v>32</v>
      </c>
      <c r="Q1251" s="551">
        <v>40</v>
      </c>
      <c r="R1251" s="551">
        <v>32</v>
      </c>
      <c r="S1251" s="551">
        <v>40</v>
      </c>
      <c r="T1251" s="551">
        <v>32</v>
      </c>
      <c r="U1251" s="551">
        <v>40</v>
      </c>
      <c r="V1251" s="881">
        <f t="shared" si="441"/>
        <v>40</v>
      </c>
      <c r="W1251" s="881">
        <f t="shared" si="442"/>
        <v>48</v>
      </c>
      <c r="X1251" s="551" t="s">
        <v>3049</v>
      </c>
      <c r="Y1251" s="551">
        <v>40</v>
      </c>
      <c r="Z1251" s="551">
        <v>48</v>
      </c>
      <c r="AA1251" s="860">
        <f t="shared" si="443"/>
        <v>13.333333333333334</v>
      </c>
      <c r="AB1251" s="861">
        <f t="shared" si="444"/>
        <v>280.53333333333336</v>
      </c>
      <c r="AC1251" s="863">
        <f t="shared" si="445"/>
        <v>8.8000000000000007</v>
      </c>
      <c r="AD1251" s="876">
        <f>Table1[[#This Row],[Substrate SF]]*IncaC</f>
        <v>22.442666666666668</v>
      </c>
      <c r="AE1251" s="867">
        <f>IF(Table1[[#This Row],[Work Center]]="SwissQ",Materials!G$37,IF(Table1[[#This Row],[Work Center]]="Inca",Materials!G$29,IF(Table1[[#This Row],[Work Center]]="Canon",Materials!G$49,Materials!G$45)))</f>
        <v>8</v>
      </c>
      <c r="AF1251" s="71">
        <f>'Cali FPS'!C58</f>
        <v>83.3</v>
      </c>
      <c r="AG1251" s="864"/>
      <c r="AH1251" s="863">
        <f t="shared" si="436"/>
        <v>28.75</v>
      </c>
      <c r="AI1251" s="863"/>
      <c r="AJ1251" s="863">
        <f t="shared" si="440"/>
        <v>151.29266666666666</v>
      </c>
      <c r="AK1251" s="1163">
        <f t="shared" si="437"/>
        <v>0.73688231884057975</v>
      </c>
      <c r="AL1251" s="863">
        <f>Table1[[#This Row],[WSP/Dealer]]/Table1[[#This Row],[OD Sq Inch]]</f>
        <v>0.44921875</v>
      </c>
      <c r="AM1251" s="551">
        <f>Table1[[#This Row],[OD Wdth]]*Table1[[#This Row],[OD Hgt]]</f>
        <v>1280</v>
      </c>
      <c r="AN1251" s="551">
        <f>Table1[[#This Row],[Min VO]]+Table1[[#This Row],[Max VO]]</f>
        <v>72</v>
      </c>
      <c r="AO1251" s="653"/>
      <c r="AP1251" s="653"/>
      <c r="AQ1251" s="864">
        <f>(Table1[[#This Row],[Desgnr/Retail P]]*0.05)</f>
        <v>0</v>
      </c>
      <c r="AR1251" s="864" t="b">
        <f t="shared" si="446"/>
        <v>0</v>
      </c>
      <c r="AS1251" s="864" t="e" cm="1">
        <f t="array" ref="AS1251">SUM(AC1251:AG1251+AQ+AR)</f>
        <v>#NAME?</v>
      </c>
      <c r="AT1251" s="863" t="e">
        <f t="shared" si="447"/>
        <v>#NAME?</v>
      </c>
      <c r="AU1251" s="1364" t="str">
        <f t="shared" si="438"/>
        <v>-</v>
      </c>
    </row>
    <row r="1252" spans="1:47" s="63" customFormat="1" x14ac:dyDescent="0.2">
      <c r="A1252" s="68" t="s">
        <v>58</v>
      </c>
      <c r="B1252" s="1072" t="s">
        <v>310</v>
      </c>
      <c r="C1252" s="84" t="s">
        <v>3057</v>
      </c>
      <c r="D1252" s="94"/>
      <c r="E1252" s="84" t="s">
        <v>3056</v>
      </c>
      <c r="F1252" s="84" t="s">
        <v>308</v>
      </c>
      <c r="G1252" s="68" t="s">
        <v>819</v>
      </c>
      <c r="H1252" s="68" t="s">
        <v>3051</v>
      </c>
      <c r="I1252" s="68" t="s">
        <v>52</v>
      </c>
      <c r="J1252" s="140" t="s">
        <v>53</v>
      </c>
      <c r="K1252" s="68" t="s">
        <v>69</v>
      </c>
      <c r="L1252" s="68" t="s">
        <v>70</v>
      </c>
      <c r="M1252" s="93">
        <v>675</v>
      </c>
      <c r="N1252" s="93"/>
      <c r="O1252" s="68" t="s">
        <v>56</v>
      </c>
      <c r="P1252" s="68">
        <v>32</v>
      </c>
      <c r="Q1252" s="68">
        <v>40</v>
      </c>
      <c r="R1252" s="68">
        <v>32</v>
      </c>
      <c r="S1252" s="68">
        <v>40</v>
      </c>
      <c r="T1252" s="68">
        <v>33</v>
      </c>
      <c r="U1252" s="68">
        <v>41</v>
      </c>
      <c r="V1252" s="917">
        <f t="shared" si="441"/>
        <v>40</v>
      </c>
      <c r="W1252" s="917">
        <f t="shared" si="442"/>
        <v>48</v>
      </c>
      <c r="X1252" s="68" t="s">
        <v>3049</v>
      </c>
      <c r="Y1252" s="68">
        <v>40</v>
      </c>
      <c r="Z1252" s="68">
        <v>48</v>
      </c>
      <c r="AA1252" s="699">
        <f t="shared" si="443"/>
        <v>13.333333333333334</v>
      </c>
      <c r="AB1252" s="297">
        <f t="shared" si="444"/>
        <v>280.53333333333336</v>
      </c>
      <c r="AC1252" s="74">
        <f t="shared" si="445"/>
        <v>8.8000000000000007</v>
      </c>
      <c r="AD1252" s="319">
        <f>Table1[[#This Row],[Substrate SF]]*IncaC</f>
        <v>22.442666666666668</v>
      </c>
      <c r="AE1252" s="278">
        <f>IF(Table1[[#This Row],[Work Center]]="SwissQ",Materials!G$37,IF(Table1[[#This Row],[Work Center]]="Inca",Materials!G$29,IF(Table1[[#This Row],[Work Center]]="Canon",Materials!G$49,Materials!G$45)))</f>
        <v>8</v>
      </c>
      <c r="AF1252" s="73">
        <f>'Cali Frames'!D293</f>
        <v>126.7</v>
      </c>
      <c r="AG1252" s="126"/>
      <c r="AH1252" s="74">
        <f t="shared" si="436"/>
        <v>33.75</v>
      </c>
      <c r="AI1252" s="74"/>
      <c r="AJ1252" s="74">
        <f t="shared" si="440"/>
        <v>199.69266666666667</v>
      </c>
      <c r="AK1252" s="1001">
        <f t="shared" si="437"/>
        <v>0.70415901234567901</v>
      </c>
      <c r="AL1252" s="74">
        <f>Table1[[#This Row],[WSP/Dealer]]/Table1[[#This Row],[OD Sq Inch]]</f>
        <v>0.49889135254988914</v>
      </c>
      <c r="AM1252" s="68">
        <f>Table1[[#This Row],[OD Wdth]]*Table1[[#This Row],[OD Hgt]]</f>
        <v>1353</v>
      </c>
      <c r="AN1252" s="68">
        <f>Table1[[#This Row],[Min VO]]+Table1[[#This Row],[Max VO]]</f>
        <v>72</v>
      </c>
      <c r="AO1252" s="84"/>
      <c r="AP1252" s="84"/>
      <c r="AQ1252" s="126">
        <f>(Table1[[#This Row],[Desgnr/Retail P]]*0.05)</f>
        <v>0</v>
      </c>
      <c r="AR1252" s="126" t="b">
        <f t="shared" si="446"/>
        <v>0</v>
      </c>
      <c r="AS1252" s="126" t="e" cm="1">
        <f t="array" ref="AS1252">SUM(AC1252:AG1252+AQ+AR)</f>
        <v>#NAME?</v>
      </c>
      <c r="AT1252" s="74" t="e">
        <f t="shared" si="447"/>
        <v>#NAME?</v>
      </c>
      <c r="AU1252" s="1357" t="str">
        <f t="shared" si="438"/>
        <v>-</v>
      </c>
    </row>
    <row r="1253" spans="1:47" s="45" customFormat="1" x14ac:dyDescent="0.2">
      <c r="A1253" s="551" t="s">
        <v>58</v>
      </c>
      <c r="B1253" s="1150" t="s">
        <v>310</v>
      </c>
      <c r="C1253" s="653" t="s">
        <v>3058</v>
      </c>
      <c r="D1253" s="77"/>
      <c r="E1253" s="653" t="s">
        <v>3059</v>
      </c>
      <c r="F1253" s="653" t="s">
        <v>308</v>
      </c>
      <c r="G1253" s="551" t="s">
        <v>819</v>
      </c>
      <c r="H1253" s="551" t="s">
        <v>819</v>
      </c>
      <c r="I1253" s="551" t="s">
        <v>52</v>
      </c>
      <c r="J1253" s="856" t="s">
        <v>53</v>
      </c>
      <c r="K1253" s="551" t="s">
        <v>54</v>
      </c>
      <c r="L1253" s="551" t="s">
        <v>55</v>
      </c>
      <c r="M1253" s="896">
        <v>575</v>
      </c>
      <c r="N1253" s="896"/>
      <c r="O1253" s="551" t="s">
        <v>56</v>
      </c>
      <c r="P1253" s="551">
        <v>32</v>
      </c>
      <c r="Q1253" s="551">
        <v>40</v>
      </c>
      <c r="R1253" s="551">
        <v>32</v>
      </c>
      <c r="S1253" s="551">
        <v>40</v>
      </c>
      <c r="T1253" s="551">
        <v>32</v>
      </c>
      <c r="U1253" s="551">
        <v>40</v>
      </c>
      <c r="V1253" s="881">
        <f t="shared" si="441"/>
        <v>40</v>
      </c>
      <c r="W1253" s="881">
        <f t="shared" si="442"/>
        <v>48</v>
      </c>
      <c r="X1253" s="551" t="s">
        <v>3049</v>
      </c>
      <c r="Y1253" s="551">
        <v>40</v>
      </c>
      <c r="Z1253" s="551">
        <v>48</v>
      </c>
      <c r="AA1253" s="860">
        <f t="shared" si="443"/>
        <v>13.333333333333334</v>
      </c>
      <c r="AB1253" s="861">
        <f t="shared" si="444"/>
        <v>280.53333333333336</v>
      </c>
      <c r="AC1253" s="863">
        <f t="shared" si="445"/>
        <v>8.8000000000000007</v>
      </c>
      <c r="AD1253" s="876">
        <f>Table1[[#This Row],[Substrate SF]]*IncaC</f>
        <v>22.442666666666668</v>
      </c>
      <c r="AE1253" s="867">
        <f>IF(Table1[[#This Row],[Work Center]]="SwissQ",Materials!G$37,IF(Table1[[#This Row],[Work Center]]="Inca",Materials!G$29,IF(Table1[[#This Row],[Work Center]]="Canon",Materials!G$49,Materials!G$45)))</f>
        <v>8</v>
      </c>
      <c r="AF1253" s="71">
        <f>'Cali FPS'!C58</f>
        <v>83.3</v>
      </c>
      <c r="AG1253" s="864"/>
      <c r="AH1253" s="863">
        <f t="shared" si="436"/>
        <v>28.75</v>
      </c>
      <c r="AI1253" s="863"/>
      <c r="AJ1253" s="863">
        <f t="shared" si="440"/>
        <v>151.29266666666666</v>
      </c>
      <c r="AK1253" s="1163">
        <f t="shared" si="437"/>
        <v>0.73688231884057975</v>
      </c>
      <c r="AL1253" s="863">
        <f>Table1[[#This Row],[WSP/Dealer]]/Table1[[#This Row],[OD Sq Inch]]</f>
        <v>0.44921875</v>
      </c>
      <c r="AM1253" s="551">
        <f>Table1[[#This Row],[OD Wdth]]*Table1[[#This Row],[OD Hgt]]</f>
        <v>1280</v>
      </c>
      <c r="AN1253" s="551">
        <f>Table1[[#This Row],[Min VO]]+Table1[[#This Row],[Max VO]]</f>
        <v>72</v>
      </c>
      <c r="AO1253" s="653"/>
      <c r="AP1253" s="653"/>
      <c r="AQ1253" s="864">
        <f>(Table1[[#This Row],[Desgnr/Retail P]]*0.05)</f>
        <v>0</v>
      </c>
      <c r="AR1253" s="864" t="b">
        <f t="shared" si="446"/>
        <v>0</v>
      </c>
      <c r="AS1253" s="864" t="e" cm="1">
        <f t="array" ref="AS1253">SUM(AC1253:AG1253+AQ+AR)</f>
        <v>#NAME?</v>
      </c>
      <c r="AT1253" s="863" t="e">
        <f t="shared" si="447"/>
        <v>#NAME?</v>
      </c>
      <c r="AU1253" s="1364" t="str">
        <f t="shared" si="438"/>
        <v>-</v>
      </c>
    </row>
    <row r="1254" spans="1:47" s="63" customFormat="1" x14ac:dyDescent="0.2">
      <c r="A1254" s="68" t="s">
        <v>58</v>
      </c>
      <c r="B1254" s="1152" t="s">
        <v>310</v>
      </c>
      <c r="C1254" s="84" t="s">
        <v>3060</v>
      </c>
      <c r="D1254" s="94"/>
      <c r="E1254" s="84" t="s">
        <v>3059</v>
      </c>
      <c r="F1254" s="84" t="s">
        <v>308</v>
      </c>
      <c r="G1254" s="68" t="s">
        <v>819</v>
      </c>
      <c r="H1254" s="68" t="s">
        <v>3051</v>
      </c>
      <c r="I1254" s="68" t="s">
        <v>52</v>
      </c>
      <c r="J1254" s="140" t="s">
        <v>53</v>
      </c>
      <c r="K1254" s="68" t="s">
        <v>69</v>
      </c>
      <c r="L1254" s="68" t="s">
        <v>70</v>
      </c>
      <c r="M1254" s="93">
        <v>675</v>
      </c>
      <c r="N1254" s="93"/>
      <c r="O1254" s="68" t="s">
        <v>56</v>
      </c>
      <c r="P1254" s="68">
        <v>32</v>
      </c>
      <c r="Q1254" s="68">
        <v>40</v>
      </c>
      <c r="R1254" s="68">
        <v>32</v>
      </c>
      <c r="S1254" s="68">
        <v>40</v>
      </c>
      <c r="T1254" s="68">
        <v>33</v>
      </c>
      <c r="U1254" s="68">
        <v>41</v>
      </c>
      <c r="V1254" s="917">
        <f t="shared" si="441"/>
        <v>40</v>
      </c>
      <c r="W1254" s="917">
        <f t="shared" si="442"/>
        <v>48</v>
      </c>
      <c r="X1254" s="68" t="s">
        <v>3049</v>
      </c>
      <c r="Y1254" s="68">
        <v>40</v>
      </c>
      <c r="Z1254" s="68">
        <v>48</v>
      </c>
      <c r="AA1254" s="699">
        <f t="shared" si="443"/>
        <v>13.333333333333334</v>
      </c>
      <c r="AB1254" s="297">
        <f t="shared" si="444"/>
        <v>280.53333333333336</v>
      </c>
      <c r="AC1254" s="74">
        <f t="shared" si="445"/>
        <v>8.8000000000000007</v>
      </c>
      <c r="AD1254" s="319">
        <f>Table1[[#This Row],[Substrate SF]]*IncaC</f>
        <v>22.442666666666668</v>
      </c>
      <c r="AE1254" s="278">
        <f>IF(Table1[[#This Row],[Work Center]]="SwissQ",Materials!G$37,IF(Table1[[#This Row],[Work Center]]="Inca",Materials!G$29,IF(Table1[[#This Row],[Work Center]]="Canon",Materials!G$49,Materials!G$45)))</f>
        <v>8</v>
      </c>
      <c r="AF1254" s="73">
        <f>'Cali Frames'!D293</f>
        <v>126.7</v>
      </c>
      <c r="AG1254" s="126"/>
      <c r="AH1254" s="74">
        <f t="shared" ref="AH1254:AH1260" si="448">(M1254*0.05)</f>
        <v>33.75</v>
      </c>
      <c r="AI1254" s="74"/>
      <c r="AJ1254" s="74">
        <f t="shared" si="440"/>
        <v>199.69266666666667</v>
      </c>
      <c r="AK1254" s="1001">
        <f t="shared" ref="AK1254:AK1285" si="449">(M1254-AJ1254)/M1254</f>
        <v>0.70415901234567901</v>
      </c>
      <c r="AL1254" s="74">
        <f>Table1[[#This Row],[WSP/Dealer]]/Table1[[#This Row],[OD Sq Inch]]</f>
        <v>0.49889135254988914</v>
      </c>
      <c r="AM1254" s="68">
        <f>Table1[[#This Row],[OD Wdth]]*Table1[[#This Row],[OD Hgt]]</f>
        <v>1353</v>
      </c>
      <c r="AN1254" s="68">
        <f>Table1[[#This Row],[Min VO]]+Table1[[#This Row],[Max VO]]</f>
        <v>72</v>
      </c>
      <c r="AO1254" s="84"/>
      <c r="AP1254" s="84"/>
      <c r="AQ1254" s="126">
        <f>(Table1[[#This Row],[Desgnr/Retail P]]*0.05)</f>
        <v>0</v>
      </c>
      <c r="AR1254" s="126" t="b">
        <f t="shared" si="446"/>
        <v>0</v>
      </c>
      <c r="AS1254" s="126" t="e" cm="1">
        <f t="array" ref="AS1254">SUM(AC1254:AG1254+AQ+AR)</f>
        <v>#NAME?</v>
      </c>
      <c r="AT1254" s="74" t="e">
        <f t="shared" si="447"/>
        <v>#NAME?</v>
      </c>
      <c r="AU1254" s="1357" t="str">
        <f t="shared" si="438"/>
        <v>-</v>
      </c>
    </row>
    <row r="1255" spans="1:47" s="45" customFormat="1" x14ac:dyDescent="0.2">
      <c r="A1255" s="551" t="s">
        <v>58</v>
      </c>
      <c r="B1255" s="1150" t="s">
        <v>310</v>
      </c>
      <c r="C1255" s="653" t="s">
        <v>3061</v>
      </c>
      <c r="D1255" s="77"/>
      <c r="E1255" s="653" t="s">
        <v>3062</v>
      </c>
      <c r="F1255" s="653" t="s">
        <v>308</v>
      </c>
      <c r="G1255" s="551" t="s">
        <v>819</v>
      </c>
      <c r="H1255" s="551" t="s">
        <v>819</v>
      </c>
      <c r="I1255" s="551" t="s">
        <v>52</v>
      </c>
      <c r="J1255" s="856" t="s">
        <v>53</v>
      </c>
      <c r="K1255" s="551" t="s">
        <v>54</v>
      </c>
      <c r="L1255" s="551" t="s">
        <v>55</v>
      </c>
      <c r="M1255" s="896">
        <v>575</v>
      </c>
      <c r="N1255" s="896"/>
      <c r="O1255" s="551" t="s">
        <v>56</v>
      </c>
      <c r="P1255" s="551">
        <v>32</v>
      </c>
      <c r="Q1255" s="551">
        <v>40</v>
      </c>
      <c r="R1255" s="551">
        <v>32</v>
      </c>
      <c r="S1255" s="551">
        <v>40</v>
      </c>
      <c r="T1255" s="551">
        <v>32</v>
      </c>
      <c r="U1255" s="551">
        <v>40</v>
      </c>
      <c r="V1255" s="881">
        <f t="shared" si="441"/>
        <v>40</v>
      </c>
      <c r="W1255" s="881">
        <f t="shared" si="442"/>
        <v>48</v>
      </c>
      <c r="X1255" s="551" t="s">
        <v>3049</v>
      </c>
      <c r="Y1255" s="551">
        <v>40</v>
      </c>
      <c r="Z1255" s="551">
        <v>48</v>
      </c>
      <c r="AA1255" s="860">
        <f t="shared" si="443"/>
        <v>13.333333333333334</v>
      </c>
      <c r="AB1255" s="861">
        <f t="shared" si="444"/>
        <v>280.53333333333336</v>
      </c>
      <c r="AC1255" s="863">
        <f t="shared" si="445"/>
        <v>8.8000000000000007</v>
      </c>
      <c r="AD1255" s="876">
        <f>Table1[[#This Row],[Substrate SF]]*IncaC</f>
        <v>22.442666666666668</v>
      </c>
      <c r="AE1255" s="867">
        <f>IF(Table1[[#This Row],[Work Center]]="SwissQ",Materials!G$37,IF(Table1[[#This Row],[Work Center]]="Inca",Materials!G$29,IF(Table1[[#This Row],[Work Center]]="Canon",Materials!G$49,Materials!G$45)))</f>
        <v>8</v>
      </c>
      <c r="AF1255" s="71">
        <f>'Cali FPS'!C58</f>
        <v>83.3</v>
      </c>
      <c r="AG1255" s="864"/>
      <c r="AH1255" s="863">
        <f t="shared" si="448"/>
        <v>28.75</v>
      </c>
      <c r="AI1255" s="863"/>
      <c r="AJ1255" s="863">
        <f t="shared" si="440"/>
        <v>151.29266666666666</v>
      </c>
      <c r="AK1255" s="1163">
        <f t="shared" si="449"/>
        <v>0.73688231884057975</v>
      </c>
      <c r="AL1255" s="863">
        <f>Table1[[#This Row],[WSP/Dealer]]/Table1[[#This Row],[OD Sq Inch]]</f>
        <v>0.44921875</v>
      </c>
      <c r="AM1255" s="551">
        <f>Table1[[#This Row],[OD Wdth]]*Table1[[#This Row],[OD Hgt]]</f>
        <v>1280</v>
      </c>
      <c r="AN1255" s="551">
        <f>Table1[[#This Row],[Min VO]]+Table1[[#This Row],[Max VO]]</f>
        <v>72</v>
      </c>
      <c r="AO1255" s="653"/>
      <c r="AP1255" s="653"/>
      <c r="AQ1255" s="864">
        <f>(Table1[[#This Row],[Desgnr/Retail P]]*0.05)</f>
        <v>0</v>
      </c>
      <c r="AR1255" s="864" t="b">
        <f t="shared" si="446"/>
        <v>0</v>
      </c>
      <c r="AS1255" s="864" t="e" cm="1">
        <f t="array" ref="AS1255">SUM(AC1255:AG1255+AQ+AR)</f>
        <v>#NAME?</v>
      </c>
      <c r="AT1255" s="863" t="e">
        <f t="shared" si="447"/>
        <v>#NAME?</v>
      </c>
      <c r="AU1255" s="1364" t="str">
        <f t="shared" si="438"/>
        <v>-</v>
      </c>
    </row>
    <row r="1256" spans="1:47" s="63" customFormat="1" x14ac:dyDescent="0.2">
      <c r="A1256" s="68" t="s">
        <v>58</v>
      </c>
      <c r="B1256" s="1072" t="s">
        <v>310</v>
      </c>
      <c r="C1256" s="84" t="s">
        <v>3063</v>
      </c>
      <c r="D1256" s="94"/>
      <c r="E1256" s="84" t="s">
        <v>3062</v>
      </c>
      <c r="F1256" s="84" t="s">
        <v>308</v>
      </c>
      <c r="G1256" s="68" t="s">
        <v>819</v>
      </c>
      <c r="H1256" s="68" t="s">
        <v>3051</v>
      </c>
      <c r="I1256" s="68" t="s">
        <v>52</v>
      </c>
      <c r="J1256" s="140" t="s">
        <v>53</v>
      </c>
      <c r="K1256" s="68" t="s">
        <v>69</v>
      </c>
      <c r="L1256" s="68" t="s">
        <v>70</v>
      </c>
      <c r="M1256" s="93">
        <v>675</v>
      </c>
      <c r="N1256" s="93"/>
      <c r="O1256" s="68" t="s">
        <v>56</v>
      </c>
      <c r="P1256" s="68">
        <v>32</v>
      </c>
      <c r="Q1256" s="68">
        <v>40</v>
      </c>
      <c r="R1256" s="68">
        <v>32</v>
      </c>
      <c r="S1256" s="68">
        <v>40</v>
      </c>
      <c r="T1256" s="68">
        <v>33</v>
      </c>
      <c r="U1256" s="68">
        <v>41</v>
      </c>
      <c r="V1256" s="917">
        <f t="shared" si="441"/>
        <v>40</v>
      </c>
      <c r="W1256" s="917">
        <f t="shared" si="442"/>
        <v>48</v>
      </c>
      <c r="X1256" s="68" t="s">
        <v>3049</v>
      </c>
      <c r="Y1256" s="68">
        <v>40</v>
      </c>
      <c r="Z1256" s="68">
        <v>48</v>
      </c>
      <c r="AA1256" s="699">
        <f t="shared" si="443"/>
        <v>13.333333333333334</v>
      </c>
      <c r="AB1256" s="297">
        <f t="shared" si="444"/>
        <v>280.53333333333336</v>
      </c>
      <c r="AC1256" s="74">
        <f t="shared" si="445"/>
        <v>8.8000000000000007</v>
      </c>
      <c r="AD1256" s="320">
        <f>Table1[[#This Row],[Substrate SF]]*IncaC</f>
        <v>22.442666666666668</v>
      </c>
      <c r="AE1256" s="278">
        <f>IF(Table1[[#This Row],[Work Center]]="SwissQ",Materials!G$37,IF(Table1[[#This Row],[Work Center]]="Inca",Materials!G$29,IF(Table1[[#This Row],[Work Center]]="Canon",Materials!G$49,Materials!G$45)))</f>
        <v>8</v>
      </c>
      <c r="AF1256" s="73">
        <f>'Cali Frames'!D293</f>
        <v>126.7</v>
      </c>
      <c r="AG1256" s="126"/>
      <c r="AH1256" s="74">
        <f t="shared" si="448"/>
        <v>33.75</v>
      </c>
      <c r="AI1256" s="74"/>
      <c r="AJ1256" s="74">
        <f t="shared" si="440"/>
        <v>199.69266666666667</v>
      </c>
      <c r="AK1256" s="1001">
        <f t="shared" si="449"/>
        <v>0.70415901234567901</v>
      </c>
      <c r="AL1256" s="74">
        <f>Table1[[#This Row],[WSP/Dealer]]/Table1[[#This Row],[OD Sq Inch]]</f>
        <v>0.49889135254988914</v>
      </c>
      <c r="AM1256" s="68">
        <f>Table1[[#This Row],[OD Wdth]]*Table1[[#This Row],[OD Hgt]]</f>
        <v>1353</v>
      </c>
      <c r="AN1256" s="68">
        <f>Table1[[#This Row],[Min VO]]+Table1[[#This Row],[Max VO]]</f>
        <v>72</v>
      </c>
      <c r="AO1256" s="84"/>
      <c r="AP1256" s="84"/>
      <c r="AQ1256" s="126">
        <f>(Table1[[#This Row],[Desgnr/Retail P]]*0.05)</f>
        <v>0</v>
      </c>
      <c r="AR1256" s="126" t="b">
        <f t="shared" si="446"/>
        <v>0</v>
      </c>
      <c r="AS1256" s="126" t="e" cm="1">
        <f t="array" ref="AS1256">SUM(AC1256:AG1256+AQ+AR)</f>
        <v>#NAME?</v>
      </c>
      <c r="AT1256" s="74" t="e">
        <f t="shared" si="447"/>
        <v>#NAME?</v>
      </c>
      <c r="AU1256" s="1357" t="str">
        <f t="shared" si="438"/>
        <v>-</v>
      </c>
    </row>
    <row r="1257" spans="1:47" s="45" customFormat="1" x14ac:dyDescent="0.2">
      <c r="A1257" s="551" t="s">
        <v>58</v>
      </c>
      <c r="B1257" s="1150" t="s">
        <v>310</v>
      </c>
      <c r="C1257" s="653" t="s">
        <v>3064</v>
      </c>
      <c r="D1257" s="77"/>
      <c r="E1257" s="653" t="s">
        <v>3065</v>
      </c>
      <c r="F1257" s="653" t="s">
        <v>308</v>
      </c>
      <c r="G1257" s="551" t="s">
        <v>819</v>
      </c>
      <c r="H1257" s="551" t="s">
        <v>819</v>
      </c>
      <c r="I1257" s="551" t="s">
        <v>52</v>
      </c>
      <c r="J1257" s="856" t="s">
        <v>53</v>
      </c>
      <c r="K1257" s="551" t="s">
        <v>54</v>
      </c>
      <c r="L1257" s="551" t="s">
        <v>55</v>
      </c>
      <c r="M1257" s="896">
        <v>575</v>
      </c>
      <c r="N1257" s="896"/>
      <c r="O1257" s="551" t="s">
        <v>56</v>
      </c>
      <c r="P1257" s="551">
        <v>32</v>
      </c>
      <c r="Q1257" s="551">
        <v>40</v>
      </c>
      <c r="R1257" s="551">
        <v>32</v>
      </c>
      <c r="S1257" s="551">
        <v>40</v>
      </c>
      <c r="T1257" s="551">
        <v>32</v>
      </c>
      <c r="U1257" s="551">
        <v>40</v>
      </c>
      <c r="V1257" s="881">
        <f t="shared" si="441"/>
        <v>40</v>
      </c>
      <c r="W1257" s="881">
        <f t="shared" si="442"/>
        <v>48</v>
      </c>
      <c r="X1257" s="551" t="s">
        <v>3049</v>
      </c>
      <c r="Y1257" s="551">
        <v>40</v>
      </c>
      <c r="Z1257" s="551">
        <v>48</v>
      </c>
      <c r="AA1257" s="860">
        <f t="shared" si="443"/>
        <v>13.333333333333334</v>
      </c>
      <c r="AB1257" s="861">
        <f t="shared" si="444"/>
        <v>280.53333333333336</v>
      </c>
      <c r="AC1257" s="863">
        <f t="shared" si="445"/>
        <v>8.8000000000000007</v>
      </c>
      <c r="AD1257" s="994">
        <f>Table1[[#This Row],[Substrate SF]]*IncaC</f>
        <v>22.442666666666668</v>
      </c>
      <c r="AE1257" s="867">
        <f>IF(Table1[[#This Row],[Work Center]]="SwissQ",Materials!G$37,IF(Table1[[#This Row],[Work Center]]="Inca",Materials!G$29,IF(Table1[[#This Row],[Work Center]]="Canon",Materials!G$49,Materials!G$45)))</f>
        <v>8</v>
      </c>
      <c r="AF1257" s="71">
        <f>'Cali FPS'!C58</f>
        <v>83.3</v>
      </c>
      <c r="AG1257" s="864"/>
      <c r="AH1257" s="863">
        <f t="shared" si="448"/>
        <v>28.75</v>
      </c>
      <c r="AI1257" s="863"/>
      <c r="AJ1257" s="863">
        <f t="shared" si="440"/>
        <v>151.29266666666666</v>
      </c>
      <c r="AK1257" s="1163">
        <f t="shared" si="449"/>
        <v>0.73688231884057975</v>
      </c>
      <c r="AL1257" s="863">
        <f>Table1[[#This Row],[WSP/Dealer]]/Table1[[#This Row],[OD Sq Inch]]</f>
        <v>0.44921875</v>
      </c>
      <c r="AM1257" s="551">
        <f>Table1[[#This Row],[OD Wdth]]*Table1[[#This Row],[OD Hgt]]</f>
        <v>1280</v>
      </c>
      <c r="AN1257" s="551">
        <f>Table1[[#This Row],[Min VO]]+Table1[[#This Row],[Max VO]]</f>
        <v>72</v>
      </c>
      <c r="AO1257" s="653"/>
      <c r="AP1257" s="653"/>
      <c r="AQ1257" s="864">
        <f>(Table1[[#This Row],[Desgnr/Retail P]]*0.05)</f>
        <v>0</v>
      </c>
      <c r="AR1257" s="864" t="b">
        <f t="shared" si="446"/>
        <v>0</v>
      </c>
      <c r="AS1257" s="864" t="e" cm="1">
        <f t="array" ref="AS1257">SUM(AC1257:AG1257+AQ+AR)</f>
        <v>#NAME?</v>
      </c>
      <c r="AT1257" s="863" t="e">
        <f t="shared" si="447"/>
        <v>#NAME?</v>
      </c>
      <c r="AU1257" s="1364" t="str">
        <f t="shared" si="438"/>
        <v>-</v>
      </c>
    </row>
    <row r="1258" spans="1:47" s="63" customFormat="1" x14ac:dyDescent="0.2">
      <c r="A1258" s="68" t="s">
        <v>58</v>
      </c>
      <c r="B1258" s="1072" t="s">
        <v>310</v>
      </c>
      <c r="C1258" s="84" t="s">
        <v>3066</v>
      </c>
      <c r="D1258" s="94"/>
      <c r="E1258" s="84" t="s">
        <v>3065</v>
      </c>
      <c r="F1258" s="84" t="s">
        <v>308</v>
      </c>
      <c r="G1258" s="68" t="s">
        <v>819</v>
      </c>
      <c r="H1258" s="68" t="s">
        <v>3051</v>
      </c>
      <c r="I1258" s="68" t="s">
        <v>52</v>
      </c>
      <c r="J1258" s="140" t="s">
        <v>53</v>
      </c>
      <c r="K1258" s="68" t="s">
        <v>69</v>
      </c>
      <c r="L1258" s="68" t="s">
        <v>70</v>
      </c>
      <c r="M1258" s="93">
        <v>675</v>
      </c>
      <c r="N1258" s="93"/>
      <c r="O1258" s="68" t="s">
        <v>56</v>
      </c>
      <c r="P1258" s="68">
        <v>32</v>
      </c>
      <c r="Q1258" s="68">
        <v>40</v>
      </c>
      <c r="R1258" s="68">
        <v>32</v>
      </c>
      <c r="S1258" s="68">
        <v>40</v>
      </c>
      <c r="T1258" s="68">
        <v>33</v>
      </c>
      <c r="U1258" s="68">
        <v>41</v>
      </c>
      <c r="V1258" s="917">
        <f t="shared" si="441"/>
        <v>40</v>
      </c>
      <c r="W1258" s="917">
        <f t="shared" si="442"/>
        <v>48</v>
      </c>
      <c r="X1258" s="68" t="s">
        <v>3049</v>
      </c>
      <c r="Y1258" s="68">
        <v>40</v>
      </c>
      <c r="Z1258" s="68">
        <v>48</v>
      </c>
      <c r="AA1258" s="699">
        <f t="shared" si="443"/>
        <v>13.333333333333334</v>
      </c>
      <c r="AB1258" s="297">
        <f t="shared" si="444"/>
        <v>280.53333333333336</v>
      </c>
      <c r="AC1258" s="74">
        <f t="shared" si="445"/>
        <v>8.8000000000000007</v>
      </c>
      <c r="AD1258" s="319">
        <f>Table1[[#This Row],[Substrate SF]]*IncaC</f>
        <v>22.442666666666668</v>
      </c>
      <c r="AE1258" s="278">
        <f>IF(Table1[[#This Row],[Work Center]]="SwissQ",Materials!G$37,IF(Table1[[#This Row],[Work Center]]="Inca",Materials!G$29,IF(Table1[[#This Row],[Work Center]]="Canon",Materials!G$49,Materials!G$45)))</f>
        <v>8</v>
      </c>
      <c r="AF1258" s="73">
        <f>'Cali Frames'!D293</f>
        <v>126.7</v>
      </c>
      <c r="AG1258" s="126"/>
      <c r="AH1258" s="74">
        <f t="shared" si="448"/>
        <v>33.75</v>
      </c>
      <c r="AI1258" s="74"/>
      <c r="AJ1258" s="74">
        <f t="shared" si="440"/>
        <v>199.69266666666667</v>
      </c>
      <c r="AK1258" s="1001">
        <f t="shared" si="449"/>
        <v>0.70415901234567901</v>
      </c>
      <c r="AL1258" s="74">
        <f>Table1[[#This Row],[WSP/Dealer]]/Table1[[#This Row],[OD Sq Inch]]</f>
        <v>0.49889135254988914</v>
      </c>
      <c r="AM1258" s="68">
        <f>Table1[[#This Row],[OD Wdth]]*Table1[[#This Row],[OD Hgt]]</f>
        <v>1353</v>
      </c>
      <c r="AN1258" s="68">
        <f>Table1[[#This Row],[Min VO]]+Table1[[#This Row],[Max VO]]</f>
        <v>72</v>
      </c>
      <c r="AO1258" s="84"/>
      <c r="AP1258" s="84"/>
      <c r="AQ1258" s="126">
        <f>(Table1[[#This Row],[Desgnr/Retail P]]*0.05)</f>
        <v>0</v>
      </c>
      <c r="AR1258" s="126" t="b">
        <f t="shared" si="446"/>
        <v>0</v>
      </c>
      <c r="AS1258" s="126" t="e" cm="1">
        <f t="array" ref="AS1258">SUM(AC1258:AG1258+AQ+AR)</f>
        <v>#NAME?</v>
      </c>
      <c r="AT1258" s="74" t="e">
        <f t="shared" si="447"/>
        <v>#NAME?</v>
      </c>
      <c r="AU1258" s="1357" t="str">
        <f t="shared" si="438"/>
        <v>-</v>
      </c>
    </row>
    <row r="1259" spans="1:47" s="103" customFormat="1" hidden="1" x14ac:dyDescent="0.2">
      <c r="A1259" s="68"/>
      <c r="B1259" s="1152"/>
      <c r="C1259" s="84"/>
      <c r="D1259" s="94"/>
      <c r="E1259" s="84" t="s">
        <v>3067</v>
      </c>
      <c r="F1259" s="84"/>
      <c r="G1259" s="68" t="s">
        <v>519</v>
      </c>
      <c r="H1259" s="68" t="s">
        <v>519</v>
      </c>
      <c r="I1259" s="68" t="s">
        <v>52</v>
      </c>
      <c r="J1259" s="140" t="s">
        <v>280</v>
      </c>
      <c r="K1259" s="68" t="s">
        <v>281</v>
      </c>
      <c r="L1259" s="68" t="s">
        <v>282</v>
      </c>
      <c r="M1259" s="141">
        <v>230</v>
      </c>
      <c r="N1259" s="71"/>
      <c r="O1259" s="68" t="s">
        <v>56</v>
      </c>
      <c r="P1259" s="274">
        <v>16</v>
      </c>
      <c r="Q1259" s="274">
        <v>20</v>
      </c>
      <c r="R1259" s="274">
        <v>16</v>
      </c>
      <c r="S1259" s="783">
        <v>20</v>
      </c>
      <c r="T1259" s="68">
        <v>16</v>
      </c>
      <c r="U1259" s="68">
        <v>20</v>
      </c>
      <c r="V1259" s="686">
        <f t="shared" si="441"/>
        <v>16</v>
      </c>
      <c r="W1259" s="686">
        <f t="shared" si="442"/>
        <v>20</v>
      </c>
      <c r="X1259" s="189" t="s">
        <v>283</v>
      </c>
      <c r="Y1259" s="68">
        <v>16</v>
      </c>
      <c r="Z1259" s="68">
        <v>20</v>
      </c>
      <c r="AA1259" s="727">
        <f t="shared" si="443"/>
        <v>2.2222222222222223</v>
      </c>
      <c r="AB1259" s="297">
        <f t="shared" si="444"/>
        <v>46.755555555555553</v>
      </c>
      <c r="AC1259" s="278">
        <f>MDFSHEET/10</f>
        <v>2.4350000000000001</v>
      </c>
      <c r="AD1259" s="278">
        <f>Table1[[#This Row],[Substrate SF]]*IncaC</f>
        <v>3.7404444444444445</v>
      </c>
      <c r="AE1259" s="104">
        <f>IF(Table1[[#This Row],[Work Center]]="SwissQ",Materials!G$37,IF(Table1[[#This Row],[Work Center]]="Inca",Materials!G$29,IF(Table1[[#This Row],[Work Center]]="Canon",Materials!G$49,Materials!G$45)))</f>
        <v>8</v>
      </c>
      <c r="AF1259" s="278">
        <f>'Cali Frames'!D$535</f>
        <v>87.64</v>
      </c>
      <c r="AG1259" s="115"/>
      <c r="AH1259" s="498">
        <f t="shared" si="448"/>
        <v>11.5</v>
      </c>
      <c r="AI1259" s="498"/>
      <c r="AJ1259" s="278">
        <f t="shared" si="440"/>
        <v>113.31544444444444</v>
      </c>
      <c r="AK1259" s="650">
        <f t="shared" si="449"/>
        <v>0.50732415458937197</v>
      </c>
      <c r="AL1259" s="225">
        <f>Table1[[#This Row],[WSP/Dealer]]/Table1[[#This Row],[OD Sq Inch]]</f>
        <v>0.71875</v>
      </c>
      <c r="AM1259" s="274">
        <f>Table1[[#This Row],[OD Wdth]]*Table1[[#This Row],[OD Hgt]]</f>
        <v>320</v>
      </c>
      <c r="AN1259" s="274" t="str">
        <f>Table1[[#This Row],[Color]]</f>
        <v>NGM</v>
      </c>
      <c r="AO1259" s="84" t="str">
        <f>Table1[[#This Row],[Print Type]]</f>
        <v>Synograph</v>
      </c>
      <c r="AP1259" s="121"/>
      <c r="AQ1259" s="121"/>
      <c r="AR1259" s="121"/>
      <c r="AS1259" s="121"/>
      <c r="AT1259" s="104"/>
      <c r="AU1259" s="1357" t="str">
        <f t="shared" si="438"/>
        <v>-</v>
      </c>
    </row>
    <row r="1260" spans="1:47" s="63" customFormat="1" hidden="1" x14ac:dyDescent="0.2">
      <c r="A1260" s="180" t="s">
        <v>95</v>
      </c>
      <c r="B1260" s="1061" t="s">
        <v>96</v>
      </c>
      <c r="C1260" s="79" t="s">
        <v>3068</v>
      </c>
      <c r="D1260" s="94"/>
      <c r="E1260" s="83" t="s">
        <v>3069</v>
      </c>
      <c r="F1260" s="83" t="s">
        <v>99</v>
      </c>
      <c r="G1260" s="60" t="s">
        <v>100</v>
      </c>
      <c r="H1260" s="60" t="s">
        <v>890</v>
      </c>
      <c r="I1260" s="60" t="s">
        <v>52</v>
      </c>
      <c r="J1260" s="59" t="s">
        <v>53</v>
      </c>
      <c r="K1260" s="60" t="s">
        <v>69</v>
      </c>
      <c r="L1260" s="60" t="s">
        <v>70</v>
      </c>
      <c r="M1260" s="179">
        <v>520</v>
      </c>
      <c r="N1260" s="72"/>
      <c r="O1260" s="60" t="s">
        <v>64</v>
      </c>
      <c r="P1260" s="60">
        <v>24</v>
      </c>
      <c r="Q1260" s="60">
        <v>36</v>
      </c>
      <c r="R1260" s="60">
        <v>24</v>
      </c>
      <c r="S1260" s="273">
        <v>36</v>
      </c>
      <c r="T1260" s="60">
        <v>25</v>
      </c>
      <c r="U1260" s="60">
        <v>37</v>
      </c>
      <c r="V1260" s="946">
        <f t="shared" si="441"/>
        <v>32</v>
      </c>
      <c r="W1260" s="946">
        <f t="shared" si="442"/>
        <v>44</v>
      </c>
      <c r="X1260" s="138">
        <v>69</v>
      </c>
      <c r="Y1260" s="60">
        <v>32</v>
      </c>
      <c r="Z1260" s="60">
        <v>44</v>
      </c>
      <c r="AA1260" s="717">
        <f t="shared" si="443"/>
        <v>9.7777777777777786</v>
      </c>
      <c r="AB1260" s="125">
        <f>AA1260*Swiss1</f>
        <v>276.71111111111117</v>
      </c>
      <c r="AC1260" s="69">
        <f>AA1260*Canvas</f>
        <v>6.453333333333334</v>
      </c>
      <c r="AD1260" s="69">
        <f>Table1[[#This Row],[Substrate SF]]*Materials!C$37</f>
        <v>27.37777777777778</v>
      </c>
      <c r="AE1260" s="69">
        <f>IF(Table1[[#This Row],[Work Center]]="SwissQ",Materials!G$37,IF(Table1[[#This Row],[Work Center]]="Inca",Materials!G$29,IF(Table1[[#This Row],[Work Center]]="Canon",Materials!G$49,Materials!G$45)))</f>
        <v>20</v>
      </c>
      <c r="AF1260" s="72">
        <f>'Cali Frames'!D282</f>
        <v>112.66500000000001</v>
      </c>
      <c r="AG1260" s="83"/>
      <c r="AH1260" s="69">
        <f t="shared" si="448"/>
        <v>26</v>
      </c>
      <c r="AI1260" s="69"/>
      <c r="AJ1260" s="69">
        <f t="shared" si="440"/>
        <v>192.49611111111113</v>
      </c>
      <c r="AK1260" s="650">
        <f t="shared" si="449"/>
        <v>0.62981517094017092</v>
      </c>
      <c r="AL1260" s="225">
        <f>Table1[[#This Row],[WSP/Dealer]]/Table1[[#This Row],[OD Sq Inch]]</f>
        <v>0.56216216216216219</v>
      </c>
      <c r="AM1260" s="216">
        <f>Table1[[#This Row],[OD Wdth]]*Table1[[#This Row],[OD Hgt]]</f>
        <v>925</v>
      </c>
      <c r="AN1260" s="216">
        <f>Table1[[#This Row],[Min VO]]+Table1[[#This Row],[Max VO]]</f>
        <v>60</v>
      </c>
      <c r="AO1260" s="83"/>
      <c r="AP1260" s="540"/>
      <c r="AQ1260" s="540"/>
      <c r="AR1260" s="540"/>
      <c r="AS1260" s="540"/>
      <c r="AT1260" s="69"/>
      <c r="AU1260" s="1361" t="str">
        <f t="shared" si="438"/>
        <v>-</v>
      </c>
    </row>
    <row r="1261" spans="1:47" s="63" customFormat="1" x14ac:dyDescent="0.2">
      <c r="A1261" s="68" t="s">
        <v>58</v>
      </c>
      <c r="B1261" s="1152"/>
      <c r="C1261" s="94"/>
      <c r="D1261" s="94"/>
      <c r="E1261" s="84" t="s">
        <v>3070</v>
      </c>
      <c r="F1261" s="84" t="s">
        <v>1738</v>
      </c>
      <c r="G1261" s="68"/>
      <c r="H1261" s="68"/>
      <c r="I1261" s="68"/>
      <c r="J1261" s="140"/>
      <c r="K1261" s="68"/>
      <c r="L1261" s="68"/>
      <c r="M1261" s="93"/>
      <c r="N1261" s="93"/>
      <c r="O1261" s="68"/>
      <c r="P1261" s="68"/>
      <c r="Q1261" s="68"/>
      <c r="R1261" s="68"/>
      <c r="S1261" s="623"/>
      <c r="T1261" s="68"/>
      <c r="U1261" s="68"/>
      <c r="V1261" s="917"/>
      <c r="W1261" s="917"/>
      <c r="X1261" s="68"/>
      <c r="Y1261" s="68"/>
      <c r="Z1261" s="68"/>
      <c r="AA1261" s="699"/>
      <c r="AB1261" s="297"/>
      <c r="AC1261" s="74"/>
      <c r="AD1261" s="126"/>
      <c r="AE1261" s="126"/>
      <c r="AF1261" s="73"/>
      <c r="AG1261" s="84"/>
      <c r="AH1261" s="126"/>
      <c r="AI1261" s="126"/>
      <c r="AJ1261" s="126"/>
      <c r="AK1261" s="1001"/>
      <c r="AL1261" s="126"/>
      <c r="AM1261" s="84"/>
      <c r="AN1261" s="84"/>
      <c r="AO1261" s="84"/>
      <c r="AP1261" s="126"/>
      <c r="AQ1261" s="126"/>
      <c r="AR1261" s="126"/>
      <c r="AS1261" s="126"/>
      <c r="AT1261" s="74"/>
      <c r="AU1261" s="1357" t="str">
        <f t="shared" si="438"/>
        <v>-</v>
      </c>
    </row>
    <row r="1262" spans="1:47" s="63" customFormat="1" x14ac:dyDescent="0.2">
      <c r="A1262" s="145" t="s">
        <v>58</v>
      </c>
      <c r="B1262" s="279" t="s">
        <v>533</v>
      </c>
      <c r="C1262" s="146" t="s">
        <v>3071</v>
      </c>
      <c r="D1262" s="94" t="s">
        <v>3072</v>
      </c>
      <c r="E1262" s="146" t="s">
        <v>3073</v>
      </c>
      <c r="F1262" s="147" t="s">
        <v>1738</v>
      </c>
      <c r="G1262" s="156" t="s">
        <v>1073</v>
      </c>
      <c r="H1262" s="156" t="s">
        <v>1073</v>
      </c>
      <c r="I1262" s="156" t="s">
        <v>52</v>
      </c>
      <c r="J1262" s="156" t="s">
        <v>53</v>
      </c>
      <c r="K1262" s="156" t="s">
        <v>54</v>
      </c>
      <c r="L1262" s="156" t="s">
        <v>55</v>
      </c>
      <c r="M1262" s="151">
        <v>430</v>
      </c>
      <c r="N1262" s="639">
        <v>460</v>
      </c>
      <c r="O1262" s="145" t="s">
        <v>56</v>
      </c>
      <c r="P1262" s="145">
        <v>24</v>
      </c>
      <c r="Q1262" s="145">
        <v>36</v>
      </c>
      <c r="R1262" s="145">
        <v>24</v>
      </c>
      <c r="S1262" s="145">
        <v>36</v>
      </c>
      <c r="T1262" s="698">
        <f>Table1[[#This Row],[VO Wdth]]</f>
        <v>24</v>
      </c>
      <c r="U1262" s="698">
        <f>Table1[[#This Row],[VO Hgt]]</f>
        <v>36</v>
      </c>
      <c r="V1262" s="913">
        <f t="shared" ref="V1262:V1275" si="450">IF(J1262="Canvas",P1262+Border,P1262)</f>
        <v>32</v>
      </c>
      <c r="W1262" s="913">
        <f t="shared" ref="W1262:W1275" si="451">IF(J1262="Canvas",Q1262+Border,Q1262)</f>
        <v>44</v>
      </c>
      <c r="X1262" s="157" t="s">
        <v>57</v>
      </c>
      <c r="Y1262" s="145">
        <v>32</v>
      </c>
      <c r="Z1262" s="145">
        <v>88</v>
      </c>
      <c r="AA1262" s="722">
        <f>V1262*W1262/144</f>
        <v>9.7777777777777786</v>
      </c>
      <c r="AB1262" s="389">
        <f>AA1262*IncaG</f>
        <v>205.72444444444446</v>
      </c>
      <c r="AC1262" s="143">
        <f>Table1[[#This Row],[Substrate SF]]*Paper</f>
        <v>13.229333333333335</v>
      </c>
      <c r="AD1262" s="143">
        <f>AA1262*IncaC</f>
        <v>16.457955555555557</v>
      </c>
      <c r="AE1262" s="104">
        <f>IF(Table1[[#This Row],[Work Center]]="SwissQ",Materials!G$37,IF(Table1[[#This Row],[Work Center]]="Inca",Materials!G$29,IF(Table1[[#This Row],[Work Center]]="Canon",Materials!G$49,Materials!G$45)))</f>
        <v>8</v>
      </c>
      <c r="AF1262" s="143">
        <f>'Cali FPS'!C$37</f>
        <v>75.162500000000009</v>
      </c>
      <c r="AG1262" s="115"/>
      <c r="AH1262" s="498">
        <f t="shared" ref="AH1262:AH1277" si="452">(M1262*0.05)</f>
        <v>21.5</v>
      </c>
      <c r="AI1262" s="498"/>
      <c r="AJ1262" s="143">
        <f>SUM(AC1262:AH1262)</f>
        <v>134.3497888888889</v>
      </c>
      <c r="AK1262" s="650">
        <f t="shared" ref="AK1262:AK1293" si="453">(M1262-AJ1262)/M1262</f>
        <v>0.68755863049095611</v>
      </c>
      <c r="AL1262" s="225">
        <f>Table1[[#This Row],[WSP/Dealer]]/Table1[[#This Row],[OD Sq Inch]]</f>
        <v>0.49768518518518517</v>
      </c>
      <c r="AM1262" s="216">
        <f>Table1[[#This Row],[OD Wdth]]*Table1[[#This Row],[OD Hgt]]</f>
        <v>864</v>
      </c>
      <c r="AN1262" s="216">
        <f>Table1[[#This Row],[Min VO]]+Table1[[#This Row],[Max VO]]</f>
        <v>60</v>
      </c>
      <c r="AO1262" s="145"/>
      <c r="AP1262" s="145"/>
      <c r="AQ1262" s="143"/>
      <c r="AR1262" s="143"/>
      <c r="AS1262" s="143"/>
      <c r="AT1262" s="143"/>
      <c r="AU1262" s="1371" t="str">
        <f t="shared" si="438"/>
        <v>-</v>
      </c>
    </row>
    <row r="1263" spans="1:47" s="63" customFormat="1" ht="16" x14ac:dyDescent="0.2">
      <c r="A1263" s="60" t="s">
        <v>58</v>
      </c>
      <c r="B1263" s="1061" t="s">
        <v>587</v>
      </c>
      <c r="C1263" s="293" t="s">
        <v>3074</v>
      </c>
      <c r="D1263" s="94"/>
      <c r="E1263" s="294" t="s">
        <v>3075</v>
      </c>
      <c r="F1263" s="294" t="s">
        <v>1364</v>
      </c>
      <c r="G1263" s="295" t="s">
        <v>362</v>
      </c>
      <c r="H1263" s="295" t="s">
        <v>1888</v>
      </c>
      <c r="I1263" s="181" t="s">
        <v>52</v>
      </c>
      <c r="J1263" s="181" t="s">
        <v>53</v>
      </c>
      <c r="K1263" s="295" t="s">
        <v>69</v>
      </c>
      <c r="L1263" s="181" t="s">
        <v>73</v>
      </c>
      <c r="M1263" s="292">
        <v>800</v>
      </c>
      <c r="N1263" s="639">
        <v>750</v>
      </c>
      <c r="O1263" s="180" t="s">
        <v>64</v>
      </c>
      <c r="P1263" s="180">
        <v>32</v>
      </c>
      <c r="Q1263" s="180">
        <v>42</v>
      </c>
      <c r="R1263" s="60">
        <v>32</v>
      </c>
      <c r="S1263" s="60">
        <v>42</v>
      </c>
      <c r="T1263" s="698">
        <f>Table1[[#This Row],[VO Wdth]]+1</f>
        <v>33</v>
      </c>
      <c r="U1263" s="698">
        <f>Table1[[#This Row],[VO Hgt]]+1</f>
        <v>43</v>
      </c>
      <c r="V1263" s="149">
        <f t="shared" si="450"/>
        <v>40</v>
      </c>
      <c r="W1263" s="149">
        <f t="shared" si="451"/>
        <v>50</v>
      </c>
      <c r="X1263" s="289" t="s">
        <v>1889</v>
      </c>
      <c r="Y1263" s="180"/>
      <c r="Z1263" s="180"/>
      <c r="AA1263" s="717">
        <f>V1263*W1263/144</f>
        <v>13.888888888888889</v>
      </c>
      <c r="AB1263" s="125">
        <f>AA1263*Swiss1</f>
        <v>393.0555555555556</v>
      </c>
      <c r="AC1263" s="69">
        <f>AA1263*Canvas</f>
        <v>9.1666666666666679</v>
      </c>
      <c r="AD1263" s="48">
        <f>Table1[[#This Row],[Substrate SF]]*Materials!C$37</f>
        <v>38.888888888888886</v>
      </c>
      <c r="AE1263" s="104">
        <f>IF(Table1[[#This Row],[Work Center]]="SwissQ",Materials!G$37,IF(Table1[[#This Row],[Work Center]]="Inca",Materials!G$29,IF(Table1[[#This Row],[Work Center]]="Canon",Materials!G$49,Materials!G$45)))</f>
        <v>20</v>
      </c>
      <c r="AF1263" s="69">
        <f>'Cali Frames'!D431</f>
        <v>163.08000000000001</v>
      </c>
      <c r="AG1263" s="83"/>
      <c r="AH1263" s="112">
        <f t="shared" si="452"/>
        <v>40</v>
      </c>
      <c r="AI1263" s="112"/>
      <c r="AJ1263" s="69">
        <f>SUM(AC1263:AH1263)</f>
        <v>271.13555555555558</v>
      </c>
      <c r="AK1263" s="62">
        <f t="shared" si="453"/>
        <v>0.66108055555555556</v>
      </c>
      <c r="AL1263" s="225">
        <f>Table1[[#This Row],[WSP/Dealer]]/Table1[[#This Row],[OD Sq Inch]]</f>
        <v>0.56377730796335446</v>
      </c>
      <c r="AM1263" s="46">
        <f>Table1[[#This Row],[OD Wdth]]*Table1[[#This Row],[OD Hgt]]</f>
        <v>1419</v>
      </c>
      <c r="AN1263" s="216">
        <f>Table1[[#This Row],[Min VO]]+Table1[[#This Row],[Max VO]]</f>
        <v>74</v>
      </c>
      <c r="AO1263" s="284"/>
      <c r="AP1263" s="284"/>
      <c r="AQ1263" s="296"/>
      <c r="AR1263" s="296"/>
      <c r="AS1263" s="296"/>
      <c r="AT1263" s="176"/>
      <c r="AU1263" s="1358" t="str">
        <f t="shared" si="438"/>
        <v>-</v>
      </c>
    </row>
    <row r="1264" spans="1:47" s="103" customFormat="1" ht="16" x14ac:dyDescent="0.2">
      <c r="A1264" s="68" t="s">
        <v>58</v>
      </c>
      <c r="B1264" s="1061" t="s">
        <v>587</v>
      </c>
      <c r="C1264" s="316" t="s">
        <v>3074</v>
      </c>
      <c r="D1264" s="94"/>
      <c r="E1264" s="313" t="s">
        <v>3076</v>
      </c>
      <c r="F1264" s="313" t="s">
        <v>1364</v>
      </c>
      <c r="G1264" s="314" t="s">
        <v>362</v>
      </c>
      <c r="H1264" s="314" t="s">
        <v>1888</v>
      </c>
      <c r="I1264" s="315" t="s">
        <v>52</v>
      </c>
      <c r="J1264" s="315" t="s">
        <v>53</v>
      </c>
      <c r="K1264" s="314" t="s">
        <v>69</v>
      </c>
      <c r="L1264" s="315" t="s">
        <v>73</v>
      </c>
      <c r="M1264" s="178">
        <v>950</v>
      </c>
      <c r="N1264" s="639">
        <v>750</v>
      </c>
      <c r="O1264" s="274" t="s">
        <v>64</v>
      </c>
      <c r="P1264" s="274">
        <v>32</v>
      </c>
      <c r="Q1264" s="274">
        <v>42</v>
      </c>
      <c r="R1264" s="68">
        <v>32</v>
      </c>
      <c r="S1264" s="68">
        <v>42</v>
      </c>
      <c r="T1264" s="916">
        <f>Table1[[#This Row],[VO Wdth]]+1</f>
        <v>33</v>
      </c>
      <c r="U1264" s="916">
        <f>Table1[[#This Row],[VO Hgt]]+1</f>
        <v>43</v>
      </c>
      <c r="V1264" s="1198">
        <f t="shared" si="450"/>
        <v>40</v>
      </c>
      <c r="W1264" s="1198">
        <f t="shared" si="451"/>
        <v>50</v>
      </c>
      <c r="X1264" s="343" t="s">
        <v>1889</v>
      </c>
      <c r="Y1264" s="274"/>
      <c r="Z1264" s="274"/>
      <c r="AA1264" s="699">
        <f>V1264*W1264/144</f>
        <v>13.888888888888889</v>
      </c>
      <c r="AB1264" s="297">
        <f>AA1264*Swiss1</f>
        <v>393.0555555555556</v>
      </c>
      <c r="AC1264" s="74">
        <f>AA1264*Canvas</f>
        <v>9.1666666666666679</v>
      </c>
      <c r="AD1264" s="67">
        <f>Table1[[#This Row],[Substrate SF]]*Materials!C$37</f>
        <v>38.888888888888886</v>
      </c>
      <c r="AE1264" s="104">
        <f>IF(Table1[[#This Row],[Work Center]]="SwissQ",Materials!G$37,IF(Table1[[#This Row],[Work Center]]="Inca",Materials!G$29,IF(Table1[[#This Row],[Work Center]]="Canon",Materials!G$49,Materials!G$45)))</f>
        <v>20</v>
      </c>
      <c r="AF1264" s="74">
        <f>'Cali Frames'!D564</f>
        <v>175.4375</v>
      </c>
      <c r="AG1264" s="84"/>
      <c r="AH1264" s="112">
        <f t="shared" si="452"/>
        <v>47.5</v>
      </c>
      <c r="AI1264" s="112"/>
      <c r="AJ1264" s="74">
        <f>SUM(AC1264:AH1264)</f>
        <v>290.99305555555554</v>
      </c>
      <c r="AK1264" s="62">
        <f t="shared" si="453"/>
        <v>0.69369152046783622</v>
      </c>
      <c r="AL1264" s="225">
        <f>Table1[[#This Row],[WSP/Dealer]]/Table1[[#This Row],[OD Sq Inch]]</f>
        <v>0.6694855532064834</v>
      </c>
      <c r="AM1264" s="63">
        <f>Table1[[#This Row],[OD Wdth]]*Table1[[#This Row],[OD Hgt]]</f>
        <v>1419</v>
      </c>
      <c r="AN1264" s="238">
        <f>Table1[[#This Row],[Min VO]]+Table1[[#This Row],[Max VO]]</f>
        <v>74</v>
      </c>
      <c r="AO1264" s="275"/>
      <c r="AP1264" s="275"/>
      <c r="AQ1264" s="320"/>
      <c r="AR1264" s="320"/>
      <c r="AS1264" s="320"/>
      <c r="AT1264" s="278"/>
      <c r="AU1264" s="1368" t="str">
        <f t="shared" si="438"/>
        <v>-</v>
      </c>
    </row>
    <row r="1265" spans="1:47" s="103" customFormat="1" ht="16" x14ac:dyDescent="0.2">
      <c r="A1265" s="60" t="s">
        <v>58</v>
      </c>
      <c r="B1265" s="1061" t="s">
        <v>587</v>
      </c>
      <c r="C1265" s="293" t="s">
        <v>3077</v>
      </c>
      <c r="D1265" s="94"/>
      <c r="E1265" s="294" t="s">
        <v>3078</v>
      </c>
      <c r="F1265" s="294" t="s">
        <v>1364</v>
      </c>
      <c r="G1265" s="295" t="s">
        <v>362</v>
      </c>
      <c r="H1265" s="295" t="s">
        <v>1888</v>
      </c>
      <c r="I1265" s="181" t="s">
        <v>52</v>
      </c>
      <c r="J1265" s="181" t="s">
        <v>53</v>
      </c>
      <c r="K1265" s="295" t="s">
        <v>69</v>
      </c>
      <c r="L1265" s="181" t="s">
        <v>73</v>
      </c>
      <c r="M1265" s="292">
        <v>800</v>
      </c>
      <c r="N1265" s="639">
        <v>750</v>
      </c>
      <c r="O1265" s="180" t="s">
        <v>64</v>
      </c>
      <c r="P1265" s="180">
        <v>32</v>
      </c>
      <c r="Q1265" s="180">
        <v>42</v>
      </c>
      <c r="R1265" s="60">
        <v>32</v>
      </c>
      <c r="S1265" s="60">
        <v>42</v>
      </c>
      <c r="T1265" s="698">
        <f>Table1[[#This Row],[VO Wdth]]+1</f>
        <v>33</v>
      </c>
      <c r="U1265" s="698">
        <f>Table1[[#This Row],[VO Hgt]]+1</f>
        <v>43</v>
      </c>
      <c r="V1265" s="913">
        <f t="shared" si="450"/>
        <v>40</v>
      </c>
      <c r="W1265" s="913">
        <f t="shared" si="451"/>
        <v>50</v>
      </c>
      <c r="X1265" s="289" t="s">
        <v>1889</v>
      </c>
      <c r="Y1265" s="180"/>
      <c r="Z1265" s="180"/>
      <c r="AA1265" s="717">
        <f>V1265*W1265/144</f>
        <v>13.888888888888889</v>
      </c>
      <c r="AB1265" s="125">
        <f>AA1265*Swiss1</f>
        <v>393.0555555555556</v>
      </c>
      <c r="AC1265" s="69">
        <f>AA1265*Canvas</f>
        <v>9.1666666666666679</v>
      </c>
      <c r="AD1265" s="48">
        <f>Table1[[#This Row],[Substrate SF]]*Materials!C$37</f>
        <v>38.888888888888886</v>
      </c>
      <c r="AE1265" s="104">
        <f>IF(Table1[[#This Row],[Work Center]]="SwissQ",Materials!G$37,IF(Table1[[#This Row],[Work Center]]="Inca",Materials!G$29,IF(Table1[[#This Row],[Work Center]]="Canon",Materials!G$49,Materials!G$45)))</f>
        <v>20</v>
      </c>
      <c r="AF1265" s="69">
        <f>'Cali Frames'!D431</f>
        <v>163.08000000000001</v>
      </c>
      <c r="AG1265" s="83"/>
      <c r="AH1265" s="498">
        <f t="shared" si="452"/>
        <v>40</v>
      </c>
      <c r="AI1265" s="498"/>
      <c r="AJ1265" s="69">
        <f>SUM(AC1265:AH1265)</f>
        <v>271.13555555555558</v>
      </c>
      <c r="AK1265" s="650">
        <f t="shared" si="453"/>
        <v>0.66108055555555556</v>
      </c>
      <c r="AL1265" s="225">
        <f>Table1[[#This Row],[WSP/Dealer]]/Table1[[#This Row],[OD Sq Inch]]</f>
        <v>0.56377730796335446</v>
      </c>
      <c r="AM1265" s="218">
        <f>Table1[[#This Row],[OD Wdth]]*Table1[[#This Row],[OD Hgt]]</f>
        <v>1419</v>
      </c>
      <c r="AN1265" s="216">
        <f>Table1[[#This Row],[Min VO]]+Table1[[#This Row],[Max VO]]</f>
        <v>74</v>
      </c>
      <c r="AO1265" s="284"/>
      <c r="AP1265" s="284"/>
      <c r="AQ1265" s="296"/>
      <c r="AR1265" s="296"/>
      <c r="AS1265" s="296"/>
      <c r="AT1265" s="176"/>
      <c r="AU1265" s="1358" t="str">
        <f t="shared" si="438"/>
        <v>-</v>
      </c>
    </row>
    <row r="1266" spans="1:47" s="103" customFormat="1" ht="16" x14ac:dyDescent="0.2">
      <c r="A1266" s="68" t="s">
        <v>58</v>
      </c>
      <c r="B1266" s="1061" t="s">
        <v>587</v>
      </c>
      <c r="C1266" s="316" t="s">
        <v>3077</v>
      </c>
      <c r="D1266" s="94"/>
      <c r="E1266" s="313" t="s">
        <v>3079</v>
      </c>
      <c r="F1266" s="313" t="s">
        <v>1364</v>
      </c>
      <c r="G1266" s="314" t="s">
        <v>362</v>
      </c>
      <c r="H1266" s="314" t="s">
        <v>1888</v>
      </c>
      <c r="I1266" s="315" t="s">
        <v>52</v>
      </c>
      <c r="J1266" s="315" t="s">
        <v>53</v>
      </c>
      <c r="K1266" s="314" t="s">
        <v>69</v>
      </c>
      <c r="L1266" s="315" t="s">
        <v>73</v>
      </c>
      <c r="M1266" s="178">
        <v>800</v>
      </c>
      <c r="N1266" s="639">
        <v>750</v>
      </c>
      <c r="O1266" s="274" t="s">
        <v>64</v>
      </c>
      <c r="P1266" s="274">
        <v>32</v>
      </c>
      <c r="Q1266" s="274">
        <v>42</v>
      </c>
      <c r="R1266" s="68">
        <v>32</v>
      </c>
      <c r="S1266" s="68">
        <v>42</v>
      </c>
      <c r="T1266" s="916">
        <f>Table1[[#This Row],[VO Wdth]]+1</f>
        <v>33</v>
      </c>
      <c r="U1266" s="916">
        <f>Table1[[#This Row],[VO Hgt]]+1</f>
        <v>43</v>
      </c>
      <c r="V1266" s="1198">
        <f t="shared" si="450"/>
        <v>40</v>
      </c>
      <c r="W1266" s="1198">
        <f t="shared" si="451"/>
        <v>50</v>
      </c>
      <c r="X1266" s="343" t="s">
        <v>1889</v>
      </c>
      <c r="Y1266" s="274"/>
      <c r="Z1266" s="274"/>
      <c r="AA1266" s="699">
        <f>V1266*W1266/144</f>
        <v>13.888888888888889</v>
      </c>
      <c r="AB1266" s="297">
        <f>AA1266*Swiss1</f>
        <v>393.0555555555556</v>
      </c>
      <c r="AC1266" s="74">
        <f>AA1266*Canvas</f>
        <v>9.1666666666666679</v>
      </c>
      <c r="AD1266" s="74">
        <f>Table1[[#This Row],[Substrate SF]]*Materials!C$37</f>
        <v>38.888888888888886</v>
      </c>
      <c r="AE1266" s="104">
        <f>IF(Table1[[#This Row],[Work Center]]="SwissQ",Materials!G$37,IF(Table1[[#This Row],[Work Center]]="Inca",Materials!G$29,IF(Table1[[#This Row],[Work Center]]="Canon",Materials!G$49,Materials!G$45)))</f>
        <v>20</v>
      </c>
      <c r="AF1266" s="74">
        <f>'Cali Frames'!D564</f>
        <v>175.4375</v>
      </c>
      <c r="AG1266" s="84"/>
      <c r="AH1266" s="112">
        <f t="shared" si="452"/>
        <v>40</v>
      </c>
      <c r="AI1266" s="175"/>
      <c r="AJ1266" s="74">
        <f>SUM(AC1266:AH1266)</f>
        <v>283.49305555555554</v>
      </c>
      <c r="AK1266" s="62">
        <f t="shared" si="453"/>
        <v>0.64563368055555559</v>
      </c>
      <c r="AL1266" s="225">
        <f>Table1[[#This Row],[WSP/Dealer]]/Table1[[#This Row],[OD Sq Inch]]</f>
        <v>0.56377730796335446</v>
      </c>
      <c r="AM1266" s="238">
        <f>Table1[[#This Row],[OD Wdth]]*Table1[[#This Row],[OD Hgt]]</f>
        <v>1419</v>
      </c>
      <c r="AN1266" s="238">
        <f>Table1[[#This Row],[Min VO]]+Table1[[#This Row],[Max VO]]</f>
        <v>74</v>
      </c>
      <c r="AO1266" s="275"/>
      <c r="AP1266" s="275"/>
      <c r="AQ1266" s="320"/>
      <c r="AR1266" s="320"/>
      <c r="AS1266" s="320"/>
      <c r="AT1266" s="278"/>
      <c r="AU1266" s="1368" t="str">
        <f t="shared" si="438"/>
        <v>-</v>
      </c>
    </row>
    <row r="1267" spans="1:47" s="103" customFormat="1" hidden="1" x14ac:dyDescent="0.2">
      <c r="A1267" s="101" t="s">
        <v>110</v>
      </c>
      <c r="B1267" s="1064" t="s">
        <v>250</v>
      </c>
      <c r="C1267" s="625" t="s">
        <v>3080</v>
      </c>
      <c r="D1267" s="168"/>
      <c r="E1267" s="115" t="s">
        <v>3081</v>
      </c>
      <c r="F1267" s="115" t="s">
        <v>105</v>
      </c>
      <c r="G1267" s="101" t="s">
        <v>350</v>
      </c>
      <c r="H1267" s="101" t="s">
        <v>351</v>
      </c>
      <c r="I1267" s="407" t="s">
        <v>108</v>
      </c>
      <c r="J1267" s="658" t="s">
        <v>53</v>
      </c>
      <c r="K1267" s="101" t="s">
        <v>69</v>
      </c>
      <c r="L1267" s="407" t="s">
        <v>70</v>
      </c>
      <c r="M1267" s="114">
        <v>350</v>
      </c>
      <c r="N1267" s="114"/>
      <c r="O1267" s="101" t="s">
        <v>109</v>
      </c>
      <c r="P1267" s="101">
        <v>12</v>
      </c>
      <c r="Q1267" s="101">
        <v>16</v>
      </c>
      <c r="R1267" s="101">
        <v>12</v>
      </c>
      <c r="S1267" s="101">
        <v>16</v>
      </c>
      <c r="T1267" s="697">
        <v>13</v>
      </c>
      <c r="U1267" s="697">
        <v>17</v>
      </c>
      <c r="V1267" s="1178">
        <f t="shared" si="450"/>
        <v>20</v>
      </c>
      <c r="W1267" s="1178">
        <f t="shared" si="451"/>
        <v>24</v>
      </c>
      <c r="X1267" s="101">
        <v>40</v>
      </c>
      <c r="Y1267" s="101">
        <v>20</v>
      </c>
      <c r="Z1267" s="101">
        <v>24</v>
      </c>
      <c r="AA1267" s="724">
        <f>Table1[[#This Row],[Cut Width]]*Table1[[#This Row],[Cut Height]]/144</f>
        <v>3.3333333333333335</v>
      </c>
      <c r="AB1267" s="633">
        <f>Table1[[#This Row],[Print Wth]]*Table1[[#This Row],[Print Ht]]/144*EPSONM</f>
        <v>15</v>
      </c>
      <c r="AC1267" s="406">
        <f>Table1[[#This Row],[Substrate SF]]*Canvas</f>
        <v>2.2000000000000002</v>
      </c>
      <c r="AD1267" s="405">
        <f>Table1[[#This Row],[Ink g/mL]]*EPSONC</f>
        <v>3.3</v>
      </c>
      <c r="AE1267" s="406">
        <f>IF(Table1[[#This Row],[Work Center]]="SwissQ",Materials!G$37,IF(Table1[[#This Row],[Work Center]]="Inca",Materials!G$29,IF(Table1[[#This Row],[Work Center]]="Canon",Materials!G$49,Materials!G$45)))</f>
        <v>5</v>
      </c>
      <c r="AF1267" s="102">
        <f>'Cali Frames'!D260</f>
        <v>73</v>
      </c>
      <c r="AG1267" s="115"/>
      <c r="AH1267" s="104">
        <f t="shared" si="452"/>
        <v>17.5</v>
      </c>
      <c r="AI1267" s="406">
        <f>IF(A1267="Codarus",(M1267*0.13))</f>
        <v>45.5</v>
      </c>
      <c r="AJ1267" s="104">
        <f>SUM(AC1267:AI1267)</f>
        <v>146.5</v>
      </c>
      <c r="AK1267" s="830">
        <f t="shared" si="453"/>
        <v>0.58142857142857141</v>
      </c>
      <c r="AL1267" s="660">
        <f>Table1[[#This Row],[WSP/Dealer]]/Table1[[#This Row],[OD Sq Inch]]</f>
        <v>1.5837104072398189</v>
      </c>
      <c r="AM1267" s="229">
        <f>Table1[[#This Row],[OD Wdth]]*Table1[[#This Row],[OD Hgt]]</f>
        <v>221</v>
      </c>
      <c r="AN1267" s="266">
        <f>Table1[[#This Row],[Min VO]]+Table1[[#This Row],[Max VO]]</f>
        <v>28</v>
      </c>
      <c r="AO1267" s="115"/>
      <c r="AP1267" s="1396">
        <v>700</v>
      </c>
      <c r="AQ1267" s="121">
        <f>(Table1[[#This Row],[Desgnr/Retail P]]*0.05)</f>
        <v>35</v>
      </c>
      <c r="AR1267" s="121">
        <f>IF(A1267="Codarus",(AP1267*0.13))</f>
        <v>91</v>
      </c>
      <c r="AS1267" s="121">
        <f>SUM(Table1[[#This Row],[Substrate $]:[GP FINISH]])+Table1[[#This Row],[Retail Royalty]]+Table1[[#This Row],[Retail$Comm]]</f>
        <v>209.5</v>
      </c>
      <c r="AT1267" s="830">
        <f>IF(AP1267=0,"-",(AP1267-AS1267)/AP1267)</f>
        <v>0.70071428571428573</v>
      </c>
      <c r="AU1267" s="830">
        <f t="shared" si="438"/>
        <v>0.97997959183673478</v>
      </c>
    </row>
    <row r="1268" spans="1:47" s="63" customFormat="1" x14ac:dyDescent="0.2">
      <c r="A1268" s="400" t="s">
        <v>581</v>
      </c>
      <c r="B1268" s="1061" t="s">
        <v>292</v>
      </c>
      <c r="C1268" s="625" t="s">
        <v>3082</v>
      </c>
      <c r="D1268" s="94" t="s">
        <v>3083</v>
      </c>
      <c r="E1268" s="115" t="s">
        <v>3084</v>
      </c>
      <c r="F1268" s="115" t="s">
        <v>99</v>
      </c>
      <c r="G1268" s="101" t="s">
        <v>51</v>
      </c>
      <c r="H1268" s="101" t="s">
        <v>364</v>
      </c>
      <c r="I1268" s="407" t="s">
        <v>52</v>
      </c>
      <c r="J1268" s="658" t="s">
        <v>53</v>
      </c>
      <c r="K1268" s="101" t="s">
        <v>82</v>
      </c>
      <c r="L1268" s="407" t="s">
        <v>298</v>
      </c>
      <c r="M1268" s="114">
        <v>630</v>
      </c>
      <c r="N1268" s="114">
        <v>630</v>
      </c>
      <c r="O1268" s="101" t="s">
        <v>56</v>
      </c>
      <c r="P1268" s="101">
        <v>30</v>
      </c>
      <c r="Q1268" s="101">
        <v>40</v>
      </c>
      <c r="R1268" s="101">
        <v>30</v>
      </c>
      <c r="S1268" s="101">
        <v>40</v>
      </c>
      <c r="T1268" s="697">
        <v>31</v>
      </c>
      <c r="U1268" s="697">
        <v>41</v>
      </c>
      <c r="V1268" s="1178">
        <f t="shared" si="450"/>
        <v>38</v>
      </c>
      <c r="W1268" s="1178">
        <f t="shared" si="451"/>
        <v>48</v>
      </c>
      <c r="X1268" s="101">
        <v>40</v>
      </c>
      <c r="Y1268" s="101">
        <v>38</v>
      </c>
      <c r="Z1268" s="101">
        <v>48</v>
      </c>
      <c r="AA1268" s="724">
        <f t="shared" ref="AA1268:AA1275" si="454">V1268*W1268/144</f>
        <v>12.666666666666666</v>
      </c>
      <c r="AB1268" s="633">
        <f>AA1268*IncaG</f>
        <v>266.50666666666666</v>
      </c>
      <c r="AC1268" s="406">
        <f t="shared" ref="AC1268:AC1275" si="455">AA1268*Canvas</f>
        <v>8.36</v>
      </c>
      <c r="AD1268" s="406">
        <f>AA1268*IncaC</f>
        <v>21.320533333333334</v>
      </c>
      <c r="AE1268" s="406">
        <f>IF(Table1[[#This Row],[Work Center]]="SwissQ",Materials!G$37,IF(Table1[[#This Row],[Work Center]]="Inca",Materials!G$29,IF(Table1[[#This Row],[Work Center]]="Canon",Materials!G$49,Materials!G$45)))</f>
        <v>8</v>
      </c>
      <c r="AF1268" s="102">
        <f>'Cali Frames'!D229</f>
        <v>119.9975</v>
      </c>
      <c r="AG1268" s="540"/>
      <c r="AH1268" s="104">
        <f t="shared" si="452"/>
        <v>31.5</v>
      </c>
      <c r="AI1268" s="104"/>
      <c r="AJ1268" s="406">
        <f t="shared" ref="AJ1268:AJ1275" si="456">SUM(AC1268:AH1268)</f>
        <v>189.17803333333333</v>
      </c>
      <c r="AK1268" s="830">
        <f t="shared" si="453"/>
        <v>0.6997174074074074</v>
      </c>
      <c r="AL1268" s="660">
        <f>Table1[[#This Row],[WSP/Dealer]]/Table1[[#This Row],[OD Sq Inch]]</f>
        <v>0.49567269866247049</v>
      </c>
      <c r="AM1268" s="400">
        <f>Table1[[#This Row],[OD Wdth]]*Table1[[#This Row],[OD Hgt]]</f>
        <v>1271</v>
      </c>
      <c r="AN1268" s="400">
        <f>Table1[[#This Row],[Min VO]]+Table1[[#This Row],[Max VO]]</f>
        <v>70</v>
      </c>
      <c r="AO1268" s="115"/>
      <c r="AP1268" s="115"/>
      <c r="AQ1268" s="121"/>
      <c r="AR1268" s="121"/>
      <c r="AS1268" s="121"/>
      <c r="AT1268" s="104"/>
      <c r="AU1268" s="1359" t="str">
        <f t="shared" si="438"/>
        <v>-</v>
      </c>
    </row>
    <row r="1269" spans="1:47" s="45" customFormat="1" x14ac:dyDescent="0.2">
      <c r="A1269" s="551" t="s">
        <v>58</v>
      </c>
      <c r="B1269" s="1107" t="s">
        <v>310</v>
      </c>
      <c r="C1269" s="878" t="s">
        <v>3085</v>
      </c>
      <c r="D1269" s="77"/>
      <c r="E1269" s="653" t="s">
        <v>3086</v>
      </c>
      <c r="F1269" s="653" t="s">
        <v>308</v>
      </c>
      <c r="G1269" s="551" t="s">
        <v>139</v>
      </c>
      <c r="H1269" s="551" t="s">
        <v>139</v>
      </c>
      <c r="I1269" s="880" t="s">
        <v>52</v>
      </c>
      <c r="J1269" s="879" t="s">
        <v>53</v>
      </c>
      <c r="K1269" s="551" t="s">
        <v>54</v>
      </c>
      <c r="L1269" s="880" t="s">
        <v>55</v>
      </c>
      <c r="M1269" s="896">
        <v>325</v>
      </c>
      <c r="N1269" s="896"/>
      <c r="O1269" s="551" t="s">
        <v>56</v>
      </c>
      <c r="P1269" s="551">
        <v>24</v>
      </c>
      <c r="Q1269" s="551">
        <v>24</v>
      </c>
      <c r="R1269" s="551">
        <v>24</v>
      </c>
      <c r="S1269" s="551">
        <v>24</v>
      </c>
      <c r="T1269" s="984">
        <v>24</v>
      </c>
      <c r="U1269" s="984">
        <v>24</v>
      </c>
      <c r="V1269" s="1639">
        <f t="shared" si="450"/>
        <v>32</v>
      </c>
      <c r="W1269" s="1639">
        <f t="shared" si="451"/>
        <v>32</v>
      </c>
      <c r="X1269" s="551">
        <v>40</v>
      </c>
      <c r="Y1269" s="551">
        <v>32</v>
      </c>
      <c r="Z1269" s="551">
        <v>32</v>
      </c>
      <c r="AA1269" s="860">
        <f t="shared" si="454"/>
        <v>7.1111111111111107</v>
      </c>
      <c r="AB1269" s="861">
        <f>AA1269*IncaG</f>
        <v>149.61777777777777</v>
      </c>
      <c r="AC1269" s="863">
        <f t="shared" si="455"/>
        <v>4.6933333333333334</v>
      </c>
      <c r="AD1269" s="862">
        <f>AA1269*IncaC</f>
        <v>11.969422222222223</v>
      </c>
      <c r="AE1269" s="863">
        <f>IF(Table1[[#This Row],[Work Center]]="SwissQ",Materials!G$37,IF(Table1[[#This Row],[Work Center]]="Inca",Materials!G$29,IF(Table1[[#This Row],[Work Center]]="Canon",Materials!G$49,Materials!G$45)))</f>
        <v>8</v>
      </c>
      <c r="AF1269" s="71">
        <f>'Cali FPS'!C32</f>
        <v>63.47</v>
      </c>
      <c r="AG1269" s="864"/>
      <c r="AH1269" s="863">
        <f t="shared" si="452"/>
        <v>16.25</v>
      </c>
      <c r="AI1269" s="863"/>
      <c r="AJ1269" s="867">
        <f t="shared" si="456"/>
        <v>104.38275555555555</v>
      </c>
      <c r="AK1269" s="1163">
        <f t="shared" si="453"/>
        <v>0.67882229059829058</v>
      </c>
      <c r="AL1269" s="895">
        <f>Table1[[#This Row],[WSP/Dealer]]/Table1[[#This Row],[OD Sq Inch]]</f>
        <v>0.56423611111111116</v>
      </c>
      <c r="AM1269" s="868">
        <f>Table1[[#This Row],[OD Wdth]]*Table1[[#This Row],[OD Hgt]]</f>
        <v>576</v>
      </c>
      <c r="AN1269" s="869">
        <f>Table1[[#This Row],[Min VO]]+Table1[[#This Row],[Max VO]]</f>
        <v>48</v>
      </c>
      <c r="AO1269" s="653"/>
      <c r="AP1269" s="653"/>
      <c r="AQ1269" s="864">
        <f>(Table1[[#This Row],[Desgnr/Retail P]]*0.05)</f>
        <v>0</v>
      </c>
      <c r="AR1269" s="864" t="b">
        <f>IF(A1269="Codarus",(AP1269*0.13))</f>
        <v>0</v>
      </c>
      <c r="AS1269" s="864" t="e" cm="1">
        <f t="array" ref="AS1269">SUM(AC1269:AG1269+AQ+AR)</f>
        <v>#NAME?</v>
      </c>
      <c r="AT1269" s="863" t="e">
        <f>(AP1269-AS1269)/AP1269</f>
        <v>#NAME?</v>
      </c>
      <c r="AU1269" s="1364" t="str">
        <f t="shared" si="438"/>
        <v>-</v>
      </c>
    </row>
    <row r="1270" spans="1:47" s="45" customFormat="1" x14ac:dyDescent="0.2">
      <c r="A1270" s="551" t="s">
        <v>58</v>
      </c>
      <c r="B1270" s="1150" t="s">
        <v>310</v>
      </c>
      <c r="C1270" s="878" t="s">
        <v>3087</v>
      </c>
      <c r="D1270" s="77"/>
      <c r="E1270" s="653" t="s">
        <v>3086</v>
      </c>
      <c r="F1270" s="653" t="s">
        <v>308</v>
      </c>
      <c r="G1270" s="551" t="s">
        <v>139</v>
      </c>
      <c r="H1270" s="551" t="s">
        <v>1067</v>
      </c>
      <c r="I1270" s="880" t="s">
        <v>52</v>
      </c>
      <c r="J1270" s="879" t="s">
        <v>53</v>
      </c>
      <c r="K1270" s="551" t="s">
        <v>69</v>
      </c>
      <c r="L1270" s="880" t="s">
        <v>70</v>
      </c>
      <c r="M1270" s="896">
        <v>375</v>
      </c>
      <c r="N1270" s="896"/>
      <c r="O1270" s="551" t="s">
        <v>56</v>
      </c>
      <c r="P1270" s="551">
        <v>24</v>
      </c>
      <c r="Q1270" s="551">
        <v>24</v>
      </c>
      <c r="R1270" s="551">
        <v>24</v>
      </c>
      <c r="S1270" s="551">
        <v>24</v>
      </c>
      <c r="T1270" s="984">
        <v>25</v>
      </c>
      <c r="U1270" s="984">
        <v>25</v>
      </c>
      <c r="V1270" s="1639">
        <f t="shared" si="450"/>
        <v>32</v>
      </c>
      <c r="W1270" s="1639">
        <f t="shared" si="451"/>
        <v>32</v>
      </c>
      <c r="X1270" s="551">
        <v>40</v>
      </c>
      <c r="Y1270" s="551">
        <v>32</v>
      </c>
      <c r="Z1270" s="551">
        <v>32</v>
      </c>
      <c r="AA1270" s="860">
        <f t="shared" si="454"/>
        <v>7.1111111111111107</v>
      </c>
      <c r="AB1270" s="861">
        <f>AA1270*IncaG</f>
        <v>149.61777777777777</v>
      </c>
      <c r="AC1270" s="863">
        <f t="shared" si="455"/>
        <v>4.6933333333333334</v>
      </c>
      <c r="AD1270" s="862">
        <f>AA1270*IncaC</f>
        <v>11.969422222222223</v>
      </c>
      <c r="AE1270" s="863">
        <f>IF(Table1[[#This Row],[Work Center]]="SwissQ",Materials!G$37,IF(Table1[[#This Row],[Work Center]]="Inca",Materials!G$29,IF(Table1[[#This Row],[Work Center]]="Canon",Materials!G$49,Materials!G$45)))</f>
        <v>8</v>
      </c>
      <c r="AF1270" s="71">
        <f>'Cali Frames'!D278</f>
        <v>93.42</v>
      </c>
      <c r="AG1270" s="864"/>
      <c r="AH1270" s="862">
        <f t="shared" si="452"/>
        <v>18.75</v>
      </c>
      <c r="AI1270" s="862"/>
      <c r="AJ1270" s="865">
        <f t="shared" si="456"/>
        <v>136.83275555555556</v>
      </c>
      <c r="AK1270" s="894">
        <f t="shared" si="453"/>
        <v>0.63511265185185184</v>
      </c>
      <c r="AL1270" s="895">
        <f>Table1[[#This Row],[WSP/Dealer]]/Table1[[#This Row],[OD Sq Inch]]</f>
        <v>0.6</v>
      </c>
      <c r="AM1270" s="868">
        <f>Table1[[#This Row],[OD Wdth]]*Table1[[#This Row],[OD Hgt]]</f>
        <v>625</v>
      </c>
      <c r="AN1270" s="869">
        <f>Table1[[#This Row],[Min VO]]+Table1[[#This Row],[Max VO]]</f>
        <v>48</v>
      </c>
      <c r="AO1270" s="653"/>
      <c r="AP1270" s="653"/>
      <c r="AQ1270" s="864">
        <f>(Table1[[#This Row],[Desgnr/Retail P]]*0.05)</f>
        <v>0</v>
      </c>
      <c r="AR1270" s="864" t="b">
        <f>IF(A1270="Codarus",(AP1270*0.13))</f>
        <v>0</v>
      </c>
      <c r="AS1270" s="864" t="e" cm="1">
        <f t="array" ref="AS1270">SUM(AC1270:AG1270+AQ+AR)</f>
        <v>#NAME?</v>
      </c>
      <c r="AT1270" s="863" t="e">
        <f>(AP1270-AS1270)/AP1270</f>
        <v>#NAME?</v>
      </c>
      <c r="AU1270" s="1364" t="str">
        <f t="shared" si="438"/>
        <v>-</v>
      </c>
    </row>
    <row r="1271" spans="1:47" s="45" customFormat="1" x14ac:dyDescent="0.2">
      <c r="A1271" s="551" t="s">
        <v>58</v>
      </c>
      <c r="B1271" s="1150" t="s">
        <v>310</v>
      </c>
      <c r="C1271" s="878" t="s">
        <v>3088</v>
      </c>
      <c r="D1271" s="77"/>
      <c r="E1271" s="653" t="s">
        <v>3089</v>
      </c>
      <c r="F1271" s="653" t="s">
        <v>308</v>
      </c>
      <c r="G1271" s="551" t="s">
        <v>139</v>
      </c>
      <c r="H1271" s="551" t="s">
        <v>139</v>
      </c>
      <c r="I1271" s="880" t="s">
        <v>52</v>
      </c>
      <c r="J1271" s="879" t="s">
        <v>53</v>
      </c>
      <c r="K1271" s="551" t="s">
        <v>54</v>
      </c>
      <c r="L1271" s="880" t="s">
        <v>55</v>
      </c>
      <c r="M1271" s="896">
        <v>325</v>
      </c>
      <c r="N1271" s="896"/>
      <c r="O1271" s="551" t="s">
        <v>56</v>
      </c>
      <c r="P1271" s="551">
        <v>24</v>
      </c>
      <c r="Q1271" s="551">
        <v>24</v>
      </c>
      <c r="R1271" s="551">
        <v>24</v>
      </c>
      <c r="S1271" s="551">
        <v>24</v>
      </c>
      <c r="T1271" s="984">
        <v>24</v>
      </c>
      <c r="U1271" s="984">
        <v>24</v>
      </c>
      <c r="V1271" s="1571">
        <f t="shared" si="450"/>
        <v>32</v>
      </c>
      <c r="W1271" s="1571">
        <f t="shared" si="451"/>
        <v>32</v>
      </c>
      <c r="X1271" s="551">
        <v>40</v>
      </c>
      <c r="Y1271" s="551">
        <v>32</v>
      </c>
      <c r="Z1271" s="551">
        <v>32</v>
      </c>
      <c r="AA1271" s="860">
        <f t="shared" si="454"/>
        <v>7.1111111111111107</v>
      </c>
      <c r="AB1271" s="861">
        <f>AA1271*IncaG</f>
        <v>149.61777777777777</v>
      </c>
      <c r="AC1271" s="863">
        <f t="shared" si="455"/>
        <v>4.6933333333333334</v>
      </c>
      <c r="AD1271" s="862">
        <f>AA1271*IncaC</f>
        <v>11.969422222222223</v>
      </c>
      <c r="AE1271" s="863">
        <f>IF(Table1[[#This Row],[Work Center]]="SwissQ",Materials!G$37,IF(Table1[[#This Row],[Work Center]]="Inca",Materials!G$29,IF(Table1[[#This Row],[Work Center]]="Canon",Materials!G$49,Materials!G$45)))</f>
        <v>8</v>
      </c>
      <c r="AF1271" s="71">
        <f>'Cali FPS'!C32</f>
        <v>63.47</v>
      </c>
      <c r="AG1271" s="864"/>
      <c r="AH1271" s="863">
        <f t="shared" si="452"/>
        <v>16.25</v>
      </c>
      <c r="AI1271" s="862"/>
      <c r="AJ1271" s="867">
        <f t="shared" si="456"/>
        <v>104.38275555555555</v>
      </c>
      <c r="AK1271" s="1163">
        <f t="shared" si="453"/>
        <v>0.67882229059829058</v>
      </c>
      <c r="AL1271" s="895">
        <f>Table1[[#This Row],[WSP/Dealer]]/Table1[[#This Row],[OD Sq Inch]]</f>
        <v>0.56423611111111116</v>
      </c>
      <c r="AM1271" s="869">
        <f>Table1[[#This Row],[OD Wdth]]*Table1[[#This Row],[OD Hgt]]</f>
        <v>576</v>
      </c>
      <c r="AN1271" s="869">
        <f>Table1[[#This Row],[Min VO]]+Table1[[#This Row],[Max VO]]</f>
        <v>48</v>
      </c>
      <c r="AO1271" s="653"/>
      <c r="AP1271" s="653"/>
      <c r="AQ1271" s="864">
        <f>(Table1[[#This Row],[Desgnr/Retail P]]*0.05)</f>
        <v>0</v>
      </c>
      <c r="AR1271" s="864" t="b">
        <f>IF(A1271="Codarus",(AP1271*0.13))</f>
        <v>0</v>
      </c>
      <c r="AS1271" s="864" t="e" cm="1">
        <f t="array" ref="AS1271">SUM(AC1271:AG1271+AQ+AR)</f>
        <v>#NAME?</v>
      </c>
      <c r="AT1271" s="863" t="e">
        <f>(AP1271-AS1271)/AP1271</f>
        <v>#NAME?</v>
      </c>
      <c r="AU1271" s="1364" t="str">
        <f t="shared" si="438"/>
        <v>-</v>
      </c>
    </row>
    <row r="1272" spans="1:47" s="45" customFormat="1" x14ac:dyDescent="0.2">
      <c r="A1272" s="551" t="s">
        <v>58</v>
      </c>
      <c r="B1272" s="1107" t="s">
        <v>310</v>
      </c>
      <c r="C1272" s="878" t="s">
        <v>3090</v>
      </c>
      <c r="D1272" s="77"/>
      <c r="E1272" s="653" t="s">
        <v>3089</v>
      </c>
      <c r="F1272" s="653" t="s">
        <v>308</v>
      </c>
      <c r="G1272" s="551" t="s">
        <v>139</v>
      </c>
      <c r="H1272" s="551" t="s">
        <v>1067</v>
      </c>
      <c r="I1272" s="880" t="s">
        <v>52</v>
      </c>
      <c r="J1272" s="879" t="s">
        <v>53</v>
      </c>
      <c r="K1272" s="551" t="s">
        <v>69</v>
      </c>
      <c r="L1272" s="880" t="s">
        <v>70</v>
      </c>
      <c r="M1272" s="896">
        <v>375</v>
      </c>
      <c r="N1272" s="896"/>
      <c r="O1272" s="551" t="s">
        <v>56</v>
      </c>
      <c r="P1272" s="551">
        <v>24</v>
      </c>
      <c r="Q1272" s="551">
        <v>24</v>
      </c>
      <c r="R1272" s="551">
        <v>24</v>
      </c>
      <c r="S1272" s="551">
        <v>24</v>
      </c>
      <c r="T1272" s="984">
        <v>25</v>
      </c>
      <c r="U1272" s="984">
        <v>25</v>
      </c>
      <c r="V1272" s="1639">
        <f t="shared" si="450"/>
        <v>32</v>
      </c>
      <c r="W1272" s="1639">
        <f t="shared" si="451"/>
        <v>32</v>
      </c>
      <c r="X1272" s="551">
        <v>40</v>
      </c>
      <c r="Y1272" s="551">
        <v>32</v>
      </c>
      <c r="Z1272" s="551">
        <v>32</v>
      </c>
      <c r="AA1272" s="860">
        <f t="shared" si="454"/>
        <v>7.1111111111111107</v>
      </c>
      <c r="AB1272" s="861">
        <f>AA1272*IncaG</f>
        <v>149.61777777777777</v>
      </c>
      <c r="AC1272" s="863">
        <f t="shared" si="455"/>
        <v>4.6933333333333334</v>
      </c>
      <c r="AD1272" s="862">
        <f>AA1272*IncaC</f>
        <v>11.969422222222223</v>
      </c>
      <c r="AE1272" s="863">
        <f>IF(Table1[[#This Row],[Work Center]]="SwissQ",Materials!G$37,IF(Table1[[#This Row],[Work Center]]="Inca",Materials!G$29,IF(Table1[[#This Row],[Work Center]]="Canon",Materials!G$49,Materials!G$45)))</f>
        <v>8</v>
      </c>
      <c r="AF1272" s="71">
        <f>'Cali Frames'!D278</f>
        <v>93.42</v>
      </c>
      <c r="AG1272" s="864"/>
      <c r="AH1272" s="862">
        <f t="shared" si="452"/>
        <v>18.75</v>
      </c>
      <c r="AI1272" s="862"/>
      <c r="AJ1272" s="867">
        <f t="shared" si="456"/>
        <v>136.83275555555556</v>
      </c>
      <c r="AK1272" s="894">
        <f t="shared" si="453"/>
        <v>0.63511265185185184</v>
      </c>
      <c r="AL1272" s="895">
        <f>Table1[[#This Row],[WSP/Dealer]]/Table1[[#This Row],[OD Sq Inch]]</f>
        <v>0.6</v>
      </c>
      <c r="AM1272" s="868">
        <f>Table1[[#This Row],[OD Wdth]]*Table1[[#This Row],[OD Hgt]]</f>
        <v>625</v>
      </c>
      <c r="AN1272" s="869">
        <f>Table1[[#This Row],[Min VO]]+Table1[[#This Row],[Max VO]]</f>
        <v>48</v>
      </c>
      <c r="AO1272" s="653"/>
      <c r="AP1272" s="653"/>
      <c r="AQ1272" s="864">
        <f>(Table1[[#This Row],[Desgnr/Retail P]]*0.05)</f>
        <v>0</v>
      </c>
      <c r="AR1272" s="864" t="b">
        <f>IF(A1272="Codarus",(AP1272*0.13))</f>
        <v>0</v>
      </c>
      <c r="AS1272" s="864" t="e" cm="1">
        <f t="array" ref="AS1272">SUM(AC1272:AG1272+AQ+AR)</f>
        <v>#NAME?</v>
      </c>
      <c r="AT1272" s="863" t="e">
        <f>(AP1272-AS1272)/AP1272</f>
        <v>#NAME?</v>
      </c>
      <c r="AU1272" s="1364" t="str">
        <f t="shared" si="438"/>
        <v>-</v>
      </c>
    </row>
    <row r="1273" spans="1:47" s="144" customFormat="1" x14ac:dyDescent="0.2">
      <c r="A1273" s="145" t="s">
        <v>58</v>
      </c>
      <c r="B1273" s="1061" t="s">
        <v>533</v>
      </c>
      <c r="C1273" s="146" t="s">
        <v>3091</v>
      </c>
      <c r="D1273" s="94" t="s">
        <v>3092</v>
      </c>
      <c r="E1273" s="146" t="s">
        <v>3093</v>
      </c>
      <c r="F1273" s="147" t="s">
        <v>150</v>
      </c>
      <c r="G1273" s="156" t="s">
        <v>3094</v>
      </c>
      <c r="H1273" s="156" t="s">
        <v>3094</v>
      </c>
      <c r="I1273" s="156" t="s">
        <v>52</v>
      </c>
      <c r="J1273" s="807" t="s">
        <v>53</v>
      </c>
      <c r="K1273" s="156" t="s">
        <v>54</v>
      </c>
      <c r="L1273" s="156" t="s">
        <v>55</v>
      </c>
      <c r="M1273" s="155">
        <v>750</v>
      </c>
      <c r="N1273" s="639">
        <v>815</v>
      </c>
      <c r="O1273" s="145" t="s">
        <v>64</v>
      </c>
      <c r="P1273" s="145">
        <v>54</v>
      </c>
      <c r="Q1273" s="145">
        <v>38</v>
      </c>
      <c r="R1273" s="145">
        <v>54</v>
      </c>
      <c r="S1273" s="145">
        <v>38</v>
      </c>
      <c r="T1273" s="698">
        <v>53</v>
      </c>
      <c r="U1273" s="698">
        <v>38</v>
      </c>
      <c r="V1273" s="913">
        <f t="shared" si="450"/>
        <v>62</v>
      </c>
      <c r="W1273" s="913">
        <f t="shared" si="451"/>
        <v>46</v>
      </c>
      <c r="X1273" s="157" t="s">
        <v>3095</v>
      </c>
      <c r="Y1273" s="145"/>
      <c r="Z1273" s="145"/>
      <c r="AA1273" s="722">
        <f t="shared" si="454"/>
        <v>19.805555555555557</v>
      </c>
      <c r="AB1273" s="389">
        <f>AA1273*Swiss1</f>
        <v>560.49722222222226</v>
      </c>
      <c r="AC1273" s="606">
        <f t="shared" si="455"/>
        <v>13.071666666666669</v>
      </c>
      <c r="AD1273" s="21">
        <f>Table1[[#This Row],[Substrate SF]]*Materials!C$37</f>
        <v>55.455555555555556</v>
      </c>
      <c r="AE1273" s="104">
        <f>IF(Table1[[#This Row],[Work Center]]="SwissQ",Materials!G$37,IF(Table1[[#This Row],[Work Center]]="Inca",Materials!G$29,IF(Table1[[#This Row],[Work Center]]="Canon",Materials!G$49,Materials!G$45)))</f>
        <v>20</v>
      </c>
      <c r="AF1273" s="143">
        <f>'Cali FPS'!C80</f>
        <v>108.29</v>
      </c>
      <c r="AG1273" s="115"/>
      <c r="AH1273" s="112">
        <f t="shared" si="452"/>
        <v>37.5</v>
      </c>
      <c r="AI1273" s="112"/>
      <c r="AJ1273" s="150">
        <f t="shared" si="456"/>
        <v>234.31722222222223</v>
      </c>
      <c r="AK1273" s="62">
        <f t="shared" si="453"/>
        <v>0.6875770370370371</v>
      </c>
      <c r="AL1273" s="225">
        <f>Table1[[#This Row],[WSP/Dealer]]/Table1[[#This Row],[OD Sq Inch]]</f>
        <v>0.37239324726911621</v>
      </c>
      <c r="AM1273" s="103">
        <f>Table1[[#This Row],[OD Wdth]]*Table1[[#This Row],[OD Hgt]]</f>
        <v>2014</v>
      </c>
      <c r="AN1273" s="216">
        <f>Table1[[#This Row],[Min VO]]+Table1[[#This Row],[Max VO]]</f>
        <v>92</v>
      </c>
      <c r="AO1273" s="25"/>
      <c r="AP1273" s="147"/>
      <c r="AQ1273" s="635"/>
      <c r="AR1273" s="635"/>
      <c r="AS1273" s="635"/>
      <c r="AT1273" s="143"/>
      <c r="AU1273" s="1825" t="str">
        <f t="shared" si="438"/>
        <v>-</v>
      </c>
    </row>
    <row r="1274" spans="1:47" s="144" customFormat="1" x14ac:dyDescent="0.2">
      <c r="A1274" s="145" t="s">
        <v>58</v>
      </c>
      <c r="B1274" s="1061" t="s">
        <v>533</v>
      </c>
      <c r="C1274" s="146" t="s">
        <v>3096</v>
      </c>
      <c r="D1274" s="94" t="s">
        <v>3097</v>
      </c>
      <c r="E1274" s="146" t="s">
        <v>3098</v>
      </c>
      <c r="F1274" s="147" t="s">
        <v>150</v>
      </c>
      <c r="G1274" s="156" t="s">
        <v>3099</v>
      </c>
      <c r="H1274" s="156" t="s">
        <v>3099</v>
      </c>
      <c r="I1274" s="156" t="s">
        <v>52</v>
      </c>
      <c r="J1274" s="156" t="s">
        <v>53</v>
      </c>
      <c r="K1274" s="156" t="s">
        <v>54</v>
      </c>
      <c r="L1274" s="156" t="s">
        <v>55</v>
      </c>
      <c r="M1274" s="151">
        <v>1300</v>
      </c>
      <c r="N1274" s="639">
        <v>1300</v>
      </c>
      <c r="O1274" s="145" t="s">
        <v>64</v>
      </c>
      <c r="P1274" s="145">
        <v>78</v>
      </c>
      <c r="Q1274" s="145">
        <v>55</v>
      </c>
      <c r="R1274" s="145">
        <v>55</v>
      </c>
      <c r="S1274" s="145">
        <v>78</v>
      </c>
      <c r="T1274" s="698">
        <f>Table1[[#This Row],[VO Wdth]]</f>
        <v>78</v>
      </c>
      <c r="U1274" s="698">
        <f>Table1[[#This Row],[VO Hgt]]</f>
        <v>55</v>
      </c>
      <c r="V1274" s="149">
        <f t="shared" si="450"/>
        <v>86</v>
      </c>
      <c r="W1274" s="149">
        <f t="shared" si="451"/>
        <v>63</v>
      </c>
      <c r="X1274" s="157">
        <v>63</v>
      </c>
      <c r="Y1274" s="145"/>
      <c r="Z1274" s="145"/>
      <c r="AA1274" s="722">
        <f t="shared" si="454"/>
        <v>37.625</v>
      </c>
      <c r="AB1274" s="389">
        <f>AA1274*Swiss1</f>
        <v>1064.7875000000001</v>
      </c>
      <c r="AC1274" s="606">
        <f t="shared" si="455"/>
        <v>24.8325</v>
      </c>
      <c r="AD1274" s="21">
        <f>Table1[[#This Row],[Substrate SF]]*Materials!C$37</f>
        <v>105.35</v>
      </c>
      <c r="AE1274" s="104">
        <f>IF(Table1[[#This Row],[Work Center]]="SwissQ",Materials!G$37,IF(Table1[[#This Row],[Work Center]]="Inca",Materials!G$29,IF(Table1[[#This Row],[Work Center]]="Canon",Materials!G$49,Materials!G$45)))</f>
        <v>20</v>
      </c>
      <c r="AF1274" s="143">
        <f>'Cali FPS'!C$146</f>
        <v>232.27749999999997</v>
      </c>
      <c r="AG1274" s="115"/>
      <c r="AH1274" s="112">
        <f t="shared" si="452"/>
        <v>65</v>
      </c>
      <c r="AI1274" s="112"/>
      <c r="AJ1274" s="150">
        <f t="shared" si="456"/>
        <v>447.46</v>
      </c>
      <c r="AK1274" s="62">
        <f t="shared" si="453"/>
        <v>0.65579999999999994</v>
      </c>
      <c r="AL1274" s="225">
        <f>Table1[[#This Row],[WSP/Dealer]]/Table1[[#This Row],[OD Sq Inch]]</f>
        <v>0.30303030303030304</v>
      </c>
      <c r="AM1274" s="218">
        <f>Table1[[#This Row],[OD Wdth]]*Table1[[#This Row],[OD Hgt]]</f>
        <v>4290</v>
      </c>
      <c r="AN1274" s="216">
        <f>Table1[[#This Row],[Min VO]]+Table1[[#This Row],[Max VO]]</f>
        <v>133</v>
      </c>
      <c r="AP1274" s="145"/>
      <c r="AQ1274" s="143"/>
      <c r="AR1274" s="143"/>
      <c r="AS1274" s="143"/>
      <c r="AT1274" s="143"/>
      <c r="AU1274" s="1814" t="str">
        <f t="shared" si="438"/>
        <v>-</v>
      </c>
    </row>
    <row r="1275" spans="1:47" s="144" customFormat="1" ht="16" x14ac:dyDescent="0.2">
      <c r="A1275" s="60" t="s">
        <v>58</v>
      </c>
      <c r="B1275" s="1061" t="s">
        <v>587</v>
      </c>
      <c r="C1275" s="293" t="s">
        <v>3100</v>
      </c>
      <c r="D1275" s="94"/>
      <c r="E1275" s="294" t="s">
        <v>3101</v>
      </c>
      <c r="F1275" s="294" t="s">
        <v>124</v>
      </c>
      <c r="G1275" s="295" t="s">
        <v>191</v>
      </c>
      <c r="H1275" s="295" t="s">
        <v>191</v>
      </c>
      <c r="I1275" s="181" t="s">
        <v>52</v>
      </c>
      <c r="J1275" s="181" t="s">
        <v>53</v>
      </c>
      <c r="K1275" s="295" t="s">
        <v>54</v>
      </c>
      <c r="L1275" s="181" t="s">
        <v>55</v>
      </c>
      <c r="M1275" s="292">
        <v>975</v>
      </c>
      <c r="N1275" s="639">
        <v>950</v>
      </c>
      <c r="O1275" s="180" t="s">
        <v>56</v>
      </c>
      <c r="P1275" s="180">
        <v>48</v>
      </c>
      <c r="Q1275" s="180">
        <v>60</v>
      </c>
      <c r="R1275" s="60">
        <v>48</v>
      </c>
      <c r="S1275" s="60">
        <v>60</v>
      </c>
      <c r="T1275" s="698">
        <f>Table1[[#This Row],[VO Wdth]]</f>
        <v>48</v>
      </c>
      <c r="U1275" s="698">
        <f>Table1[[#This Row],[VO Hgt]]</f>
        <v>60</v>
      </c>
      <c r="V1275" s="149">
        <f t="shared" si="450"/>
        <v>56</v>
      </c>
      <c r="W1275" s="149">
        <f t="shared" si="451"/>
        <v>68</v>
      </c>
      <c r="X1275" s="289">
        <v>69</v>
      </c>
      <c r="Y1275" s="180"/>
      <c r="Z1275" s="180"/>
      <c r="AA1275" s="722">
        <f t="shared" si="454"/>
        <v>26.444444444444443</v>
      </c>
      <c r="AB1275" s="125">
        <f>AA1275*IncaG</f>
        <v>556.39111111111106</v>
      </c>
      <c r="AC1275" s="69">
        <f t="shared" si="455"/>
        <v>17.453333333333333</v>
      </c>
      <c r="AD1275" s="48">
        <f>AA1275*IncaC</f>
        <v>44.511288888888885</v>
      </c>
      <c r="AE1275" s="104">
        <f>IF(Table1[[#This Row],[Work Center]]="SwissQ",Materials!G$37,IF(Table1[[#This Row],[Work Center]]="Inca",Materials!G$29,IF(Table1[[#This Row],[Work Center]]="Canon",Materials!G$49,Materials!G$45)))</f>
        <v>8</v>
      </c>
      <c r="AF1275" s="296">
        <f>'Cali FPS'!C121</f>
        <v>188.18</v>
      </c>
      <c r="AG1275" s="83"/>
      <c r="AH1275" s="498">
        <f t="shared" si="452"/>
        <v>48.75</v>
      </c>
      <c r="AI1275" s="498"/>
      <c r="AJ1275" s="69">
        <f t="shared" si="456"/>
        <v>306.89462222222221</v>
      </c>
      <c r="AK1275" s="650">
        <f t="shared" si="453"/>
        <v>0.68523628490028488</v>
      </c>
      <c r="AL1275" s="225">
        <f>Table1[[#This Row],[WSP/Dealer]]/Table1[[#This Row],[OD Sq Inch]]</f>
        <v>0.33854166666666669</v>
      </c>
      <c r="AM1275" s="218">
        <f>Table1[[#This Row],[OD Wdth]]*Table1[[#This Row],[OD Hgt]]</f>
        <v>2880</v>
      </c>
      <c r="AN1275" s="216">
        <f>Table1[[#This Row],[Min VO]]+Table1[[#This Row],[Max VO]]</f>
        <v>108</v>
      </c>
      <c r="AO1275" s="284"/>
      <c r="AP1275" s="284"/>
      <c r="AQ1275" s="296"/>
      <c r="AR1275" s="296"/>
      <c r="AS1275" s="296"/>
      <c r="AT1275" s="176"/>
      <c r="AU1275" s="1358" t="str">
        <f t="shared" si="438"/>
        <v>-</v>
      </c>
    </row>
    <row r="1276" spans="1:47" s="144" customFormat="1" hidden="1" x14ac:dyDescent="0.2">
      <c r="A1276" s="68"/>
      <c r="B1276" s="1061"/>
      <c r="C1276" s="94" t="s">
        <v>3102</v>
      </c>
      <c r="D1276" s="94"/>
      <c r="E1276" s="84" t="s">
        <v>3103</v>
      </c>
      <c r="F1276" s="84" t="s">
        <v>920</v>
      </c>
      <c r="G1276" s="68" t="s">
        <v>3104</v>
      </c>
      <c r="H1276" s="68"/>
      <c r="I1276" s="68" t="s">
        <v>304</v>
      </c>
      <c r="J1276" s="68" t="s">
        <v>257</v>
      </c>
      <c r="K1276" s="68" t="s">
        <v>258</v>
      </c>
      <c r="L1276" s="68" t="s">
        <v>83</v>
      </c>
      <c r="M1276" s="93"/>
      <c r="N1276" s="71"/>
      <c r="O1276" s="68"/>
      <c r="P1276" s="63"/>
      <c r="Q1276" s="63"/>
      <c r="R1276" s="68"/>
      <c r="S1276" s="63"/>
      <c r="T1276" s="63"/>
      <c r="U1276" s="63"/>
      <c r="V1276" s="66"/>
      <c r="W1276" s="66"/>
      <c r="X1276" s="189"/>
      <c r="Y1276" s="68"/>
      <c r="Z1276" s="68"/>
      <c r="AA1276" s="699"/>
      <c r="AB1276" s="297"/>
      <c r="AC1276" s="74"/>
      <c r="AD1276" s="118"/>
      <c r="AE1276" s="126"/>
      <c r="AF1276" s="73"/>
      <c r="AG1276" s="126"/>
      <c r="AH1276" s="112">
        <f t="shared" si="452"/>
        <v>0</v>
      </c>
      <c r="AI1276" s="112"/>
      <c r="AJ1276" s="118"/>
      <c r="AK1276" s="62" t="e">
        <f t="shared" si="453"/>
        <v>#DIV/0!</v>
      </c>
      <c r="AL1276" s="225" t="e">
        <f>Table1[[#This Row],[WSP/Dealer]]/Table1[[#This Row],[OD Sq Inch]]</f>
        <v>#DIV/0!</v>
      </c>
      <c r="AM1276" s="119"/>
      <c r="AN1276" s="216">
        <f>Table1[[#This Row],[Min VO]]+Table1[[#This Row],[Max VO]]</f>
        <v>0</v>
      </c>
      <c r="AO1276" s="119"/>
      <c r="AP1276" s="84"/>
      <c r="AQ1276" s="126"/>
      <c r="AR1276" s="126"/>
      <c r="AS1276" s="126"/>
      <c r="AT1276" s="74"/>
      <c r="AU1276" s="1356" t="str">
        <f t="shared" si="438"/>
        <v>-</v>
      </c>
    </row>
    <row r="1277" spans="1:47" s="103" customFormat="1" hidden="1" x14ac:dyDescent="0.2">
      <c r="A1277" s="68"/>
      <c r="B1277" s="1061"/>
      <c r="C1277" s="94" t="s">
        <v>3105</v>
      </c>
      <c r="D1277" s="94"/>
      <c r="E1277" s="84" t="s">
        <v>3106</v>
      </c>
      <c r="F1277" s="84" t="s">
        <v>920</v>
      </c>
      <c r="G1277" s="68" t="s">
        <v>3107</v>
      </c>
      <c r="H1277" s="68"/>
      <c r="I1277" s="68" t="s">
        <v>304</v>
      </c>
      <c r="J1277" s="68" t="s">
        <v>257</v>
      </c>
      <c r="K1277" s="68" t="s">
        <v>258</v>
      </c>
      <c r="L1277" s="68" t="s">
        <v>83</v>
      </c>
      <c r="M1277" s="93"/>
      <c r="N1277" s="71"/>
      <c r="O1277" s="68"/>
      <c r="P1277" s="68"/>
      <c r="Q1277" s="68"/>
      <c r="R1277" s="68"/>
      <c r="S1277" s="68"/>
      <c r="T1277" s="68"/>
      <c r="U1277" s="68"/>
      <c r="V1277" s="66"/>
      <c r="W1277" s="66"/>
      <c r="X1277" s="189"/>
      <c r="Y1277" s="68"/>
      <c r="Z1277" s="68"/>
      <c r="AA1277" s="699"/>
      <c r="AB1277" s="297"/>
      <c r="AC1277" s="74"/>
      <c r="AD1277" s="118"/>
      <c r="AE1277" s="126"/>
      <c r="AF1277" s="73"/>
      <c r="AG1277" s="126"/>
      <c r="AH1277" s="112">
        <f t="shared" si="452"/>
        <v>0</v>
      </c>
      <c r="AI1277" s="112"/>
      <c r="AJ1277" s="126"/>
      <c r="AK1277" s="62" t="e">
        <f t="shared" si="453"/>
        <v>#DIV/0!</v>
      </c>
      <c r="AL1277" s="225" t="e">
        <f>Table1[[#This Row],[WSP/Dealer]]/Table1[[#This Row],[OD Sq Inch]]</f>
        <v>#DIV/0!</v>
      </c>
      <c r="AM1277" s="84"/>
      <c r="AN1277" s="216">
        <f>Table1[[#This Row],[Min VO]]+Table1[[#This Row],[Max VO]]</f>
        <v>0</v>
      </c>
      <c r="AO1277" s="84"/>
      <c r="AP1277" s="84"/>
      <c r="AQ1277" s="126"/>
      <c r="AR1277" s="126"/>
      <c r="AS1277" s="126"/>
      <c r="AT1277" s="74"/>
      <c r="AU1277" s="1357" t="str">
        <f t="shared" si="438"/>
        <v>-</v>
      </c>
    </row>
    <row r="1278" spans="1:47" s="103" customFormat="1" hidden="1" x14ac:dyDescent="0.2">
      <c r="A1278" s="68" t="s">
        <v>101</v>
      </c>
      <c r="B1278" s="1072" t="s">
        <v>102</v>
      </c>
      <c r="C1278" s="627" t="s">
        <v>3108</v>
      </c>
      <c r="D1278" s="94"/>
      <c r="E1278" s="84" t="s">
        <v>3109</v>
      </c>
      <c r="F1278" s="84" t="s">
        <v>105</v>
      </c>
      <c r="G1278" s="68" t="s">
        <v>1126</v>
      </c>
      <c r="H1278" s="68" t="s">
        <v>3110</v>
      </c>
      <c r="I1278" s="363" t="s">
        <v>108</v>
      </c>
      <c r="J1278" s="646" t="s">
        <v>53</v>
      </c>
      <c r="K1278" s="68" t="s">
        <v>69</v>
      </c>
      <c r="L1278" s="363" t="s">
        <v>70</v>
      </c>
      <c r="M1278" s="141">
        <v>168</v>
      </c>
      <c r="N1278" s="93"/>
      <c r="O1278" s="68" t="s">
        <v>109</v>
      </c>
      <c r="P1278" s="68">
        <v>12</v>
      </c>
      <c r="Q1278" s="68">
        <v>8</v>
      </c>
      <c r="R1278" s="68">
        <v>8</v>
      </c>
      <c r="S1278" s="68">
        <v>12</v>
      </c>
      <c r="T1278" s="623">
        <v>13</v>
      </c>
      <c r="U1278" s="623">
        <v>9</v>
      </c>
      <c r="V1278" s="917">
        <f t="shared" ref="V1278:V1285" si="457">IF(J1278="Canvas",P1278+Border,P1278)</f>
        <v>20</v>
      </c>
      <c r="W1278" s="917">
        <f t="shared" ref="W1278:W1285" si="458">IF(J1278="Canvas",Q1278+Border,Q1278)</f>
        <v>16</v>
      </c>
      <c r="X1278" s="68">
        <v>40</v>
      </c>
      <c r="Y1278" s="686">
        <f>Table1[[#This Row],[Print Wth]]</f>
        <v>20</v>
      </c>
      <c r="Z1278" s="686">
        <f>Table1[[#This Row],[Print Ht]]</f>
        <v>16</v>
      </c>
      <c r="AA1278" s="727">
        <f>Table1[[#This Row],[Cut Width]]*Table1[[#This Row],[Cut Height]]/144</f>
        <v>2.2222222222222223</v>
      </c>
      <c r="AB1278" s="341">
        <f>Table1[[#This Row],[Print Wth]]*Table1[[#This Row],[Print Ht]]/144*EPSONM</f>
        <v>10</v>
      </c>
      <c r="AC1278" s="278">
        <f>Table1[[#This Row],[Substrate SF]]*Canvas</f>
        <v>1.4666666666666668</v>
      </c>
      <c r="AD1278" s="263">
        <f>Table1[[#This Row],[Ink g/mL]]*EPSONC</f>
        <v>2.2000000000000002</v>
      </c>
      <c r="AE1278" s="278">
        <f>IF(Table1[[#This Row],[Work Center]]="SwissQ",Materials!G$37,IF(Table1[[#This Row],[Work Center]]="Inca",Materials!G$29,IF(Table1[[#This Row],[Work Center]]="Canon",Materials!G$49,Materials!G$45)))</f>
        <v>5</v>
      </c>
      <c r="AF1278" s="1234">
        <f>'Cali Frames'!D254</f>
        <v>75</v>
      </c>
      <c r="AG1278" s="84"/>
      <c r="AH1278" s="278">
        <v>0</v>
      </c>
      <c r="AI1278" s="278"/>
      <c r="AJ1278" s="278">
        <f t="shared" ref="AJ1278:AJ1288" si="459">SUM(AC1278:AH1278)</f>
        <v>83.666666666666671</v>
      </c>
      <c r="AK1278" s="1192">
        <f t="shared" si="453"/>
        <v>0.50198412698412698</v>
      </c>
      <c r="AL1278" s="278">
        <f>Table1[[#This Row],[WSP/Dealer]]/Table1[[#This Row],[OD Sq Inch]]</f>
        <v>1.4358974358974359</v>
      </c>
      <c r="AM1278" s="170">
        <f>Table1[[#This Row],[OD Wdth]]*Table1[[#This Row],[OD Hgt]]</f>
        <v>117</v>
      </c>
      <c r="AN1278" s="274">
        <f>Table1[[#This Row],[Min VO]]+Table1[[#This Row],[Max VO]]</f>
        <v>20</v>
      </c>
      <c r="AO1278" s="84"/>
      <c r="AP1278" s="84"/>
      <c r="AQ1278" s="126"/>
      <c r="AR1278" s="126"/>
      <c r="AS1278" s="126"/>
      <c r="AT1278" s="74"/>
      <c r="AU1278" s="1357" t="str">
        <f t="shared" si="438"/>
        <v>-</v>
      </c>
    </row>
    <row r="1279" spans="1:47" s="173" customFormat="1" x14ac:dyDescent="0.2">
      <c r="A1279" s="86" t="s">
        <v>58</v>
      </c>
      <c r="B1279" s="1061" t="s">
        <v>366</v>
      </c>
      <c r="C1279" s="100" t="s">
        <v>3111</v>
      </c>
      <c r="D1279" s="94" t="s">
        <v>3112</v>
      </c>
      <c r="E1279" s="85" t="s">
        <v>3113</v>
      </c>
      <c r="F1279" s="85" t="s">
        <v>138</v>
      </c>
      <c r="G1279" s="86" t="s">
        <v>1938</v>
      </c>
      <c r="H1279" s="86" t="s">
        <v>1938</v>
      </c>
      <c r="I1279" s="86" t="s">
        <v>52</v>
      </c>
      <c r="J1279" s="86" t="s">
        <v>280</v>
      </c>
      <c r="K1279" s="86" t="s">
        <v>281</v>
      </c>
      <c r="L1279" s="86" t="s">
        <v>282</v>
      </c>
      <c r="M1279" s="87">
        <v>275</v>
      </c>
      <c r="N1279" s="639">
        <v>300</v>
      </c>
      <c r="O1279" s="551" t="s">
        <v>56</v>
      </c>
      <c r="P1279" s="101">
        <v>18</v>
      </c>
      <c r="Q1279" s="101">
        <v>18</v>
      </c>
      <c r="R1279" s="60">
        <v>18</v>
      </c>
      <c r="S1279" s="273">
        <v>18</v>
      </c>
      <c r="T1279" s="101">
        <v>18</v>
      </c>
      <c r="U1279" s="101" t="str">
        <f>RIGHT(H1279,2)</f>
        <v>18</v>
      </c>
      <c r="V1279" s="608">
        <f t="shared" si="457"/>
        <v>18</v>
      </c>
      <c r="W1279" s="608">
        <f t="shared" si="458"/>
        <v>18</v>
      </c>
      <c r="X1279" s="137" t="s">
        <v>283</v>
      </c>
      <c r="Y1279" s="101"/>
      <c r="Z1279" s="101"/>
      <c r="AA1279" s="649">
        <f t="shared" ref="AA1279:AA1285" si="460">V1279*W1279/144</f>
        <v>2.25</v>
      </c>
      <c r="AB1279" s="184">
        <f>AA1279*IncaG</f>
        <v>47.339999999999996</v>
      </c>
      <c r="AC1279" s="104">
        <f>MDFSHEET/10</f>
        <v>2.4350000000000001</v>
      </c>
      <c r="AD1279" s="107">
        <f>AA1279*IncaC</f>
        <v>3.7871999999999999</v>
      </c>
      <c r="AE1279" s="104">
        <f>IF(Table1[[#This Row],[Work Center]]="SwissQ",Materials!G$37,IF(Table1[[#This Row],[Work Center]]="Inca",Materials!G$29,IF(Table1[[#This Row],[Work Center]]="Canon",Materials!G$49,Materials!G$45)))</f>
        <v>8</v>
      </c>
      <c r="AF1279" s="104">
        <f>'Cali Frames'!D$536</f>
        <v>87.535000000000011</v>
      </c>
      <c r="AG1279" s="115"/>
      <c r="AH1279" s="498">
        <f t="shared" ref="AH1279:AH1294" si="461">(M1279*0.05)</f>
        <v>13.75</v>
      </c>
      <c r="AI1279" s="498"/>
      <c r="AJ1279" s="104">
        <f t="shared" si="459"/>
        <v>115.50720000000001</v>
      </c>
      <c r="AK1279" s="650">
        <f t="shared" si="453"/>
        <v>0.57997381818181815</v>
      </c>
      <c r="AL1279" s="225">
        <f>Table1[[#This Row],[WSP/Dealer]]/Table1[[#This Row],[OD Sq Inch]]</f>
        <v>0.84876543209876543</v>
      </c>
      <c r="AM1279" s="218">
        <f>Table1[[#This Row],[OD Wdth]]*Table1[[#This Row],[OD Hgt]]</f>
        <v>324</v>
      </c>
      <c r="AN1279" s="216">
        <f>Table1[[#This Row],[Min VO]]+Table1[[#This Row],[Max VO]]</f>
        <v>36</v>
      </c>
      <c r="AO1279" s="101"/>
      <c r="AP1279" s="101"/>
      <c r="AQ1279" s="104"/>
      <c r="AR1279" s="104"/>
      <c r="AS1279" s="104"/>
      <c r="AT1279" s="104"/>
      <c r="AU1279" s="830" t="str">
        <f t="shared" si="438"/>
        <v>-</v>
      </c>
    </row>
    <row r="1280" spans="1:47" s="45" customFormat="1" hidden="1" x14ac:dyDescent="0.2">
      <c r="A1280" s="180" t="s">
        <v>318</v>
      </c>
      <c r="B1280" s="1061" t="s">
        <v>319</v>
      </c>
      <c r="C1280" s="76" t="s">
        <v>3114</v>
      </c>
      <c r="D1280" s="94"/>
      <c r="E1280" s="284" t="s">
        <v>3115</v>
      </c>
      <c r="F1280" s="284" t="s">
        <v>138</v>
      </c>
      <c r="G1280" s="180" t="s">
        <v>139</v>
      </c>
      <c r="H1280" s="180" t="s">
        <v>139</v>
      </c>
      <c r="I1280" s="180" t="s">
        <v>52</v>
      </c>
      <c r="J1280" s="180" t="s">
        <v>280</v>
      </c>
      <c r="K1280" s="180" t="s">
        <v>281</v>
      </c>
      <c r="L1280" s="180" t="s">
        <v>282</v>
      </c>
      <c r="M1280" s="141">
        <v>280</v>
      </c>
      <c r="N1280" s="290"/>
      <c r="O1280" s="180" t="s">
        <v>64</v>
      </c>
      <c r="P1280" s="180">
        <v>24</v>
      </c>
      <c r="Q1280" s="180">
        <v>24</v>
      </c>
      <c r="R1280" s="180">
        <v>24</v>
      </c>
      <c r="S1280" s="813">
        <v>24</v>
      </c>
      <c r="T1280" s="180">
        <v>24</v>
      </c>
      <c r="U1280" s="180" t="str">
        <f>RIGHT(H1280,2)</f>
        <v>24</v>
      </c>
      <c r="V1280" s="947">
        <f t="shared" si="457"/>
        <v>24</v>
      </c>
      <c r="W1280" s="947">
        <f t="shared" si="458"/>
        <v>24</v>
      </c>
      <c r="X1280" s="289" t="s">
        <v>283</v>
      </c>
      <c r="Y1280" s="180">
        <v>24</v>
      </c>
      <c r="Z1280" s="180">
        <v>24</v>
      </c>
      <c r="AA1280" s="678">
        <f t="shared" si="460"/>
        <v>4</v>
      </c>
      <c r="AB1280" s="125">
        <f>AA1280*Swiss1</f>
        <v>113.2</v>
      </c>
      <c r="AC1280" s="176">
        <f>MDFSHEET/10</f>
        <v>2.4350000000000001</v>
      </c>
      <c r="AD1280" s="48">
        <f>Table1[[#This Row],[Substrate SF]]*Materials!C$37</f>
        <v>11.2</v>
      </c>
      <c r="AE1280" s="176">
        <f>IF(Table1[[#This Row],[Work Center]]="SwissQ",Materials!G$37,IF(Table1[[#This Row],[Work Center]]="Inca",Materials!G$29,IF(Table1[[#This Row],[Work Center]]="Canon",Materials!G$49,Materials!G$45)))</f>
        <v>20</v>
      </c>
      <c r="AF1280" s="176">
        <f>'Cali Frames'!D$536</f>
        <v>87.535000000000011</v>
      </c>
      <c r="AG1280" s="284"/>
      <c r="AH1280" s="176">
        <f t="shared" si="461"/>
        <v>14</v>
      </c>
      <c r="AI1280" s="176"/>
      <c r="AJ1280" s="176">
        <f t="shared" si="459"/>
        <v>135.17000000000002</v>
      </c>
      <c r="AK1280" s="1201">
        <f t="shared" si="453"/>
        <v>0.51724999999999999</v>
      </c>
      <c r="AL1280" s="176">
        <f>Table1[[#This Row],[WSP/Dealer]]/Table1[[#This Row],[OD Sq Inch]]</f>
        <v>0.4861111111111111</v>
      </c>
      <c r="AM1280" s="173">
        <f>Table1[[#This Row],[OD Wdth]]*Table1[[#This Row],[OD Hgt]]</f>
        <v>576</v>
      </c>
      <c r="AN1280" s="180">
        <f>Table1[[#This Row],[Min VO]]+Table1[[#This Row],[Max VO]]</f>
        <v>48</v>
      </c>
      <c r="AO1280" s="180"/>
      <c r="AP1280" s="1029"/>
      <c r="AQ1280" s="126"/>
      <c r="AR1280" s="278"/>
      <c r="AS1280" s="1146"/>
      <c r="AT1280" s="1147"/>
      <c r="AU1280" s="1201" t="str">
        <f t="shared" si="438"/>
        <v>-</v>
      </c>
    </row>
    <row r="1281" spans="1:47" s="63" customFormat="1" hidden="1" x14ac:dyDescent="0.2">
      <c r="A1281" s="86"/>
      <c r="B1281" s="1061"/>
      <c r="C1281" s="1474" t="s">
        <v>3116</v>
      </c>
      <c r="D1281" s="94"/>
      <c r="E1281" s="284" t="s">
        <v>3117</v>
      </c>
      <c r="F1281" s="284" t="s">
        <v>138</v>
      </c>
      <c r="G1281" s="86" t="s">
        <v>449</v>
      </c>
      <c r="H1281" s="86" t="s">
        <v>449</v>
      </c>
      <c r="I1281" s="86" t="s">
        <v>52</v>
      </c>
      <c r="J1281" s="86" t="s">
        <v>53</v>
      </c>
      <c r="K1281" s="86" t="s">
        <v>54</v>
      </c>
      <c r="L1281" s="86" t="s">
        <v>55</v>
      </c>
      <c r="M1281" s="87">
        <v>735</v>
      </c>
      <c r="N1281" s="639"/>
      <c r="O1281" s="551" t="s">
        <v>56</v>
      </c>
      <c r="P1281" s="101">
        <v>36</v>
      </c>
      <c r="Q1281" s="101">
        <v>36</v>
      </c>
      <c r="R1281" s="60">
        <v>36</v>
      </c>
      <c r="S1281" s="273">
        <v>36</v>
      </c>
      <c r="T1281" s="101">
        <v>36</v>
      </c>
      <c r="U1281" s="101">
        <v>36</v>
      </c>
      <c r="V1281" s="106">
        <f t="shared" si="457"/>
        <v>44</v>
      </c>
      <c r="W1281" s="106">
        <f t="shared" si="458"/>
        <v>44</v>
      </c>
      <c r="X1281" s="137">
        <v>53</v>
      </c>
      <c r="Y1281" s="101">
        <v>36</v>
      </c>
      <c r="Z1281" s="101">
        <v>36</v>
      </c>
      <c r="AA1281" s="649">
        <f t="shared" si="460"/>
        <v>13.444444444444445</v>
      </c>
      <c r="AB1281" s="184">
        <f>AA1281*IncaG</f>
        <v>282.87111111111108</v>
      </c>
      <c r="AC1281" s="104">
        <f>MDFSHEET/10</f>
        <v>2.4350000000000001</v>
      </c>
      <c r="AD1281" s="107">
        <f>AA1281*IncaC</f>
        <v>22.629688888888889</v>
      </c>
      <c r="AE1281" s="104">
        <f>IF(Table1[[#This Row],[Work Center]]="SwissQ",Materials!G$37,IF(Table1[[#This Row],[Work Center]]="Inca",Materials!G$29,IF(Table1[[#This Row],[Work Center]]="Canon",Materials!G$49,Materials!G$45)))</f>
        <v>8</v>
      </c>
      <c r="AF1281" s="104">
        <f>'Cali FPS'!C67</f>
        <v>83.46</v>
      </c>
      <c r="AG1281" s="115"/>
      <c r="AH1281" s="112">
        <f t="shared" si="461"/>
        <v>36.75</v>
      </c>
      <c r="AI1281" s="112"/>
      <c r="AJ1281" s="104">
        <f t="shared" si="459"/>
        <v>153.27468888888887</v>
      </c>
      <c r="AK1281" s="62">
        <f t="shared" si="453"/>
        <v>0.79146300831443683</v>
      </c>
      <c r="AL1281" s="225">
        <f>Table1[[#This Row],[WSP/Dealer]]/Table1[[#This Row],[OD Sq Inch]]</f>
        <v>0.56712962962962965</v>
      </c>
      <c r="AM1281" s="218">
        <f>Table1[[#This Row],[OD Wdth]]*Table1[[#This Row],[OD Hgt]]</f>
        <v>1296</v>
      </c>
      <c r="AN1281" s="216">
        <f>Table1[[#This Row],[Min VO]]+Table1[[#This Row],[Max VO]]</f>
        <v>72</v>
      </c>
      <c r="AO1281" s="101"/>
      <c r="AP1281" s="101"/>
      <c r="AQ1281" s="104"/>
      <c r="AR1281" s="104"/>
      <c r="AS1281" s="104"/>
      <c r="AT1281" s="104"/>
      <c r="AU1281" s="830" t="str">
        <f t="shared" si="438"/>
        <v>-</v>
      </c>
    </row>
    <row r="1282" spans="1:47" s="103" customFormat="1" x14ac:dyDescent="0.2">
      <c r="A1282" s="869" t="s">
        <v>58</v>
      </c>
      <c r="B1282" s="1149" t="s">
        <v>59</v>
      </c>
      <c r="C1282" s="888" t="s">
        <v>3118</v>
      </c>
      <c r="D1282" s="77"/>
      <c r="E1282" s="872" t="s">
        <v>3119</v>
      </c>
      <c r="F1282" s="872" t="s">
        <v>50</v>
      </c>
      <c r="G1282" s="869" t="s">
        <v>132</v>
      </c>
      <c r="H1282" s="869" t="s">
        <v>132</v>
      </c>
      <c r="I1282" s="869" t="s">
        <v>52</v>
      </c>
      <c r="J1282" s="873" t="s">
        <v>53</v>
      </c>
      <c r="K1282" s="869" t="s">
        <v>54</v>
      </c>
      <c r="L1282" s="869" t="s">
        <v>55</v>
      </c>
      <c r="M1282" s="890">
        <v>650</v>
      </c>
      <c r="N1282" s="890"/>
      <c r="O1282" s="869" t="s">
        <v>56</v>
      </c>
      <c r="P1282" s="869">
        <v>36</v>
      </c>
      <c r="Q1282" s="869">
        <v>48</v>
      </c>
      <c r="R1282" s="869">
        <v>36</v>
      </c>
      <c r="S1282" s="1690">
        <v>48</v>
      </c>
      <c r="T1282" s="868">
        <v>36</v>
      </c>
      <c r="U1282" s="868">
        <v>48</v>
      </c>
      <c r="V1282" s="174">
        <f t="shared" si="457"/>
        <v>44</v>
      </c>
      <c r="W1282" s="174">
        <f t="shared" si="458"/>
        <v>56</v>
      </c>
      <c r="X1282" s="869">
        <v>59</v>
      </c>
      <c r="Y1282" s="869">
        <v>44</v>
      </c>
      <c r="Z1282" s="869">
        <v>56</v>
      </c>
      <c r="AA1282" s="860">
        <f t="shared" si="460"/>
        <v>17.111111111111111</v>
      </c>
      <c r="AB1282" s="861">
        <f>AA1282*IncaG</f>
        <v>360.01777777777778</v>
      </c>
      <c r="AC1282" s="863">
        <f>AA1282*MDF</f>
        <v>16.926631944444445</v>
      </c>
      <c r="AD1282" s="876">
        <f>Table1[[#This Row],[Substrate SF]]*IncaC</f>
        <v>28.801422222222222</v>
      </c>
      <c r="AE1282" s="863">
        <f>IF(Table1[[#This Row],[Work Center]]="SwissQ",Materials!G$37,IF(Table1[[#This Row],[Work Center]]="Inca",Materials!G$29,IF(Table1[[#This Row],[Work Center]]="Canon",Materials!G$49,Materials!G$45)))</f>
        <v>8</v>
      </c>
      <c r="AF1282" s="882">
        <f>'Cali FPS'!C71</f>
        <v>114.31</v>
      </c>
      <c r="AG1282" s="872"/>
      <c r="AH1282" s="865">
        <f t="shared" si="461"/>
        <v>32.5</v>
      </c>
      <c r="AI1282" s="865"/>
      <c r="AJ1282" s="867">
        <f t="shared" si="459"/>
        <v>200.53805416666665</v>
      </c>
      <c r="AK1282" s="866">
        <f t="shared" si="453"/>
        <v>0.69147991666666664</v>
      </c>
      <c r="AL1282" s="867">
        <f>Table1[[#This Row],[WSP/Dealer]]/Table1[[#This Row],[OD Sq Inch]]</f>
        <v>0.37615740740740738</v>
      </c>
      <c r="AM1282" s="868">
        <f>Table1[[#This Row],[OD Wdth]]*Table1[[#This Row],[OD Hgt]]</f>
        <v>1728</v>
      </c>
      <c r="AN1282" s="869">
        <f>Table1[[#This Row],[Min VO]]+Table1[[#This Row],[Max VO]]</f>
        <v>84</v>
      </c>
      <c r="AO1282" s="872"/>
      <c r="AP1282" s="872"/>
      <c r="AQ1282" s="994"/>
      <c r="AR1282" s="994"/>
      <c r="AS1282" s="994"/>
      <c r="AT1282" s="867"/>
      <c r="AU1282" s="1373" t="str">
        <f t="shared" si="438"/>
        <v>-</v>
      </c>
    </row>
    <row r="1283" spans="1:47" s="103" customFormat="1" x14ac:dyDescent="0.2">
      <c r="A1283" s="274" t="s">
        <v>58</v>
      </c>
      <c r="B1283" s="1061" t="s">
        <v>59</v>
      </c>
      <c r="C1283" s="323" t="s">
        <v>3120</v>
      </c>
      <c r="D1283" s="94"/>
      <c r="E1283" s="275" t="s">
        <v>3119</v>
      </c>
      <c r="F1283" s="275" t="s">
        <v>50</v>
      </c>
      <c r="G1283" s="274" t="s">
        <v>132</v>
      </c>
      <c r="H1283" s="68" t="s">
        <v>3121</v>
      </c>
      <c r="I1283" s="68" t="s">
        <v>52</v>
      </c>
      <c r="J1283" s="140" t="s">
        <v>53</v>
      </c>
      <c r="K1283" s="68" t="s">
        <v>69</v>
      </c>
      <c r="L1283" s="68" t="s">
        <v>73</v>
      </c>
      <c r="M1283" s="93">
        <v>750</v>
      </c>
      <c r="N1283" s="93"/>
      <c r="O1283" s="68" t="s">
        <v>56</v>
      </c>
      <c r="P1283" s="68">
        <v>36</v>
      </c>
      <c r="Q1283" s="68">
        <v>48</v>
      </c>
      <c r="R1283" s="68">
        <v>36</v>
      </c>
      <c r="S1283" s="65">
        <v>48</v>
      </c>
      <c r="T1283" s="63">
        <v>37</v>
      </c>
      <c r="U1283" s="63">
        <v>49</v>
      </c>
      <c r="V1283" s="277">
        <f t="shared" si="457"/>
        <v>44</v>
      </c>
      <c r="W1283" s="277">
        <f t="shared" si="458"/>
        <v>56</v>
      </c>
      <c r="X1283" s="274">
        <v>59</v>
      </c>
      <c r="Y1283" s="274">
        <v>44</v>
      </c>
      <c r="Z1283" s="274">
        <v>56</v>
      </c>
      <c r="AA1283" s="699">
        <f t="shared" si="460"/>
        <v>17.111111111111111</v>
      </c>
      <c r="AB1283" s="297">
        <f>AA1283*IncaG</f>
        <v>360.01777777777778</v>
      </c>
      <c r="AC1283" s="74">
        <f>AA1283*MDF</f>
        <v>16.926631944444445</v>
      </c>
      <c r="AD1283" s="319">
        <f>Table1[[#This Row],[Substrate SF]]*IncaC</f>
        <v>28.801422222222222</v>
      </c>
      <c r="AE1283" s="74">
        <f>IF(Table1[[#This Row],[Work Center]]="SwissQ",Materials!G$37,IF(Table1[[#This Row],[Work Center]]="Inca",Materials!G$29,IF(Table1[[#This Row],[Work Center]]="Canon",Materials!G$49,Materials!G$45)))</f>
        <v>8</v>
      </c>
      <c r="AF1283" s="73">
        <f>'Cali Frames'!D436</f>
        <v>145.70500000000001</v>
      </c>
      <c r="AG1283" s="84"/>
      <c r="AH1283" s="67">
        <f t="shared" si="461"/>
        <v>37.5</v>
      </c>
      <c r="AI1283" s="67"/>
      <c r="AJ1283" s="74">
        <f t="shared" si="459"/>
        <v>236.93305416666669</v>
      </c>
      <c r="AK1283" s="661">
        <f t="shared" si="453"/>
        <v>0.68408926111111112</v>
      </c>
      <c r="AL1283" s="74">
        <f>Table1[[#This Row],[WSP/Dealer]]/Table1[[#This Row],[OD Sq Inch]]</f>
        <v>0.41367898510755652</v>
      </c>
      <c r="AM1283" s="63">
        <f>Table1[[#This Row],[OD Wdth]]*Table1[[#This Row],[OD Hgt]]</f>
        <v>1813</v>
      </c>
      <c r="AN1283" s="68">
        <f>Table1[[#This Row],[Min VO]]+Table1[[#This Row],[Max VO]]</f>
        <v>84</v>
      </c>
      <c r="AO1283" s="84"/>
      <c r="AP1283" s="84"/>
      <c r="AQ1283" s="126"/>
      <c r="AR1283" s="126"/>
      <c r="AS1283" s="126"/>
      <c r="AT1283" s="74"/>
      <c r="AU1283" s="1357" t="str">
        <f t="shared" si="438"/>
        <v>-</v>
      </c>
    </row>
    <row r="1284" spans="1:47" s="103" customFormat="1" x14ac:dyDescent="0.2">
      <c r="A1284" s="274" t="s">
        <v>58</v>
      </c>
      <c r="B1284" s="1061" t="s">
        <v>59</v>
      </c>
      <c r="C1284" s="323" t="s">
        <v>3122</v>
      </c>
      <c r="D1284" s="94"/>
      <c r="E1284" s="275" t="s">
        <v>3119</v>
      </c>
      <c r="F1284" s="275" t="s">
        <v>50</v>
      </c>
      <c r="G1284" s="274" t="s">
        <v>132</v>
      </c>
      <c r="H1284" s="68" t="s">
        <v>3121</v>
      </c>
      <c r="I1284" s="68" t="s">
        <v>52</v>
      </c>
      <c r="J1284" s="140" t="s">
        <v>53</v>
      </c>
      <c r="K1284" s="68" t="s">
        <v>69</v>
      </c>
      <c r="L1284" s="68" t="s">
        <v>70</v>
      </c>
      <c r="M1284" s="93">
        <v>750</v>
      </c>
      <c r="N1284" s="93"/>
      <c r="O1284" s="68" t="s">
        <v>56</v>
      </c>
      <c r="P1284" s="68">
        <v>36</v>
      </c>
      <c r="Q1284" s="68">
        <v>48</v>
      </c>
      <c r="R1284" s="68">
        <v>36</v>
      </c>
      <c r="S1284" s="623">
        <v>48</v>
      </c>
      <c r="T1284" s="63">
        <v>37</v>
      </c>
      <c r="U1284" s="63">
        <v>49</v>
      </c>
      <c r="V1284" s="277">
        <f t="shared" si="457"/>
        <v>44</v>
      </c>
      <c r="W1284" s="277">
        <f t="shared" si="458"/>
        <v>56</v>
      </c>
      <c r="X1284" s="274">
        <v>59</v>
      </c>
      <c r="Y1284" s="274">
        <v>44</v>
      </c>
      <c r="Z1284" s="274">
        <v>56</v>
      </c>
      <c r="AA1284" s="699">
        <f t="shared" si="460"/>
        <v>17.111111111111111</v>
      </c>
      <c r="AB1284" s="297">
        <f>AA1284*IncaG</f>
        <v>360.01777777777778</v>
      </c>
      <c r="AC1284" s="74">
        <f>AA1284*MDF</f>
        <v>16.926631944444445</v>
      </c>
      <c r="AD1284" s="319">
        <f>Table1[[#This Row],[Substrate SF]]*IncaC</f>
        <v>28.801422222222222</v>
      </c>
      <c r="AE1284" s="74">
        <f>IF(Table1[[#This Row],[Work Center]]="SwissQ",Materials!G$37,IF(Table1[[#This Row],[Work Center]]="Inca",Materials!G$29,IF(Table1[[#This Row],[Work Center]]="Canon",Materials!G$49,Materials!G$45)))</f>
        <v>8</v>
      </c>
      <c r="AF1284" s="73">
        <f>'Cali Frames'!D300</f>
        <v>164.8</v>
      </c>
      <c r="AG1284" s="84"/>
      <c r="AH1284" s="67">
        <f t="shared" si="461"/>
        <v>37.5</v>
      </c>
      <c r="AI1284" s="67"/>
      <c r="AJ1284" s="74">
        <f t="shared" si="459"/>
        <v>256.02805416666666</v>
      </c>
      <c r="AK1284" s="661">
        <f t="shared" si="453"/>
        <v>0.65862926111111109</v>
      </c>
      <c r="AL1284" s="74">
        <f>Table1[[#This Row],[WSP/Dealer]]/Table1[[#This Row],[OD Sq Inch]]</f>
        <v>0.41367898510755652</v>
      </c>
      <c r="AM1284" s="63">
        <f>Table1[[#This Row],[OD Wdth]]*Table1[[#This Row],[OD Hgt]]</f>
        <v>1813</v>
      </c>
      <c r="AN1284" s="68">
        <f>Table1[[#This Row],[Min VO]]+Table1[[#This Row],[Max VO]]</f>
        <v>84</v>
      </c>
      <c r="AO1284" s="84"/>
      <c r="AP1284" s="84"/>
      <c r="AQ1284" s="126"/>
      <c r="AR1284" s="126"/>
      <c r="AS1284" s="126"/>
      <c r="AT1284" s="74"/>
      <c r="AU1284" s="1357" t="str">
        <f t="shared" si="438"/>
        <v>-</v>
      </c>
    </row>
    <row r="1285" spans="1:47" s="103" customFormat="1" x14ac:dyDescent="0.2">
      <c r="A1285" s="274" t="s">
        <v>58</v>
      </c>
      <c r="B1285" s="1061" t="s">
        <v>59</v>
      </c>
      <c r="C1285" s="323" t="s">
        <v>3123</v>
      </c>
      <c r="D1285" s="94"/>
      <c r="E1285" s="275" t="s">
        <v>3119</v>
      </c>
      <c r="F1285" s="275" t="s">
        <v>50</v>
      </c>
      <c r="G1285" s="274" t="s">
        <v>132</v>
      </c>
      <c r="H1285" s="68" t="s">
        <v>3121</v>
      </c>
      <c r="I1285" s="68" t="s">
        <v>52</v>
      </c>
      <c r="J1285" s="140" t="s">
        <v>53</v>
      </c>
      <c r="K1285" s="68" t="s">
        <v>69</v>
      </c>
      <c r="L1285" s="68" t="s">
        <v>76</v>
      </c>
      <c r="M1285" s="93">
        <v>750</v>
      </c>
      <c r="N1285" s="93"/>
      <c r="O1285" s="68" t="s">
        <v>56</v>
      </c>
      <c r="P1285" s="68">
        <v>36</v>
      </c>
      <c r="Q1285" s="68">
        <v>48</v>
      </c>
      <c r="R1285" s="68">
        <v>36</v>
      </c>
      <c r="S1285" s="623">
        <v>48</v>
      </c>
      <c r="T1285" s="68">
        <v>37</v>
      </c>
      <c r="U1285" s="68">
        <v>49</v>
      </c>
      <c r="V1285" s="686">
        <f t="shared" si="457"/>
        <v>44</v>
      </c>
      <c r="W1285" s="686">
        <f t="shared" si="458"/>
        <v>56</v>
      </c>
      <c r="X1285" s="274">
        <v>59</v>
      </c>
      <c r="Y1285" s="274">
        <v>44</v>
      </c>
      <c r="Z1285" s="274">
        <v>56</v>
      </c>
      <c r="AA1285" s="699">
        <f t="shared" si="460"/>
        <v>17.111111111111111</v>
      </c>
      <c r="AB1285" s="297">
        <f>AA1285*IncaG</f>
        <v>360.01777777777778</v>
      </c>
      <c r="AC1285" s="74">
        <f>AA1285*MDF</f>
        <v>16.926631944444445</v>
      </c>
      <c r="AD1285" s="319">
        <f>Table1[[#This Row],[Substrate SF]]*IncaC</f>
        <v>28.801422222222222</v>
      </c>
      <c r="AE1285" s="74">
        <f>IF(Table1[[#This Row],[Work Center]]="SwissQ",Materials!G$37,IF(Table1[[#This Row],[Work Center]]="Inca",Materials!G$29,IF(Table1[[#This Row],[Work Center]]="Canon",Materials!G$49,Materials!G$45)))</f>
        <v>8</v>
      </c>
      <c r="AF1285" s="73">
        <f>'Cali Frames'!D371</f>
        <v>160</v>
      </c>
      <c r="AG1285" s="84"/>
      <c r="AH1285" s="74">
        <f t="shared" si="461"/>
        <v>37.5</v>
      </c>
      <c r="AI1285" s="74"/>
      <c r="AJ1285" s="74">
        <f t="shared" si="459"/>
        <v>251.22805416666665</v>
      </c>
      <c r="AK1285" s="1001">
        <f t="shared" si="453"/>
        <v>0.66502926111111116</v>
      </c>
      <c r="AL1285" s="74">
        <f>Table1[[#This Row],[WSP/Dealer]]/Table1[[#This Row],[OD Sq Inch]]</f>
        <v>0.41367898510755652</v>
      </c>
      <c r="AM1285" s="68">
        <f>Table1[[#This Row],[OD Wdth]]*Table1[[#This Row],[OD Hgt]]</f>
        <v>1813</v>
      </c>
      <c r="AN1285" s="68">
        <f>Table1[[#This Row],[Min VO]]+Table1[[#This Row],[Max VO]]</f>
        <v>84</v>
      </c>
      <c r="AO1285" s="84"/>
      <c r="AP1285" s="84"/>
      <c r="AQ1285" s="126"/>
      <c r="AR1285" s="126"/>
      <c r="AS1285" s="126"/>
      <c r="AT1285" s="74"/>
      <c r="AU1285" s="1357" t="str">
        <f t="shared" si="438"/>
        <v>-</v>
      </c>
    </row>
    <row r="1286" spans="1:47" s="144" customFormat="1" hidden="1" x14ac:dyDescent="0.2">
      <c r="A1286" s="101" t="s">
        <v>101</v>
      </c>
      <c r="B1286" s="1062" t="s">
        <v>486</v>
      </c>
      <c r="C1286" s="100" t="s">
        <v>3124</v>
      </c>
      <c r="D1286" s="168"/>
      <c r="E1286" s="115" t="s">
        <v>3125</v>
      </c>
      <c r="F1286" s="115" t="s">
        <v>138</v>
      </c>
      <c r="G1286" s="101" t="s">
        <v>139</v>
      </c>
      <c r="H1286" s="101" t="s">
        <v>139</v>
      </c>
      <c r="I1286" s="101" t="s">
        <v>52</v>
      </c>
      <c r="J1286" s="487" t="s">
        <v>53</v>
      </c>
      <c r="K1286" s="101" t="s">
        <v>54</v>
      </c>
      <c r="L1286" s="101" t="s">
        <v>55</v>
      </c>
      <c r="M1286" s="299">
        <v>185</v>
      </c>
      <c r="N1286" s="114"/>
      <c r="O1286" s="101" t="s">
        <v>56</v>
      </c>
      <c r="P1286" s="101">
        <v>24</v>
      </c>
      <c r="Q1286" s="101">
        <v>24</v>
      </c>
      <c r="R1286" s="101">
        <v>24</v>
      </c>
      <c r="S1286" s="697">
        <v>24</v>
      </c>
      <c r="T1286" s="101">
        <v>24</v>
      </c>
      <c r="U1286" s="697">
        <v>24</v>
      </c>
      <c r="V1286" s="106">
        <f>IF(J1286="Canvas",P1286+BorderGW,P1286)</f>
        <v>32</v>
      </c>
      <c r="W1286" s="106">
        <f>IF(J1286="Canvas",Q1286+BorderGW,Q1286)</f>
        <v>32</v>
      </c>
      <c r="X1286" s="101">
        <v>40</v>
      </c>
      <c r="Y1286" s="608">
        <f>Table1[[#This Row],[Print Wth]]</f>
        <v>32</v>
      </c>
      <c r="Z1286" s="608">
        <f>Table1[[#This Row],[Print Ht]]</f>
        <v>32</v>
      </c>
      <c r="AA1286" s="1011">
        <f>Table1[[#This Row],[Cut Width]]*Table1[[#This Row],[Cut Height]]/144</f>
        <v>7.1111111111111107</v>
      </c>
      <c r="AB1286" s="1015">
        <f>Table1[[#This Row],[Print Wth]]*Table1[[#This Row],[Print Ht]]/144*IncaG</f>
        <v>149.61777777777777</v>
      </c>
      <c r="AC1286" s="406">
        <f>Table1[[#This Row],[Substrate SF]]*Canvas</f>
        <v>4.6933333333333334</v>
      </c>
      <c r="AD1286" s="405">
        <f>(Table1[[#This Row],[Print Wth]]*Table1[[#This Row],[Print Ht]])/144*IncaC</f>
        <v>11.969422222222223</v>
      </c>
      <c r="AE1286" s="104">
        <f>IF(Table1[[#This Row],[Work Center]]="SwissQ",Materials!G$37,IF(Table1[[#This Row],[Work Center]]="Inca",Materials!G$29,IF(Table1[[#This Row],[Work Center]]="Canon",Materials!G$49,Materials!G$45)))</f>
        <v>8</v>
      </c>
      <c r="AF1286" s="102">
        <f>'Cali FPS'!C32</f>
        <v>63.47</v>
      </c>
      <c r="AG1286" s="115"/>
      <c r="AH1286" s="107">
        <f t="shared" si="461"/>
        <v>9.25</v>
      </c>
      <c r="AI1286" s="107"/>
      <c r="AJ1286" s="104">
        <f t="shared" si="459"/>
        <v>97.382755555555548</v>
      </c>
      <c r="AK1286" s="108">
        <f t="shared" si="453"/>
        <v>0.47360672672672677</v>
      </c>
      <c r="AL1286" s="104">
        <f>Table1[[#This Row],[WSP/Dealer]]/Table1[[#This Row],[OD Sq Inch]]</f>
        <v>0.32118055555555558</v>
      </c>
      <c r="AM1286" s="103">
        <f>Table1[[#This Row],[OD Wdth]]*Table1[[#This Row],[OD Hgt]]</f>
        <v>576</v>
      </c>
      <c r="AN1286" s="101">
        <f>Table1[[#This Row],[Min VO]]+Table1[[#This Row],[Max VO]]</f>
        <v>48</v>
      </c>
      <c r="AO1286" s="115"/>
      <c r="AP1286" s="115"/>
      <c r="AQ1286" s="121">
        <f>(Table1[[#This Row],[Desgnr/Retail P]]*0.05)</f>
        <v>0</v>
      </c>
      <c r="AR1286" s="121" t="b">
        <f>IF(A1286="Codarus",(AP1286*0.13))</f>
        <v>0</v>
      </c>
      <c r="AS1286" s="121" t="e" cm="1">
        <f t="array" ref="AS1286">SUM(AC1286:AG1286+AQ+AR)</f>
        <v>#NAME?</v>
      </c>
      <c r="AT1286" s="830" t="e">
        <f>(AP1286-AS1286)/AP1286</f>
        <v>#NAME?</v>
      </c>
      <c r="AU1286" s="1359" t="str">
        <f t="shared" ref="AU1286:AU1349" si="462">IF(AQ1286=0,"-",(AQ1286-AT1286)/AQ1286)</f>
        <v>-</v>
      </c>
    </row>
    <row r="1287" spans="1:47" s="20" customFormat="1" ht="14" hidden="1" customHeight="1" x14ac:dyDescent="0.2">
      <c r="A1287" s="551" t="s">
        <v>140</v>
      </c>
      <c r="B1287" s="1061" t="s">
        <v>141</v>
      </c>
      <c r="C1287" s="805" t="s">
        <v>3126</v>
      </c>
      <c r="D1287" s="94"/>
      <c r="E1287" s="653" t="s">
        <v>3125</v>
      </c>
      <c r="F1287" s="653" t="s">
        <v>138</v>
      </c>
      <c r="G1287" s="551" t="s">
        <v>139</v>
      </c>
      <c r="H1287" s="551" t="s">
        <v>139</v>
      </c>
      <c r="I1287" s="551" t="s">
        <v>52</v>
      </c>
      <c r="J1287" s="856" t="s">
        <v>280</v>
      </c>
      <c r="K1287" s="551" t="s">
        <v>281</v>
      </c>
      <c r="L1287" s="551" t="s">
        <v>282</v>
      </c>
      <c r="M1287" s="857">
        <v>350</v>
      </c>
      <c r="N1287" s="858">
        <f>Table1[[#This Row],[WSP/Dealer]]/0.35</f>
        <v>1000.0000000000001</v>
      </c>
      <c r="O1287" s="551" t="s">
        <v>56</v>
      </c>
      <c r="P1287" s="551">
        <v>24</v>
      </c>
      <c r="Q1287" s="551">
        <v>24</v>
      </c>
      <c r="R1287" s="551">
        <v>24</v>
      </c>
      <c r="S1287" s="984">
        <v>24</v>
      </c>
      <c r="T1287" s="551">
        <v>24</v>
      </c>
      <c r="U1287" s="984">
        <v>24</v>
      </c>
      <c r="V1287" s="859">
        <v>24</v>
      </c>
      <c r="W1287" s="859">
        <v>24</v>
      </c>
      <c r="X1287" s="311" t="s">
        <v>283</v>
      </c>
      <c r="Y1287" s="551">
        <v>24</v>
      </c>
      <c r="Z1287" s="551">
        <v>24</v>
      </c>
      <c r="AA1287" s="860">
        <f t="shared" ref="AA1287:AA1292" si="463">V1287*W1287/144</f>
        <v>4</v>
      </c>
      <c r="AB1287" s="861">
        <f>AA1287*IncaG</f>
        <v>84.16</v>
      </c>
      <c r="AC1287" s="863">
        <f>AA1287*MDF</f>
        <v>3.9568750000000006</v>
      </c>
      <c r="AD1287" s="876">
        <f>Table1[[#This Row],[Substrate SF]]*IncaC</f>
        <v>6.7328000000000001</v>
      </c>
      <c r="AE1287" s="863">
        <f>IF(Table1[[#This Row],[Work Center]]="SwissQ",Materials!G$37,IF(Table1[[#This Row],[Work Center]]="Inca",Materials!G$29,IF(Table1[[#This Row],[Work Center]]="Canon",Materials!G$49,Materials!G$45)))</f>
        <v>8</v>
      </c>
      <c r="AF1287" s="71">
        <f>'Cali Frames'!D538</f>
        <v>90.37</v>
      </c>
      <c r="AG1287" s="653"/>
      <c r="AH1287" s="865">
        <f t="shared" si="461"/>
        <v>17.5</v>
      </c>
      <c r="AI1287" s="865"/>
      <c r="AJ1287" s="867">
        <f t="shared" si="459"/>
        <v>126.559675</v>
      </c>
      <c r="AK1287" s="866">
        <f t="shared" si="453"/>
        <v>0.63840092857142861</v>
      </c>
      <c r="AL1287" s="867">
        <f>Table1[[#This Row],[WSP/Dealer]]/Table1[[#This Row],[OD Sq Inch]]</f>
        <v>0.60763888888888884</v>
      </c>
      <c r="AM1287" s="868">
        <f>Table1[[#This Row],[OD Wdth]]*Table1[[#This Row],[OD Hgt]]</f>
        <v>576</v>
      </c>
      <c r="AN1287" s="869">
        <f>Table1[[#This Row],[Min VO]]+Table1[[#This Row],[Max VO]]</f>
        <v>48</v>
      </c>
      <c r="AO1287" s="653"/>
      <c r="AP1287" s="653"/>
      <c r="AQ1287" s="864"/>
      <c r="AR1287" s="864"/>
      <c r="AS1287" s="864"/>
      <c r="AT1287" s="863"/>
      <c r="AU1287" s="1364" t="str">
        <f t="shared" si="462"/>
        <v>-</v>
      </c>
    </row>
    <row r="1288" spans="1:47" s="173" customFormat="1" ht="14" hidden="1" customHeight="1" x14ac:dyDescent="0.2">
      <c r="A1288" s="180"/>
      <c r="B1288" s="1073" t="s">
        <v>250</v>
      </c>
      <c r="C1288" s="302" t="s">
        <v>3127</v>
      </c>
      <c r="D1288" s="281"/>
      <c r="E1288" s="284" t="s">
        <v>3128</v>
      </c>
      <c r="F1288" s="284" t="s">
        <v>634</v>
      </c>
      <c r="G1288" s="180" t="s">
        <v>519</v>
      </c>
      <c r="H1288" s="180" t="s">
        <v>688</v>
      </c>
      <c r="I1288" s="180" t="s">
        <v>52</v>
      </c>
      <c r="J1288" s="310" t="s">
        <v>53</v>
      </c>
      <c r="K1288" s="180" t="s">
        <v>69</v>
      </c>
      <c r="L1288" s="180" t="s">
        <v>73</v>
      </c>
      <c r="M1288" s="285">
        <v>545</v>
      </c>
      <c r="N1288" s="285"/>
      <c r="O1288" s="180" t="s">
        <v>64</v>
      </c>
      <c r="P1288" s="180">
        <v>16</v>
      </c>
      <c r="Q1288" s="180">
        <v>20</v>
      </c>
      <c r="R1288" s="180">
        <v>16</v>
      </c>
      <c r="S1288" s="813">
        <v>20</v>
      </c>
      <c r="T1288" s="180">
        <v>17</v>
      </c>
      <c r="U1288" s="813">
        <v>21</v>
      </c>
      <c r="V1288" s="47">
        <f>IF(J1288="Canvas",P1288+BorderGW,P1288)</f>
        <v>24</v>
      </c>
      <c r="W1288" s="47">
        <f>IF(J1288="Canvas",Q1288+BorderGW,Q1288)</f>
        <v>28</v>
      </c>
      <c r="X1288" s="180">
        <v>40</v>
      </c>
      <c r="Y1288" s="947">
        <v>24</v>
      </c>
      <c r="Z1288" s="947">
        <v>28</v>
      </c>
      <c r="AA1288" s="717">
        <f t="shared" si="463"/>
        <v>4.666666666666667</v>
      </c>
      <c r="AB1288" s="125">
        <f>AA1288*Swiss1</f>
        <v>132.06666666666669</v>
      </c>
      <c r="AC1288" s="69">
        <f>AA1288*Canvas</f>
        <v>3.0800000000000005</v>
      </c>
      <c r="AD1288" s="48">
        <f>Table1[[#This Row],[Substrate SF]]*Materials!C$37</f>
        <v>13.066666666666666</v>
      </c>
      <c r="AE1288" s="69">
        <f>IF(Table1[[#This Row],[Work Center]]="SwissQ",Materials!G$37,IF(Table1[[#This Row],[Work Center]]="Inca",Materials!G$29,IF(Table1[[#This Row],[Work Center]]="Canon",Materials!G$49,Materials!G$45)))</f>
        <v>20</v>
      </c>
      <c r="AF1288" s="290">
        <f>'Cali Frames'!D414</f>
        <v>89.83</v>
      </c>
      <c r="AG1288" s="284"/>
      <c r="AH1288" s="48">
        <f t="shared" si="461"/>
        <v>27.25</v>
      </c>
      <c r="AI1288" s="48"/>
      <c r="AJ1288" s="69">
        <f t="shared" si="459"/>
        <v>153.22666666666666</v>
      </c>
      <c r="AK1288" s="62">
        <f t="shared" si="453"/>
        <v>0.71885015290519871</v>
      </c>
      <c r="AL1288" s="69">
        <f>Table1[[#This Row],[WSP/Dealer]]/Table1[[#This Row],[OD Sq Inch]]</f>
        <v>1.526610644257703</v>
      </c>
      <c r="AM1288" s="46">
        <f>Table1[[#This Row],[OD Wdth]]*Table1[[#This Row],[OD Hgt]]</f>
        <v>357</v>
      </c>
      <c r="AN1288" s="60">
        <f>Table1[[#This Row],[Min VO]]+Table1[[#This Row],[Max VO]]</f>
        <v>36</v>
      </c>
      <c r="AO1288" s="284"/>
      <c r="AP1288" s="284"/>
      <c r="AQ1288" s="296">
        <f>(Table1[[#This Row],[Desgnr/Retail P]]*0.05)</f>
        <v>0</v>
      </c>
      <c r="AR1288" s="296" t="b">
        <f>IF(A1288="Codarus",(AP1288*0.13))</f>
        <v>0</v>
      </c>
      <c r="AS1288" s="296" t="e" cm="1">
        <f t="array" ref="AS1288">SUM(AC1288:AG1288+AQ+AR)</f>
        <v>#NAME?</v>
      </c>
      <c r="AT1288" s="176" t="e">
        <f>(AP1288-AS1288)/AP1288</f>
        <v>#NAME?</v>
      </c>
      <c r="AU1288" s="1358" t="str">
        <f t="shared" si="462"/>
        <v>-</v>
      </c>
    </row>
    <row r="1289" spans="1:47" s="20" customFormat="1" ht="14" hidden="1" customHeight="1" x14ac:dyDescent="0.2">
      <c r="A1289" s="101" t="s">
        <v>110</v>
      </c>
      <c r="B1289" s="1062" t="s">
        <v>111</v>
      </c>
      <c r="C1289" s="1033" t="s">
        <v>3129</v>
      </c>
      <c r="D1289" s="168"/>
      <c r="E1289" s="115" t="s">
        <v>3130</v>
      </c>
      <c r="F1289" s="115" t="s">
        <v>448</v>
      </c>
      <c r="G1289" s="101" t="s">
        <v>2838</v>
      </c>
      <c r="H1289" s="101" t="s">
        <v>2838</v>
      </c>
      <c r="I1289" s="101" t="s">
        <v>52</v>
      </c>
      <c r="J1289" s="101" t="s">
        <v>53</v>
      </c>
      <c r="K1289" s="101" t="s">
        <v>54</v>
      </c>
      <c r="L1289" s="101" t="s">
        <v>55</v>
      </c>
      <c r="M1289" s="114">
        <v>1000</v>
      </c>
      <c r="N1289" s="829"/>
      <c r="O1289" s="988" t="s">
        <v>56</v>
      </c>
      <c r="P1289" s="988">
        <v>50</v>
      </c>
      <c r="Q1289" s="988">
        <v>60</v>
      </c>
      <c r="R1289" s="101">
        <v>50</v>
      </c>
      <c r="S1289" s="697">
        <v>60</v>
      </c>
      <c r="T1289" s="697">
        <f>Table1[[#This Row],[VO Wdth]]</f>
        <v>50</v>
      </c>
      <c r="U1289" s="697">
        <f>Table1[[#This Row],[VO Hgt]]</f>
        <v>60</v>
      </c>
      <c r="V1289" s="106">
        <f>IF(J1289="Canvas",P1289+BorderGW,P1289)</f>
        <v>58</v>
      </c>
      <c r="W1289" s="106">
        <f>IF(J1289="Canvas",Q1289+BorderGW,Q1289)</f>
        <v>68</v>
      </c>
      <c r="X1289" s="137">
        <v>69</v>
      </c>
      <c r="Y1289" s="101">
        <v>58</v>
      </c>
      <c r="Z1289" s="101">
        <v>68</v>
      </c>
      <c r="AA1289" s="649">
        <f t="shared" si="463"/>
        <v>27.388888888888889</v>
      </c>
      <c r="AB1289" s="184">
        <f>AA1289*IncaG</f>
        <v>576.26222222222225</v>
      </c>
      <c r="AC1289" s="1141">
        <f>AA1289*Canvas</f>
        <v>18.076666666666668</v>
      </c>
      <c r="AD1289" s="107">
        <f>AA1289*IncaC</f>
        <v>46.100977777777778</v>
      </c>
      <c r="AE1289" s="104">
        <f>IF(Table1[[#This Row],[Work Center]]="SwissQ",Materials!G$37,IF(Table1[[#This Row],[Work Center]]="Inca",Materials!G$29,IF(Table1[[#This Row],[Work Center]]="Canon",Materials!G$49,Materials!G$45)))</f>
        <v>8</v>
      </c>
      <c r="AF1289" s="104">
        <f>'Cali FPS'!C$131</f>
        <v>176.4</v>
      </c>
      <c r="AG1289" s="115"/>
      <c r="AH1289" s="406">
        <f t="shared" si="461"/>
        <v>50</v>
      </c>
      <c r="AI1289" s="406">
        <f>IF(A1289="Codarus",(M1289*0.13))</f>
        <v>130</v>
      </c>
      <c r="AJ1289" s="107">
        <f>SUM(AC1289:AI1289)</f>
        <v>428.57764444444445</v>
      </c>
      <c r="AK1289" s="1065">
        <f t="shared" si="453"/>
        <v>0.57142235555555554</v>
      </c>
      <c r="AL1289" s="406">
        <f>Table1[[#This Row],[WSP/Dealer]]/Table1[[#This Row],[OD Sq Inch]]</f>
        <v>0.33333333333333331</v>
      </c>
      <c r="AM1289" s="399">
        <f>Table1[[#This Row],[OD Wdth]]*Table1[[#This Row],[OD Hgt]]</f>
        <v>3000</v>
      </c>
      <c r="AN1289" s="400">
        <f>Table1[[#This Row],[Min VO]]+Table1[[#This Row],[Max VO]]</f>
        <v>110</v>
      </c>
      <c r="AO1289" s="101"/>
      <c r="AP1289" s="104">
        <v>2000</v>
      </c>
      <c r="AQ1289" s="121">
        <f>(Table1[[#This Row],[Desgnr/Retail P]]*0.05)</f>
        <v>100</v>
      </c>
      <c r="AR1289" s="121">
        <f>IF(A1289="Codarus",(AP1289*0.13))</f>
        <v>260</v>
      </c>
      <c r="AS1289" s="121">
        <f>SUM(Table1[[#This Row],[Substrate $]:[GP FINISH]])+Table1[[#This Row],[Retail Royalty]]+Table1[[#This Row],[Retail$Comm]]</f>
        <v>608.57764444444445</v>
      </c>
      <c r="AT1289" s="830">
        <f>IF(AP1289=0,"-",(AP1289-AS1289)/AP1289)</f>
        <v>0.69571117777777769</v>
      </c>
      <c r="AU1289" s="830">
        <f t="shared" si="462"/>
        <v>0.9930428882222222</v>
      </c>
    </row>
    <row r="1290" spans="1:47" s="159" customFormat="1" x14ac:dyDescent="0.2">
      <c r="A1290" s="86" t="s">
        <v>58</v>
      </c>
      <c r="B1290" s="1061" t="s">
        <v>366</v>
      </c>
      <c r="C1290" s="100" t="s">
        <v>3131</v>
      </c>
      <c r="D1290" s="94" t="s">
        <v>3132</v>
      </c>
      <c r="E1290" s="85" t="s">
        <v>3130</v>
      </c>
      <c r="F1290" s="85" t="s">
        <v>448</v>
      </c>
      <c r="G1290" s="86" t="s">
        <v>2838</v>
      </c>
      <c r="H1290" s="86" t="s">
        <v>3133</v>
      </c>
      <c r="I1290" s="86" t="s">
        <v>52</v>
      </c>
      <c r="J1290" s="86" t="s">
        <v>53</v>
      </c>
      <c r="K1290" s="86" t="s">
        <v>82</v>
      </c>
      <c r="L1290" s="86" t="s">
        <v>83</v>
      </c>
      <c r="M1290" s="87">
        <v>1441</v>
      </c>
      <c r="N1290" s="639">
        <v>1300</v>
      </c>
      <c r="O1290" s="798" t="s">
        <v>56</v>
      </c>
      <c r="P1290" s="101">
        <v>50</v>
      </c>
      <c r="Q1290" s="101">
        <v>60</v>
      </c>
      <c r="R1290" s="60">
        <v>50</v>
      </c>
      <c r="S1290" s="273">
        <v>60</v>
      </c>
      <c r="T1290" s="101">
        <v>52</v>
      </c>
      <c r="U1290" s="101" t="str">
        <f>RIGHT(H1290,2)</f>
        <v>60</v>
      </c>
      <c r="V1290" s="608">
        <f>IF(J1290="Canvas",P1290+Border,P1290)</f>
        <v>58</v>
      </c>
      <c r="W1290" s="608">
        <f>IF(J1290="Canvas",Q1290+Border,Q1290)</f>
        <v>68</v>
      </c>
      <c r="X1290" s="189">
        <v>69</v>
      </c>
      <c r="Y1290" s="68"/>
      <c r="Z1290" s="68"/>
      <c r="AA1290" s="649">
        <f t="shared" si="463"/>
        <v>27.388888888888889</v>
      </c>
      <c r="AB1290" s="125">
        <f>AA1290*IncaG</f>
        <v>576.26222222222225</v>
      </c>
      <c r="AC1290" s="104">
        <f>AA1290*Canvas</f>
        <v>18.076666666666668</v>
      </c>
      <c r="AD1290" s="104">
        <f>AA1290*IncaC</f>
        <v>46.100977777777778</v>
      </c>
      <c r="AE1290" s="104">
        <f>IF(Table1[[#This Row],[Work Center]]="SwissQ",Materials!G$37,IF(Table1[[#This Row],[Work Center]]="Inca",Materials!G$29,IF(Table1[[#This Row],[Work Center]]="Canon",Materials!G$49,Materials!G$45)))</f>
        <v>8</v>
      </c>
      <c r="AF1290" s="104">
        <f>'Cali Frames'!D$159</f>
        <v>236.18</v>
      </c>
      <c r="AG1290" s="115"/>
      <c r="AH1290" s="498">
        <f t="shared" si="461"/>
        <v>72.05</v>
      </c>
      <c r="AI1290" s="498"/>
      <c r="AJ1290" s="104">
        <f>SUM(AC1290:AH1290)</f>
        <v>380.40764444444443</v>
      </c>
      <c r="AK1290" s="650">
        <f t="shared" si="453"/>
        <v>0.73601135014264785</v>
      </c>
      <c r="AL1290" s="225">
        <f>Table1[[#This Row],[WSP/Dealer]]/Table1[[#This Row],[OD Sq Inch]]</f>
        <v>0.46185897435897438</v>
      </c>
      <c r="AM1290" s="216">
        <f>Table1[[#This Row],[OD Wdth]]*Table1[[#This Row],[OD Hgt]]</f>
        <v>3120</v>
      </c>
      <c r="AN1290" s="216">
        <f>Table1[[#This Row],[Min VO]]+Table1[[#This Row],[Max VO]]</f>
        <v>110</v>
      </c>
      <c r="AO1290" s="101"/>
      <c r="AP1290" s="101"/>
      <c r="AQ1290" s="104"/>
      <c r="AR1290" s="104"/>
      <c r="AS1290" s="104"/>
      <c r="AT1290" s="104"/>
      <c r="AU1290" s="830" t="str">
        <f t="shared" si="462"/>
        <v>-</v>
      </c>
    </row>
    <row r="1291" spans="1:47" s="144" customFormat="1" x14ac:dyDescent="0.2">
      <c r="A1291" s="60" t="s">
        <v>58</v>
      </c>
      <c r="B1291" s="1106" t="s">
        <v>111</v>
      </c>
      <c r="C1291" s="654" t="s">
        <v>3134</v>
      </c>
      <c r="D1291" s="79"/>
      <c r="E1291" s="83" t="s">
        <v>3135</v>
      </c>
      <c r="F1291" s="83" t="s">
        <v>567</v>
      </c>
      <c r="G1291" s="60" t="s">
        <v>3136</v>
      </c>
      <c r="H1291" s="60" t="s">
        <v>3136</v>
      </c>
      <c r="I1291" s="60" t="s">
        <v>52</v>
      </c>
      <c r="J1291" s="59" t="s">
        <v>53</v>
      </c>
      <c r="K1291" s="60" t="s">
        <v>54</v>
      </c>
      <c r="L1291" s="60" t="s">
        <v>55</v>
      </c>
      <c r="M1291" s="179">
        <v>420</v>
      </c>
      <c r="N1291" s="124"/>
      <c r="O1291" s="655" t="s">
        <v>56</v>
      </c>
      <c r="P1291" s="655">
        <v>25</v>
      </c>
      <c r="Q1291" s="655">
        <v>33</v>
      </c>
      <c r="R1291" s="60">
        <v>25</v>
      </c>
      <c r="S1291" s="273">
        <v>33</v>
      </c>
      <c r="T1291" s="273">
        <v>25</v>
      </c>
      <c r="U1291" s="273">
        <v>33</v>
      </c>
      <c r="V1291" s="47">
        <f>IF(J1291="Canvas",P1291+BorderGW,P1291)</f>
        <v>33</v>
      </c>
      <c r="W1291" s="47">
        <f>IF(J1291="Canvas",Q1291+BorderGW,Q1291)</f>
        <v>41</v>
      </c>
      <c r="X1291" s="60">
        <v>40</v>
      </c>
      <c r="Y1291" s="60">
        <v>33</v>
      </c>
      <c r="Z1291" s="60">
        <v>41</v>
      </c>
      <c r="AA1291" s="717">
        <f t="shared" si="463"/>
        <v>9.3958333333333339</v>
      </c>
      <c r="AB1291" s="125">
        <f>AA1291*IncaG</f>
        <v>197.68833333333333</v>
      </c>
      <c r="AC1291" s="818">
        <f>AA1291*Canvas</f>
        <v>6.2012500000000008</v>
      </c>
      <c r="AD1291" s="48">
        <f>AA1291*IncaC</f>
        <v>15.815066666666668</v>
      </c>
      <c r="AE1291" s="69">
        <f>IF(Table1[[#This Row],[Work Center]]="SwissQ",Materials!G$37,IF(Table1[[#This Row],[Work Center]]="Inca",Materials!G$29,IF(Table1[[#This Row],[Work Center]]="Canon",Materials!G$49,Materials!G$45)))</f>
        <v>8</v>
      </c>
      <c r="AF1291" s="72">
        <f>'Cali FPS'!C41</f>
        <v>79</v>
      </c>
      <c r="AG1291" s="83"/>
      <c r="AH1291" s="175">
        <f t="shared" si="461"/>
        <v>21</v>
      </c>
      <c r="AI1291" s="175"/>
      <c r="AJ1291" s="176">
        <f>SUM(AC1291:AH1291)</f>
        <v>130.01631666666668</v>
      </c>
      <c r="AK1291" s="676">
        <f t="shared" si="453"/>
        <v>0.69043734126984124</v>
      </c>
      <c r="AL1291" s="176">
        <f>Table1[[#This Row],[WSP/Dealer]]/Table1[[#This Row],[OD Sq Inch]]</f>
        <v>0.50909090909090904</v>
      </c>
      <c r="AM1291" s="173">
        <f>Table1[[#This Row],[OD Wdth]]*Table1[[#This Row],[OD Hgt]]</f>
        <v>825</v>
      </c>
      <c r="AN1291" s="180">
        <f>Table1[[#This Row],[Min VO]]+Table1[[#This Row],[Max VO]]</f>
        <v>58</v>
      </c>
      <c r="AO1291" s="83"/>
      <c r="AP1291" s="83"/>
      <c r="AQ1291" s="540"/>
      <c r="AR1291" s="540"/>
      <c r="AS1291" s="540"/>
      <c r="AT1291" s="69"/>
      <c r="AU1291" s="1361" t="str">
        <f t="shared" si="462"/>
        <v>-</v>
      </c>
    </row>
    <row r="1292" spans="1:47" s="144" customFormat="1" x14ac:dyDescent="0.2">
      <c r="A1292" s="60" t="s">
        <v>58</v>
      </c>
      <c r="B1292" s="1106" t="s">
        <v>111</v>
      </c>
      <c r="C1292" s="654" t="s">
        <v>3137</v>
      </c>
      <c r="D1292" s="79"/>
      <c r="E1292" s="83" t="s">
        <v>3138</v>
      </c>
      <c r="F1292" s="83" t="s">
        <v>567</v>
      </c>
      <c r="G1292" s="60" t="s">
        <v>3136</v>
      </c>
      <c r="H1292" s="60" t="s">
        <v>3136</v>
      </c>
      <c r="I1292" s="60" t="s">
        <v>52</v>
      </c>
      <c r="J1292" s="59" t="s">
        <v>53</v>
      </c>
      <c r="K1292" s="60" t="s">
        <v>54</v>
      </c>
      <c r="L1292" s="60" t="s">
        <v>55</v>
      </c>
      <c r="M1292" s="179">
        <v>420</v>
      </c>
      <c r="N1292" s="124"/>
      <c r="O1292" s="655" t="s">
        <v>56</v>
      </c>
      <c r="P1292" s="655">
        <v>25</v>
      </c>
      <c r="Q1292" s="655">
        <v>33</v>
      </c>
      <c r="R1292" s="60">
        <v>25</v>
      </c>
      <c r="S1292" s="273">
        <v>33</v>
      </c>
      <c r="T1292" s="273">
        <v>25</v>
      </c>
      <c r="U1292" s="273">
        <v>33</v>
      </c>
      <c r="V1292" s="946">
        <f>IF(J1292="Canvas",P1292+BorderGW,P1292)</f>
        <v>33</v>
      </c>
      <c r="W1292" s="946">
        <f>IF(J1292="Canvas",Q1292+BorderGW,Q1292)</f>
        <v>41</v>
      </c>
      <c r="X1292" s="60">
        <v>40</v>
      </c>
      <c r="Y1292" s="60">
        <v>33</v>
      </c>
      <c r="Z1292" s="60">
        <v>41</v>
      </c>
      <c r="AA1292" s="717">
        <f t="shared" si="463"/>
        <v>9.3958333333333339</v>
      </c>
      <c r="AB1292" s="125">
        <f>AA1292*IncaG</f>
        <v>197.68833333333333</v>
      </c>
      <c r="AC1292" s="818">
        <f>AA1292*Canvas</f>
        <v>6.2012500000000008</v>
      </c>
      <c r="AD1292" s="48">
        <f>AA1292*IncaC</f>
        <v>15.815066666666668</v>
      </c>
      <c r="AE1292" s="69">
        <f>IF(Table1[[#This Row],[Work Center]]="SwissQ",Materials!G$37,IF(Table1[[#This Row],[Work Center]]="Inca",Materials!G$29,IF(Table1[[#This Row],[Work Center]]="Canon",Materials!G$49,Materials!G$45)))</f>
        <v>8</v>
      </c>
      <c r="AF1292" s="72">
        <f>'Cali FPS'!C41</f>
        <v>79</v>
      </c>
      <c r="AG1292" s="83"/>
      <c r="AH1292" s="176">
        <f t="shared" si="461"/>
        <v>21</v>
      </c>
      <c r="AI1292" s="176"/>
      <c r="AJ1292" s="176">
        <f>SUM(AC1292:AH1292)</f>
        <v>130.01631666666668</v>
      </c>
      <c r="AK1292" s="1201">
        <f t="shared" si="453"/>
        <v>0.69043734126984124</v>
      </c>
      <c r="AL1292" s="176">
        <f>Table1[[#This Row],[WSP/Dealer]]/Table1[[#This Row],[OD Sq Inch]]</f>
        <v>0.50909090909090904</v>
      </c>
      <c r="AM1292" s="173">
        <f>Table1[[#This Row],[OD Wdth]]*Table1[[#This Row],[OD Hgt]]</f>
        <v>825</v>
      </c>
      <c r="AN1292" s="180">
        <f>Table1[[#This Row],[Min VO]]+Table1[[#This Row],[Max VO]]</f>
        <v>58</v>
      </c>
      <c r="AO1292" s="83"/>
      <c r="AP1292" s="83"/>
      <c r="AQ1292" s="540"/>
      <c r="AR1292" s="540"/>
      <c r="AS1292" s="540"/>
      <c r="AT1292" s="69"/>
      <c r="AU1292" s="1361" t="str">
        <f t="shared" si="462"/>
        <v>-</v>
      </c>
    </row>
    <row r="1293" spans="1:47" s="170" customFormat="1" hidden="1" x14ac:dyDescent="0.2">
      <c r="A1293" s="68" t="s">
        <v>101</v>
      </c>
      <c r="B1293" s="1072" t="s">
        <v>102</v>
      </c>
      <c r="C1293" s="1121" t="s">
        <v>3139</v>
      </c>
      <c r="D1293" s="94"/>
      <c r="E1293" s="84" t="s">
        <v>3140</v>
      </c>
      <c r="F1293" s="84" t="s">
        <v>634</v>
      </c>
      <c r="G1293" s="68" t="s">
        <v>100</v>
      </c>
      <c r="H1293" s="68" t="s">
        <v>100</v>
      </c>
      <c r="I1293" s="68" t="s">
        <v>52</v>
      </c>
      <c r="J1293" s="140" t="s">
        <v>53</v>
      </c>
      <c r="K1293" s="68" t="s">
        <v>54</v>
      </c>
      <c r="L1293" s="68" t="s">
        <v>55</v>
      </c>
      <c r="M1293" s="141">
        <v>245</v>
      </c>
      <c r="N1293" s="93"/>
      <c r="O1293" s="798" t="s">
        <v>56</v>
      </c>
      <c r="P1293" s="798">
        <v>24</v>
      </c>
      <c r="Q1293" s="798">
        <v>36</v>
      </c>
      <c r="R1293" s="68">
        <v>24</v>
      </c>
      <c r="S1293" s="623">
        <v>36</v>
      </c>
      <c r="T1293" s="623">
        <v>24</v>
      </c>
      <c r="U1293" s="623">
        <v>36</v>
      </c>
      <c r="V1293" s="917">
        <f t="shared" ref="V1293:V1301" si="464">IF(J1293="Canvas",P1293+Border,P1293)</f>
        <v>32</v>
      </c>
      <c r="W1293" s="917">
        <f t="shared" ref="W1293:W1301" si="465">IF(J1293="Canvas",Q1293+Border,Q1293)</f>
        <v>44</v>
      </c>
      <c r="X1293" s="68">
        <v>40</v>
      </c>
      <c r="Y1293" s="917">
        <f>Table1[[#This Row],[Print Wth]]</f>
        <v>32</v>
      </c>
      <c r="Z1293" s="917">
        <f>Table1[[#This Row],[Print Ht]]</f>
        <v>44</v>
      </c>
      <c r="AA1293" s="1027">
        <f>Table1[[#This Row],[Cut Width]]*Table1[[#This Row],[Cut Height]]/144</f>
        <v>9.7777777777777786</v>
      </c>
      <c r="AB1293" s="1130">
        <f>Table1[[#This Row],[Print Wth]]*Table1[[#This Row],[Print Ht]]/144*IncaG</f>
        <v>205.72444444444446</v>
      </c>
      <c r="AC1293" s="278">
        <f>Table1[[#This Row],[Substrate SF]]*Canvas</f>
        <v>6.453333333333334</v>
      </c>
      <c r="AD1293" s="263">
        <f>(Table1[[#This Row],[Print Wth]]*Table1[[#This Row],[Print Ht]])/144*IncaC</f>
        <v>16.457955555555557</v>
      </c>
      <c r="AE1293" s="74">
        <f>IF(Table1[[#This Row],[Work Center]]="SwissQ",Materials!G$37,IF(Table1[[#This Row],[Work Center]]="Inca",Materials!G$29,IF(Table1[[#This Row],[Work Center]]="Canon",Materials!G$49,Materials!G$45)))</f>
        <v>8</v>
      </c>
      <c r="AF1293" s="73">
        <f>'Cali FPS'!C37</f>
        <v>75.162500000000009</v>
      </c>
      <c r="AG1293" s="84"/>
      <c r="AH1293" s="278">
        <f t="shared" si="461"/>
        <v>12.25</v>
      </c>
      <c r="AI1293" s="278"/>
      <c r="AJ1293" s="278">
        <f>SUM(AC1293:AH1293)</f>
        <v>118.3237888888889</v>
      </c>
      <c r="AK1293" s="1192">
        <f t="shared" si="453"/>
        <v>0.51704575963718813</v>
      </c>
      <c r="AL1293" s="278">
        <f>Table1[[#This Row],[WSP/Dealer]]/Table1[[#This Row],[OD Sq Inch]]</f>
        <v>0.28356481481481483</v>
      </c>
      <c r="AM1293" s="170">
        <f>Table1[[#This Row],[OD Wdth]]*Table1[[#This Row],[OD Hgt]]</f>
        <v>864</v>
      </c>
      <c r="AN1293" s="274">
        <f>Table1[[#This Row],[Min VO]]+Table1[[#This Row],[Max VO]]</f>
        <v>60</v>
      </c>
      <c r="AO1293" s="84"/>
      <c r="AP1293" s="84"/>
      <c r="AQ1293" s="126"/>
      <c r="AR1293" s="126"/>
      <c r="AS1293" s="126"/>
      <c r="AT1293" s="74"/>
      <c r="AU1293" s="1357" t="str">
        <f t="shared" si="462"/>
        <v>-</v>
      </c>
    </row>
    <row r="1294" spans="1:47" s="103" customFormat="1" hidden="1" x14ac:dyDescent="0.2">
      <c r="A1294" s="101" t="s">
        <v>110</v>
      </c>
      <c r="B1294" s="1064" t="s">
        <v>134</v>
      </c>
      <c r="C1294" s="1033" t="s">
        <v>3141</v>
      </c>
      <c r="D1294" s="168"/>
      <c r="E1294" s="115" t="s">
        <v>3142</v>
      </c>
      <c r="F1294" s="115" t="s">
        <v>634</v>
      </c>
      <c r="G1294" s="101" t="s">
        <v>1290</v>
      </c>
      <c r="H1294" s="101" t="s">
        <v>3143</v>
      </c>
      <c r="I1294" s="101" t="s">
        <v>52</v>
      </c>
      <c r="J1294" s="487" t="s">
        <v>53</v>
      </c>
      <c r="K1294" s="101" t="s">
        <v>69</v>
      </c>
      <c r="L1294" s="101" t="s">
        <v>70</v>
      </c>
      <c r="M1294" s="299">
        <v>350</v>
      </c>
      <c r="N1294" s="114"/>
      <c r="O1294" s="988" t="s">
        <v>56</v>
      </c>
      <c r="P1294" s="988">
        <v>20</v>
      </c>
      <c r="Q1294" s="988">
        <v>30</v>
      </c>
      <c r="R1294" s="101">
        <v>20</v>
      </c>
      <c r="S1294" s="697">
        <v>30</v>
      </c>
      <c r="T1294" s="697">
        <v>21</v>
      </c>
      <c r="U1294" s="697">
        <v>31</v>
      </c>
      <c r="V1294" s="106">
        <f t="shared" si="464"/>
        <v>28</v>
      </c>
      <c r="W1294" s="106">
        <f t="shared" si="465"/>
        <v>38</v>
      </c>
      <c r="X1294" s="137">
        <v>40</v>
      </c>
      <c r="Y1294" s="101">
        <v>28</v>
      </c>
      <c r="Z1294" s="101">
        <v>38</v>
      </c>
      <c r="AA1294" s="649">
        <f>V1294*W1294/144</f>
        <v>7.3888888888888893</v>
      </c>
      <c r="AB1294" s="184">
        <f>AA1294*IncaG</f>
        <v>155.46222222222224</v>
      </c>
      <c r="AC1294" s="1141">
        <f>AA1294*Canvas</f>
        <v>4.8766666666666669</v>
      </c>
      <c r="AD1294" s="107">
        <f>AA1294*IncaC</f>
        <v>12.436977777777779</v>
      </c>
      <c r="AE1294" s="104">
        <f>IF(Table1[[#This Row],[Work Center]]="SwissQ",Materials!G$37,IF(Table1[[#This Row],[Work Center]]="Inca",Materials!G$29,IF(Table1[[#This Row],[Work Center]]="Canon",Materials!G$49,Materials!G$45)))</f>
        <v>8</v>
      </c>
      <c r="AF1294" s="102">
        <f>'Cali Frames'!D274</f>
        <v>89.16</v>
      </c>
      <c r="AG1294" s="115"/>
      <c r="AH1294" s="406">
        <f t="shared" si="461"/>
        <v>17.5</v>
      </c>
      <c r="AI1294" s="406">
        <f>IF(A1294="Codarus",(M1294*0.13))</f>
        <v>45.5</v>
      </c>
      <c r="AJ1294" s="104">
        <f>SUM(AC1294:AI1294)</f>
        <v>177.47364444444446</v>
      </c>
      <c r="AK1294" s="1065">
        <f t="shared" ref="AK1294:AK1325" si="466">(M1294-AJ1294)/M1294</f>
        <v>0.4929324444444444</v>
      </c>
      <c r="AL1294" s="406">
        <f>Table1[[#This Row],[WSP/Dealer]]/Table1[[#This Row],[OD Sq Inch]]</f>
        <v>0.5376344086021505</v>
      </c>
      <c r="AM1294" s="399">
        <f>Table1[[#This Row],[OD Wdth]]*Table1[[#This Row],[OD Hgt]]</f>
        <v>651</v>
      </c>
      <c r="AN1294" s="400">
        <f>Table1[[#This Row],[Min VO]]+Table1[[#This Row],[Max VO]]</f>
        <v>50</v>
      </c>
      <c r="AO1294" s="115"/>
      <c r="AP1294" s="1307">
        <f>(M1294*2)</f>
        <v>700</v>
      </c>
      <c r="AQ1294" s="121">
        <f>(Table1[[#This Row],[Desgnr/Retail P]]*0.05)</f>
        <v>35</v>
      </c>
      <c r="AR1294" s="121">
        <f>IF(A1294="Codarus",(AP1294*0.13))</f>
        <v>91</v>
      </c>
      <c r="AS1294" s="121">
        <f>SUM(Table1[[#This Row],[Substrate $]:[GP FINISH]])+Table1[[#This Row],[Retail Royalty]]+Table1[[#This Row],[Retail$Comm]]</f>
        <v>240.47364444444446</v>
      </c>
      <c r="AT1294" s="830">
        <f>IF(AP1294=0,"-",(AP1294-AS1294)/AP1294)</f>
        <v>0.65646622222222217</v>
      </c>
      <c r="AU1294" s="1359">
        <f t="shared" si="462"/>
        <v>0.98124382222222228</v>
      </c>
    </row>
    <row r="1295" spans="1:47" s="46" customFormat="1" hidden="1" x14ac:dyDescent="0.2">
      <c r="A1295" s="68" t="s">
        <v>101</v>
      </c>
      <c r="B1295" s="1152" t="s">
        <v>102</v>
      </c>
      <c r="C1295" s="1121" t="s">
        <v>3144</v>
      </c>
      <c r="D1295" s="94"/>
      <c r="E1295" s="84" t="s">
        <v>3145</v>
      </c>
      <c r="F1295" s="84" t="s">
        <v>105</v>
      </c>
      <c r="G1295" s="68" t="s">
        <v>2714</v>
      </c>
      <c r="H1295" s="68" t="s">
        <v>643</v>
      </c>
      <c r="I1295" s="68" t="s">
        <v>256</v>
      </c>
      <c r="J1295" s="140" t="s">
        <v>257</v>
      </c>
      <c r="K1295" s="68" t="s">
        <v>1315</v>
      </c>
      <c r="L1295" s="68" t="s">
        <v>259</v>
      </c>
      <c r="M1295" s="141">
        <v>164</v>
      </c>
      <c r="N1295" s="93"/>
      <c r="O1295" s="798" t="s">
        <v>260</v>
      </c>
      <c r="P1295" s="798">
        <v>11</v>
      </c>
      <c r="Q1295" s="798">
        <v>7</v>
      </c>
      <c r="R1295" s="68">
        <v>7</v>
      </c>
      <c r="S1295" s="623">
        <v>11</v>
      </c>
      <c r="T1295" s="623">
        <v>20</v>
      </c>
      <c r="U1295" s="623">
        <v>16</v>
      </c>
      <c r="V1295" s="66">
        <f t="shared" si="464"/>
        <v>11</v>
      </c>
      <c r="W1295" s="66">
        <f t="shared" si="465"/>
        <v>7</v>
      </c>
      <c r="X1295" s="68" t="s">
        <v>257</v>
      </c>
      <c r="Y1295" s="1347">
        <f>Table1[[#This Row],[Print Wth]]+Materials!$C$7</f>
        <v>13</v>
      </c>
      <c r="Z1295" s="1347">
        <f>Table1[[#This Row],[Print Ht]]+Materials!$C$7</f>
        <v>9</v>
      </c>
      <c r="AA1295" s="1027">
        <f>(Table1[[#This Row],[Cut Width]]*Table1[[#This Row],[Cut Height]])/144</f>
        <v>0.8125</v>
      </c>
      <c r="AB1295" s="297">
        <f>(Table1[[#This Row],[Print Wth]]*Table1[[#This Row],[Print Ht]])/144*canonML</f>
        <v>2.5666666666666664</v>
      </c>
      <c r="AC1295" s="74">
        <f>Table1[[#This Row],[Substrate SF]]*Paper</f>
        <v>1.0993124999999999</v>
      </c>
      <c r="AD1295" s="67">
        <f>(Table1[[#This Row],[Print Wth]]*Table1[[#This Row],[Print Ht]])/144*CanonC</f>
        <v>0.144375</v>
      </c>
      <c r="AE1295" s="74">
        <f>IF(Table1[[#This Row],[Work Center]]="SwissQ",Materials!G$37,IF(Table1[[#This Row],[Work Center]]="Inca",Materials!G$29,IF(Table1[[#This Row],[Work Center]]="Canon",Materials!G$49,Materials!G$45)))</f>
        <v>7</v>
      </c>
      <c r="AF1295" s="73">
        <f>'Cali Frames'!D93</f>
        <v>73.260000000000005</v>
      </c>
      <c r="AG1295" s="84"/>
      <c r="AH1295" s="278">
        <v>0</v>
      </c>
      <c r="AI1295" s="278"/>
      <c r="AJ1295" s="74">
        <f>SUM(AC1295:AI1295)</f>
        <v>81.503687500000012</v>
      </c>
      <c r="AK1295" s="1192">
        <f t="shared" si="466"/>
        <v>0.50302629573170721</v>
      </c>
      <c r="AL1295" s="278">
        <f>Table1[[#This Row],[WSP/Dealer]]/Table1[[#This Row],[OD Sq Inch]]</f>
        <v>0.51249999999999996</v>
      </c>
      <c r="AM1295" s="170">
        <f>Table1[[#This Row],[OD Wdth]]*Table1[[#This Row],[OD Hgt]]</f>
        <v>320</v>
      </c>
      <c r="AN1295" s="274">
        <f>Table1[[#This Row],[Min VO]]+Table1[[#This Row],[Max VO]]</f>
        <v>18</v>
      </c>
      <c r="AO1295" s="84"/>
      <c r="AP1295" s="126"/>
      <c r="AQ1295" s="126"/>
      <c r="AR1295" s="74"/>
      <c r="AS1295" s="1158"/>
      <c r="AT1295" s="1187"/>
      <c r="AU1295" s="1357" t="str">
        <f t="shared" si="462"/>
        <v>-</v>
      </c>
    </row>
    <row r="1296" spans="1:47" s="63" customFormat="1" hidden="1" x14ac:dyDescent="0.2">
      <c r="A1296" s="68" t="s">
        <v>101</v>
      </c>
      <c r="B1296" s="1072" t="s">
        <v>102</v>
      </c>
      <c r="C1296" s="1121" t="s">
        <v>3146</v>
      </c>
      <c r="D1296" s="94"/>
      <c r="E1296" s="84" t="s">
        <v>3147</v>
      </c>
      <c r="F1296" s="84" t="s">
        <v>105</v>
      </c>
      <c r="G1296" s="68" t="s">
        <v>974</v>
      </c>
      <c r="H1296" s="68" t="s">
        <v>974</v>
      </c>
      <c r="I1296" s="68" t="s">
        <v>3148</v>
      </c>
      <c r="J1296" s="140" t="s">
        <v>53</v>
      </c>
      <c r="K1296" s="68" t="s">
        <v>119</v>
      </c>
      <c r="L1296" s="68" t="s">
        <v>120</v>
      </c>
      <c r="M1296" s="141">
        <v>188</v>
      </c>
      <c r="N1296" s="93"/>
      <c r="O1296" s="798" t="s">
        <v>109</v>
      </c>
      <c r="P1296" s="798">
        <v>18</v>
      </c>
      <c r="Q1296" s="798">
        <v>22</v>
      </c>
      <c r="R1296" s="68">
        <v>18</v>
      </c>
      <c r="S1296" s="623">
        <v>22</v>
      </c>
      <c r="T1296" s="623">
        <v>18</v>
      </c>
      <c r="U1296" s="623">
        <v>22</v>
      </c>
      <c r="V1296" s="917">
        <f t="shared" si="464"/>
        <v>26</v>
      </c>
      <c r="W1296" s="917">
        <f t="shared" si="465"/>
        <v>30</v>
      </c>
      <c r="X1296" s="68">
        <v>40</v>
      </c>
      <c r="Y1296" s="686">
        <f>Table1[[#This Row],[Print Wth]]</f>
        <v>26</v>
      </c>
      <c r="Z1296" s="686">
        <f>Table1[[#This Row],[Print Ht]]</f>
        <v>30</v>
      </c>
      <c r="AA1296" s="1027">
        <f>Table1[[#This Row],[Cut Width]]*Table1[[#This Row],[Cut Height]]/144</f>
        <v>5.416666666666667</v>
      </c>
      <c r="AB1296" s="1130">
        <f>Table1[[#This Row],[Print Wth]]*Table1[[#This Row],[Print Ht]]/144*EPSONM</f>
        <v>24.375</v>
      </c>
      <c r="AC1296" s="278">
        <f>Table1[[#This Row],[Substrate SF]]*Canvas</f>
        <v>3.5750000000000002</v>
      </c>
      <c r="AD1296" s="263">
        <f>Table1[[#This Row],[Ink g/mL]]*EPSONC</f>
        <v>5.3624999999999998</v>
      </c>
      <c r="AE1296" s="278">
        <f>IF(Table1[[#This Row],[Work Center]]="SwissQ",Materials!G$37,IF(Table1[[#This Row],[Work Center]]="Inca",Materials!G$29,IF(Table1[[#This Row],[Work Center]]="Canon",Materials!G$49,Materials!G$45)))</f>
        <v>5</v>
      </c>
      <c r="AF1296" s="73">
        <f>'Cali FPS'!C188</f>
        <v>79.75</v>
      </c>
      <c r="AG1296" s="84"/>
      <c r="AH1296" s="263">
        <v>0</v>
      </c>
      <c r="AI1296" s="263"/>
      <c r="AJ1296" s="74">
        <f>SUM(AC1296:AI1296)</f>
        <v>93.6875</v>
      </c>
      <c r="AK1296" s="688">
        <f t="shared" si="466"/>
        <v>0.50166223404255317</v>
      </c>
      <c r="AL1296" s="278">
        <f>Table1[[#This Row],[WSP/Dealer]]/Table1[[#This Row],[OD Sq Inch]]</f>
        <v>0.47474747474747475</v>
      </c>
      <c r="AM1296" s="170">
        <f>Table1[[#This Row],[OD Wdth]]*Table1[[#This Row],[OD Hgt]]</f>
        <v>396</v>
      </c>
      <c r="AN1296" s="274">
        <f>Table1[[#This Row],[Min VO]]+Table1[[#This Row],[Max VO]]</f>
        <v>40</v>
      </c>
      <c r="AO1296" s="84"/>
      <c r="AP1296" s="126"/>
      <c r="AQ1296" s="126"/>
      <c r="AR1296" s="74"/>
      <c r="AS1296" s="1158"/>
      <c r="AT1296" s="1187"/>
      <c r="AU1296" s="1357" t="str">
        <f t="shared" si="462"/>
        <v>-</v>
      </c>
    </row>
    <row r="1297" spans="1:47" s="103" customFormat="1" ht="16" x14ac:dyDescent="0.2">
      <c r="A1297" s="60" t="s">
        <v>58</v>
      </c>
      <c r="B1297" s="1061" t="s">
        <v>587</v>
      </c>
      <c r="C1297" s="293" t="s">
        <v>3149</v>
      </c>
      <c r="D1297" s="94"/>
      <c r="E1297" s="294" t="s">
        <v>3150</v>
      </c>
      <c r="F1297" s="294" t="s">
        <v>1364</v>
      </c>
      <c r="G1297" s="295" t="s">
        <v>362</v>
      </c>
      <c r="H1297" s="295" t="s">
        <v>1888</v>
      </c>
      <c r="I1297" s="181" t="s">
        <v>52</v>
      </c>
      <c r="J1297" s="181" t="s">
        <v>53</v>
      </c>
      <c r="K1297" s="295" t="s">
        <v>69</v>
      </c>
      <c r="L1297" s="181" t="s">
        <v>73</v>
      </c>
      <c r="M1297" s="292">
        <v>800</v>
      </c>
      <c r="N1297" s="639">
        <v>750</v>
      </c>
      <c r="O1297" s="180" t="s">
        <v>64</v>
      </c>
      <c r="P1297" s="180">
        <v>32</v>
      </c>
      <c r="Q1297" s="180">
        <v>42</v>
      </c>
      <c r="R1297" s="60">
        <v>32</v>
      </c>
      <c r="S1297" s="60">
        <v>42</v>
      </c>
      <c r="T1297" s="698">
        <f>Table1[[#This Row],[VO Wdth]]+1</f>
        <v>33</v>
      </c>
      <c r="U1297" s="698">
        <f>Table1[[#This Row],[VO Hgt]]+1</f>
        <v>43</v>
      </c>
      <c r="V1297" s="149">
        <f t="shared" si="464"/>
        <v>40</v>
      </c>
      <c r="W1297" s="149">
        <f t="shared" si="465"/>
        <v>50</v>
      </c>
      <c r="X1297" s="289" t="s">
        <v>1889</v>
      </c>
      <c r="Y1297" s="180"/>
      <c r="Z1297" s="180"/>
      <c r="AA1297" s="717">
        <f>V1297*W1297/144</f>
        <v>13.888888888888889</v>
      </c>
      <c r="AB1297" s="125">
        <f>AA1297*Swiss1</f>
        <v>393.0555555555556</v>
      </c>
      <c r="AC1297" s="69">
        <f>AA1297*Canvas</f>
        <v>9.1666666666666679</v>
      </c>
      <c r="AD1297" s="48">
        <f>Table1[[#This Row],[Substrate SF]]*Materials!C$37</f>
        <v>38.888888888888886</v>
      </c>
      <c r="AE1297" s="104">
        <f>IF(Table1[[#This Row],[Work Center]]="SwissQ",Materials!G$37,IF(Table1[[#This Row],[Work Center]]="Inca",Materials!G$29,IF(Table1[[#This Row],[Work Center]]="Canon",Materials!G$49,Materials!G$45)))</f>
        <v>20</v>
      </c>
      <c r="AF1297" s="69">
        <f>'Cali Frames'!D$429</f>
        <v>105.8925</v>
      </c>
      <c r="AG1297" s="83"/>
      <c r="AH1297" s="112">
        <f>(M1297*0.05)</f>
        <v>40</v>
      </c>
      <c r="AI1297" s="112"/>
      <c r="AJ1297" s="69">
        <f t="shared" ref="AJ1297:AJ1310" si="467">SUM(AC1297:AH1297)</f>
        <v>213.94805555555556</v>
      </c>
      <c r="AK1297" s="62">
        <f t="shared" si="466"/>
        <v>0.73256493055555549</v>
      </c>
      <c r="AL1297" s="225">
        <f>Table1[[#This Row],[WSP/Dealer]]/Table1[[#This Row],[OD Sq Inch]]</f>
        <v>0.56377730796335446</v>
      </c>
      <c r="AM1297" s="218">
        <f>Table1[[#This Row],[OD Wdth]]*Table1[[#This Row],[OD Hgt]]</f>
        <v>1419</v>
      </c>
      <c r="AN1297" s="216">
        <f>Table1[[#This Row],[Min VO]]+Table1[[#This Row],[Max VO]]</f>
        <v>74</v>
      </c>
      <c r="AO1297" s="284"/>
      <c r="AP1297" s="284"/>
      <c r="AQ1297" s="296"/>
      <c r="AR1297" s="296"/>
      <c r="AS1297" s="296"/>
      <c r="AT1297" s="176"/>
      <c r="AU1297" s="1358" t="str">
        <f t="shared" si="462"/>
        <v>-</v>
      </c>
    </row>
    <row r="1298" spans="1:47" s="63" customFormat="1" ht="16" x14ac:dyDescent="0.2">
      <c r="A1298" s="68" t="s">
        <v>58</v>
      </c>
      <c r="B1298" s="279" t="s">
        <v>587</v>
      </c>
      <c r="C1298" s="316" t="s">
        <v>3149</v>
      </c>
      <c r="D1298" s="94"/>
      <c r="E1298" s="313" t="s">
        <v>3151</v>
      </c>
      <c r="F1298" s="313" t="s">
        <v>1364</v>
      </c>
      <c r="G1298" s="314" t="s">
        <v>362</v>
      </c>
      <c r="H1298" s="314" t="s">
        <v>1888</v>
      </c>
      <c r="I1298" s="315" t="s">
        <v>52</v>
      </c>
      <c r="J1298" s="315" t="s">
        <v>53</v>
      </c>
      <c r="K1298" s="314" t="s">
        <v>69</v>
      </c>
      <c r="L1298" s="315" t="s">
        <v>73</v>
      </c>
      <c r="M1298" s="178">
        <v>1000</v>
      </c>
      <c r="N1298" s="639">
        <v>750</v>
      </c>
      <c r="O1298" s="274" t="s">
        <v>64</v>
      </c>
      <c r="P1298" s="274">
        <v>32</v>
      </c>
      <c r="Q1298" s="274">
        <v>42</v>
      </c>
      <c r="R1298" s="68">
        <v>32</v>
      </c>
      <c r="S1298" s="68">
        <v>42</v>
      </c>
      <c r="T1298" s="916">
        <f>Table1[[#This Row],[VO Wdth]]+1</f>
        <v>33</v>
      </c>
      <c r="U1298" s="916">
        <f>Table1[[#This Row],[VO Hgt]]+1</f>
        <v>43</v>
      </c>
      <c r="V1298" s="160">
        <f t="shared" si="464"/>
        <v>40</v>
      </c>
      <c r="W1298" s="160">
        <f t="shared" si="465"/>
        <v>50</v>
      </c>
      <c r="X1298" s="343" t="s">
        <v>1889</v>
      </c>
      <c r="Y1298" s="274"/>
      <c r="Z1298" s="274"/>
      <c r="AA1298" s="699">
        <f>V1298*W1298/144</f>
        <v>13.888888888888889</v>
      </c>
      <c r="AB1298" s="297">
        <f>AA1298*Swiss1</f>
        <v>393.0555555555556</v>
      </c>
      <c r="AC1298" s="74">
        <f>AA1298*Canvas</f>
        <v>9.1666666666666679</v>
      </c>
      <c r="AD1298" s="67">
        <f>Table1[[#This Row],[Substrate SF]]*Materials!C$37</f>
        <v>38.888888888888886</v>
      </c>
      <c r="AE1298" s="104">
        <f>IF(Table1[[#This Row],[Work Center]]="SwissQ",Materials!G$37,IF(Table1[[#This Row],[Work Center]]="Inca",Materials!G$29,IF(Table1[[#This Row],[Work Center]]="Canon",Materials!G$49,Materials!G$45)))</f>
        <v>20</v>
      </c>
      <c r="AF1298" s="74">
        <f>'Cali Frames'!D564</f>
        <v>175.4375</v>
      </c>
      <c r="AG1298" s="84"/>
      <c r="AH1298" s="498">
        <f>(M1298*0.05)</f>
        <v>50</v>
      </c>
      <c r="AI1298" s="498"/>
      <c r="AJ1298" s="74">
        <f t="shared" si="467"/>
        <v>293.49305555555554</v>
      </c>
      <c r="AK1298" s="650">
        <f t="shared" si="466"/>
        <v>0.70650694444444451</v>
      </c>
      <c r="AL1298" s="225">
        <f>Table1[[#This Row],[WSP/Dealer]]/Table1[[#This Row],[OD Sq Inch]]</f>
        <v>0.70472163495419304</v>
      </c>
      <c r="AM1298" s="235">
        <f>Table1[[#This Row],[OD Wdth]]*Table1[[#This Row],[OD Hgt]]</f>
        <v>1419</v>
      </c>
      <c r="AN1298" s="238">
        <f>Table1[[#This Row],[Min VO]]+Table1[[#This Row],[Max VO]]</f>
        <v>74</v>
      </c>
      <c r="AO1298" s="275"/>
      <c r="AP1298" s="275"/>
      <c r="AQ1298" s="320"/>
      <c r="AR1298" s="320"/>
      <c r="AS1298" s="320"/>
      <c r="AT1298" s="278"/>
      <c r="AU1298" s="1368" t="str">
        <f t="shared" si="462"/>
        <v>-</v>
      </c>
    </row>
    <row r="1299" spans="1:47" s="63" customFormat="1" ht="16" x14ac:dyDescent="0.2">
      <c r="A1299" s="60" t="s">
        <v>58</v>
      </c>
      <c r="B1299" s="1061" t="s">
        <v>587</v>
      </c>
      <c r="C1299" s="293" t="s">
        <v>3152</v>
      </c>
      <c r="D1299" s="94"/>
      <c r="E1299" s="294" t="s">
        <v>3153</v>
      </c>
      <c r="F1299" s="294" t="s">
        <v>1364</v>
      </c>
      <c r="G1299" s="295" t="s">
        <v>362</v>
      </c>
      <c r="H1299" s="295" t="s">
        <v>1888</v>
      </c>
      <c r="I1299" s="181" t="s">
        <v>52</v>
      </c>
      <c r="J1299" s="181" t="s">
        <v>53</v>
      </c>
      <c r="K1299" s="295" t="s">
        <v>69</v>
      </c>
      <c r="L1299" s="181" t="s">
        <v>73</v>
      </c>
      <c r="M1299" s="292">
        <v>800</v>
      </c>
      <c r="N1299" s="639">
        <v>750</v>
      </c>
      <c r="O1299" s="180" t="s">
        <v>64</v>
      </c>
      <c r="P1299" s="180">
        <v>32</v>
      </c>
      <c r="Q1299" s="180">
        <v>42</v>
      </c>
      <c r="R1299" s="60">
        <v>32</v>
      </c>
      <c r="S1299" s="60">
        <v>42</v>
      </c>
      <c r="T1299" s="698">
        <v>33</v>
      </c>
      <c r="U1299" s="698">
        <v>43</v>
      </c>
      <c r="V1299" s="149">
        <f t="shared" si="464"/>
        <v>40</v>
      </c>
      <c r="W1299" s="149">
        <f t="shared" si="465"/>
        <v>50</v>
      </c>
      <c r="X1299" s="289" t="s">
        <v>1889</v>
      </c>
      <c r="Y1299" s="180"/>
      <c r="Z1299" s="180"/>
      <c r="AA1299" s="717">
        <f>V1299*W1299/144</f>
        <v>13.888888888888889</v>
      </c>
      <c r="AB1299" s="125">
        <f>AA1299*Swiss1</f>
        <v>393.0555555555556</v>
      </c>
      <c r="AC1299" s="69">
        <f>AA1299*Canvas</f>
        <v>9.1666666666666679</v>
      </c>
      <c r="AD1299" s="48">
        <f>Table1[[#This Row],[Substrate SF]]*Materials!C$37</f>
        <v>38.888888888888886</v>
      </c>
      <c r="AE1299" s="104">
        <f>IF(Table1[[#This Row],[Work Center]]="SwissQ",Materials!G$37,IF(Table1[[#This Row],[Work Center]]="Inca",Materials!G$29,IF(Table1[[#This Row],[Work Center]]="Canon",Materials!G$49,Materials!G$45)))</f>
        <v>20</v>
      </c>
      <c r="AF1299" s="69">
        <f>'Cali Frames'!D$429</f>
        <v>105.8925</v>
      </c>
      <c r="AG1299" s="83"/>
      <c r="AH1299" s="112">
        <f>(M1299*0.05)</f>
        <v>40</v>
      </c>
      <c r="AI1299" s="112"/>
      <c r="AJ1299" s="69">
        <f t="shared" si="467"/>
        <v>213.94805555555556</v>
      </c>
      <c r="AK1299" s="62">
        <f t="shared" si="466"/>
        <v>0.73256493055555549</v>
      </c>
      <c r="AL1299" s="225">
        <f>Table1[[#This Row],[WSP/Dealer]]/Table1[[#This Row],[OD Sq Inch]]</f>
        <v>0.56377730796335446</v>
      </c>
      <c r="AM1299" s="46">
        <f>Table1[[#This Row],[OD Wdth]]*Table1[[#This Row],[OD Hgt]]</f>
        <v>1419</v>
      </c>
      <c r="AN1299" s="216">
        <f>Table1[[#This Row],[Min VO]]+Table1[[#This Row],[Max VO]]</f>
        <v>74</v>
      </c>
      <c r="AO1299" s="284"/>
      <c r="AP1299" s="284"/>
      <c r="AQ1299" s="296"/>
      <c r="AR1299" s="296"/>
      <c r="AS1299" s="296"/>
      <c r="AT1299" s="176"/>
      <c r="AU1299" s="1358" t="str">
        <f t="shared" si="462"/>
        <v>-</v>
      </c>
    </row>
    <row r="1300" spans="1:47" s="63" customFormat="1" ht="16" x14ac:dyDescent="0.2">
      <c r="A1300" s="68" t="s">
        <v>58</v>
      </c>
      <c r="B1300" s="1061" t="s">
        <v>587</v>
      </c>
      <c r="C1300" s="316" t="s">
        <v>3152</v>
      </c>
      <c r="D1300" s="94"/>
      <c r="E1300" s="313" t="s">
        <v>3154</v>
      </c>
      <c r="F1300" s="313" t="s">
        <v>1364</v>
      </c>
      <c r="G1300" s="314" t="s">
        <v>362</v>
      </c>
      <c r="H1300" s="314" t="s">
        <v>1888</v>
      </c>
      <c r="I1300" s="315" t="s">
        <v>52</v>
      </c>
      <c r="J1300" s="315" t="s">
        <v>53</v>
      </c>
      <c r="K1300" s="314" t="s">
        <v>69</v>
      </c>
      <c r="L1300" s="315" t="s">
        <v>73</v>
      </c>
      <c r="M1300" s="178">
        <v>850</v>
      </c>
      <c r="N1300" s="639">
        <v>750</v>
      </c>
      <c r="O1300" s="274" t="s">
        <v>64</v>
      </c>
      <c r="P1300" s="274">
        <v>32</v>
      </c>
      <c r="Q1300" s="274">
        <v>42</v>
      </c>
      <c r="R1300" s="68">
        <v>32</v>
      </c>
      <c r="S1300" s="68">
        <v>42</v>
      </c>
      <c r="T1300" s="916">
        <v>33</v>
      </c>
      <c r="U1300" s="916">
        <v>43</v>
      </c>
      <c r="V1300" s="1198">
        <f t="shared" si="464"/>
        <v>40</v>
      </c>
      <c r="W1300" s="1198">
        <f t="shared" si="465"/>
        <v>50</v>
      </c>
      <c r="X1300" s="343" t="s">
        <v>1889</v>
      </c>
      <c r="Y1300" s="274"/>
      <c r="Z1300" s="274"/>
      <c r="AA1300" s="699">
        <f>V1300*W1300/144</f>
        <v>13.888888888888889</v>
      </c>
      <c r="AB1300" s="297">
        <f>AA1300*Swiss1</f>
        <v>393.0555555555556</v>
      </c>
      <c r="AC1300" s="74">
        <f>AA1300*Canvas</f>
        <v>9.1666666666666679</v>
      </c>
      <c r="AD1300" s="67">
        <f>Table1[[#This Row],[Substrate SF]]*Materials!C$37</f>
        <v>38.888888888888886</v>
      </c>
      <c r="AE1300" s="104">
        <f>IF(Table1[[#This Row],[Work Center]]="SwissQ",Materials!G$37,IF(Table1[[#This Row],[Work Center]]="Inca",Materials!G$29,IF(Table1[[#This Row],[Work Center]]="Canon",Materials!G$49,Materials!G$45)))</f>
        <v>20</v>
      </c>
      <c r="AF1300" s="74">
        <f>'Cali Frames'!D564</f>
        <v>175.4375</v>
      </c>
      <c r="AG1300" s="84"/>
      <c r="AH1300" s="498">
        <f>(M1300*0.05)</f>
        <v>42.5</v>
      </c>
      <c r="AI1300" s="498"/>
      <c r="AJ1300" s="74">
        <f t="shared" si="467"/>
        <v>285.99305555555554</v>
      </c>
      <c r="AK1300" s="650">
        <f t="shared" si="466"/>
        <v>0.6635375816993464</v>
      </c>
      <c r="AL1300" s="225">
        <f>Table1[[#This Row],[WSP/Dealer]]/Table1[[#This Row],[OD Sq Inch]]</f>
        <v>0.5990133897110641</v>
      </c>
      <c r="AM1300" s="63">
        <f>Table1[[#This Row],[OD Wdth]]*Table1[[#This Row],[OD Hgt]]</f>
        <v>1419</v>
      </c>
      <c r="AN1300" s="238">
        <f>Table1[[#This Row],[Min VO]]+Table1[[#This Row],[Max VO]]</f>
        <v>74</v>
      </c>
      <c r="AO1300" s="275"/>
      <c r="AP1300" s="275"/>
      <c r="AQ1300" s="320"/>
      <c r="AR1300" s="320"/>
      <c r="AS1300" s="320"/>
      <c r="AT1300" s="278"/>
      <c r="AU1300" s="1368" t="str">
        <f t="shared" si="462"/>
        <v>-</v>
      </c>
    </row>
    <row r="1301" spans="1:47" s="63" customFormat="1" hidden="1" x14ac:dyDescent="0.2">
      <c r="A1301" s="68" t="s">
        <v>101</v>
      </c>
      <c r="B1301" s="1072" t="s">
        <v>102</v>
      </c>
      <c r="C1301" s="1121" t="s">
        <v>3155</v>
      </c>
      <c r="D1301" s="94"/>
      <c r="E1301" s="84" t="s">
        <v>3156</v>
      </c>
      <c r="F1301" s="84" t="s">
        <v>105</v>
      </c>
      <c r="G1301" s="68" t="s">
        <v>3157</v>
      </c>
      <c r="H1301" s="68" t="s">
        <v>3158</v>
      </c>
      <c r="I1301" s="68" t="s">
        <v>108</v>
      </c>
      <c r="J1301" s="140" t="s">
        <v>53</v>
      </c>
      <c r="K1301" s="68" t="s">
        <v>69</v>
      </c>
      <c r="L1301" s="68" t="s">
        <v>315</v>
      </c>
      <c r="M1301" s="141">
        <v>203</v>
      </c>
      <c r="N1301" s="93"/>
      <c r="O1301" s="798" t="s">
        <v>109</v>
      </c>
      <c r="P1301" s="798">
        <v>22</v>
      </c>
      <c r="Q1301" s="798">
        <v>16</v>
      </c>
      <c r="R1301" s="68">
        <v>16</v>
      </c>
      <c r="S1301" s="623">
        <v>22</v>
      </c>
      <c r="T1301" s="623">
        <v>23</v>
      </c>
      <c r="U1301" s="623">
        <v>17</v>
      </c>
      <c r="V1301" s="917">
        <f t="shared" si="464"/>
        <v>30</v>
      </c>
      <c r="W1301" s="917">
        <f t="shared" si="465"/>
        <v>24</v>
      </c>
      <c r="X1301" s="68">
        <v>40</v>
      </c>
      <c r="Y1301" s="686">
        <f>Table1[[#This Row],[Print Wth]]</f>
        <v>30</v>
      </c>
      <c r="Z1301" s="686">
        <f>Table1[[#This Row],[Print Ht]]</f>
        <v>24</v>
      </c>
      <c r="AA1301" s="727">
        <f>Table1[[#This Row],[Cut Width]]*Table1[[#This Row],[Cut Height]]/144</f>
        <v>5</v>
      </c>
      <c r="AB1301" s="341">
        <f>Table1[[#This Row],[Print Wth]]*Table1[[#This Row],[Print Ht]]/144*EPSONM</f>
        <v>22.5</v>
      </c>
      <c r="AC1301" s="278">
        <f>Table1[[#This Row],[Substrate SF]]*Canvas</f>
        <v>3.3000000000000003</v>
      </c>
      <c r="AD1301" s="263">
        <f>Table1[[#This Row],[Ink g/mL]]*EPSONC</f>
        <v>4.95</v>
      </c>
      <c r="AE1301" s="278">
        <f>IF(Table1[[#This Row],[Work Center]]="SwissQ",Materials!G$37,IF(Table1[[#This Row],[Work Center]]="Inca",Materials!G$29,IF(Table1[[#This Row],[Work Center]]="Canon",Materials!G$49,Materials!G$45)))</f>
        <v>5</v>
      </c>
      <c r="AF1301" s="73">
        <f>'Cali Frames'!D505</f>
        <v>88</v>
      </c>
      <c r="AG1301" s="84"/>
      <c r="AH1301" s="263">
        <v>0</v>
      </c>
      <c r="AI1301" s="263"/>
      <c r="AJ1301" s="278">
        <f t="shared" si="467"/>
        <v>101.25</v>
      </c>
      <c r="AK1301" s="688">
        <f t="shared" si="466"/>
        <v>0.50123152709359609</v>
      </c>
      <c r="AL1301" s="278">
        <f>Table1[[#This Row],[WSP/Dealer]]/Table1[[#This Row],[OD Sq Inch]]</f>
        <v>0.51918158567774941</v>
      </c>
      <c r="AM1301" s="170">
        <f>Table1[[#This Row],[OD Wdth]]*Table1[[#This Row],[OD Hgt]]</f>
        <v>391</v>
      </c>
      <c r="AN1301" s="274">
        <f>Table1[[#This Row],[Min VO]]+Table1[[#This Row],[Max VO]]</f>
        <v>38</v>
      </c>
      <c r="AO1301" s="84"/>
      <c r="AP1301" s="126"/>
      <c r="AQ1301" s="126"/>
      <c r="AR1301" s="74"/>
      <c r="AS1301" s="1158"/>
      <c r="AT1301" s="1187"/>
      <c r="AU1301" s="1357" t="str">
        <f t="shared" si="462"/>
        <v>-</v>
      </c>
    </row>
    <row r="1302" spans="1:47" s="63" customFormat="1" hidden="1" x14ac:dyDescent="0.2">
      <c r="A1302" s="86"/>
      <c r="B1302" s="1061" t="s">
        <v>562</v>
      </c>
      <c r="C1302" s="654" t="s">
        <v>3159</v>
      </c>
      <c r="D1302" s="94" t="s">
        <v>3160</v>
      </c>
      <c r="E1302" s="85" t="s">
        <v>3161</v>
      </c>
      <c r="F1302" s="85" t="s">
        <v>448</v>
      </c>
      <c r="G1302" s="86" t="s">
        <v>1516</v>
      </c>
      <c r="H1302" s="86" t="s">
        <v>1516</v>
      </c>
      <c r="I1302" s="86" t="s">
        <v>52</v>
      </c>
      <c r="J1302" s="86" t="s">
        <v>53</v>
      </c>
      <c r="K1302" s="86" t="s">
        <v>54</v>
      </c>
      <c r="L1302" s="86" t="s">
        <v>55</v>
      </c>
      <c r="M1302" s="87">
        <v>1100</v>
      </c>
      <c r="N1302" s="71"/>
      <c r="O1302" s="655" t="s">
        <v>64</v>
      </c>
      <c r="P1302" s="655">
        <v>72</v>
      </c>
      <c r="Q1302" s="655">
        <v>48</v>
      </c>
      <c r="R1302" s="60">
        <v>48</v>
      </c>
      <c r="S1302" s="273">
        <v>72</v>
      </c>
      <c r="T1302" s="273">
        <f>Table1[[#This Row],[VO Wdth]]</f>
        <v>72</v>
      </c>
      <c r="U1302" s="273">
        <f>Table1[[#This Row],[VO Hgt]]</f>
        <v>48</v>
      </c>
      <c r="V1302" s="106">
        <f>IF(J1302="Canvas",P1302+BorderGW,P1302)</f>
        <v>80</v>
      </c>
      <c r="W1302" s="106">
        <f>IF(J1302="Canvas",Q1302+BorderGW,Q1302)</f>
        <v>56</v>
      </c>
      <c r="X1302" s="189" t="s">
        <v>2722</v>
      </c>
      <c r="Y1302" s="68"/>
      <c r="Z1302" s="68"/>
      <c r="AA1302" s="717">
        <f t="shared" ref="AA1302:AA1310" si="468">V1302*W1302/144</f>
        <v>31.111111111111111</v>
      </c>
      <c r="AB1302" s="125">
        <f>AA1302*Swiss1</f>
        <v>880.44444444444446</v>
      </c>
      <c r="AC1302" s="104">
        <f>AA1302*Canvas</f>
        <v>20.533333333333335</v>
      </c>
      <c r="AD1302" s="107">
        <f>Table1[[#This Row],[Substrate SF]]*Materials!C$37</f>
        <v>87.1111111111111</v>
      </c>
      <c r="AE1302" s="104">
        <f>IF(Table1[[#This Row],[Work Center]]="SwissQ",Materials!G$37,IF(Table1[[#This Row],[Work Center]]="Inca",Materials!G$29,IF(Table1[[#This Row],[Work Center]]="Canon",Materials!G$49,Materials!G$45)))</f>
        <v>20</v>
      </c>
      <c r="AF1302" s="104">
        <f>'Cali FPS'!C$126</f>
        <v>189.88</v>
      </c>
      <c r="AG1302" s="115"/>
      <c r="AH1302" s="112">
        <f>(M1302*0.05)</f>
        <v>55</v>
      </c>
      <c r="AI1302" s="112"/>
      <c r="AJ1302" s="818">
        <f t="shared" si="467"/>
        <v>372.52444444444444</v>
      </c>
      <c r="AK1302" s="62">
        <f t="shared" si="466"/>
        <v>0.66134141414141412</v>
      </c>
      <c r="AL1302" s="225">
        <f>Table1[[#This Row],[WSP/Dealer]]/Table1[[#This Row],[OD Sq Inch]]</f>
        <v>0.31828703703703703</v>
      </c>
      <c r="AM1302" s="218">
        <f>Table1[[#This Row],[OD Wdth]]*Table1[[#This Row],[OD Hgt]]</f>
        <v>3456</v>
      </c>
      <c r="AN1302" s="216">
        <f>Table1[[#This Row],[Min VO]]+Table1[[#This Row],[Max VO]]</f>
        <v>120</v>
      </c>
      <c r="AO1302" s="101"/>
      <c r="AP1302" s="101"/>
      <c r="AQ1302" s="104"/>
      <c r="AR1302" s="104"/>
      <c r="AS1302" s="104"/>
      <c r="AT1302" s="104"/>
      <c r="AU1302" s="830" t="str">
        <f t="shared" si="462"/>
        <v>-</v>
      </c>
    </row>
    <row r="1303" spans="1:47" s="63" customFormat="1" hidden="1" x14ac:dyDescent="0.2">
      <c r="A1303" s="86"/>
      <c r="B1303" s="1061" t="s">
        <v>562</v>
      </c>
      <c r="C1303" s="76" t="s">
        <v>3162</v>
      </c>
      <c r="D1303" s="94" t="s">
        <v>3163</v>
      </c>
      <c r="E1303" s="85" t="s">
        <v>3161</v>
      </c>
      <c r="F1303" s="85" t="s">
        <v>448</v>
      </c>
      <c r="G1303" s="86" t="s">
        <v>1516</v>
      </c>
      <c r="H1303" s="86" t="s">
        <v>2439</v>
      </c>
      <c r="I1303" s="86" t="s">
        <v>52</v>
      </c>
      <c r="J1303" s="86" t="s">
        <v>53</v>
      </c>
      <c r="K1303" s="86" t="s">
        <v>82</v>
      </c>
      <c r="L1303" s="86" t="s">
        <v>83</v>
      </c>
      <c r="M1303" s="87">
        <v>1155</v>
      </c>
      <c r="N1303" s="71"/>
      <c r="O1303" s="60" t="s">
        <v>64</v>
      </c>
      <c r="P1303" s="60">
        <v>72</v>
      </c>
      <c r="Q1303" s="60">
        <v>48</v>
      </c>
      <c r="R1303" s="60">
        <v>48</v>
      </c>
      <c r="S1303" s="61">
        <v>72</v>
      </c>
      <c r="T1303" s="60">
        <v>74</v>
      </c>
      <c r="U1303" s="60" t="str">
        <f>RIGHT(H1303,2)</f>
        <v>50</v>
      </c>
      <c r="V1303" s="946">
        <f>IF(J1303="Canvas",P1303+Border,P1303)</f>
        <v>80</v>
      </c>
      <c r="W1303" s="946">
        <f>IF(J1303="Canvas",Q1303+Border,Q1303)</f>
        <v>56</v>
      </c>
      <c r="X1303" s="189">
        <v>82</v>
      </c>
      <c r="Y1303" s="68"/>
      <c r="Z1303" s="68"/>
      <c r="AA1303" s="717">
        <f t="shared" si="468"/>
        <v>31.111111111111111</v>
      </c>
      <c r="AB1303" s="125">
        <f>AA1303*Swiss1</f>
        <v>880.44444444444446</v>
      </c>
      <c r="AC1303" s="104">
        <f>AA1303*Canvas</f>
        <v>20.533333333333335</v>
      </c>
      <c r="AD1303" s="107">
        <f>Table1[[#This Row],[Substrate SF]]*Materials!C$37</f>
        <v>87.1111111111111</v>
      </c>
      <c r="AE1303" s="104">
        <f>IF(Table1[[#This Row],[Work Center]]="SwissQ",Materials!G$37,IF(Table1[[#This Row],[Work Center]]="Inca",Materials!G$29,IF(Table1[[#This Row],[Work Center]]="Canon",Materials!G$49,Materials!G$45)))</f>
        <v>20</v>
      </c>
      <c r="AF1303" s="104">
        <f>'Cali Frames'!D157</f>
        <v>240.85249999999999</v>
      </c>
      <c r="AG1303" s="115"/>
      <c r="AH1303" s="112">
        <f>(M1303*0.05)</f>
        <v>57.75</v>
      </c>
      <c r="AI1303" s="112"/>
      <c r="AJ1303" s="69">
        <f t="shared" si="467"/>
        <v>426.24694444444441</v>
      </c>
      <c r="AK1303" s="62">
        <f t="shared" si="466"/>
        <v>0.63095502645502655</v>
      </c>
      <c r="AL1303" s="225">
        <f>Table1[[#This Row],[WSP/Dealer]]/Table1[[#This Row],[OD Sq Inch]]</f>
        <v>0.31216216216216214</v>
      </c>
      <c r="AM1303" s="97">
        <f>Table1[[#This Row],[OD Wdth]]*Table1[[#This Row],[OD Hgt]]</f>
        <v>3700</v>
      </c>
      <c r="AN1303" s="216">
        <f>Table1[[#This Row],[Min VO]]+Table1[[#This Row],[Max VO]]</f>
        <v>120</v>
      </c>
      <c r="AO1303" s="101"/>
      <c r="AP1303" s="101"/>
      <c r="AQ1303" s="104"/>
      <c r="AR1303" s="104"/>
      <c r="AS1303" s="104"/>
      <c r="AT1303" s="104"/>
      <c r="AU1303" s="830" t="str">
        <f t="shared" si="462"/>
        <v>-</v>
      </c>
    </row>
    <row r="1304" spans="1:47" s="63" customFormat="1" x14ac:dyDescent="0.2">
      <c r="A1304" s="86" t="s">
        <v>58</v>
      </c>
      <c r="B1304" s="1061" t="s">
        <v>619</v>
      </c>
      <c r="C1304" s="75" t="s">
        <v>3164</v>
      </c>
      <c r="D1304" s="94" t="s">
        <v>3165</v>
      </c>
      <c r="E1304" s="85" t="s">
        <v>3166</v>
      </c>
      <c r="F1304" s="85" t="s">
        <v>448</v>
      </c>
      <c r="G1304" s="86" t="s">
        <v>3167</v>
      </c>
      <c r="H1304" s="86" t="s">
        <v>3167</v>
      </c>
      <c r="I1304" s="86" t="s">
        <v>52</v>
      </c>
      <c r="J1304" s="86" t="s">
        <v>53</v>
      </c>
      <c r="K1304" s="86" t="s">
        <v>54</v>
      </c>
      <c r="L1304" s="86" t="s">
        <v>55</v>
      </c>
      <c r="M1304" s="87">
        <v>850</v>
      </c>
      <c r="N1304" s="639">
        <v>890</v>
      </c>
      <c r="O1304" s="101" t="s">
        <v>56</v>
      </c>
      <c r="P1304" s="273">
        <v>44</v>
      </c>
      <c r="Q1304" s="273">
        <v>60</v>
      </c>
      <c r="R1304" s="60">
        <v>44</v>
      </c>
      <c r="S1304" s="273">
        <v>60</v>
      </c>
      <c r="T1304" s="273">
        <f>Table1[[#This Row],[VO Wdth]]</f>
        <v>44</v>
      </c>
      <c r="U1304" s="273">
        <f>Table1[[#This Row],[VO Hgt]]</f>
        <v>60</v>
      </c>
      <c r="V1304" s="106">
        <f>IF(J1304="Canvas",P1304+BorderGW,P1304)</f>
        <v>52</v>
      </c>
      <c r="W1304" s="106">
        <f>IF(J1304="Canvas",Q1304+BorderGW,Q1304)</f>
        <v>68</v>
      </c>
      <c r="X1304" s="189">
        <v>69</v>
      </c>
      <c r="Y1304" s="68"/>
      <c r="Z1304" s="68"/>
      <c r="AA1304" s="649">
        <f t="shared" si="468"/>
        <v>24.555555555555557</v>
      </c>
      <c r="AB1304" s="184">
        <f>AA1304*IncaG</f>
        <v>516.64888888888891</v>
      </c>
      <c r="AC1304" s="104">
        <f>AA1304*Canvas</f>
        <v>16.206666666666667</v>
      </c>
      <c r="AD1304" s="107">
        <f>AA1304*IncaC</f>
        <v>41.331911111111111</v>
      </c>
      <c r="AE1304" s="104">
        <f>IF(Table1[[#This Row],[Work Center]]="SwissQ",Materials!G$37,IF(Table1[[#This Row],[Work Center]]="Inca",Materials!G$29,IF(Table1[[#This Row],[Work Center]]="Canon",Materials!G$49,Materials!G$45)))</f>
        <v>8</v>
      </c>
      <c r="AF1304" s="69">
        <f>'Cali FPS'!C$101</f>
        <v>174.29999999999998</v>
      </c>
      <c r="AG1304" s="115"/>
      <c r="AH1304" s="498">
        <f>(M1304*0.05)</f>
        <v>42.5</v>
      </c>
      <c r="AI1304" s="498"/>
      <c r="AJ1304" s="104">
        <f t="shared" si="467"/>
        <v>282.33857777777774</v>
      </c>
      <c r="AK1304" s="650">
        <f t="shared" si="466"/>
        <v>0.66783696732026143</v>
      </c>
      <c r="AL1304" s="225">
        <f>Table1[[#This Row],[WSP/Dealer]]/Table1[[#This Row],[OD Sq Inch]]</f>
        <v>0.32196969696969696</v>
      </c>
      <c r="AM1304" s="103">
        <f>Table1[[#This Row],[OD Wdth]]*Table1[[#This Row],[OD Hgt]]</f>
        <v>2640</v>
      </c>
      <c r="AN1304" s="216">
        <f>Table1[[#This Row],[Min VO]]+Table1[[#This Row],[Max VO]]</f>
        <v>104</v>
      </c>
      <c r="AO1304" s="101"/>
      <c r="AP1304" s="101"/>
      <c r="AQ1304" s="104"/>
      <c r="AR1304" s="104"/>
      <c r="AS1304" s="104"/>
      <c r="AT1304" s="104"/>
      <c r="AU1304" s="830" t="str">
        <f t="shared" si="462"/>
        <v>-</v>
      </c>
    </row>
    <row r="1305" spans="1:47" s="144" customFormat="1" hidden="1" x14ac:dyDescent="0.2">
      <c r="A1305" s="68" t="s">
        <v>318</v>
      </c>
      <c r="B1305" s="1063" t="s">
        <v>65</v>
      </c>
      <c r="C1305" s="257" t="s">
        <v>3168</v>
      </c>
      <c r="D1305" s="94"/>
      <c r="E1305" s="84" t="s">
        <v>3169</v>
      </c>
      <c r="F1305" s="84" t="s">
        <v>105</v>
      </c>
      <c r="G1305" s="68" t="s">
        <v>3170</v>
      </c>
      <c r="H1305" s="68" t="s">
        <v>3171</v>
      </c>
      <c r="I1305" s="68" t="s">
        <v>256</v>
      </c>
      <c r="J1305" s="140" t="s">
        <v>257</v>
      </c>
      <c r="K1305" s="68" t="s">
        <v>814</v>
      </c>
      <c r="L1305" s="68" t="s">
        <v>815</v>
      </c>
      <c r="M1305" s="141">
        <v>300</v>
      </c>
      <c r="N1305" s="93"/>
      <c r="O1305" s="68" t="s">
        <v>260</v>
      </c>
      <c r="P1305" s="984">
        <v>20</v>
      </c>
      <c r="Q1305" s="984">
        <v>20</v>
      </c>
      <c r="R1305" s="551">
        <v>20</v>
      </c>
      <c r="S1305" s="984">
        <v>20</v>
      </c>
      <c r="T1305" s="984">
        <v>23</v>
      </c>
      <c r="U1305" s="984">
        <v>23</v>
      </c>
      <c r="V1305" s="891">
        <f t="shared" ref="V1305:V1310" si="469">IF(J1305="Canvas",P1305+Border,P1305)</f>
        <v>20</v>
      </c>
      <c r="W1305" s="891">
        <f t="shared" ref="W1305:W1310" si="470">IF(J1305="Canvas",Q1305+Border,Q1305)</f>
        <v>20</v>
      </c>
      <c r="X1305" s="68" t="s">
        <v>257</v>
      </c>
      <c r="Y1305" s="68">
        <v>20</v>
      </c>
      <c r="Z1305" s="68">
        <v>20</v>
      </c>
      <c r="AA1305" s="699">
        <f t="shared" si="468"/>
        <v>2.7777777777777777</v>
      </c>
      <c r="AB1305" s="297">
        <f>AA1305*canonML</f>
        <v>13.333333333333332</v>
      </c>
      <c r="AC1305" s="74">
        <f>Table1[[#This Row],[Print Wth]]*paper60</f>
        <v>6.8000000000000007</v>
      </c>
      <c r="AD1305" s="67">
        <f>Table1[[#This Row],[Ink g/mL]]*CanonC</f>
        <v>3.6</v>
      </c>
      <c r="AE1305" s="74">
        <f>IF(Table1[[#This Row],[Work Center]]="SwissQ",Materials!G$37,IF(Table1[[#This Row],[Work Center]]="Inca",Materials!G$29,IF(Table1[[#This Row],[Work Center]]="Canon",Materials!G$49,Materials!G$45)))</f>
        <v>7</v>
      </c>
      <c r="AF1305" s="73">
        <f>'Cali Frames'!D196</f>
        <v>120</v>
      </c>
      <c r="AG1305" s="84"/>
      <c r="AH1305" s="74">
        <v>0</v>
      </c>
      <c r="AI1305" s="74"/>
      <c r="AJ1305" s="278">
        <f t="shared" si="467"/>
        <v>137.4</v>
      </c>
      <c r="AK1305" s="1001">
        <f t="shared" si="466"/>
        <v>0.54199999999999993</v>
      </c>
      <c r="AL1305" s="240">
        <f>Table1[[#This Row],[WSP/Dealer]]/Table1[[#This Row],[OD Sq Inch]]</f>
        <v>0.56710775047258977</v>
      </c>
      <c r="AM1305" s="170">
        <f>Table1[[#This Row],[OD Wdth]]*Table1[[#This Row],[OD Hgt]]</f>
        <v>529</v>
      </c>
      <c r="AN1305" s="274" t="str">
        <f>Table1[[#This Row],[Color]]</f>
        <v>CB</v>
      </c>
      <c r="AO1305" s="84" t="str">
        <f>Table1[[#This Row],[Print Type]]</f>
        <v>Work on Paper</v>
      </c>
      <c r="AP1305" s="84"/>
      <c r="AQ1305" s="74"/>
      <c r="AR1305" s="74"/>
      <c r="AS1305" s="74"/>
      <c r="AT1305" s="74"/>
      <c r="AU1305" s="1357" t="str">
        <f t="shared" si="462"/>
        <v>-</v>
      </c>
    </row>
    <row r="1306" spans="1:47" s="103" customFormat="1" hidden="1" x14ac:dyDescent="0.2">
      <c r="A1306" s="68" t="s">
        <v>318</v>
      </c>
      <c r="B1306" s="1473" t="s">
        <v>65</v>
      </c>
      <c r="C1306" s="257" t="s">
        <v>3172</v>
      </c>
      <c r="D1306" s="94"/>
      <c r="E1306" s="84" t="s">
        <v>3169</v>
      </c>
      <c r="F1306" s="84" t="s">
        <v>105</v>
      </c>
      <c r="G1306" s="68" t="s">
        <v>3170</v>
      </c>
      <c r="H1306" s="68" t="s">
        <v>3171</v>
      </c>
      <c r="I1306" s="68" t="s">
        <v>256</v>
      </c>
      <c r="J1306" s="140" t="s">
        <v>257</v>
      </c>
      <c r="K1306" s="68" t="s">
        <v>512</v>
      </c>
      <c r="L1306" s="68" t="s">
        <v>513</v>
      </c>
      <c r="M1306" s="141">
        <v>390</v>
      </c>
      <c r="N1306" s="93"/>
      <c r="O1306" s="68" t="s">
        <v>260</v>
      </c>
      <c r="P1306" s="623">
        <v>20</v>
      </c>
      <c r="Q1306" s="623">
        <v>20</v>
      </c>
      <c r="R1306" s="68">
        <v>20</v>
      </c>
      <c r="S1306" s="623">
        <v>20</v>
      </c>
      <c r="T1306" s="623">
        <v>23</v>
      </c>
      <c r="U1306" s="623">
        <v>23</v>
      </c>
      <c r="V1306" s="686">
        <f t="shared" si="469"/>
        <v>20</v>
      </c>
      <c r="W1306" s="686">
        <f t="shared" si="470"/>
        <v>20</v>
      </c>
      <c r="X1306" s="68" t="s">
        <v>257</v>
      </c>
      <c r="Y1306" s="68">
        <v>20</v>
      </c>
      <c r="Z1306" s="68">
        <v>20</v>
      </c>
      <c r="AA1306" s="699">
        <f t="shared" si="468"/>
        <v>2.7777777777777777</v>
      </c>
      <c r="AB1306" s="297">
        <f>AA1306*canonML</f>
        <v>13.333333333333332</v>
      </c>
      <c r="AC1306" s="74">
        <f>Table1[[#This Row],[Print Wth]]*paper60</f>
        <v>6.8000000000000007</v>
      </c>
      <c r="AD1306" s="67">
        <f>Table1[[#This Row],[Ink g/mL]]*CanonC</f>
        <v>3.6</v>
      </c>
      <c r="AE1306" s="74">
        <f>IF(Table1[[#This Row],[Work Center]]="SwissQ",Materials!G$37,IF(Table1[[#This Row],[Work Center]]="Inca",Materials!G$29,IF(Table1[[#This Row],[Work Center]]="Canon",Materials!G$49,Materials!G$45)))</f>
        <v>7</v>
      </c>
      <c r="AF1306" s="73">
        <f>'Cali Frames'!D559</f>
        <v>140</v>
      </c>
      <c r="AG1306" s="84"/>
      <c r="AH1306" s="74">
        <v>0</v>
      </c>
      <c r="AI1306" s="74"/>
      <c r="AJ1306" s="278">
        <f t="shared" si="467"/>
        <v>157.4</v>
      </c>
      <c r="AK1306" s="1001">
        <f t="shared" si="466"/>
        <v>0.59641025641025636</v>
      </c>
      <c r="AL1306" s="240">
        <f>Table1[[#This Row],[WSP/Dealer]]/Table1[[#This Row],[OD Sq Inch]]</f>
        <v>0.73724007561436677</v>
      </c>
      <c r="AM1306" s="170">
        <f>Table1[[#This Row],[OD Wdth]]*Table1[[#This Row],[OD Hgt]]</f>
        <v>529</v>
      </c>
      <c r="AN1306" s="274" t="str">
        <f>Table1[[#This Row],[Color]]</f>
        <v>PIW.5</v>
      </c>
      <c r="AO1306" s="84" t="str">
        <f>Table1[[#This Row],[Print Type]]</f>
        <v>Work on Paper</v>
      </c>
      <c r="AP1306" s="84"/>
      <c r="AQ1306" s="74"/>
      <c r="AR1306" s="74"/>
      <c r="AS1306" s="74"/>
      <c r="AT1306" s="74"/>
      <c r="AU1306" s="1357" t="str">
        <f t="shared" si="462"/>
        <v>-</v>
      </c>
    </row>
    <row r="1307" spans="1:47" s="103" customFormat="1" hidden="1" x14ac:dyDescent="0.2">
      <c r="A1307" s="68" t="s">
        <v>318</v>
      </c>
      <c r="B1307" s="1473" t="s">
        <v>65</v>
      </c>
      <c r="C1307" s="257" t="s">
        <v>3173</v>
      </c>
      <c r="D1307" s="94"/>
      <c r="E1307" s="84" t="s">
        <v>3169</v>
      </c>
      <c r="F1307" s="84" t="s">
        <v>105</v>
      </c>
      <c r="G1307" s="68" t="s">
        <v>3170</v>
      </c>
      <c r="H1307" s="68" t="s">
        <v>3171</v>
      </c>
      <c r="I1307" s="68" t="s">
        <v>256</v>
      </c>
      <c r="J1307" s="140" t="s">
        <v>257</v>
      </c>
      <c r="K1307" s="68" t="s">
        <v>515</v>
      </c>
      <c r="L1307" s="68" t="s">
        <v>513</v>
      </c>
      <c r="M1307" s="141">
        <v>390</v>
      </c>
      <c r="N1307" s="93"/>
      <c r="O1307" s="68" t="s">
        <v>260</v>
      </c>
      <c r="P1307" s="623">
        <v>20</v>
      </c>
      <c r="Q1307" s="623">
        <v>20</v>
      </c>
      <c r="R1307" s="68">
        <v>20</v>
      </c>
      <c r="S1307" s="623">
        <v>20</v>
      </c>
      <c r="T1307" s="623">
        <v>23</v>
      </c>
      <c r="U1307" s="623">
        <v>23</v>
      </c>
      <c r="V1307" s="686">
        <f t="shared" si="469"/>
        <v>20</v>
      </c>
      <c r="W1307" s="686">
        <f t="shared" si="470"/>
        <v>20</v>
      </c>
      <c r="X1307" s="68" t="s">
        <v>257</v>
      </c>
      <c r="Y1307" s="68">
        <v>20</v>
      </c>
      <c r="Z1307" s="68">
        <v>20</v>
      </c>
      <c r="AA1307" s="699">
        <f t="shared" si="468"/>
        <v>2.7777777777777777</v>
      </c>
      <c r="AB1307" s="297">
        <f>AA1307*canonML</f>
        <v>13.333333333333332</v>
      </c>
      <c r="AC1307" s="74">
        <f>Table1[[#This Row],[Print Wth]]*paper60</f>
        <v>6.8000000000000007</v>
      </c>
      <c r="AD1307" s="67">
        <f>Table1[[#This Row],[Ink g/mL]]*CanonC</f>
        <v>3.6</v>
      </c>
      <c r="AE1307" s="74">
        <f>IF(Table1[[#This Row],[Work Center]]="SwissQ",Materials!G$37,IF(Table1[[#This Row],[Work Center]]="Inca",Materials!G$29,IF(Table1[[#This Row],[Work Center]]="Canon",Materials!G$49,Materials!G$45)))</f>
        <v>7</v>
      </c>
      <c r="AF1307" s="73">
        <f>'Cali Frames'!D559</f>
        <v>140</v>
      </c>
      <c r="AG1307" s="84"/>
      <c r="AH1307" s="74">
        <v>0</v>
      </c>
      <c r="AI1307" s="74"/>
      <c r="AJ1307" s="278">
        <f t="shared" si="467"/>
        <v>157.4</v>
      </c>
      <c r="AK1307" s="1001">
        <f t="shared" si="466"/>
        <v>0.59641025641025636</v>
      </c>
      <c r="AL1307" s="240">
        <f>Table1[[#This Row],[WSP/Dealer]]/Table1[[#This Row],[OD Sq Inch]]</f>
        <v>0.73724007561436677</v>
      </c>
      <c r="AM1307" s="170">
        <f>Table1[[#This Row],[OD Wdth]]*Table1[[#This Row],[OD Hgt]]</f>
        <v>529</v>
      </c>
      <c r="AN1307" s="274" t="str">
        <f>Table1[[#This Row],[Color]]</f>
        <v>PIW.5</v>
      </c>
      <c r="AO1307" s="84" t="str">
        <f>Table1[[#This Row],[Print Type]]</f>
        <v>Work on Paper</v>
      </c>
      <c r="AP1307" s="84"/>
      <c r="AQ1307" s="74"/>
      <c r="AR1307" s="74"/>
      <c r="AS1307" s="74"/>
      <c r="AT1307" s="74"/>
      <c r="AU1307" s="1357" t="str">
        <f t="shared" si="462"/>
        <v>-</v>
      </c>
    </row>
    <row r="1308" spans="1:47" s="1430" customFormat="1" hidden="1" x14ac:dyDescent="0.2">
      <c r="A1308" s="551" t="s">
        <v>318</v>
      </c>
      <c r="B1308" s="1150" t="s">
        <v>111</v>
      </c>
      <c r="C1308" s="1032" t="s">
        <v>3174</v>
      </c>
      <c r="D1308" s="77"/>
      <c r="E1308" s="653" t="s">
        <v>3169</v>
      </c>
      <c r="F1308" s="653" t="s">
        <v>105</v>
      </c>
      <c r="G1308" s="551" t="s">
        <v>3170</v>
      </c>
      <c r="H1308" s="551" t="s">
        <v>3171</v>
      </c>
      <c r="I1308" s="551" t="s">
        <v>108</v>
      </c>
      <c r="J1308" s="856" t="s">
        <v>280</v>
      </c>
      <c r="K1308" s="551" t="s">
        <v>814</v>
      </c>
      <c r="L1308" s="551" t="s">
        <v>815</v>
      </c>
      <c r="M1308" s="857">
        <v>300</v>
      </c>
      <c r="N1308" s="1167"/>
      <c r="O1308" s="551" t="s">
        <v>64</v>
      </c>
      <c r="P1308" s="984">
        <v>20</v>
      </c>
      <c r="Q1308" s="984">
        <v>20</v>
      </c>
      <c r="R1308" s="551">
        <v>20</v>
      </c>
      <c r="S1308" s="984">
        <v>20</v>
      </c>
      <c r="T1308" s="984">
        <v>23</v>
      </c>
      <c r="U1308" s="984">
        <v>23</v>
      </c>
      <c r="V1308" s="1670">
        <f t="shared" si="469"/>
        <v>20</v>
      </c>
      <c r="W1308" s="1670">
        <f t="shared" si="470"/>
        <v>20</v>
      </c>
      <c r="X1308" s="551" t="s">
        <v>283</v>
      </c>
      <c r="Y1308" s="551">
        <v>20</v>
      </c>
      <c r="Z1308" s="551">
        <v>20</v>
      </c>
      <c r="AA1308" s="903">
        <f t="shared" si="468"/>
        <v>2.7777777777777777</v>
      </c>
      <c r="AB1308" s="898">
        <f>Table1[[#This Row],[Substrate SF]]*SWISSMLR</f>
        <v>5.5555555555555554</v>
      </c>
      <c r="AC1308" s="867">
        <f>AA1308*Canvas</f>
        <v>1.8333333333333333</v>
      </c>
      <c r="AD1308" s="867">
        <f>Table1[[#This Row],[Substrate SF]]*SWISSCR</f>
        <v>0.61111111111111105</v>
      </c>
      <c r="AE1308" s="863">
        <f>Materials!I$41</f>
        <v>8</v>
      </c>
      <c r="AF1308" s="902">
        <f>'Cali Frames'!D196</f>
        <v>120</v>
      </c>
      <c r="AG1308" s="653"/>
      <c r="AH1308" s="862">
        <v>0</v>
      </c>
      <c r="AI1308" s="862"/>
      <c r="AJ1308" s="867">
        <f t="shared" si="467"/>
        <v>130.44444444444446</v>
      </c>
      <c r="AK1308" s="894">
        <f t="shared" si="466"/>
        <v>0.56518518518518512</v>
      </c>
      <c r="AL1308" s="895">
        <f>Table1[[#This Row],[WSP/Dealer]]/Table1[[#This Row],[OD Sq Inch]]</f>
        <v>0.56710775047258977</v>
      </c>
      <c r="AM1308" s="869">
        <f>Table1[[#This Row],[OD Wdth]]*Table1[[#This Row],[OD Hgt]]</f>
        <v>529</v>
      </c>
      <c r="AN1308" s="869" t="str">
        <f>Table1[[#This Row],[Color]]</f>
        <v>CB</v>
      </c>
      <c r="AO1308" s="653" t="str">
        <f>Table1[[#This Row],[Print Type]]</f>
        <v>Reductive</v>
      </c>
      <c r="AP1308" s="653"/>
      <c r="AQ1308" s="863"/>
      <c r="AR1308" s="863"/>
      <c r="AS1308" s="863"/>
      <c r="AT1308" s="863"/>
      <c r="AU1308" s="1364" t="str">
        <f t="shared" si="462"/>
        <v>-</v>
      </c>
    </row>
    <row r="1309" spans="1:47" s="63" customFormat="1" x14ac:dyDescent="0.2">
      <c r="A1309" s="86" t="s">
        <v>58</v>
      </c>
      <c r="B1309" s="1061" t="s">
        <v>366</v>
      </c>
      <c r="C1309" s="100" t="s">
        <v>3175</v>
      </c>
      <c r="D1309" s="94" t="s">
        <v>3176</v>
      </c>
      <c r="E1309" s="85" t="s">
        <v>3177</v>
      </c>
      <c r="F1309" s="85" t="s">
        <v>124</v>
      </c>
      <c r="G1309" s="86" t="s">
        <v>637</v>
      </c>
      <c r="H1309" s="86" t="s">
        <v>2834</v>
      </c>
      <c r="I1309" s="86" t="s">
        <v>52</v>
      </c>
      <c r="J1309" s="86" t="s">
        <v>53</v>
      </c>
      <c r="K1309" s="86" t="s">
        <v>69</v>
      </c>
      <c r="L1309" s="86" t="s">
        <v>73</v>
      </c>
      <c r="M1309" s="87">
        <v>968</v>
      </c>
      <c r="N1309" s="639">
        <v>1250</v>
      </c>
      <c r="O1309" s="551" t="s">
        <v>56</v>
      </c>
      <c r="P1309" s="101">
        <v>60</v>
      </c>
      <c r="Q1309" s="101">
        <v>48</v>
      </c>
      <c r="R1309" s="60">
        <v>48</v>
      </c>
      <c r="S1309" s="273">
        <v>60</v>
      </c>
      <c r="T1309" s="101">
        <v>62</v>
      </c>
      <c r="U1309" s="101" t="str">
        <f>RIGHT(H1309,2)</f>
        <v>50</v>
      </c>
      <c r="V1309" s="106">
        <f t="shared" si="469"/>
        <v>68</v>
      </c>
      <c r="W1309" s="106">
        <f t="shared" si="470"/>
        <v>56</v>
      </c>
      <c r="X1309" s="189">
        <v>69</v>
      </c>
      <c r="Y1309" s="68"/>
      <c r="Z1309" s="68"/>
      <c r="AA1309" s="649">
        <f t="shared" si="468"/>
        <v>26.444444444444443</v>
      </c>
      <c r="AB1309" s="184">
        <f>AA1309*IncaG</f>
        <v>556.39111111111106</v>
      </c>
      <c r="AC1309" s="104">
        <f>AA1309*Canvas</f>
        <v>17.453333333333333</v>
      </c>
      <c r="AD1309" s="107">
        <f>Table1[[#This Row],[Substrate SF]]*IncaC</f>
        <v>44.511288888888885</v>
      </c>
      <c r="AE1309" s="104">
        <f>IF(Table1[[#This Row],[Work Center]]="SwissQ",Materials!G$37,IF(Table1[[#This Row],[Work Center]]="Inca",Materials!G$29,IF(Table1[[#This Row],[Work Center]]="Canon",Materials!G$49,Materials!G$45)))</f>
        <v>8</v>
      </c>
      <c r="AF1309" s="74">
        <f>'Cali Frames'!D$470</f>
        <v>263.70999999999998</v>
      </c>
      <c r="AG1309" s="115"/>
      <c r="AH1309" s="112">
        <f>(M1309*0.05)</f>
        <v>48.400000000000006</v>
      </c>
      <c r="AI1309" s="112"/>
      <c r="AJ1309" s="104">
        <f t="shared" si="467"/>
        <v>382.07462222222216</v>
      </c>
      <c r="AK1309" s="62">
        <f t="shared" si="466"/>
        <v>0.60529481175390276</v>
      </c>
      <c r="AL1309" s="225">
        <f>Table1[[#This Row],[WSP/Dealer]]/Table1[[#This Row],[OD Sq Inch]]</f>
        <v>0.31225806451612903</v>
      </c>
      <c r="AM1309" s="97">
        <f>Table1[[#This Row],[OD Wdth]]*Table1[[#This Row],[OD Hgt]]</f>
        <v>3100</v>
      </c>
      <c r="AN1309" s="216">
        <f>Table1[[#This Row],[Min VO]]+Table1[[#This Row],[Max VO]]</f>
        <v>108</v>
      </c>
      <c r="AO1309" s="101"/>
      <c r="AP1309" s="101"/>
      <c r="AQ1309" s="104"/>
      <c r="AR1309" s="104"/>
      <c r="AS1309" s="104"/>
      <c r="AT1309" s="104"/>
      <c r="AU1309" s="830" t="str">
        <f t="shared" si="462"/>
        <v>-</v>
      </c>
    </row>
    <row r="1310" spans="1:47" s="63" customFormat="1" hidden="1" x14ac:dyDescent="0.2">
      <c r="A1310" s="373"/>
      <c r="B1310" s="1061"/>
      <c r="C1310" s="94" t="s">
        <v>3178</v>
      </c>
      <c r="D1310" s="94"/>
      <c r="E1310" s="84" t="s">
        <v>3179</v>
      </c>
      <c r="F1310" s="84" t="s">
        <v>571</v>
      </c>
      <c r="G1310" s="68" t="s">
        <v>731</v>
      </c>
      <c r="H1310" s="68" t="s">
        <v>732</v>
      </c>
      <c r="I1310" s="68" t="s">
        <v>108</v>
      </c>
      <c r="J1310" s="68" t="s">
        <v>53</v>
      </c>
      <c r="K1310" s="68" t="s">
        <v>69</v>
      </c>
      <c r="L1310" s="68" t="s">
        <v>73</v>
      </c>
      <c r="M1310" s="141">
        <v>250</v>
      </c>
      <c r="N1310" s="71"/>
      <c r="O1310" s="68" t="s">
        <v>64</v>
      </c>
      <c r="P1310" s="68">
        <v>30</v>
      </c>
      <c r="Q1310" s="68">
        <v>20</v>
      </c>
      <c r="R1310" s="68">
        <v>20</v>
      </c>
      <c r="S1310" s="63">
        <v>30</v>
      </c>
      <c r="T1310" s="68">
        <v>31</v>
      </c>
      <c r="U1310" s="68">
        <v>21</v>
      </c>
      <c r="V1310" s="277">
        <f t="shared" si="469"/>
        <v>38</v>
      </c>
      <c r="W1310" s="277">
        <f t="shared" si="470"/>
        <v>28</v>
      </c>
      <c r="X1310" s="189"/>
      <c r="Y1310" s="68">
        <v>38</v>
      </c>
      <c r="Z1310" s="68">
        <v>28</v>
      </c>
      <c r="AA1310" s="727">
        <f t="shared" si="468"/>
        <v>7.3888888888888893</v>
      </c>
      <c r="AB1310" s="341">
        <f>Table1[[#This Row],[Substrate SF]]*SWISSMLR</f>
        <v>14.777777777777779</v>
      </c>
      <c r="AC1310" s="278">
        <f>AA1310*Canvas</f>
        <v>4.8766666666666669</v>
      </c>
      <c r="AD1310" s="263">
        <f>Table1[[#This Row],[Substrate SF]]*SWISSCR</f>
        <v>1.6255555555555556</v>
      </c>
      <c r="AE1310" s="74">
        <f>Materials!I$41</f>
        <v>8</v>
      </c>
      <c r="AF1310" s="73">
        <f>'Cali Frames'!D419</f>
        <v>83.685000000000002</v>
      </c>
      <c r="AG1310" s="126"/>
      <c r="AH1310" s="498">
        <f>(M1310*0.05)</f>
        <v>12.5</v>
      </c>
      <c r="AI1310" s="498"/>
      <c r="AJ1310" s="278">
        <f t="shared" si="467"/>
        <v>110.68722222222223</v>
      </c>
      <c r="AK1310" s="650">
        <f t="shared" si="466"/>
        <v>0.55725111111111103</v>
      </c>
      <c r="AL1310" s="225">
        <f>Table1[[#This Row],[WSP/Dealer]]/Table1[[#This Row],[OD Sq Inch]]</f>
        <v>0.38402457757296465</v>
      </c>
      <c r="AM1310" s="170">
        <f>Table1[[#This Row],[OD Wdth]]*Table1[[#This Row],[OD Hgt]]</f>
        <v>651</v>
      </c>
      <c r="AN1310" s="274" t="str">
        <f>Table1[[#This Row],[Color]]</f>
        <v>NF</v>
      </c>
      <c r="AO1310" s="84" t="str">
        <f>Table1[[#This Row],[Print Type]]</f>
        <v>Reductive</v>
      </c>
      <c r="AP1310" s="84"/>
      <c r="AQ1310" s="126"/>
      <c r="AR1310" s="126"/>
      <c r="AS1310" s="126"/>
      <c r="AT1310" s="74"/>
      <c r="AU1310" s="1357" t="str">
        <f t="shared" si="462"/>
        <v>-</v>
      </c>
    </row>
    <row r="1311" spans="1:47" s="63" customFormat="1" x14ac:dyDescent="0.2">
      <c r="A1311" s="68" t="s">
        <v>58</v>
      </c>
      <c r="B1311" s="1072" t="s">
        <v>1584</v>
      </c>
      <c r="C1311" s="94" t="s">
        <v>3180</v>
      </c>
      <c r="D1311" s="94"/>
      <c r="E1311" s="84" t="s">
        <v>3181</v>
      </c>
      <c r="F1311" s="84" t="s">
        <v>571</v>
      </c>
      <c r="G1311" s="68" t="s">
        <v>637</v>
      </c>
      <c r="H1311" s="68"/>
      <c r="I1311" s="68" t="s">
        <v>574</v>
      </c>
      <c r="J1311" s="140" t="s">
        <v>53</v>
      </c>
      <c r="K1311" s="68"/>
      <c r="L1311" s="68"/>
      <c r="M1311" s="93"/>
      <c r="N1311" s="93"/>
      <c r="O1311" s="68"/>
      <c r="P1311" s="68"/>
      <c r="Q1311" s="68"/>
      <c r="R1311" s="68"/>
      <c r="T1311" s="68"/>
      <c r="U1311" s="68"/>
      <c r="V1311" s="66"/>
      <c r="W1311" s="66"/>
      <c r="X1311" s="68"/>
      <c r="Y1311" s="68"/>
      <c r="Z1311" s="68"/>
      <c r="AA1311" s="699"/>
      <c r="AB1311" s="297"/>
      <c r="AC1311" s="74"/>
      <c r="AD1311" s="118"/>
      <c r="AE1311" s="126"/>
      <c r="AF1311" s="73"/>
      <c r="AG1311" s="126"/>
      <c r="AH1311" s="118"/>
      <c r="AI1311" s="118"/>
      <c r="AJ1311" s="126"/>
      <c r="AK1311" s="661"/>
      <c r="AL1311" s="126"/>
      <c r="AM1311" s="119"/>
      <c r="AN1311" s="84"/>
      <c r="AO1311" s="84"/>
      <c r="AP1311" s="84"/>
      <c r="AQ1311" s="126"/>
      <c r="AR1311" s="126"/>
      <c r="AS1311" s="126"/>
      <c r="AT1311" s="74"/>
      <c r="AU1311" s="1357" t="str">
        <f t="shared" si="462"/>
        <v>-</v>
      </c>
    </row>
    <row r="1312" spans="1:47" s="46" customFormat="1" hidden="1" x14ac:dyDescent="0.2">
      <c r="A1312" s="86"/>
      <c r="B1312" s="279" t="s">
        <v>562</v>
      </c>
      <c r="C1312" s="76" t="s">
        <v>3182</v>
      </c>
      <c r="D1312" s="94" t="s">
        <v>3183</v>
      </c>
      <c r="E1312" s="85" t="s">
        <v>3184</v>
      </c>
      <c r="F1312" s="85" t="s">
        <v>150</v>
      </c>
      <c r="G1312" s="86" t="s">
        <v>2578</v>
      </c>
      <c r="H1312" s="86" t="s">
        <v>2579</v>
      </c>
      <c r="I1312" s="86" t="s">
        <v>52</v>
      </c>
      <c r="J1312" s="86" t="s">
        <v>53</v>
      </c>
      <c r="K1312" s="86" t="s">
        <v>82</v>
      </c>
      <c r="L1312" s="86" t="s">
        <v>83</v>
      </c>
      <c r="M1312" s="87">
        <v>1078</v>
      </c>
      <c r="N1312" s="71"/>
      <c r="O1312" s="551" t="s">
        <v>56</v>
      </c>
      <c r="P1312" s="101">
        <v>47</v>
      </c>
      <c r="Q1312" s="101">
        <v>68</v>
      </c>
      <c r="R1312" s="60">
        <v>47</v>
      </c>
      <c r="S1312" s="273">
        <v>68</v>
      </c>
      <c r="T1312" s="101">
        <v>49</v>
      </c>
      <c r="U1312" s="101" t="str">
        <f>RIGHT(H1312,2)</f>
        <v>70</v>
      </c>
      <c r="V1312" s="106">
        <f>IF(J1312="Canvas",P1312+Border,P1312)</f>
        <v>55</v>
      </c>
      <c r="W1312" s="106">
        <f>IF(J1312="Canvas",Q1312+Border,Q1312)</f>
        <v>76</v>
      </c>
      <c r="X1312" s="311">
        <v>59</v>
      </c>
      <c r="Y1312" s="551"/>
      <c r="Z1312" s="551"/>
      <c r="AA1312" s="649">
        <f t="shared" ref="AA1312:AA1328" si="471">V1312*W1312/144</f>
        <v>29.027777777777779</v>
      </c>
      <c r="AB1312" s="184">
        <f>AA1312*IncaG</f>
        <v>610.74444444444441</v>
      </c>
      <c r="AC1312" s="104">
        <f t="shared" ref="AC1312:AC1320" si="472">AA1312*Canvas</f>
        <v>19.158333333333335</v>
      </c>
      <c r="AD1312" s="107">
        <f>AA1312*IncaC</f>
        <v>48.859555555555559</v>
      </c>
      <c r="AE1312" s="104">
        <f>IF(Table1[[#This Row],[Work Center]]="SwissQ",Materials!G$37,IF(Table1[[#This Row],[Work Center]]="Inca",Materials!G$29,IF(Table1[[#This Row],[Work Center]]="Canon",Materials!G$49,Materials!G$45)))</f>
        <v>8</v>
      </c>
      <c r="AF1312" s="104">
        <f>'Cali Frames'!D$150</f>
        <v>237.94749999999999</v>
      </c>
      <c r="AG1312" s="115"/>
      <c r="AH1312" s="498">
        <f t="shared" ref="AH1312:AH1338" si="473">(M1312*0.05)</f>
        <v>53.900000000000006</v>
      </c>
      <c r="AI1312" s="498"/>
      <c r="AJ1312" s="104">
        <f>SUM(AC1312:AH1312)</f>
        <v>367.8653888888889</v>
      </c>
      <c r="AK1312" s="650">
        <f t="shared" ref="AK1312:AK1343" si="474">(M1312-AJ1312)/M1312</f>
        <v>0.65875195835910116</v>
      </c>
      <c r="AL1312" s="225">
        <f>Table1[[#This Row],[WSP/Dealer]]/Table1[[#This Row],[OD Sq Inch]]</f>
        <v>0.31428571428571428</v>
      </c>
      <c r="AM1312" s="97">
        <f>Table1[[#This Row],[OD Wdth]]*Table1[[#This Row],[OD Hgt]]</f>
        <v>3430</v>
      </c>
      <c r="AN1312" s="216">
        <f>Table1[[#This Row],[Min VO]]+Table1[[#This Row],[Max VO]]</f>
        <v>115</v>
      </c>
      <c r="AO1312" s="101"/>
      <c r="AP1312" s="101"/>
      <c r="AQ1312" s="104"/>
      <c r="AR1312" s="104"/>
      <c r="AS1312" s="104"/>
      <c r="AT1312" s="104"/>
      <c r="AU1312" s="830" t="str">
        <f t="shared" si="462"/>
        <v>-</v>
      </c>
    </row>
    <row r="1313" spans="1:47" s="103" customFormat="1" hidden="1" x14ac:dyDescent="0.2">
      <c r="A1313" s="101" t="s">
        <v>110</v>
      </c>
      <c r="B1313" s="1062" t="s">
        <v>134</v>
      </c>
      <c r="C1313" s="168" t="s">
        <v>3185</v>
      </c>
      <c r="D1313" s="168"/>
      <c r="E1313" s="115" t="s">
        <v>3186</v>
      </c>
      <c r="F1313" s="115" t="s">
        <v>114</v>
      </c>
      <c r="G1313" s="101" t="s">
        <v>132</v>
      </c>
      <c r="H1313" s="101" t="s">
        <v>132</v>
      </c>
      <c r="I1313" s="101" t="s">
        <v>52</v>
      </c>
      <c r="J1313" s="101" t="s">
        <v>53</v>
      </c>
      <c r="K1313" s="101" t="s">
        <v>54</v>
      </c>
      <c r="L1313" s="101" t="s">
        <v>55</v>
      </c>
      <c r="M1313" s="299">
        <v>600</v>
      </c>
      <c r="N1313" s="829">
        <v>720</v>
      </c>
      <c r="O1313" s="101" t="s">
        <v>64</v>
      </c>
      <c r="P1313" s="101">
        <v>36</v>
      </c>
      <c r="Q1313" s="101">
        <v>48</v>
      </c>
      <c r="R1313" s="101">
        <v>36</v>
      </c>
      <c r="S1313" s="101">
        <v>48</v>
      </c>
      <c r="T1313" s="101">
        <v>36</v>
      </c>
      <c r="U1313" s="101">
        <v>48</v>
      </c>
      <c r="V1313" s="608">
        <f>IF(J1313="Canvas",P1313+Materials!C4,P1313)</f>
        <v>47</v>
      </c>
      <c r="W1313" s="608">
        <f>IF(J1313="Canvas",Q1313+Materials!C4,Q1313)</f>
        <v>59</v>
      </c>
      <c r="X1313" s="137">
        <v>59</v>
      </c>
      <c r="Y1313" s="101"/>
      <c r="Z1313" s="101"/>
      <c r="AA1313" s="649">
        <f t="shared" si="471"/>
        <v>19.256944444444443</v>
      </c>
      <c r="AB1313" s="184">
        <f>AA1313*Swiss1</f>
        <v>544.97152777777774</v>
      </c>
      <c r="AC1313" s="104">
        <f t="shared" si="472"/>
        <v>12.709583333333333</v>
      </c>
      <c r="AD1313" s="104">
        <f>Table1[[#This Row],[Substrate SF]]*Materials!C$37</f>
        <v>53.919444444444437</v>
      </c>
      <c r="AE1313" s="104">
        <f>IF(Table1[[#This Row],[Work Center]]="SwissQ",Materials!G$37,IF(Table1[[#This Row],[Work Center]]="Inca",Materials!G$29,IF(Table1[[#This Row],[Work Center]]="Canon",Materials!G$49,Materials!G$45)))</f>
        <v>20</v>
      </c>
      <c r="AF1313" s="102">
        <f>'Cali FPS'!C71</f>
        <v>114.31</v>
      </c>
      <c r="AG1313" s="121"/>
      <c r="AH1313" s="104">
        <f t="shared" si="473"/>
        <v>30</v>
      </c>
      <c r="AI1313" s="406">
        <f>IF(A1313="Codarus",(M1313*0.13))</f>
        <v>78</v>
      </c>
      <c r="AJ1313" s="104">
        <f>SUM(AC1313:AH1313)</f>
        <v>230.93902777777777</v>
      </c>
      <c r="AK1313" s="830">
        <f t="shared" si="474"/>
        <v>0.61510162037037042</v>
      </c>
      <c r="AL1313" s="660">
        <f>Table1[[#This Row],[WSP/Dealer]]/Table1[[#This Row],[OD Sq Inch]]</f>
        <v>0.34722222222222221</v>
      </c>
      <c r="AM1313" s="101">
        <f>Table1[[#This Row],[OD Wdth]]*Table1[[#This Row],[OD Hgt]]</f>
        <v>1728</v>
      </c>
      <c r="AN1313" s="101">
        <f>Table1[[#This Row],[Min VO]]+Table1[[#This Row],[Max VO]]</f>
        <v>84</v>
      </c>
      <c r="AO1313" s="115"/>
      <c r="AP1313" s="121">
        <v>1200</v>
      </c>
      <c r="AQ1313" s="121">
        <f>(Table1[[#This Row],[Desgnr/Retail P]]*0.05)</f>
        <v>60</v>
      </c>
      <c r="AR1313" s="121">
        <f>IF(A1313="Codarus",(AP1313*0.13))</f>
        <v>156</v>
      </c>
      <c r="AS1313" s="121">
        <f>SUM(Table1[[#This Row],[Substrate $]:[GP FINISH]])+Table1[[#This Row],[Retail Royalty]]+Table1[[#This Row],[Retail$Comm]]</f>
        <v>416.93902777777777</v>
      </c>
      <c r="AT1313" s="830">
        <f>IF(AP1313=0,"-",(AP1313-AS1313)/AP1313)</f>
        <v>0.65255081018518524</v>
      </c>
      <c r="AU1313" s="1359">
        <f t="shared" si="462"/>
        <v>0.98912415316358027</v>
      </c>
    </row>
    <row r="1314" spans="1:47" s="103" customFormat="1" hidden="1" x14ac:dyDescent="0.2">
      <c r="A1314" s="101" t="s">
        <v>110</v>
      </c>
      <c r="B1314" s="1067" t="s">
        <v>134</v>
      </c>
      <c r="C1314" s="168" t="s">
        <v>3187</v>
      </c>
      <c r="D1314" s="168"/>
      <c r="E1314" s="115" t="s">
        <v>3188</v>
      </c>
      <c r="F1314" s="115" t="s">
        <v>114</v>
      </c>
      <c r="G1314" s="101" t="s">
        <v>413</v>
      </c>
      <c r="H1314" s="101" t="s">
        <v>413</v>
      </c>
      <c r="I1314" s="101" t="s">
        <v>52</v>
      </c>
      <c r="J1314" s="487" t="s">
        <v>53</v>
      </c>
      <c r="K1314" s="101" t="s">
        <v>54</v>
      </c>
      <c r="L1314" s="101" t="s">
        <v>55</v>
      </c>
      <c r="M1314" s="114">
        <v>1350</v>
      </c>
      <c r="N1314" s="114"/>
      <c r="O1314" s="101" t="s">
        <v>56</v>
      </c>
      <c r="P1314" s="101">
        <v>56</v>
      </c>
      <c r="Q1314" s="101">
        <v>74</v>
      </c>
      <c r="R1314" s="101">
        <v>56</v>
      </c>
      <c r="S1314" s="103">
        <v>74</v>
      </c>
      <c r="T1314" s="101">
        <v>56</v>
      </c>
      <c r="U1314" s="101">
        <v>74</v>
      </c>
      <c r="V1314" s="608">
        <f>IF(J1314="Canvas",P1314+Border,P1314)</f>
        <v>64</v>
      </c>
      <c r="W1314" s="608">
        <f>IF(J1314="Canvas",Q1314+Border,Q1314)</f>
        <v>82</v>
      </c>
      <c r="X1314" s="137">
        <v>69</v>
      </c>
      <c r="Y1314" s="101">
        <v>65</v>
      </c>
      <c r="Z1314" s="101">
        <v>82</v>
      </c>
      <c r="AA1314" s="649">
        <f t="shared" si="471"/>
        <v>36.444444444444443</v>
      </c>
      <c r="AB1314" s="184">
        <f>AA1314*IncaG</f>
        <v>766.79111111111104</v>
      </c>
      <c r="AC1314" s="104">
        <f t="shared" si="472"/>
        <v>24.053333333333335</v>
      </c>
      <c r="AD1314" s="1066">
        <f>Table1[[#This Row],[Substrate SF]]*IncaC</f>
        <v>61.343288888888885</v>
      </c>
      <c r="AE1314" s="406">
        <f>IF(Table1[[#This Row],[Work Center]]="SwissQ",Materials!G$37,IF(Table1[[#This Row],[Work Center]]="Inca",Materials!G$29,IF(Table1[[#This Row],[Work Center]]="Canon",Materials!G$49,Materials!G$45)))</f>
        <v>8</v>
      </c>
      <c r="AF1314" s="102">
        <f>'Cali FPS'!C151</f>
        <v>231.26250000000002</v>
      </c>
      <c r="AG1314" s="121"/>
      <c r="AH1314" s="406">
        <f t="shared" si="473"/>
        <v>67.5</v>
      </c>
      <c r="AI1314" s="406">
        <f>IF(A1314="Codarus",(M1314*0.13))</f>
        <v>175.5</v>
      </c>
      <c r="AJ1314" s="107">
        <f>SUM(AC1314:AI1314)</f>
        <v>567.65912222222221</v>
      </c>
      <c r="AK1314" s="830">
        <f t="shared" si="474"/>
        <v>0.57951176131687243</v>
      </c>
      <c r="AL1314" s="660">
        <f>Table1[[#This Row],[WSP/Dealer]]/Table1[[#This Row],[OD Sq Inch]]</f>
        <v>0.32577220077220076</v>
      </c>
      <c r="AM1314" s="399">
        <f>Table1[[#This Row],[OD Wdth]]*Table1[[#This Row],[OD Hgt]]</f>
        <v>4144</v>
      </c>
      <c r="AN1314" s="400">
        <f>Table1[[#This Row],[Min VO]]+Table1[[#This Row],[Max VO]]</f>
        <v>130</v>
      </c>
      <c r="AO1314" s="115"/>
      <c r="AP1314" s="121">
        <v>2700</v>
      </c>
      <c r="AQ1314" s="121">
        <f>(Table1[[#This Row],[Desgnr/Retail P]]*0.05)</f>
        <v>135</v>
      </c>
      <c r="AR1314" s="121">
        <f>IF(A1314="Codarus",(AP1314*0.13))</f>
        <v>351</v>
      </c>
      <c r="AS1314" s="121">
        <f>SUM(Table1[[#This Row],[Substrate $]:[GP FINISH]])+Table1[[#This Row],[Retail Royalty]]+Table1[[#This Row],[Retail$Comm]]</f>
        <v>810.65912222222221</v>
      </c>
      <c r="AT1314" s="830">
        <f>IF(AP1314=0,"-",(AP1314-AS1314)/AP1314)</f>
        <v>0.69975588065843619</v>
      </c>
      <c r="AU1314" s="1359">
        <f t="shared" si="462"/>
        <v>0.99481662310623376</v>
      </c>
    </row>
    <row r="1315" spans="1:47" s="63" customFormat="1" hidden="1" x14ac:dyDescent="0.2">
      <c r="A1315" s="60" t="s">
        <v>110</v>
      </c>
      <c r="B1315" s="1071" t="s">
        <v>250</v>
      </c>
      <c r="C1315" s="79" t="s">
        <v>3189</v>
      </c>
      <c r="D1315" s="79"/>
      <c r="E1315" s="83" t="s">
        <v>3188</v>
      </c>
      <c r="F1315" s="83" t="s">
        <v>114</v>
      </c>
      <c r="G1315" s="60" t="s">
        <v>413</v>
      </c>
      <c r="H1315" s="60" t="s">
        <v>3190</v>
      </c>
      <c r="I1315" s="60" t="s">
        <v>52</v>
      </c>
      <c r="J1315" s="60" t="s">
        <v>53</v>
      </c>
      <c r="K1315" s="60" t="s">
        <v>69</v>
      </c>
      <c r="L1315" s="60" t="s">
        <v>73</v>
      </c>
      <c r="M1315" s="124">
        <v>1400</v>
      </c>
      <c r="N1315" s="124"/>
      <c r="O1315" s="60" t="s">
        <v>64</v>
      </c>
      <c r="P1315" s="46">
        <v>56</v>
      </c>
      <c r="Q1315" s="46">
        <v>74</v>
      </c>
      <c r="R1315" s="60">
        <v>56</v>
      </c>
      <c r="S1315" s="46">
        <v>74</v>
      </c>
      <c r="T1315" s="60">
        <v>57</v>
      </c>
      <c r="U1315" s="60">
        <v>75</v>
      </c>
      <c r="V1315" s="47">
        <f>IF(J1315="Canvas",P1315+Materials!C$5,P1315)</f>
        <v>63</v>
      </c>
      <c r="W1315" s="47">
        <f>IF(J1315="Canvas",Q1315+Materials!C$5,Q1315)</f>
        <v>81</v>
      </c>
      <c r="X1315" s="60">
        <v>69</v>
      </c>
      <c r="Y1315" s="60">
        <v>63</v>
      </c>
      <c r="Z1315" s="60">
        <v>81</v>
      </c>
      <c r="AA1315" s="717">
        <f t="shared" si="471"/>
        <v>35.4375</v>
      </c>
      <c r="AB1315" s="125">
        <f t="shared" ref="AB1315:AB1322" si="475">AA1315*Swiss1</f>
        <v>1002.88125</v>
      </c>
      <c r="AC1315" s="69">
        <f t="shared" si="472"/>
        <v>23.388750000000002</v>
      </c>
      <c r="AD1315" s="48">
        <f>Table1[[#This Row],[Substrate SF]]*Materials!C$37</f>
        <v>99.224999999999994</v>
      </c>
      <c r="AE1315" s="69">
        <f>IF(Table1[[#This Row],[Work Center]]="SwissQ",Materials!G$37,IF(Table1[[#This Row],[Work Center]]="Inca",Materials!G$29,IF(Table1[[#This Row],[Work Center]]="Canon",Materials!G$49,Materials!G$45)))</f>
        <v>20</v>
      </c>
      <c r="AF1315" s="72">
        <f>'Cali Frames'!D480</f>
        <v>350</v>
      </c>
      <c r="AG1315" s="540"/>
      <c r="AH1315" s="176">
        <f t="shared" si="473"/>
        <v>70</v>
      </c>
      <c r="AI1315" s="176">
        <f>IF(A1315="Codarus",(M1315*0.13))</f>
        <v>182</v>
      </c>
      <c r="AJ1315" s="48">
        <f>SUM(AC1315:AI1315)</f>
        <v>744.61374999999998</v>
      </c>
      <c r="AK1315" s="650">
        <f t="shared" si="474"/>
        <v>0.46813303571428572</v>
      </c>
      <c r="AL1315" s="225">
        <f>Table1[[#This Row],[WSP/Dealer]]/Table1[[#This Row],[OD Sq Inch]]</f>
        <v>0.32748538011695905</v>
      </c>
      <c r="AM1315" s="173">
        <f>Table1[[#This Row],[OD Wdth]]*Table1[[#This Row],[OD Hgt]]</f>
        <v>4275</v>
      </c>
      <c r="AN1315" s="180">
        <f>Table1[[#This Row],[Min VO]]+Table1[[#This Row],[Max VO]]</f>
        <v>130</v>
      </c>
      <c r="AO1315" s="95"/>
      <c r="AP1315" s="821">
        <v>2800</v>
      </c>
      <c r="AQ1315" s="540">
        <f>(Table1[[#This Row],[Desgnr/Retail P]]*0.05)</f>
        <v>140</v>
      </c>
      <c r="AR1315" s="540">
        <f>IF(A1315="Codarus",(AP1315*0.13))</f>
        <v>364</v>
      </c>
      <c r="AS1315" s="448">
        <f>SUM(Table1[[#This Row],[Substrate $]:[GP FINISH]])+Table1[[#This Row],[Retail Royalty]]+Table1[[#This Row],[Retail$Comm]]</f>
        <v>996.61374999999998</v>
      </c>
      <c r="AT1315" s="650">
        <f>IF(AP1315=0,"-",(AP1315-AS1315)/AP1315)</f>
        <v>0.64406651785714286</v>
      </c>
      <c r="AU1315" s="1355">
        <f t="shared" si="462"/>
        <v>0.99539952487244898</v>
      </c>
    </row>
    <row r="1316" spans="1:47" s="46" customFormat="1" x14ac:dyDescent="0.2">
      <c r="A1316" s="60" t="s">
        <v>58</v>
      </c>
      <c r="B1316" s="1061" t="s">
        <v>96</v>
      </c>
      <c r="C1316" s="79" t="s">
        <v>3191</v>
      </c>
      <c r="D1316" s="94"/>
      <c r="E1316" s="83" t="s">
        <v>3188</v>
      </c>
      <c r="F1316" s="83" t="s">
        <v>114</v>
      </c>
      <c r="G1316" s="60" t="s">
        <v>413</v>
      </c>
      <c r="H1316" s="60" t="s">
        <v>3190</v>
      </c>
      <c r="I1316" s="60" t="s">
        <v>52</v>
      </c>
      <c r="J1316" s="60" t="s">
        <v>53</v>
      </c>
      <c r="K1316" s="60" t="s">
        <v>69</v>
      </c>
      <c r="L1316" s="685" t="s">
        <v>3192</v>
      </c>
      <c r="M1316" s="124">
        <v>1400</v>
      </c>
      <c r="N1316" s="639">
        <v>1400</v>
      </c>
      <c r="O1316" s="60" t="s">
        <v>64</v>
      </c>
      <c r="P1316" s="60">
        <v>56</v>
      </c>
      <c r="Q1316" s="60">
        <v>74</v>
      </c>
      <c r="R1316" s="60">
        <v>56</v>
      </c>
      <c r="S1316" s="60">
        <v>74</v>
      </c>
      <c r="T1316" s="60">
        <v>57</v>
      </c>
      <c r="U1316" s="60">
        <v>75</v>
      </c>
      <c r="V1316" s="47">
        <f>IF(J1316="Canvas",P1316+Materials!C$5,P1316)</f>
        <v>63</v>
      </c>
      <c r="W1316" s="47">
        <f>IF(J1316="Canvas",Q1316+Materials!C$5,Q1316)</f>
        <v>81</v>
      </c>
      <c r="X1316" s="138">
        <v>69</v>
      </c>
      <c r="Y1316" s="60">
        <v>63</v>
      </c>
      <c r="Z1316" s="60">
        <v>81</v>
      </c>
      <c r="AA1316" s="717">
        <f t="shared" si="471"/>
        <v>35.4375</v>
      </c>
      <c r="AB1316" s="125">
        <f t="shared" si="475"/>
        <v>1002.88125</v>
      </c>
      <c r="AC1316" s="69">
        <f t="shared" si="472"/>
        <v>23.388750000000002</v>
      </c>
      <c r="AD1316" s="48">
        <f>Table1[[#This Row],[Substrate SF]]*Materials!C$37</f>
        <v>99.224999999999994</v>
      </c>
      <c r="AE1316" s="69">
        <f>IF(Table1[[#This Row],[Work Center]]="SwissQ",Materials!G$37,IF(Table1[[#This Row],[Work Center]]="Inca",Materials!G$29,IF(Table1[[#This Row],[Work Center]]="Canon",Materials!G$49,Materials!G$45)))</f>
        <v>20</v>
      </c>
      <c r="AF1316" s="72">
        <f>'Cali Frames'!D360</f>
        <v>357.77</v>
      </c>
      <c r="AG1316" s="540"/>
      <c r="AH1316" s="112">
        <f t="shared" si="473"/>
        <v>70</v>
      </c>
      <c r="AI1316" s="112"/>
      <c r="AJ1316" s="69">
        <f t="shared" ref="AJ1316:AJ1328" si="476">SUM(AC1316:AH1316)</f>
        <v>570.38374999999996</v>
      </c>
      <c r="AK1316" s="62">
        <f t="shared" si="474"/>
        <v>0.59258303571428572</v>
      </c>
      <c r="AL1316" s="225">
        <f>Table1[[#This Row],[WSP/Dealer]]/Table1[[#This Row],[OD Sq Inch]]</f>
        <v>0.32748538011695905</v>
      </c>
      <c r="AM1316" s="46">
        <f>Table1[[#This Row],[OD Wdth]]*Table1[[#This Row],[OD Hgt]]</f>
        <v>4275</v>
      </c>
      <c r="AN1316" s="60">
        <f>Table1[[#This Row],[Min VO]]+Table1[[#This Row],[Max VO]]</f>
        <v>130</v>
      </c>
      <c r="AO1316" s="95"/>
      <c r="AP1316" s="83"/>
      <c r="AQ1316" s="540"/>
      <c r="AR1316" s="540"/>
      <c r="AS1316" s="540"/>
      <c r="AT1316" s="69"/>
      <c r="AU1316" s="1361" t="str">
        <f t="shared" si="462"/>
        <v>-</v>
      </c>
    </row>
    <row r="1317" spans="1:47" s="170" customFormat="1" hidden="1" x14ac:dyDescent="0.2">
      <c r="A1317" s="60" t="s">
        <v>3193</v>
      </c>
      <c r="B1317" s="1061" t="s">
        <v>484</v>
      </c>
      <c r="C1317" s="79" t="s">
        <v>3194</v>
      </c>
      <c r="D1317" s="94"/>
      <c r="E1317" s="83" t="s">
        <v>3195</v>
      </c>
      <c r="F1317" s="83" t="s">
        <v>114</v>
      </c>
      <c r="G1317" s="60" t="s">
        <v>115</v>
      </c>
      <c r="H1317" s="60" t="s">
        <v>115</v>
      </c>
      <c r="I1317" s="60" t="s">
        <v>52</v>
      </c>
      <c r="J1317" s="60" t="s">
        <v>53</v>
      </c>
      <c r="K1317" s="60" t="s">
        <v>69</v>
      </c>
      <c r="L1317" s="60" t="s">
        <v>70</v>
      </c>
      <c r="M1317" s="124">
        <v>830</v>
      </c>
      <c r="N1317" s="639"/>
      <c r="O1317" s="60" t="s">
        <v>64</v>
      </c>
      <c r="P1317" s="60">
        <v>48</v>
      </c>
      <c r="Q1317" s="60">
        <v>48</v>
      </c>
      <c r="R1317" s="60">
        <v>48</v>
      </c>
      <c r="S1317" s="60">
        <v>48</v>
      </c>
      <c r="T1317" s="60">
        <v>48</v>
      </c>
      <c r="U1317" s="60">
        <v>48</v>
      </c>
      <c r="V1317" s="47">
        <f>IF(J1317="Canvas",P1317+Materials!C$5,P1317)</f>
        <v>55</v>
      </c>
      <c r="W1317" s="47">
        <f>IF(J1317="Canvas",Q1317+Materials!C$5,Q1317)</f>
        <v>55</v>
      </c>
      <c r="X1317" s="138">
        <v>59</v>
      </c>
      <c r="Y1317" s="60">
        <v>55</v>
      </c>
      <c r="Z1317" s="60">
        <v>55</v>
      </c>
      <c r="AA1317" s="717">
        <f t="shared" si="471"/>
        <v>21.006944444444443</v>
      </c>
      <c r="AB1317" s="125">
        <f t="shared" si="475"/>
        <v>594.49652777777771</v>
      </c>
      <c r="AC1317" s="69">
        <f t="shared" si="472"/>
        <v>13.864583333333332</v>
      </c>
      <c r="AD1317" s="48">
        <f>Table1[[#This Row],[Substrate SF]]*Materials!C$37</f>
        <v>58.819444444444436</v>
      </c>
      <c r="AE1317" s="69">
        <f>IF(Table1[[#This Row],[Work Center]]="SwissQ",Materials!G$37,IF(Table1[[#This Row],[Work Center]]="Inca",Materials!G$29,IF(Table1[[#This Row],[Work Center]]="Canon",Materials!G$49,Materials!G$45)))</f>
        <v>20</v>
      </c>
      <c r="AF1317" s="72">
        <f>'Cali Frames'!D311</f>
        <v>152.6</v>
      </c>
      <c r="AG1317" s="540"/>
      <c r="AH1317" s="112">
        <f t="shared" si="473"/>
        <v>41.5</v>
      </c>
      <c r="AI1317" s="112"/>
      <c r="AJ1317" s="69">
        <f t="shared" si="476"/>
        <v>286.78402777777774</v>
      </c>
      <c r="AK1317" s="62">
        <f t="shared" si="474"/>
        <v>0.65447707496653285</v>
      </c>
      <c r="AL1317" s="225">
        <f>Table1[[#This Row],[WSP/Dealer]]/Table1[[#This Row],[OD Sq Inch]]</f>
        <v>0.36024305555555558</v>
      </c>
      <c r="AM1317" s="46">
        <f>Table1[[#This Row],[OD Wdth]]*Table1[[#This Row],[OD Hgt]]</f>
        <v>2304</v>
      </c>
      <c r="AN1317" s="60">
        <f>Table1[[#This Row],[Min VO]]+Table1[[#This Row],[Max VO]]</f>
        <v>96</v>
      </c>
      <c r="AO1317" s="83"/>
      <c r="AP1317" s="83"/>
      <c r="AQ1317" s="540"/>
      <c r="AR1317" s="540"/>
      <c r="AS1317" s="540"/>
      <c r="AT1317" s="69"/>
      <c r="AU1317" s="1361" t="str">
        <f t="shared" si="462"/>
        <v>-</v>
      </c>
    </row>
    <row r="1318" spans="1:47" s="170" customFormat="1" x14ac:dyDescent="0.2">
      <c r="A1318" s="60" t="s">
        <v>58</v>
      </c>
      <c r="B1318" s="1061" t="s">
        <v>96</v>
      </c>
      <c r="C1318" s="79" t="s">
        <v>3196</v>
      </c>
      <c r="D1318" s="94"/>
      <c r="E1318" s="83" t="s">
        <v>3195</v>
      </c>
      <c r="F1318" s="83" t="s">
        <v>114</v>
      </c>
      <c r="G1318" s="60" t="s">
        <v>115</v>
      </c>
      <c r="H1318" s="60" t="s">
        <v>115</v>
      </c>
      <c r="I1318" s="60" t="s">
        <v>52</v>
      </c>
      <c r="J1318" s="60" t="s">
        <v>53</v>
      </c>
      <c r="K1318" s="60" t="s">
        <v>69</v>
      </c>
      <c r="L1318" s="60" t="s">
        <v>3192</v>
      </c>
      <c r="M1318" s="124">
        <v>830</v>
      </c>
      <c r="N1318" s="639">
        <v>830</v>
      </c>
      <c r="O1318" s="60" t="s">
        <v>64</v>
      </c>
      <c r="P1318" s="60">
        <v>48</v>
      </c>
      <c r="Q1318" s="60">
        <v>48</v>
      </c>
      <c r="R1318" s="60">
        <v>48</v>
      </c>
      <c r="S1318" s="46">
        <v>48</v>
      </c>
      <c r="T1318" s="46">
        <v>48</v>
      </c>
      <c r="U1318" s="46">
        <v>48</v>
      </c>
      <c r="V1318" s="47">
        <f>IF(J1318="Canvas",P1318+Materials!C$5,P1318)</f>
        <v>55</v>
      </c>
      <c r="W1318" s="47">
        <f>IF(J1318="Canvas",Q1318+Materials!C$5,Q1318)</f>
        <v>55</v>
      </c>
      <c r="X1318" s="138">
        <v>59</v>
      </c>
      <c r="Y1318" s="60">
        <v>55</v>
      </c>
      <c r="Z1318" s="60">
        <v>55</v>
      </c>
      <c r="AA1318" s="717">
        <f t="shared" si="471"/>
        <v>21.006944444444443</v>
      </c>
      <c r="AB1318" s="125">
        <f t="shared" si="475"/>
        <v>594.49652777777771</v>
      </c>
      <c r="AC1318" s="69">
        <f t="shared" si="472"/>
        <v>13.864583333333332</v>
      </c>
      <c r="AD1318" s="48">
        <f>Table1[[#This Row],[Substrate SF]]*Materials!C$37</f>
        <v>58.819444444444436</v>
      </c>
      <c r="AE1318" s="69">
        <f>IF(Table1[[#This Row],[Work Center]]="SwissQ",Materials!G$37,IF(Table1[[#This Row],[Work Center]]="Inca",Materials!G$29,IF(Table1[[#This Row],[Work Center]]="Canon",Materials!G$49,Materials!G$45)))</f>
        <v>20</v>
      </c>
      <c r="AF1318" s="72">
        <f>'Cali Frames'!D358</f>
        <v>186.83</v>
      </c>
      <c r="AG1318" s="540"/>
      <c r="AH1318" s="498">
        <f t="shared" si="473"/>
        <v>41.5</v>
      </c>
      <c r="AI1318" s="498"/>
      <c r="AJ1318" s="69">
        <f t="shared" si="476"/>
        <v>321.01402777777776</v>
      </c>
      <c r="AK1318" s="650">
        <f t="shared" si="474"/>
        <v>0.61323611111111109</v>
      </c>
      <c r="AL1318" s="225">
        <f>Table1[[#This Row],[WSP/Dealer]]/Table1[[#This Row],[OD Sq Inch]]</f>
        <v>0.36024305555555558</v>
      </c>
      <c r="AM1318" s="46">
        <f>Table1[[#This Row],[OD Wdth]]*Table1[[#This Row],[OD Hgt]]</f>
        <v>2304</v>
      </c>
      <c r="AN1318" s="60">
        <f>Table1[[#This Row],[Min VO]]+Table1[[#This Row],[Max VO]]</f>
        <v>96</v>
      </c>
      <c r="AO1318" s="95"/>
      <c r="AP1318" s="83"/>
      <c r="AQ1318" s="540"/>
      <c r="AR1318" s="540"/>
      <c r="AS1318" s="540"/>
      <c r="AT1318" s="69"/>
      <c r="AU1318" s="1355" t="str">
        <f t="shared" si="462"/>
        <v>-</v>
      </c>
    </row>
    <row r="1319" spans="1:47" s="63" customFormat="1" x14ac:dyDescent="0.2">
      <c r="A1319" s="60" t="s">
        <v>58</v>
      </c>
      <c r="B1319" s="1061" t="s">
        <v>734</v>
      </c>
      <c r="C1319" s="79" t="s">
        <v>3197</v>
      </c>
      <c r="D1319" s="94"/>
      <c r="E1319" s="83" t="s">
        <v>3195</v>
      </c>
      <c r="F1319" s="83" t="s">
        <v>114</v>
      </c>
      <c r="G1319" s="60" t="s">
        <v>115</v>
      </c>
      <c r="H1319" s="60" t="s">
        <v>115</v>
      </c>
      <c r="I1319" s="60" t="s">
        <v>52</v>
      </c>
      <c r="J1319" s="60" t="s">
        <v>53</v>
      </c>
      <c r="K1319" s="60" t="s">
        <v>54</v>
      </c>
      <c r="L1319" s="60" t="s">
        <v>55</v>
      </c>
      <c r="M1319" s="179">
        <v>750</v>
      </c>
      <c r="N1319" s="639">
        <v>830</v>
      </c>
      <c r="O1319" s="60" t="s">
        <v>64</v>
      </c>
      <c r="P1319" s="60">
        <v>48</v>
      </c>
      <c r="Q1319" s="60">
        <v>48</v>
      </c>
      <c r="R1319" s="60">
        <v>48</v>
      </c>
      <c r="S1319" s="60">
        <v>48</v>
      </c>
      <c r="T1319" s="60">
        <v>48</v>
      </c>
      <c r="U1319" s="60">
        <v>48</v>
      </c>
      <c r="V1319" s="946">
        <f>IF(J1319="Canvas",P1319+Materials!C5,P1319)</f>
        <v>55</v>
      </c>
      <c r="W1319" s="946">
        <f>IF(J1319="Canvas",Q1319+Materials!C5,Q1319)</f>
        <v>55</v>
      </c>
      <c r="X1319" s="138">
        <v>59</v>
      </c>
      <c r="Y1319" s="60"/>
      <c r="Z1319" s="60"/>
      <c r="AA1319" s="717">
        <f t="shared" si="471"/>
        <v>21.006944444444443</v>
      </c>
      <c r="AB1319" s="125">
        <f t="shared" si="475"/>
        <v>594.49652777777771</v>
      </c>
      <c r="AC1319" s="69">
        <f t="shared" si="472"/>
        <v>13.864583333333332</v>
      </c>
      <c r="AD1319" s="48">
        <f>Table1[[#This Row],[Substrate SF]]*Materials!C$37</f>
        <v>58.819444444444436</v>
      </c>
      <c r="AE1319" s="69">
        <f>IF(Table1[[#This Row],[Work Center]]="SwissQ",Materials!G$37,IF(Table1[[#This Row],[Work Center]]="Inca",Materials!G$29,IF(Table1[[#This Row],[Work Center]]="Canon",Materials!G$49,Materials!G$45)))</f>
        <v>20</v>
      </c>
      <c r="AF1319" s="72">
        <f>'Cali FPS'!C117</f>
        <v>119.7</v>
      </c>
      <c r="AG1319" s="540"/>
      <c r="AH1319" s="498">
        <f t="shared" si="473"/>
        <v>37.5</v>
      </c>
      <c r="AI1319" s="498"/>
      <c r="AJ1319" s="48">
        <f t="shared" si="476"/>
        <v>249.88402777777776</v>
      </c>
      <c r="AK1319" s="650">
        <f t="shared" si="474"/>
        <v>0.66682129629629627</v>
      </c>
      <c r="AL1319" s="225">
        <f>Table1[[#This Row],[WSP/Dealer]]/Table1[[#This Row],[OD Sq Inch]]</f>
        <v>0.32552083333333331</v>
      </c>
      <c r="AM1319" s="46">
        <f>Table1[[#This Row],[OD Wdth]]*Table1[[#This Row],[OD Hgt]]</f>
        <v>2304</v>
      </c>
      <c r="AN1319" s="60">
        <f>Table1[[#This Row],[Min VO]]+Table1[[#This Row],[Max VO]]</f>
        <v>96</v>
      </c>
      <c r="AO1319" s="83"/>
      <c r="AP1319" s="83"/>
      <c r="AQ1319" s="540"/>
      <c r="AR1319" s="540"/>
      <c r="AS1319" s="540"/>
      <c r="AT1319" s="69"/>
      <c r="AU1319" s="1361" t="str">
        <f t="shared" si="462"/>
        <v>-</v>
      </c>
    </row>
    <row r="1320" spans="1:47" s="46" customFormat="1" x14ac:dyDescent="0.2">
      <c r="A1320" s="274" t="s">
        <v>58</v>
      </c>
      <c r="B1320" s="1061" t="s">
        <v>141</v>
      </c>
      <c r="C1320" s="317" t="s">
        <v>3194</v>
      </c>
      <c r="D1320" s="94" t="s">
        <v>3193</v>
      </c>
      <c r="E1320" s="275" t="s">
        <v>3195</v>
      </c>
      <c r="F1320" s="275" t="s">
        <v>114</v>
      </c>
      <c r="G1320" s="274" t="s">
        <v>115</v>
      </c>
      <c r="H1320" s="274" t="s">
        <v>145</v>
      </c>
      <c r="I1320" s="274" t="s">
        <v>52</v>
      </c>
      <c r="J1320" s="274" t="s">
        <v>53</v>
      </c>
      <c r="K1320" s="274" t="s">
        <v>69</v>
      </c>
      <c r="L1320" s="274" t="s">
        <v>70</v>
      </c>
      <c r="M1320" s="178">
        <v>830</v>
      </c>
      <c r="N1320" s="989"/>
      <c r="O1320" s="274" t="s">
        <v>64</v>
      </c>
      <c r="P1320" s="274">
        <v>48</v>
      </c>
      <c r="Q1320" s="274">
        <v>48</v>
      </c>
      <c r="R1320" s="274">
        <v>48</v>
      </c>
      <c r="S1320" s="274">
        <v>48</v>
      </c>
      <c r="T1320" s="274">
        <v>49</v>
      </c>
      <c r="U1320" s="274">
        <v>49</v>
      </c>
      <c r="V1320" s="686">
        <f>IF(J1320="Canvas",P1320+Materials!C6,P1320)</f>
        <v>48</v>
      </c>
      <c r="W1320" s="686">
        <f>IF(J1320="Canvas",Q1320+Materials!C6,Q1320)</f>
        <v>48</v>
      </c>
      <c r="X1320" s="343">
        <v>59</v>
      </c>
      <c r="Y1320" s="274"/>
      <c r="Z1320" s="274"/>
      <c r="AA1320" s="727">
        <f t="shared" si="471"/>
        <v>16</v>
      </c>
      <c r="AB1320" s="341">
        <f t="shared" si="475"/>
        <v>452.8</v>
      </c>
      <c r="AC1320" s="278">
        <f t="shared" si="472"/>
        <v>10.56</v>
      </c>
      <c r="AD1320" s="263">
        <f>Table1[[#This Row],[Substrate SF]]*Materials!C$37</f>
        <v>44.8</v>
      </c>
      <c r="AE1320" s="278">
        <f>IF(Table1[[#This Row],[Work Center]]="SwissQ",Materials!G$37,IF(Table1[[#This Row],[Work Center]]="Inca",Materials!G$29,IF(Table1[[#This Row],[Work Center]]="Canon",Materials!G$49,Materials!G$45)))</f>
        <v>20</v>
      </c>
      <c r="AF1320" s="321">
        <f>'Cali Frames'!D331</f>
        <v>171.26</v>
      </c>
      <c r="AG1320" s="320"/>
      <c r="AH1320" s="278">
        <f t="shared" si="473"/>
        <v>41.5</v>
      </c>
      <c r="AI1320" s="278"/>
      <c r="AJ1320" s="278">
        <f t="shared" si="476"/>
        <v>288.12</v>
      </c>
      <c r="AK1320" s="1192">
        <f t="shared" si="474"/>
        <v>0.65286746987951805</v>
      </c>
      <c r="AL1320" s="278">
        <f>Table1[[#This Row],[WSP/Dealer]]/Table1[[#This Row],[OD Sq Inch]]</f>
        <v>0.34568929612661392</v>
      </c>
      <c r="AM1320" s="170">
        <f>Table1[[#This Row],[OD Wdth]]*Table1[[#This Row],[OD Hgt]]</f>
        <v>2401</v>
      </c>
      <c r="AN1320" s="274">
        <f>Table1[[#This Row],[Min VO]]+Table1[[#This Row],[Max VO]]</f>
        <v>96</v>
      </c>
      <c r="AO1320" s="275"/>
      <c r="AP1320" s="275"/>
      <c r="AQ1320" s="320"/>
      <c r="AR1320" s="320"/>
      <c r="AS1320" s="320"/>
      <c r="AT1320" s="278"/>
      <c r="AU1320" s="1368" t="str">
        <f t="shared" si="462"/>
        <v>-</v>
      </c>
    </row>
    <row r="1321" spans="1:47" s="46" customFormat="1" hidden="1" x14ac:dyDescent="0.2">
      <c r="A1321" s="350"/>
      <c r="B1321" s="1061"/>
      <c r="C1321" s="1264" t="s">
        <v>3198</v>
      </c>
      <c r="D1321" s="94"/>
      <c r="E1321" s="351" t="s">
        <v>3195</v>
      </c>
      <c r="F1321" s="351" t="s">
        <v>114</v>
      </c>
      <c r="G1321" s="350" t="s">
        <v>115</v>
      </c>
      <c r="H1321" s="350" t="s">
        <v>115</v>
      </c>
      <c r="I1321" s="350" t="s">
        <v>108</v>
      </c>
      <c r="J1321" s="437" t="s">
        <v>3199</v>
      </c>
      <c r="K1321" s="350" t="s">
        <v>54</v>
      </c>
      <c r="L1321" s="350" t="s">
        <v>55</v>
      </c>
      <c r="M1321" s="1276">
        <v>190</v>
      </c>
      <c r="N1321" s="71"/>
      <c r="O1321" s="350" t="s">
        <v>64</v>
      </c>
      <c r="P1321" s="350">
        <v>48</v>
      </c>
      <c r="Q1321" s="350">
        <v>48</v>
      </c>
      <c r="R1321" s="350">
        <v>48</v>
      </c>
      <c r="S1321" s="350">
        <v>48</v>
      </c>
      <c r="T1321" s="350">
        <v>48</v>
      </c>
      <c r="U1321" s="350" t="str">
        <f t="shared" ref="U1321:U1327" si="477">RIGHT(H1321,2)</f>
        <v>48</v>
      </c>
      <c r="V1321" s="1663">
        <f>IF(J1321="Canvas",P1321+Border,P1321)</f>
        <v>48</v>
      </c>
      <c r="W1321" s="1663">
        <f>IF(J1321="Canvas",Q1321+Border,Q1321)</f>
        <v>48</v>
      </c>
      <c r="X1321" s="189">
        <v>59</v>
      </c>
      <c r="Y1321" s="350"/>
      <c r="Z1321" s="350"/>
      <c r="AA1321" s="841">
        <f t="shared" si="471"/>
        <v>16</v>
      </c>
      <c r="AB1321" s="703">
        <f t="shared" si="475"/>
        <v>452.8</v>
      </c>
      <c r="AC1321" s="1246">
        <v>65.2</v>
      </c>
      <c r="AD1321" s="352">
        <f>Table1[[#This Row],[Substrate SF]]*Materials!C$41</f>
        <v>3.52</v>
      </c>
      <c r="AE1321" s="104">
        <f>IF(Table1[[#This Row],[Work Center]]="SwissQ",Materials!G$37,IF(Table1[[#This Row],[Work Center]]="Inca",Materials!G$29,IF(Table1[[#This Row],[Work Center]]="Canon",Materials!G$49,Materials!G$45)))</f>
        <v>20</v>
      </c>
      <c r="AF1321" s="793">
        <v>30</v>
      </c>
      <c r="AG1321" s="957"/>
      <c r="AH1321" s="498">
        <f t="shared" si="473"/>
        <v>9.5</v>
      </c>
      <c r="AI1321" s="498"/>
      <c r="AJ1321" s="1664">
        <f t="shared" si="476"/>
        <v>128.22</v>
      </c>
      <c r="AK1321" s="650">
        <f t="shared" si="474"/>
        <v>0.32515789473684209</v>
      </c>
      <c r="AL1321" s="225">
        <f>Table1[[#This Row],[WSP/Dealer]]/Table1[[#This Row],[OD Sq Inch]]</f>
        <v>8.2465277777777776E-2</v>
      </c>
      <c r="AM1321" s="1497">
        <f>Table1[[#This Row],[OD Wdth]]*Table1[[#This Row],[OD Hgt]]</f>
        <v>2304</v>
      </c>
      <c r="AN1321" s="1002">
        <f>Table1[[#This Row],[Min VO]]+Table1[[#This Row],[Max VO]]</f>
        <v>96</v>
      </c>
      <c r="AO1321" s="351"/>
      <c r="AP1321" s="351"/>
      <c r="AQ1321" s="957"/>
      <c r="AR1321" s="957"/>
      <c r="AS1321" s="957"/>
      <c r="AT1321" s="1246"/>
      <c r="AU1321" s="1575" t="str">
        <f t="shared" si="462"/>
        <v>-</v>
      </c>
    </row>
    <row r="1322" spans="1:47" s="63" customFormat="1" hidden="1" x14ac:dyDescent="0.2">
      <c r="A1322" s="350"/>
      <c r="B1322" s="1061"/>
      <c r="C1322" s="1264" t="s">
        <v>3198</v>
      </c>
      <c r="D1322" s="94"/>
      <c r="E1322" s="351" t="s">
        <v>3195</v>
      </c>
      <c r="F1322" s="351" t="s">
        <v>114</v>
      </c>
      <c r="G1322" s="350" t="s">
        <v>115</v>
      </c>
      <c r="H1322" s="350" t="s">
        <v>115</v>
      </c>
      <c r="I1322" s="350" t="s">
        <v>52</v>
      </c>
      <c r="J1322" s="350" t="s">
        <v>53</v>
      </c>
      <c r="K1322" s="350" t="s">
        <v>54</v>
      </c>
      <c r="L1322" s="350" t="s">
        <v>55</v>
      </c>
      <c r="M1322" s="1276">
        <v>425</v>
      </c>
      <c r="N1322" s="71"/>
      <c r="O1322" s="350" t="s">
        <v>64</v>
      </c>
      <c r="P1322" s="350">
        <v>48</v>
      </c>
      <c r="Q1322" s="350">
        <v>48</v>
      </c>
      <c r="R1322" s="350">
        <v>48</v>
      </c>
      <c r="S1322" s="350">
        <v>48</v>
      </c>
      <c r="T1322" s="350">
        <v>48</v>
      </c>
      <c r="U1322" s="350" t="str">
        <f t="shared" si="477"/>
        <v>48</v>
      </c>
      <c r="V1322" s="1787">
        <f>IF(J1322="Canvas",P1322+Border,P1322)</f>
        <v>56</v>
      </c>
      <c r="W1322" s="1787">
        <f>IF(J1322="Canvas",Q1322+Border,Q1322)</f>
        <v>56</v>
      </c>
      <c r="X1322" s="189">
        <v>59</v>
      </c>
      <c r="Y1322" s="350"/>
      <c r="Z1322" s="350"/>
      <c r="AA1322" s="841">
        <f t="shared" si="471"/>
        <v>21.777777777777779</v>
      </c>
      <c r="AB1322" s="703">
        <f t="shared" si="475"/>
        <v>616.31111111111113</v>
      </c>
      <c r="AC1322" s="1246">
        <f>AA1322*Canvas</f>
        <v>14.373333333333335</v>
      </c>
      <c r="AD1322" s="352">
        <f>Table1[[#This Row],[Substrate SF]]*Materials!C$37</f>
        <v>60.977777777777774</v>
      </c>
      <c r="AE1322" s="104">
        <f>IF(Table1[[#This Row],[Work Center]]="SwissQ",Materials!G$37,IF(Table1[[#This Row],[Work Center]]="Inca",Materials!G$29,IF(Table1[[#This Row],[Work Center]]="Canon",Materials!G$49,Materials!G$45)))</f>
        <v>20</v>
      </c>
      <c r="AF1322" s="793">
        <f>'Cali FPS'!C117</f>
        <v>119.7</v>
      </c>
      <c r="AG1322" s="957"/>
      <c r="AH1322" s="112">
        <f t="shared" si="473"/>
        <v>21.25</v>
      </c>
      <c r="AI1322" s="112"/>
      <c r="AJ1322" s="1664">
        <f t="shared" si="476"/>
        <v>236.30111111111111</v>
      </c>
      <c r="AK1322" s="62">
        <f t="shared" si="474"/>
        <v>0.44399738562091501</v>
      </c>
      <c r="AL1322" s="225">
        <f>Table1[[#This Row],[WSP/Dealer]]/Table1[[#This Row],[OD Sq Inch]]</f>
        <v>0.18446180555555555</v>
      </c>
      <c r="AM1322" s="1497">
        <f>Table1[[#This Row],[OD Wdth]]*Table1[[#This Row],[OD Hgt]]</f>
        <v>2304</v>
      </c>
      <c r="AN1322" s="1002">
        <f>Table1[[#This Row],[Min VO]]+Table1[[#This Row],[Max VO]]</f>
        <v>96</v>
      </c>
      <c r="AO1322" s="351"/>
      <c r="AP1322" s="351"/>
      <c r="AQ1322" s="957"/>
      <c r="AR1322" s="957"/>
      <c r="AS1322" s="957"/>
      <c r="AT1322" s="1246"/>
      <c r="AU1322" s="1575" t="str">
        <f t="shared" si="462"/>
        <v>-</v>
      </c>
    </row>
    <row r="1323" spans="1:47" s="103" customFormat="1" hidden="1" x14ac:dyDescent="0.2">
      <c r="A1323" s="358"/>
      <c r="B1323" s="1061"/>
      <c r="C1323" s="1313" t="s">
        <v>3198</v>
      </c>
      <c r="D1323" s="94"/>
      <c r="E1323" s="359" t="s">
        <v>3195</v>
      </c>
      <c r="F1323" s="359" t="s">
        <v>114</v>
      </c>
      <c r="G1323" s="358" t="s">
        <v>115</v>
      </c>
      <c r="H1323" s="358" t="s">
        <v>115</v>
      </c>
      <c r="I1323" s="358" t="s">
        <v>108</v>
      </c>
      <c r="J1323" s="358" t="s">
        <v>53</v>
      </c>
      <c r="K1323" s="358" t="s">
        <v>54</v>
      </c>
      <c r="L1323" s="358" t="s">
        <v>55</v>
      </c>
      <c r="M1323" s="1274">
        <v>450</v>
      </c>
      <c r="N1323" s="71"/>
      <c r="O1323" s="358" t="s">
        <v>56</v>
      </c>
      <c r="P1323" s="358">
        <v>48</v>
      </c>
      <c r="Q1323" s="358">
        <v>48</v>
      </c>
      <c r="R1323" s="358">
        <v>48</v>
      </c>
      <c r="S1323" s="358">
        <v>48</v>
      </c>
      <c r="T1323" s="358">
        <v>48</v>
      </c>
      <c r="U1323" s="1661" t="str">
        <f t="shared" si="477"/>
        <v>48</v>
      </c>
      <c r="V1323" s="1662">
        <f>IF(J1323="Canvas",P1323+Border,P1323)</f>
        <v>56</v>
      </c>
      <c r="W1323" s="1662">
        <f>IF(J1323="Canvas",Q1323+Border,Q1323)</f>
        <v>56</v>
      </c>
      <c r="X1323" s="951">
        <v>59</v>
      </c>
      <c r="Y1323" s="358"/>
      <c r="Z1323" s="358"/>
      <c r="AA1323" s="842">
        <f t="shared" si="471"/>
        <v>21.777777777777779</v>
      </c>
      <c r="AB1323" s="691">
        <f>AA1323*IncaG</f>
        <v>458.20444444444445</v>
      </c>
      <c r="AC1323" s="1284">
        <f>AA1323*Canvas</f>
        <v>14.373333333333335</v>
      </c>
      <c r="AD1323" s="1701">
        <f>AA1323*IncaC</f>
        <v>36.656355555555557</v>
      </c>
      <c r="AE1323" s="104">
        <f>IF(Table1[[#This Row],[Work Center]]="SwissQ",Materials!G$37,IF(Table1[[#This Row],[Work Center]]="Inca",Materials!G$29,IF(Table1[[#This Row],[Work Center]]="Canon",Materials!G$49,Materials!G$45)))</f>
        <v>8</v>
      </c>
      <c r="AF1323" s="795">
        <f>'Cali FPS'!C117</f>
        <v>119.7</v>
      </c>
      <c r="AG1323" s="999"/>
      <c r="AH1323" s="498">
        <f t="shared" si="473"/>
        <v>22.5</v>
      </c>
      <c r="AI1323" s="112"/>
      <c r="AJ1323" s="1284">
        <f t="shared" si="476"/>
        <v>201.22968888888889</v>
      </c>
      <c r="AK1323" s="650">
        <f t="shared" si="474"/>
        <v>0.55282291358024693</v>
      </c>
      <c r="AL1323" s="225">
        <f>Table1[[#This Row],[WSP/Dealer]]/Table1[[#This Row],[OD Sq Inch]]</f>
        <v>0.1953125</v>
      </c>
      <c r="AM1323" s="1704">
        <f>Table1[[#This Row],[OD Wdth]]*Table1[[#This Row],[OD Hgt]]</f>
        <v>2304</v>
      </c>
      <c r="AN1323" s="358">
        <f>Table1[[#This Row],[Min VO]]+Table1[[#This Row],[Max VO]]</f>
        <v>96</v>
      </c>
      <c r="AO1323" s="359"/>
      <c r="AP1323" s="359"/>
      <c r="AQ1323" s="999"/>
      <c r="AR1323" s="999"/>
      <c r="AS1323" s="999"/>
      <c r="AT1323" s="1250"/>
      <c r="AU1323" s="1380" t="str">
        <f t="shared" si="462"/>
        <v>-</v>
      </c>
    </row>
    <row r="1324" spans="1:47" s="170" customFormat="1" hidden="1" x14ac:dyDescent="0.2">
      <c r="A1324" s="350"/>
      <c r="B1324" s="1061"/>
      <c r="C1324" s="1740" t="s">
        <v>3200</v>
      </c>
      <c r="D1324" s="94"/>
      <c r="E1324" s="351" t="s">
        <v>3195</v>
      </c>
      <c r="F1324" s="351" t="s">
        <v>114</v>
      </c>
      <c r="G1324" s="350" t="s">
        <v>115</v>
      </c>
      <c r="H1324" s="350" t="s">
        <v>145</v>
      </c>
      <c r="I1324" s="350" t="s">
        <v>52</v>
      </c>
      <c r="J1324" s="350" t="s">
        <v>53</v>
      </c>
      <c r="K1324" s="350" t="s">
        <v>69</v>
      </c>
      <c r="L1324" s="350" t="s">
        <v>73</v>
      </c>
      <c r="M1324" s="1276">
        <v>875</v>
      </c>
      <c r="N1324" s="71"/>
      <c r="O1324" s="350" t="s">
        <v>64</v>
      </c>
      <c r="P1324" s="350">
        <v>48</v>
      </c>
      <c r="Q1324" s="350">
        <v>48</v>
      </c>
      <c r="R1324" s="350">
        <v>48</v>
      </c>
      <c r="S1324" s="350">
        <v>48</v>
      </c>
      <c r="T1324" s="350">
        <v>49</v>
      </c>
      <c r="U1324" s="350" t="str">
        <f t="shared" si="477"/>
        <v>49</v>
      </c>
      <c r="V1324" s="1663">
        <f>IF(J1324="Canvas",P1324+Border,P1324)</f>
        <v>56</v>
      </c>
      <c r="W1324" s="1663">
        <f>IF(J1324="Canvas",Q1324+Border,Q1324)</f>
        <v>56</v>
      </c>
      <c r="X1324" s="189">
        <v>59</v>
      </c>
      <c r="Y1324" s="350"/>
      <c r="Z1324" s="350"/>
      <c r="AA1324" s="841">
        <f t="shared" si="471"/>
        <v>21.777777777777779</v>
      </c>
      <c r="AB1324" s="703">
        <f>AA1324*Swiss1</f>
        <v>616.31111111111113</v>
      </c>
      <c r="AC1324" s="1246">
        <f>AA1324*Canvas</f>
        <v>14.373333333333335</v>
      </c>
      <c r="AD1324" s="352">
        <f>Table1[[#This Row],[Substrate SF]]*Materials!C$37</f>
        <v>60.977777777777774</v>
      </c>
      <c r="AE1324" s="104">
        <f>IF(Table1[[#This Row],[Work Center]]="SwissQ",Materials!G$37,IF(Table1[[#This Row],[Work Center]]="Inca",Materials!G$29,IF(Table1[[#This Row],[Work Center]]="Canon",Materials!G$49,Materials!G$45)))</f>
        <v>20</v>
      </c>
      <c r="AF1324" s="793">
        <f>'Cali Frames'!D466</f>
        <v>150.6575</v>
      </c>
      <c r="AG1324" s="957"/>
      <c r="AH1324" s="498">
        <f t="shared" si="473"/>
        <v>43.75</v>
      </c>
      <c r="AI1324" s="498"/>
      <c r="AJ1324" s="1664">
        <f t="shared" si="476"/>
        <v>289.75861111111112</v>
      </c>
      <c r="AK1324" s="650">
        <f t="shared" si="474"/>
        <v>0.66884730158730155</v>
      </c>
      <c r="AL1324" s="225">
        <f>Table1[[#This Row],[WSP/Dealer]]/Table1[[#This Row],[OD Sq Inch]]</f>
        <v>0.36443148688046645</v>
      </c>
      <c r="AM1324" s="1497">
        <f>Table1[[#This Row],[OD Wdth]]*Table1[[#This Row],[OD Hgt]]</f>
        <v>2401</v>
      </c>
      <c r="AN1324" s="1002">
        <f>Table1[[#This Row],[Min VO]]+Table1[[#This Row],[Max VO]]</f>
        <v>96</v>
      </c>
      <c r="AO1324" s="351"/>
      <c r="AP1324" s="351"/>
      <c r="AQ1324" s="957"/>
      <c r="AR1324" s="957"/>
      <c r="AS1324" s="957"/>
      <c r="AT1324" s="1246"/>
      <c r="AU1324" s="1575" t="str">
        <f t="shared" si="462"/>
        <v>-</v>
      </c>
    </row>
    <row r="1325" spans="1:47" s="173" customFormat="1" hidden="1" x14ac:dyDescent="0.2">
      <c r="A1325" s="358"/>
      <c r="B1325" s="1061"/>
      <c r="C1325" s="1313" t="s">
        <v>3200</v>
      </c>
      <c r="D1325" s="94"/>
      <c r="E1325" s="359" t="s">
        <v>3195</v>
      </c>
      <c r="F1325" s="359" t="s">
        <v>114</v>
      </c>
      <c r="G1325" s="358" t="s">
        <v>115</v>
      </c>
      <c r="H1325" s="358" t="s">
        <v>145</v>
      </c>
      <c r="I1325" s="358" t="s">
        <v>108</v>
      </c>
      <c r="J1325" s="358" t="s">
        <v>53</v>
      </c>
      <c r="K1325" s="358" t="s">
        <v>69</v>
      </c>
      <c r="L1325" s="358" t="s">
        <v>73</v>
      </c>
      <c r="M1325" s="1274">
        <v>590</v>
      </c>
      <c r="N1325" s="71"/>
      <c r="O1325" s="358" t="s">
        <v>56</v>
      </c>
      <c r="P1325" s="358">
        <v>48</v>
      </c>
      <c r="Q1325" s="358">
        <v>48</v>
      </c>
      <c r="R1325" s="358">
        <v>48</v>
      </c>
      <c r="S1325" s="358">
        <v>48</v>
      </c>
      <c r="T1325" s="358">
        <v>49</v>
      </c>
      <c r="U1325" s="1661" t="str">
        <f t="shared" si="477"/>
        <v>49</v>
      </c>
      <c r="V1325" s="1699">
        <f>IF(J1325="Canvas",P1325+Border,P1325)</f>
        <v>56</v>
      </c>
      <c r="W1325" s="1699">
        <f>IF(J1325="Canvas",Q1325+Border,Q1325)</f>
        <v>56</v>
      </c>
      <c r="X1325" s="951">
        <v>59</v>
      </c>
      <c r="Y1325" s="358"/>
      <c r="Z1325" s="358"/>
      <c r="AA1325" s="842">
        <f t="shared" si="471"/>
        <v>21.777777777777779</v>
      </c>
      <c r="AB1325" s="691">
        <f>AA1325*IncaG</f>
        <v>458.20444444444445</v>
      </c>
      <c r="AC1325" s="1284">
        <f>AA1325*Canvas</f>
        <v>14.373333333333335</v>
      </c>
      <c r="AD1325" s="1701">
        <f>AA1325*IncaC</f>
        <v>36.656355555555557</v>
      </c>
      <c r="AE1325" s="104">
        <f>IF(Table1[[#This Row],[Work Center]]="SwissQ",Materials!G$37,IF(Table1[[#This Row],[Work Center]]="Inca",Materials!G$29,IF(Table1[[#This Row],[Work Center]]="Canon",Materials!G$49,Materials!G$45)))</f>
        <v>8</v>
      </c>
      <c r="AF1325" s="795">
        <f>'Cali Frames'!D466</f>
        <v>150.6575</v>
      </c>
      <c r="AG1325" s="999"/>
      <c r="AH1325" s="498">
        <f t="shared" si="473"/>
        <v>29.5</v>
      </c>
      <c r="AI1325" s="498"/>
      <c r="AJ1325" s="1284">
        <f t="shared" si="476"/>
        <v>239.1871888888889</v>
      </c>
      <c r="AK1325" s="650">
        <f t="shared" si="474"/>
        <v>0.59459798493408667</v>
      </c>
      <c r="AL1325" s="225">
        <f>Table1[[#This Row],[WSP/Dealer]]/Table1[[#This Row],[OD Sq Inch]]</f>
        <v>0.24573094543940024</v>
      </c>
      <c r="AM1325" s="1704">
        <f>Table1[[#This Row],[OD Wdth]]*Table1[[#This Row],[OD Hgt]]</f>
        <v>2401</v>
      </c>
      <c r="AN1325" s="358">
        <f>Table1[[#This Row],[Min VO]]+Table1[[#This Row],[Max VO]]</f>
        <v>96</v>
      </c>
      <c r="AO1325" s="359"/>
      <c r="AP1325" s="359"/>
      <c r="AQ1325" s="999"/>
      <c r="AR1325" s="999"/>
      <c r="AS1325" s="999"/>
      <c r="AT1325" s="1250"/>
      <c r="AU1325" s="1380" t="str">
        <f t="shared" si="462"/>
        <v>-</v>
      </c>
    </row>
    <row r="1326" spans="1:47" s="46" customFormat="1" hidden="1" x14ac:dyDescent="0.2">
      <c r="A1326" s="354"/>
      <c r="B1326" s="1061"/>
      <c r="C1326" s="1435" t="s">
        <v>3198</v>
      </c>
      <c r="D1326" s="94"/>
      <c r="E1326" s="355" t="s">
        <v>3195</v>
      </c>
      <c r="F1326" s="355" t="s">
        <v>114</v>
      </c>
      <c r="G1326" s="354" t="s">
        <v>115</v>
      </c>
      <c r="H1326" s="354" t="s">
        <v>115</v>
      </c>
      <c r="I1326" s="354" t="s">
        <v>108</v>
      </c>
      <c r="J1326" s="354" t="s">
        <v>53</v>
      </c>
      <c r="K1326" s="354" t="s">
        <v>54</v>
      </c>
      <c r="L1326" s="354" t="s">
        <v>55</v>
      </c>
      <c r="M1326" s="1273">
        <v>200</v>
      </c>
      <c r="N1326" s="71"/>
      <c r="O1326" s="354" t="s">
        <v>109</v>
      </c>
      <c r="P1326" s="354">
        <v>48</v>
      </c>
      <c r="Q1326" s="354">
        <v>48</v>
      </c>
      <c r="R1326" s="354">
        <v>48</v>
      </c>
      <c r="S1326" s="354">
        <v>48</v>
      </c>
      <c r="T1326" s="354">
        <v>48</v>
      </c>
      <c r="U1326" s="1780" t="str">
        <f t="shared" si="477"/>
        <v>48</v>
      </c>
      <c r="V1326" s="1544">
        <f>IF(J1326="Canvas",P1326+Materials!C5,P1326)</f>
        <v>55</v>
      </c>
      <c r="W1326" s="1544">
        <f>IF(J1326="Canvas",Q1326+Materials!C5,Q1326)</f>
        <v>55</v>
      </c>
      <c r="X1326" s="950">
        <v>59</v>
      </c>
      <c r="Y1326" s="354"/>
      <c r="Z1326" s="354"/>
      <c r="AA1326" s="843">
        <f t="shared" si="471"/>
        <v>21.006944444444443</v>
      </c>
      <c r="AB1326" s="728">
        <f>(Table1[[#This Row],[VO Wdth]]*Table1[[#This Row],[VO Hgt]])/144*EPSONM</f>
        <v>72</v>
      </c>
      <c r="AC1326" s="1317">
        <f>AA1326*CanvasR</f>
        <v>13.864583333333332</v>
      </c>
      <c r="AD1326" s="357">
        <f>Table1[[#This Row],[Ink g/mL]]*EPSONC</f>
        <v>15.84</v>
      </c>
      <c r="AE1326" s="104">
        <f>IF(Table1[[#This Row],[Work Center]]="SwissQ",Materials!G$37,IF(Table1[[#This Row],[Work Center]]="Inca",Materials!G$29,IF(Table1[[#This Row],[Work Center]]="Canon",Materials!G$49,Materials!G$45)))</f>
        <v>5</v>
      </c>
      <c r="AF1326" s="796">
        <f>'CALI CB2'!H8</f>
        <v>89.64</v>
      </c>
      <c r="AG1326" s="998"/>
      <c r="AH1326" s="498">
        <f t="shared" si="473"/>
        <v>10</v>
      </c>
      <c r="AI1326" s="498"/>
      <c r="AJ1326" s="1801">
        <f t="shared" si="476"/>
        <v>134.34458333333333</v>
      </c>
      <c r="AK1326" s="650">
        <f t="shared" si="474"/>
        <v>0.32827708333333333</v>
      </c>
      <c r="AL1326" s="225">
        <f>Table1[[#This Row],[WSP/Dealer]]/Table1[[#This Row],[OD Sq Inch]]</f>
        <v>8.6805555555555552E-2</v>
      </c>
      <c r="AM1326" s="1155">
        <f>Table1[[#This Row],[OD Wdth]]*Table1[[#This Row],[OD Hgt]]</f>
        <v>2304</v>
      </c>
      <c r="AN1326" s="354">
        <f>Table1[[#This Row],[Min VO]]+Table1[[#This Row],[Max VO]]</f>
        <v>96</v>
      </c>
      <c r="AO1326" s="355"/>
      <c r="AP1326" s="355"/>
      <c r="AQ1326" s="998"/>
      <c r="AR1326" s="998"/>
      <c r="AS1326" s="998"/>
      <c r="AT1326" s="1251"/>
      <c r="AU1326" s="1822" t="str">
        <f t="shared" si="462"/>
        <v>-</v>
      </c>
    </row>
    <row r="1327" spans="1:47" s="46" customFormat="1" hidden="1" x14ac:dyDescent="0.2">
      <c r="A1327" s="354"/>
      <c r="B1327" s="1061"/>
      <c r="C1327" s="1732" t="s">
        <v>3200</v>
      </c>
      <c r="D1327" s="94"/>
      <c r="E1327" s="355" t="s">
        <v>3195</v>
      </c>
      <c r="F1327" s="355" t="s">
        <v>114</v>
      </c>
      <c r="G1327" s="354" t="s">
        <v>115</v>
      </c>
      <c r="H1327" s="354" t="s">
        <v>145</v>
      </c>
      <c r="I1327" s="354" t="s">
        <v>108</v>
      </c>
      <c r="J1327" s="354" t="s">
        <v>53</v>
      </c>
      <c r="K1327" s="354" t="s">
        <v>69</v>
      </c>
      <c r="L1327" s="354" t="s">
        <v>73</v>
      </c>
      <c r="M1327" s="1273">
        <v>260</v>
      </c>
      <c r="N1327" s="71"/>
      <c r="O1327" s="354" t="s">
        <v>109</v>
      </c>
      <c r="P1327" s="354">
        <v>48</v>
      </c>
      <c r="Q1327" s="354">
        <v>48</v>
      </c>
      <c r="R1327" s="354">
        <v>48</v>
      </c>
      <c r="S1327" s="354">
        <v>48</v>
      </c>
      <c r="T1327" s="356">
        <v>49</v>
      </c>
      <c r="U1327" s="1155" t="str">
        <f t="shared" si="477"/>
        <v>49</v>
      </c>
      <c r="V1327" s="1544">
        <f>IF(J1327="Canvas",P1327+Materials!C5,P1327)</f>
        <v>55</v>
      </c>
      <c r="W1327" s="1544">
        <f>IF(J1327="Canvas",Q1327+Materials!C5,Q1327)</f>
        <v>55</v>
      </c>
      <c r="X1327" s="950">
        <v>59</v>
      </c>
      <c r="Y1327" s="354"/>
      <c r="Z1327" s="354"/>
      <c r="AA1327" s="843">
        <f t="shared" si="471"/>
        <v>21.006944444444443</v>
      </c>
      <c r="AB1327" s="728">
        <f>(Table1[[#This Row],[VO Wdth]]*Table1[[#This Row],[VO Hgt]])/144*EPSONM</f>
        <v>72</v>
      </c>
      <c r="AC1327" s="357">
        <f>AA1327*CanvasR</f>
        <v>13.864583333333332</v>
      </c>
      <c r="AD1327" s="357">
        <f>Table1[[#This Row],[Ink g/mL]]*EPSONC</f>
        <v>15.84</v>
      </c>
      <c r="AE1327" s="104">
        <f>IF(Table1[[#This Row],[Work Center]]="SwissQ",Materials!G$37,IF(Table1[[#This Row],[Work Center]]="Inca",Materials!G$29,IF(Table1[[#This Row],[Work Center]]="Canon",Materials!G$49,Materials!G$45)))</f>
        <v>5</v>
      </c>
      <c r="AF1327" s="796">
        <f>'CALI CB2'!H33</f>
        <v>123.2</v>
      </c>
      <c r="AG1327" s="998"/>
      <c r="AH1327" s="112">
        <f t="shared" si="473"/>
        <v>13</v>
      </c>
      <c r="AI1327" s="112"/>
      <c r="AJ1327" s="1801">
        <f t="shared" si="476"/>
        <v>170.90458333333333</v>
      </c>
      <c r="AK1327" s="62">
        <f t="shared" si="474"/>
        <v>0.3426746794871795</v>
      </c>
      <c r="AL1327" s="225">
        <f>Table1[[#This Row],[WSP/Dealer]]/Table1[[#This Row],[OD Sq Inch]]</f>
        <v>0.10828821324448147</v>
      </c>
      <c r="AM1327" s="1155">
        <f>Table1[[#This Row],[OD Wdth]]*Table1[[#This Row],[OD Hgt]]</f>
        <v>2401</v>
      </c>
      <c r="AN1327" s="354">
        <f>Table1[[#This Row],[Min VO]]+Table1[[#This Row],[Max VO]]</f>
        <v>96</v>
      </c>
      <c r="AO1327" s="1642"/>
      <c r="AP1327" s="355"/>
      <c r="AQ1327" s="998"/>
      <c r="AR1327" s="998"/>
      <c r="AS1327" s="998"/>
      <c r="AT1327" s="1251"/>
      <c r="AU1327" s="1643" t="str">
        <f t="shared" si="462"/>
        <v>-</v>
      </c>
    </row>
    <row r="1328" spans="1:47" s="170" customFormat="1" x14ac:dyDescent="0.2">
      <c r="A1328" s="60" t="s">
        <v>58</v>
      </c>
      <c r="B1328" s="1061" t="s">
        <v>96</v>
      </c>
      <c r="C1328" s="1735" t="s">
        <v>3201</v>
      </c>
      <c r="D1328" s="94"/>
      <c r="E1328" s="83" t="s">
        <v>3202</v>
      </c>
      <c r="F1328" s="83" t="s">
        <v>114</v>
      </c>
      <c r="G1328" s="60" t="s">
        <v>637</v>
      </c>
      <c r="H1328" s="60" t="s">
        <v>637</v>
      </c>
      <c r="I1328" s="60" t="s">
        <v>52</v>
      </c>
      <c r="J1328" s="60" t="s">
        <v>53</v>
      </c>
      <c r="K1328" s="60" t="s">
        <v>69</v>
      </c>
      <c r="L1328" s="60" t="s">
        <v>3192</v>
      </c>
      <c r="M1328" s="124">
        <v>1250</v>
      </c>
      <c r="N1328" s="639">
        <v>1250</v>
      </c>
      <c r="O1328" s="60" t="s">
        <v>64</v>
      </c>
      <c r="P1328" s="60">
        <v>60</v>
      </c>
      <c r="Q1328" s="60">
        <v>48</v>
      </c>
      <c r="R1328" s="60">
        <v>60</v>
      </c>
      <c r="S1328" s="60">
        <v>48</v>
      </c>
      <c r="T1328" s="60">
        <v>61</v>
      </c>
      <c r="U1328" s="60">
        <v>49</v>
      </c>
      <c r="V1328" s="47">
        <v>68</v>
      </c>
      <c r="W1328" s="47">
        <f>IF(J1328="Canvas",Q1328+Materials!C$5,Q1328)</f>
        <v>55</v>
      </c>
      <c r="X1328" s="138">
        <v>59</v>
      </c>
      <c r="Y1328" s="60">
        <v>68</v>
      </c>
      <c r="Z1328" s="60">
        <v>55</v>
      </c>
      <c r="AA1328" s="717">
        <f t="shared" si="471"/>
        <v>25.972222222222221</v>
      </c>
      <c r="AB1328" s="125">
        <f>AA1328*Swiss1</f>
        <v>735.01388888888891</v>
      </c>
      <c r="AC1328" s="69">
        <f>AA1328*Canvas</f>
        <v>17.141666666666666</v>
      </c>
      <c r="AD1328" s="48">
        <f>Table1[[#This Row],[Substrate SF]]*Materials!C$37</f>
        <v>72.722222222222214</v>
      </c>
      <c r="AE1328" s="69">
        <f>IF(Table1[[#This Row],[Work Center]]="SwissQ",Materials!G$37,IF(Table1[[#This Row],[Work Center]]="Inca",Materials!G$29,IF(Table1[[#This Row],[Work Center]]="Canon",Materials!G$49,Materials!G$45)))</f>
        <v>20</v>
      </c>
      <c r="AF1328" s="72">
        <f>'Cali Frames'!D359</f>
        <v>270.45</v>
      </c>
      <c r="AG1328" s="540"/>
      <c r="AH1328" s="498">
        <f t="shared" si="473"/>
        <v>62.5</v>
      </c>
      <c r="AI1328" s="498"/>
      <c r="AJ1328" s="69">
        <f t="shared" si="476"/>
        <v>442.81388888888887</v>
      </c>
      <c r="AK1328" s="650">
        <f t="shared" si="474"/>
        <v>0.64574888888888893</v>
      </c>
      <c r="AL1328" s="225">
        <f>Table1[[#This Row],[WSP/Dealer]]/Table1[[#This Row],[OD Sq Inch]]</f>
        <v>0.41820006691201073</v>
      </c>
      <c r="AM1328" s="46">
        <f>Table1[[#This Row],[OD Wdth]]*Table1[[#This Row],[OD Hgt]]</f>
        <v>2989</v>
      </c>
      <c r="AN1328" s="60">
        <f>Table1[[#This Row],[Min VO]]+Table1[[#This Row],[Max VO]]</f>
        <v>108</v>
      </c>
      <c r="AO1328" s="83"/>
      <c r="AP1328" s="83"/>
      <c r="AQ1328" s="540"/>
      <c r="AR1328" s="540"/>
      <c r="AS1328" s="540"/>
      <c r="AT1328" s="69"/>
      <c r="AU1328" s="1361" t="str">
        <f t="shared" si="462"/>
        <v>-</v>
      </c>
    </row>
    <row r="1329" spans="1:47" s="173" customFormat="1" hidden="1" x14ac:dyDescent="0.2">
      <c r="A1329" s="68"/>
      <c r="B1329" s="1061"/>
      <c r="C1329" s="1743" t="s">
        <v>3203</v>
      </c>
      <c r="D1329" s="94"/>
      <c r="E1329" s="84" t="s">
        <v>3202</v>
      </c>
      <c r="F1329" s="84" t="s">
        <v>114</v>
      </c>
      <c r="G1329" s="68" t="s">
        <v>637</v>
      </c>
      <c r="H1329" s="68" t="s">
        <v>637</v>
      </c>
      <c r="I1329" s="68" t="s">
        <v>52</v>
      </c>
      <c r="J1329" s="68" t="s">
        <v>53</v>
      </c>
      <c r="K1329" s="68" t="s">
        <v>54</v>
      </c>
      <c r="L1329" s="68" t="s">
        <v>55</v>
      </c>
      <c r="M1329" s="93"/>
      <c r="N1329" s="71"/>
      <c r="O1329" s="68"/>
      <c r="P1329" s="68"/>
      <c r="Q1329" s="68"/>
      <c r="R1329" s="68"/>
      <c r="S1329" s="63"/>
      <c r="T1329" s="68"/>
      <c r="U1329" s="68"/>
      <c r="V1329" s="66"/>
      <c r="W1329" s="66"/>
      <c r="X1329" s="189"/>
      <c r="Y1329" s="68"/>
      <c r="Z1329" s="68"/>
      <c r="AA1329" s="699"/>
      <c r="AB1329" s="297"/>
      <c r="AC1329" s="74"/>
      <c r="AD1329" s="118"/>
      <c r="AE1329" s="126"/>
      <c r="AF1329" s="73"/>
      <c r="AG1329" s="126"/>
      <c r="AH1329" s="112">
        <f t="shared" si="473"/>
        <v>0</v>
      </c>
      <c r="AI1329" s="112"/>
      <c r="AJ1329" s="126"/>
      <c r="AK1329" s="62" t="e">
        <f t="shared" si="474"/>
        <v>#DIV/0!</v>
      </c>
      <c r="AL1329" s="225" t="e">
        <f>Table1[[#This Row],[WSP/Dealer]]/Table1[[#This Row],[OD Sq Inch]]</f>
        <v>#DIV/0!</v>
      </c>
      <c r="AM1329" s="119"/>
      <c r="AN1329" s="216">
        <f>Table1[[#This Row],[Min VO]]+Table1[[#This Row],[Max VO]]</f>
        <v>0</v>
      </c>
      <c r="AO1329" s="119"/>
      <c r="AP1329" s="84"/>
      <c r="AQ1329" s="126"/>
      <c r="AR1329" s="126"/>
      <c r="AS1329" s="126"/>
      <c r="AT1329" s="74"/>
      <c r="AU1329" s="1356" t="str">
        <f t="shared" si="462"/>
        <v>-</v>
      </c>
    </row>
    <row r="1330" spans="1:47" s="103" customFormat="1" hidden="1" x14ac:dyDescent="0.2">
      <c r="A1330" s="437" t="s">
        <v>187</v>
      </c>
      <c r="B1330" s="1061" t="s">
        <v>261</v>
      </c>
      <c r="C1330" s="1744" t="s">
        <v>3204</v>
      </c>
      <c r="D1330" s="94"/>
      <c r="E1330" s="430" t="s">
        <v>3205</v>
      </c>
      <c r="F1330" s="450" t="s">
        <v>114</v>
      </c>
      <c r="G1330" s="431" t="s">
        <v>572</v>
      </c>
      <c r="H1330" s="421" t="s">
        <v>573</v>
      </c>
      <c r="I1330" s="431" t="s">
        <v>52</v>
      </c>
      <c r="J1330" s="451" t="s">
        <v>53</v>
      </c>
      <c r="K1330" s="431" t="s">
        <v>1410</v>
      </c>
      <c r="L1330" s="421" t="s">
        <v>70</v>
      </c>
      <c r="M1330" s="429">
        <v>2800</v>
      </c>
      <c r="N1330" s="71"/>
      <c r="O1330" s="68" t="s">
        <v>64</v>
      </c>
      <c r="P1330" s="68">
        <v>60</v>
      </c>
      <c r="Q1330" s="68">
        <v>40</v>
      </c>
      <c r="R1330" s="68">
        <v>40</v>
      </c>
      <c r="S1330" s="68">
        <v>60</v>
      </c>
      <c r="T1330" s="68">
        <v>60</v>
      </c>
      <c r="U1330" s="68">
        <v>40</v>
      </c>
      <c r="V1330" s="66">
        <f>IF(J1330="Canvas",P1330+BorderGW,P1330)</f>
        <v>68</v>
      </c>
      <c r="W1330" s="66">
        <f>IF(J1330="Canvas",Q1330+BorderGW,Q1330)</f>
        <v>48</v>
      </c>
      <c r="X1330" s="189">
        <v>69</v>
      </c>
      <c r="Y1330" s="68"/>
      <c r="Z1330" s="68"/>
      <c r="AA1330" s="699">
        <f>V1330*W1330/144</f>
        <v>22.666666666666668</v>
      </c>
      <c r="AB1330" s="297">
        <f>AA1330*Swiss1</f>
        <v>641.4666666666667</v>
      </c>
      <c r="AC1330" s="74">
        <f>AA1330*Canvas</f>
        <v>14.96</v>
      </c>
      <c r="AD1330" s="67">
        <f>Table1[[#This Row],[Substrate SF]]*Materials!C$37</f>
        <v>63.466666666666669</v>
      </c>
      <c r="AE1330" s="74">
        <f>IF(Table1[[#This Row],[Work Center]]="SwissQ",Materials!G$37,IF(Table1[[#This Row],[Work Center]]="Inca",Materials!G$29,IF(Table1[[#This Row],[Work Center]]="Canon",Materials!G$49,Materials!G$45)))</f>
        <v>20</v>
      </c>
      <c r="AF1330" s="73" t="e">
        <f>'Cali Frames'!#REF!</f>
        <v>#REF!</v>
      </c>
      <c r="AG1330" s="126"/>
      <c r="AH1330" s="112">
        <f t="shared" si="473"/>
        <v>140</v>
      </c>
      <c r="AI1330" s="112"/>
      <c r="AJ1330" s="263" t="e">
        <f>SUM(AC1330:AH1330)</f>
        <v>#REF!</v>
      </c>
      <c r="AK1330" s="62" t="e">
        <f t="shared" si="474"/>
        <v>#REF!</v>
      </c>
      <c r="AL1330" s="225">
        <f>Table1[[#This Row],[WSP/Dealer]]/Table1[[#This Row],[OD Sq Inch]]</f>
        <v>1.1666666666666667</v>
      </c>
      <c r="AM1330" s="170">
        <f>Table1[[#This Row],[OD Wdth]]*Table1[[#This Row],[OD Hgt]]</f>
        <v>2400</v>
      </c>
      <c r="AN1330" s="274">
        <f>Table1[[#This Row],[Min VO]]+Table1[[#This Row],[Max VO]]</f>
        <v>100</v>
      </c>
      <c r="AO1330" s="84"/>
      <c r="AP1330" s="84"/>
      <c r="AQ1330" s="126"/>
      <c r="AR1330" s="126"/>
      <c r="AS1330" s="126"/>
      <c r="AT1330" s="74"/>
      <c r="AU1330" s="1357" t="str">
        <f t="shared" si="462"/>
        <v>-</v>
      </c>
    </row>
    <row r="1331" spans="1:47" s="103" customFormat="1" hidden="1" x14ac:dyDescent="0.2">
      <c r="A1331" s="437" t="s">
        <v>187</v>
      </c>
      <c r="B1331" s="1061" t="s">
        <v>261</v>
      </c>
      <c r="C1331" s="1676" t="s">
        <v>3206</v>
      </c>
      <c r="D1331" s="94"/>
      <c r="E1331" s="444" t="s">
        <v>3205</v>
      </c>
      <c r="F1331" s="84" t="s">
        <v>114</v>
      </c>
      <c r="G1331" s="439" t="s">
        <v>572</v>
      </c>
      <c r="H1331" s="439" t="s">
        <v>572</v>
      </c>
      <c r="I1331" s="439" t="s">
        <v>52</v>
      </c>
      <c r="J1331" s="140" t="s">
        <v>53</v>
      </c>
      <c r="K1331" s="439" t="s">
        <v>281</v>
      </c>
      <c r="L1331" s="68" t="s">
        <v>55</v>
      </c>
      <c r="M1331" s="445">
        <v>2400</v>
      </c>
      <c r="N1331" s="71"/>
      <c r="O1331" s="68" t="s">
        <v>64</v>
      </c>
      <c r="P1331" s="68">
        <v>60</v>
      </c>
      <c r="Q1331" s="68">
        <v>40</v>
      </c>
      <c r="R1331" s="68">
        <v>40</v>
      </c>
      <c r="S1331" s="68">
        <v>60</v>
      </c>
      <c r="T1331" s="68">
        <v>60</v>
      </c>
      <c r="U1331" s="68">
        <v>40</v>
      </c>
      <c r="V1331" s="917">
        <f>IF(J1331="Canvas",P1331+BorderGW,P1331)</f>
        <v>68</v>
      </c>
      <c r="W1331" s="917">
        <f>IF(J1331="Canvas",Q1331+BorderGW,Q1331)</f>
        <v>48</v>
      </c>
      <c r="X1331" s="189">
        <v>69</v>
      </c>
      <c r="Y1331" s="68"/>
      <c r="Z1331" s="68"/>
      <c r="AA1331" s="699">
        <f>V1331*W1331/144</f>
        <v>22.666666666666668</v>
      </c>
      <c r="AB1331" s="297">
        <f>AA1331*Swiss1</f>
        <v>641.4666666666667</v>
      </c>
      <c r="AC1331" s="74">
        <f>AA1331*Canvas</f>
        <v>14.96</v>
      </c>
      <c r="AD1331" s="67">
        <f>Table1[[#This Row],[Substrate SF]]*Materials!C$37</f>
        <v>63.466666666666669</v>
      </c>
      <c r="AE1331" s="74">
        <f>IF(Table1[[#This Row],[Work Center]]="SwissQ",Materials!G$37,IF(Table1[[#This Row],[Work Center]]="Inca",Materials!G$29,IF(Table1[[#This Row],[Work Center]]="Canon",Materials!G$49,Materials!G$45)))</f>
        <v>20</v>
      </c>
      <c r="AF1331" s="73">
        <f>'Cali FPS'!C89</f>
        <v>112.01750000000001</v>
      </c>
      <c r="AG1331" s="126"/>
      <c r="AH1331" s="498">
        <f t="shared" si="473"/>
        <v>120</v>
      </c>
      <c r="AI1331" s="498"/>
      <c r="AJ1331" s="278">
        <f>SUM(AC1331:AH1331)</f>
        <v>330.44416666666666</v>
      </c>
      <c r="AK1331" s="650">
        <f t="shared" si="474"/>
        <v>0.86231493055555553</v>
      </c>
      <c r="AL1331" s="225">
        <f>Table1[[#This Row],[WSP/Dealer]]/Table1[[#This Row],[OD Sq Inch]]</f>
        <v>1</v>
      </c>
      <c r="AM1331" s="170">
        <f>Table1[[#This Row],[OD Wdth]]*Table1[[#This Row],[OD Hgt]]</f>
        <v>2400</v>
      </c>
      <c r="AN1331" s="274">
        <f>Table1[[#This Row],[Min VO]]+Table1[[#This Row],[Max VO]]</f>
        <v>100</v>
      </c>
      <c r="AO1331" s="84"/>
      <c r="AP1331" s="84"/>
      <c r="AQ1331" s="126"/>
      <c r="AR1331" s="126"/>
      <c r="AS1331" s="126"/>
      <c r="AT1331" s="74"/>
      <c r="AU1331" s="1357" t="str">
        <f t="shared" si="462"/>
        <v>-</v>
      </c>
    </row>
    <row r="1332" spans="1:47" s="103" customFormat="1" hidden="1" x14ac:dyDescent="0.2">
      <c r="A1332" s="437" t="s">
        <v>187</v>
      </c>
      <c r="B1332" s="1061" t="s">
        <v>261</v>
      </c>
      <c r="C1332" s="1725" t="s">
        <v>3207</v>
      </c>
      <c r="D1332" s="94"/>
      <c r="E1332" s="430" t="s">
        <v>3208</v>
      </c>
      <c r="F1332" s="450" t="s">
        <v>114</v>
      </c>
      <c r="G1332" s="431" t="s">
        <v>572</v>
      </c>
      <c r="H1332" s="421" t="s">
        <v>573</v>
      </c>
      <c r="I1332" s="431" t="s">
        <v>52</v>
      </c>
      <c r="J1332" s="451" t="s">
        <v>53</v>
      </c>
      <c r="K1332" s="431" t="s">
        <v>1412</v>
      </c>
      <c r="L1332" s="421" t="s">
        <v>73</v>
      </c>
      <c r="M1332" s="429">
        <v>2800</v>
      </c>
      <c r="N1332" s="71"/>
      <c r="O1332" s="68" t="s">
        <v>64</v>
      </c>
      <c r="P1332" s="68">
        <v>60</v>
      </c>
      <c r="Q1332" s="68">
        <v>40</v>
      </c>
      <c r="R1332" s="68">
        <v>40</v>
      </c>
      <c r="S1332" s="68">
        <v>60</v>
      </c>
      <c r="T1332" s="68">
        <v>60</v>
      </c>
      <c r="U1332" s="68">
        <v>40</v>
      </c>
      <c r="V1332" s="917">
        <f>IF(J1332="Canvas",P1332+BorderGW,P1332)</f>
        <v>68</v>
      </c>
      <c r="W1332" s="917">
        <f>IF(J1332="Canvas",Q1332+BorderGW,Q1332)</f>
        <v>48</v>
      </c>
      <c r="X1332" s="189">
        <v>69</v>
      </c>
      <c r="Y1332" s="68"/>
      <c r="Z1332" s="68"/>
      <c r="AA1332" s="699">
        <f>V1332*W1332/144</f>
        <v>22.666666666666668</v>
      </c>
      <c r="AB1332" s="297">
        <f>AA1332*Swiss1</f>
        <v>641.4666666666667</v>
      </c>
      <c r="AC1332" s="74">
        <f>AA1332*Canvas</f>
        <v>14.96</v>
      </c>
      <c r="AD1332" s="67">
        <f>Table1[[#This Row],[Substrate SF]]*Materials!C$37</f>
        <v>63.466666666666669</v>
      </c>
      <c r="AE1332" s="74">
        <f>IF(Table1[[#This Row],[Work Center]]="SwissQ",Materials!G$37,IF(Table1[[#This Row],[Work Center]]="Inca",Materials!G$29,IF(Table1[[#This Row],[Work Center]]="Canon",Materials!G$49,Materials!G$45)))</f>
        <v>20</v>
      </c>
      <c r="AF1332" s="73">
        <f>'Cali Frames'!D450</f>
        <v>224.10500000000002</v>
      </c>
      <c r="AG1332" s="126"/>
      <c r="AH1332" s="112">
        <f t="shared" si="473"/>
        <v>140</v>
      </c>
      <c r="AI1332" s="112"/>
      <c r="AJ1332" s="278">
        <f>SUM(AC1332:AH1332)</f>
        <v>462.53166666666669</v>
      </c>
      <c r="AK1332" s="62">
        <f t="shared" si="474"/>
        <v>0.83481011904761904</v>
      </c>
      <c r="AL1332" s="225">
        <f>Table1[[#This Row],[WSP/Dealer]]/Table1[[#This Row],[OD Sq Inch]]</f>
        <v>1.1666666666666667</v>
      </c>
      <c r="AM1332" s="274">
        <f>Table1[[#This Row],[OD Wdth]]*Table1[[#This Row],[OD Hgt]]</f>
        <v>2400</v>
      </c>
      <c r="AN1332" s="274">
        <f>Table1[[#This Row],[Min VO]]+Table1[[#This Row],[Max VO]]</f>
        <v>100</v>
      </c>
      <c r="AO1332" s="84"/>
      <c r="AP1332" s="84"/>
      <c r="AQ1332" s="126"/>
      <c r="AR1332" s="126"/>
      <c r="AS1332" s="126"/>
      <c r="AT1332" s="74"/>
      <c r="AU1332" s="1357" t="str">
        <f t="shared" si="462"/>
        <v>-</v>
      </c>
    </row>
    <row r="1333" spans="1:47" s="170" customFormat="1" hidden="1" x14ac:dyDescent="0.2">
      <c r="A1333" s="437" t="s">
        <v>187</v>
      </c>
      <c r="B1333" s="1061" t="s">
        <v>261</v>
      </c>
      <c r="C1333" s="1679" t="s">
        <v>3209</v>
      </c>
      <c r="D1333" s="94"/>
      <c r="E1333" s="436" t="s">
        <v>3210</v>
      </c>
      <c r="F1333" s="84" t="s">
        <v>114</v>
      </c>
      <c r="G1333" s="258" t="s">
        <v>572</v>
      </c>
      <c r="H1333" s="258" t="s">
        <v>572</v>
      </c>
      <c r="I1333" s="274" t="s">
        <v>108</v>
      </c>
      <c r="J1333" s="68" t="s">
        <v>197</v>
      </c>
      <c r="K1333" s="274" t="s">
        <v>198</v>
      </c>
      <c r="L1333" s="274" t="s">
        <v>199</v>
      </c>
      <c r="M1333" s="455">
        <v>120</v>
      </c>
      <c r="N1333" s="71"/>
      <c r="O1333" s="68" t="s">
        <v>64</v>
      </c>
      <c r="P1333" s="68">
        <v>60</v>
      </c>
      <c r="Q1333" s="68">
        <v>40</v>
      </c>
      <c r="R1333" s="68">
        <v>40</v>
      </c>
      <c r="S1333" s="68">
        <v>60</v>
      </c>
      <c r="T1333" s="68">
        <v>60</v>
      </c>
      <c r="U1333" s="68">
        <v>40</v>
      </c>
      <c r="V1333" s="686">
        <f>Table1[[#This Row],[VO Wdth]]+Materials!$C$7</f>
        <v>62</v>
      </c>
      <c r="W1333" s="686">
        <f>Table1[[#This Row],[VO Hgt]]+Materials!$C$7</f>
        <v>42</v>
      </c>
      <c r="X1333" s="343" t="s">
        <v>197</v>
      </c>
      <c r="Y1333" s="68"/>
      <c r="Z1333" s="68"/>
      <c r="AA1333" s="699">
        <f>V1333*W1333/144</f>
        <v>18.083333333333332</v>
      </c>
      <c r="AB1333" s="341">
        <f>AA1333*SWISSRML</f>
        <v>36.166666666666664</v>
      </c>
      <c r="AC1333" s="74">
        <f>Table1[[#This Row],[Substrate SF]]*POster</f>
        <v>13.453999999999999</v>
      </c>
      <c r="AD1333" s="263">
        <f>Table1[[#This Row],[Substrate SF]]*SWISSRC</f>
        <v>3.9783333333333331</v>
      </c>
      <c r="AE133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333" s="73">
        <v>0</v>
      </c>
      <c r="AG1333" s="126">
        <f>Materials!D$76</f>
        <v>10.82</v>
      </c>
      <c r="AH1333" s="112">
        <f t="shared" si="473"/>
        <v>6</v>
      </c>
      <c r="AI1333" s="112"/>
      <c r="AJ1333" s="263">
        <f>SUM(AC1333:AH1333)</f>
        <v>44.252333333333333</v>
      </c>
      <c r="AK1333" s="62">
        <f t="shared" si="474"/>
        <v>0.63123055555555563</v>
      </c>
      <c r="AL1333" s="225">
        <f>Table1[[#This Row],[WSP/Dealer]]/Table1[[#This Row],[OD Sq Inch]]</f>
        <v>0.05</v>
      </c>
      <c r="AM1333" s="170">
        <f>Table1[[#This Row],[OD Wdth]]*Table1[[#This Row],[OD Hgt]]</f>
        <v>2400</v>
      </c>
      <c r="AN1333" s="84"/>
      <c r="AO1333" s="84"/>
      <c r="AP1333" s="84"/>
      <c r="AQ1333" s="126"/>
      <c r="AR1333" s="126"/>
      <c r="AS1333" s="126"/>
      <c r="AT1333" s="74"/>
      <c r="AU1333" s="1357" t="str">
        <f t="shared" si="462"/>
        <v>-</v>
      </c>
    </row>
    <row r="1334" spans="1:47" s="449" customFormat="1" hidden="1" x14ac:dyDescent="0.2">
      <c r="A1334" s="373" t="s">
        <v>187</v>
      </c>
      <c r="B1334" s="1061" t="s">
        <v>261</v>
      </c>
      <c r="C1334" s="1053" t="s">
        <v>3211</v>
      </c>
      <c r="D1334" s="94"/>
      <c r="E1334" s="84" t="s">
        <v>3212</v>
      </c>
      <c r="F1334" s="84" t="s">
        <v>114</v>
      </c>
      <c r="G1334" s="68" t="s">
        <v>637</v>
      </c>
      <c r="H1334" s="68" t="s">
        <v>637</v>
      </c>
      <c r="I1334" s="68" t="s">
        <v>52</v>
      </c>
      <c r="J1334" s="68" t="s">
        <v>53</v>
      </c>
      <c r="K1334" s="68" t="s">
        <v>54</v>
      </c>
      <c r="L1334" s="68" t="s">
        <v>55</v>
      </c>
      <c r="M1334" s="93"/>
      <c r="N1334" s="71"/>
      <c r="O1334" s="68"/>
      <c r="P1334" s="68"/>
      <c r="Q1334" s="68"/>
      <c r="R1334" s="68"/>
      <c r="S1334" s="68"/>
      <c r="T1334" s="68"/>
      <c r="U1334" s="68"/>
      <c r="V1334" s="917"/>
      <c r="W1334" s="917"/>
      <c r="X1334" s="189"/>
      <c r="Y1334" s="68"/>
      <c r="Z1334" s="68"/>
      <c r="AA1334" s="699"/>
      <c r="AB1334" s="297"/>
      <c r="AC1334" s="74"/>
      <c r="AD1334" s="118"/>
      <c r="AE1334" s="126"/>
      <c r="AF1334" s="73"/>
      <c r="AG1334" s="126"/>
      <c r="AH1334" s="498">
        <f t="shared" si="473"/>
        <v>0</v>
      </c>
      <c r="AI1334" s="498"/>
      <c r="AJ1334" s="126"/>
      <c r="AK1334" s="650" t="e">
        <f t="shared" si="474"/>
        <v>#DIV/0!</v>
      </c>
      <c r="AL1334" s="225" t="e">
        <f>Table1[[#This Row],[WSP/Dealer]]/Table1[[#This Row],[OD Sq Inch]]</f>
        <v>#DIV/0!</v>
      </c>
      <c r="AM1334" s="84"/>
      <c r="AN1334" s="216">
        <f>Table1[[#This Row],[Min VO]]+Table1[[#This Row],[Max VO]]</f>
        <v>0</v>
      </c>
      <c r="AO1334" s="84"/>
      <c r="AP1334" s="84"/>
      <c r="AQ1334" s="126"/>
      <c r="AR1334" s="126"/>
      <c r="AS1334" s="126"/>
      <c r="AT1334" s="74"/>
      <c r="AU1334" s="1357" t="str">
        <f t="shared" si="462"/>
        <v>-</v>
      </c>
    </row>
    <row r="1335" spans="1:47" s="63" customFormat="1" hidden="1" x14ac:dyDescent="0.2">
      <c r="A1335" s="68"/>
      <c r="B1335" s="1061"/>
      <c r="C1335" s="1053" t="s">
        <v>3211</v>
      </c>
      <c r="D1335" s="94"/>
      <c r="E1335" s="84" t="s">
        <v>3212</v>
      </c>
      <c r="F1335" s="84" t="s">
        <v>114</v>
      </c>
      <c r="G1335" s="68" t="s">
        <v>637</v>
      </c>
      <c r="H1335" s="68" t="s">
        <v>637</v>
      </c>
      <c r="I1335" s="68" t="s">
        <v>52</v>
      </c>
      <c r="J1335" s="68" t="s">
        <v>53</v>
      </c>
      <c r="K1335" s="68" t="s">
        <v>54</v>
      </c>
      <c r="L1335" s="68" t="s">
        <v>55</v>
      </c>
      <c r="M1335" s="93"/>
      <c r="N1335" s="71"/>
      <c r="O1335" s="68"/>
      <c r="P1335" s="68"/>
      <c r="Q1335" s="68"/>
      <c r="R1335" s="68"/>
      <c r="S1335" s="68"/>
      <c r="T1335" s="68"/>
      <c r="U1335" s="68"/>
      <c r="V1335" s="917"/>
      <c r="W1335" s="917"/>
      <c r="X1335" s="189"/>
      <c r="Y1335" s="68"/>
      <c r="Z1335" s="68"/>
      <c r="AA1335" s="699"/>
      <c r="AB1335" s="297"/>
      <c r="AC1335" s="74"/>
      <c r="AD1335" s="118"/>
      <c r="AE1335" s="126"/>
      <c r="AF1335" s="73"/>
      <c r="AG1335" s="126"/>
      <c r="AH1335" s="498">
        <f t="shared" si="473"/>
        <v>0</v>
      </c>
      <c r="AI1335" s="498"/>
      <c r="AJ1335" s="126"/>
      <c r="AK1335" s="650" t="e">
        <f t="shared" si="474"/>
        <v>#DIV/0!</v>
      </c>
      <c r="AL1335" s="225" t="e">
        <f>Table1[[#This Row],[WSP/Dealer]]/Table1[[#This Row],[OD Sq Inch]]</f>
        <v>#DIV/0!</v>
      </c>
      <c r="AM1335" s="84"/>
      <c r="AN1335" s="216">
        <f>Table1[[#This Row],[Min VO]]+Table1[[#This Row],[Max VO]]</f>
        <v>0</v>
      </c>
      <c r="AO1335" s="84"/>
      <c r="AP1335" s="84"/>
      <c r="AQ1335" s="126"/>
      <c r="AR1335" s="126"/>
      <c r="AS1335" s="126"/>
      <c r="AT1335" s="74"/>
      <c r="AU1335" s="1357" t="str">
        <f t="shared" si="462"/>
        <v>-</v>
      </c>
    </row>
    <row r="1336" spans="1:47" s="855" customFormat="1" x14ac:dyDescent="0.2">
      <c r="A1336" s="848" t="s">
        <v>581</v>
      </c>
      <c r="B1336" s="279" t="s">
        <v>292</v>
      </c>
      <c r="C1336" s="1739" t="s">
        <v>3213</v>
      </c>
      <c r="D1336" s="94" t="s">
        <v>3214</v>
      </c>
      <c r="E1336" s="849" t="s">
        <v>3215</v>
      </c>
      <c r="F1336" s="849" t="s">
        <v>114</v>
      </c>
      <c r="G1336" s="848" t="s">
        <v>413</v>
      </c>
      <c r="H1336" s="848" t="s">
        <v>3190</v>
      </c>
      <c r="I1336" s="848" t="s">
        <v>52</v>
      </c>
      <c r="J1336" s="948" t="s">
        <v>53</v>
      </c>
      <c r="K1336" s="848" t="s">
        <v>69</v>
      </c>
      <c r="L1336" s="848" t="s">
        <v>76</v>
      </c>
      <c r="M1336" s="714">
        <v>1100</v>
      </c>
      <c r="N1336" s="714"/>
      <c r="O1336" s="848" t="s">
        <v>64</v>
      </c>
      <c r="P1336" s="1196">
        <v>56</v>
      </c>
      <c r="Q1336" s="1196">
        <v>74</v>
      </c>
      <c r="R1336" s="848">
        <v>56</v>
      </c>
      <c r="S1336" s="1196">
        <v>74</v>
      </c>
      <c r="T1336" s="1196">
        <v>57</v>
      </c>
      <c r="U1336" s="1196">
        <v>75</v>
      </c>
      <c r="V1336" s="1649">
        <f>IF(J1336="Canvas",P1336+Border,P1336)</f>
        <v>64</v>
      </c>
      <c r="W1336" s="1649">
        <f>IF(J1336="Canvas",Q1336+Border,Q1336)</f>
        <v>82</v>
      </c>
      <c r="X1336" s="848">
        <v>82</v>
      </c>
      <c r="Y1336" s="848">
        <v>64</v>
      </c>
      <c r="Z1336" s="848">
        <v>82</v>
      </c>
      <c r="AA1336" s="850">
        <f>V1336*W1336/144</f>
        <v>36.444444444444443</v>
      </c>
      <c r="AB1336" s="851">
        <f>AA1336*Swiss1</f>
        <v>1031.3777777777777</v>
      </c>
      <c r="AC1336" s="852">
        <f>AA1336*Canvas</f>
        <v>24.053333333333335</v>
      </c>
      <c r="AD1336" s="1798">
        <f>Table1[[#This Row],[Substrate SF]]*Materials!C$37</f>
        <v>102.04444444444444</v>
      </c>
      <c r="AE1336" s="852">
        <f>IF(Table1[[#This Row],[Work Center]]="SwissQ",Materials!G$37,IF(Table1[[#This Row],[Work Center]]="Inca",Materials!G$29,IF(Table1[[#This Row],[Work Center]]="Canon",Materials!G$49,Materials!G$45)))</f>
        <v>20</v>
      </c>
      <c r="AF1336" s="853">
        <f>'Cali Frames'!D386</f>
        <v>392.1225</v>
      </c>
      <c r="AG1336" s="540"/>
      <c r="AH1336" s="1249">
        <f t="shared" si="473"/>
        <v>55</v>
      </c>
      <c r="AI1336" s="1249"/>
      <c r="AJ1336" s="852">
        <f>SUM(AC1336:AH1336)</f>
        <v>593.22027777777771</v>
      </c>
      <c r="AK1336" s="1651">
        <f t="shared" si="474"/>
        <v>0.46070883838383847</v>
      </c>
      <c r="AL1336" s="854">
        <f>Table1[[#This Row],[WSP/Dealer]]/Table1[[#This Row],[OD Sq Inch]]</f>
        <v>0.25730994152046782</v>
      </c>
      <c r="AM1336" s="958">
        <f>Table1[[#This Row],[OD Wdth]]*Table1[[#This Row],[OD Hgt]]</f>
        <v>4275</v>
      </c>
      <c r="AN1336" s="958">
        <f>Table1[[#This Row],[Min VO]]+Table1[[#This Row],[Max VO]]</f>
        <v>130</v>
      </c>
      <c r="AO1336" s="849"/>
      <c r="AP1336" s="849"/>
      <c r="AQ1336" s="1217"/>
      <c r="AR1336" s="1217"/>
      <c r="AS1336" s="1217"/>
      <c r="AT1336" s="1249"/>
      <c r="AU1336" s="1576" t="str">
        <f t="shared" si="462"/>
        <v>-</v>
      </c>
    </row>
    <row r="1337" spans="1:47" s="63" customFormat="1" x14ac:dyDescent="0.2">
      <c r="A1337" s="60" t="s">
        <v>58</v>
      </c>
      <c r="B1337" s="1061" t="s">
        <v>96</v>
      </c>
      <c r="C1337" s="1335" t="s">
        <v>3216</v>
      </c>
      <c r="D1337" s="94"/>
      <c r="E1337" s="83" t="s">
        <v>3217</v>
      </c>
      <c r="F1337" s="83" t="s">
        <v>114</v>
      </c>
      <c r="G1337" s="60" t="s">
        <v>637</v>
      </c>
      <c r="H1337" s="60" t="s">
        <v>637</v>
      </c>
      <c r="I1337" s="60" t="s">
        <v>52</v>
      </c>
      <c r="J1337" s="60" t="s">
        <v>53</v>
      </c>
      <c r="K1337" s="60" t="s">
        <v>69</v>
      </c>
      <c r="L1337" s="60" t="s">
        <v>3192</v>
      </c>
      <c r="M1337" s="124">
        <v>1250</v>
      </c>
      <c r="N1337" s="639">
        <v>1250</v>
      </c>
      <c r="O1337" s="60" t="s">
        <v>64</v>
      </c>
      <c r="P1337" s="60">
        <v>60</v>
      </c>
      <c r="Q1337" s="60">
        <v>48</v>
      </c>
      <c r="R1337" s="60">
        <v>60</v>
      </c>
      <c r="S1337" s="60">
        <v>48</v>
      </c>
      <c r="T1337" s="60">
        <v>61</v>
      </c>
      <c r="U1337" s="60">
        <v>49</v>
      </c>
      <c r="V1337" s="946">
        <v>68</v>
      </c>
      <c r="W1337" s="946">
        <f>IF(J1337="Canvas",Q1337+Materials!C$5,Q1337)</f>
        <v>55</v>
      </c>
      <c r="X1337" s="138">
        <v>59</v>
      </c>
      <c r="Y1337" s="60">
        <v>68</v>
      </c>
      <c r="Z1337" s="60">
        <v>55</v>
      </c>
      <c r="AA1337" s="717">
        <f>V1337*W1337/144</f>
        <v>25.972222222222221</v>
      </c>
      <c r="AB1337" s="125">
        <f>AA1337*Swiss1</f>
        <v>735.01388888888891</v>
      </c>
      <c r="AC1337" s="69">
        <f>AA1337*Canvas</f>
        <v>17.141666666666666</v>
      </c>
      <c r="AD1337" s="48">
        <f>Table1[[#This Row],[Substrate SF]]*Materials!C$37</f>
        <v>72.722222222222214</v>
      </c>
      <c r="AE1337" s="69">
        <f>IF(Table1[[#This Row],[Work Center]]="SwissQ",Materials!G$37,IF(Table1[[#This Row],[Work Center]]="Inca",Materials!G$29,IF(Table1[[#This Row],[Work Center]]="Canon",Materials!G$49,Materials!G$45)))</f>
        <v>20</v>
      </c>
      <c r="AF1337" s="72">
        <f>'Cali Frames'!D359</f>
        <v>270.45</v>
      </c>
      <c r="AG1337" s="540"/>
      <c r="AH1337" s="498">
        <f t="shared" si="473"/>
        <v>62.5</v>
      </c>
      <c r="AI1337" s="498"/>
      <c r="AJ1337" s="69">
        <f>SUM(AC1337:AH1337)</f>
        <v>442.81388888888887</v>
      </c>
      <c r="AK1337" s="650">
        <f t="shared" si="474"/>
        <v>0.64574888888888893</v>
      </c>
      <c r="AL1337" s="225">
        <f>Table1[[#This Row],[WSP/Dealer]]/Table1[[#This Row],[OD Sq Inch]]</f>
        <v>0.41820006691201073</v>
      </c>
      <c r="AM1337" s="46">
        <f>Table1[[#This Row],[OD Wdth]]*Table1[[#This Row],[OD Hgt]]</f>
        <v>2989</v>
      </c>
      <c r="AN1337" s="60">
        <f>Table1[[#This Row],[Min VO]]+Table1[[#This Row],[Max VO]]</f>
        <v>108</v>
      </c>
      <c r="AO1337" s="83"/>
      <c r="AP1337" s="83"/>
      <c r="AQ1337" s="540"/>
      <c r="AR1337" s="540"/>
      <c r="AS1337" s="540"/>
      <c r="AT1337" s="69"/>
      <c r="AU1337" s="1361" t="str">
        <f t="shared" si="462"/>
        <v>-</v>
      </c>
    </row>
    <row r="1338" spans="1:47" s="63" customFormat="1" x14ac:dyDescent="0.2">
      <c r="A1338" s="68" t="s">
        <v>58</v>
      </c>
      <c r="B1338" s="1072" t="s">
        <v>111</v>
      </c>
      <c r="C1338" s="1743" t="s">
        <v>3218</v>
      </c>
      <c r="D1338" s="94"/>
      <c r="E1338" s="84" t="s">
        <v>3219</v>
      </c>
      <c r="F1338" s="84" t="s">
        <v>1738</v>
      </c>
      <c r="G1338" s="68" t="s">
        <v>139</v>
      </c>
      <c r="H1338" s="68" t="s">
        <v>139</v>
      </c>
      <c r="I1338" s="68" t="s">
        <v>52</v>
      </c>
      <c r="J1338" s="140" t="s">
        <v>53</v>
      </c>
      <c r="K1338" s="68" t="s">
        <v>54</v>
      </c>
      <c r="L1338" s="68" t="s">
        <v>55</v>
      </c>
      <c r="M1338" s="141">
        <v>325</v>
      </c>
      <c r="N1338" s="93"/>
      <c r="O1338" s="68" t="s">
        <v>56</v>
      </c>
      <c r="P1338" s="68">
        <v>24</v>
      </c>
      <c r="Q1338" s="68">
        <v>24</v>
      </c>
      <c r="R1338" s="68">
        <v>24</v>
      </c>
      <c r="S1338" s="68">
        <v>24</v>
      </c>
      <c r="T1338" s="68">
        <v>24</v>
      </c>
      <c r="U1338" s="68">
        <v>24</v>
      </c>
      <c r="V1338" s="66">
        <f>IF(J1338="Canvas",P1338+BorderGW,P1338)</f>
        <v>32</v>
      </c>
      <c r="W1338" s="66">
        <f>IF(J1338="Canvas",Q1338+BorderGW,Q1338)</f>
        <v>32</v>
      </c>
      <c r="X1338" s="68">
        <v>0</v>
      </c>
      <c r="Y1338" s="68">
        <v>32</v>
      </c>
      <c r="Z1338" s="68">
        <v>32</v>
      </c>
      <c r="AA1338" s="699">
        <f>V1338*W1338/144</f>
        <v>7.1111111111111107</v>
      </c>
      <c r="AB1338" s="297">
        <f>AA1338*IncaG</f>
        <v>149.61777777777777</v>
      </c>
      <c r="AC1338" s="74">
        <f>AA1338*Canvas</f>
        <v>4.6933333333333334</v>
      </c>
      <c r="AD1338" s="67">
        <f>AA1338*IncaC</f>
        <v>11.969422222222223</v>
      </c>
      <c r="AE1338" s="74">
        <f>IF(Table1[[#This Row],[Work Center]]="SwissQ",Materials!G$37,IF(Table1[[#This Row],[Work Center]]="Inca",Materials!G$29,IF(Table1[[#This Row],[Work Center]]="Canon",Materials!G$49,Materials!G$45)))</f>
        <v>8</v>
      </c>
      <c r="AF1338" s="73">
        <f>'Cali FPS'!C32</f>
        <v>63.47</v>
      </c>
      <c r="AG1338" s="126"/>
      <c r="AH1338" s="263">
        <f t="shared" si="473"/>
        <v>16.25</v>
      </c>
      <c r="AI1338" s="263"/>
      <c r="AJ1338" s="278">
        <f>SUM(AC1338:AH1338)</f>
        <v>104.38275555555555</v>
      </c>
      <c r="AK1338" s="688">
        <f t="shared" si="474"/>
        <v>0.67882229059829058</v>
      </c>
      <c r="AL1338" s="278">
        <f>Table1[[#This Row],[WSP/Dealer]]/Table1[[#This Row],[OD Sq Inch]]</f>
        <v>0.56423611111111116</v>
      </c>
      <c r="AM1338" s="170">
        <f>Table1[[#This Row],[OD Wdth]]*Table1[[#This Row],[OD Hgt]]</f>
        <v>576</v>
      </c>
      <c r="AN1338" s="274">
        <f>Table1[[#This Row],[Min VO]]+Table1[[#This Row],[Max VO]]</f>
        <v>48</v>
      </c>
      <c r="AO1338" s="84"/>
      <c r="AP1338" s="84"/>
      <c r="AQ1338" s="126"/>
      <c r="AR1338" s="126"/>
      <c r="AS1338" s="126"/>
      <c r="AT1338" s="74"/>
      <c r="AU1338" s="1357" t="str">
        <f t="shared" si="462"/>
        <v>-</v>
      </c>
    </row>
    <row r="1339" spans="1:47" s="103" customFormat="1" hidden="1" x14ac:dyDescent="0.2">
      <c r="A1339" s="101" t="s">
        <v>101</v>
      </c>
      <c r="B1339" s="1067" t="s">
        <v>102</v>
      </c>
      <c r="C1339" s="1336" t="s">
        <v>3220</v>
      </c>
      <c r="D1339" s="168"/>
      <c r="E1339" s="115" t="s">
        <v>3221</v>
      </c>
      <c r="F1339" s="115" t="s">
        <v>105</v>
      </c>
      <c r="G1339" s="101" t="s">
        <v>935</v>
      </c>
      <c r="H1339" s="101" t="s">
        <v>936</v>
      </c>
      <c r="I1339" s="101" t="s">
        <v>256</v>
      </c>
      <c r="J1339" s="487" t="s">
        <v>257</v>
      </c>
      <c r="K1339" s="101" t="s">
        <v>258</v>
      </c>
      <c r="L1339" s="101" t="s">
        <v>269</v>
      </c>
      <c r="M1339" s="299">
        <v>140</v>
      </c>
      <c r="N1339" s="114"/>
      <c r="O1339" s="101" t="s">
        <v>260</v>
      </c>
      <c r="P1339" s="101">
        <v>8</v>
      </c>
      <c r="Q1339" s="101">
        <v>12</v>
      </c>
      <c r="R1339" s="101">
        <v>8</v>
      </c>
      <c r="S1339" s="101">
        <v>12</v>
      </c>
      <c r="T1339" s="101">
        <v>10</v>
      </c>
      <c r="U1339" s="101">
        <v>14</v>
      </c>
      <c r="V1339" s="918">
        <f>Table1[[#This Row],[VO Wdth]]+Materials!$C$7</f>
        <v>10</v>
      </c>
      <c r="W1339" s="918">
        <f>Table1[[#This Row],[VO Hgt]]+Materials!$C$7</f>
        <v>14</v>
      </c>
      <c r="X1339" s="101" t="s">
        <v>257</v>
      </c>
      <c r="Y1339" s="1345">
        <f>Table1[[#This Row],[Print Wth]]+Materials!$C$7</f>
        <v>12</v>
      </c>
      <c r="Z1339" s="1345">
        <f>Table1[[#This Row],[Print Ht]]+Materials!$C$7</f>
        <v>16</v>
      </c>
      <c r="AA1339" s="1011">
        <f>(Table1[[#This Row],[Cut Width]]*Table1[[#This Row],[Cut Height]])/144</f>
        <v>1.3333333333333333</v>
      </c>
      <c r="AB1339" s="184">
        <f>(Table1[[#This Row],[Print Wth]]*Table1[[#This Row],[Print Ht]])/144*canonML</f>
        <v>4.6666666666666661</v>
      </c>
      <c r="AC1339" s="104">
        <f>Table1[[#This Row],[Substrate SF]]*Paper</f>
        <v>1.8039999999999998</v>
      </c>
      <c r="AD1339" s="104">
        <f>(Table1[[#This Row],[Print Wth]]*Table1[[#This Row],[Print Ht]])/144*CanonC</f>
        <v>0.26250000000000001</v>
      </c>
      <c r="AE1339" s="104">
        <f>IF(Table1[[#This Row],[Work Center]]="SwissQ",Materials!G$37,IF(Table1[[#This Row],[Work Center]]="Inca",Materials!G$29,IF(Table1[[#This Row],[Work Center]]="Canon",Materials!G$49,Materials!G$45)))</f>
        <v>7</v>
      </c>
      <c r="AF1339" s="102">
        <f>'Cali Frames'!D55</f>
        <v>63.65</v>
      </c>
      <c r="AG1339" s="121"/>
      <c r="AH1339" s="406">
        <v>0</v>
      </c>
      <c r="AI1339" s="406"/>
      <c r="AJ1339" s="406">
        <f>SUM(AC1339:AH1339)</f>
        <v>72.716499999999996</v>
      </c>
      <c r="AK1339" s="1065">
        <f t="shared" si="474"/>
        <v>0.48059642857142859</v>
      </c>
      <c r="AL1339" s="406">
        <f>Table1[[#This Row],[WSP/Dealer]]/Table1[[#This Row],[OD Sq Inch]]</f>
        <v>1</v>
      </c>
      <c r="AM1339" s="400">
        <f>Table1[[#This Row],[OD Wdth]]*Table1[[#This Row],[OD Hgt]]</f>
        <v>140</v>
      </c>
      <c r="AN1339" s="400">
        <f>Table1[[#This Row],[Min VO]]+Table1[[#This Row],[Max VO]]</f>
        <v>20</v>
      </c>
      <c r="AO1339" s="115"/>
      <c r="AP1339" s="115"/>
      <c r="AQ1339" s="121"/>
      <c r="AR1339" s="121"/>
      <c r="AS1339" s="121"/>
      <c r="AT1339" s="104"/>
      <c r="AU1339" s="1359" t="str">
        <f t="shared" si="462"/>
        <v>-</v>
      </c>
    </row>
    <row r="1340" spans="1:47" s="103" customFormat="1" hidden="1" x14ac:dyDescent="0.2">
      <c r="A1340" s="101" t="s">
        <v>110</v>
      </c>
      <c r="B1340" s="1062" t="s">
        <v>134</v>
      </c>
      <c r="C1340" s="1203" t="s">
        <v>3222</v>
      </c>
      <c r="D1340" s="168"/>
      <c r="E1340" s="115" t="s">
        <v>3223</v>
      </c>
      <c r="F1340" s="115" t="s">
        <v>386</v>
      </c>
      <c r="G1340" s="101" t="s">
        <v>1048</v>
      </c>
      <c r="H1340" s="101" t="s">
        <v>1048</v>
      </c>
      <c r="I1340" s="101" t="s">
        <v>52</v>
      </c>
      <c r="J1340" s="101" t="s">
        <v>53</v>
      </c>
      <c r="K1340" s="101" t="s">
        <v>54</v>
      </c>
      <c r="L1340" s="101" t="s">
        <v>55</v>
      </c>
      <c r="M1340" s="114">
        <v>900</v>
      </c>
      <c r="N1340" s="829">
        <v>950</v>
      </c>
      <c r="O1340" s="101" t="s">
        <v>56</v>
      </c>
      <c r="P1340" s="697">
        <v>48</v>
      </c>
      <c r="Q1340" s="697">
        <v>60</v>
      </c>
      <c r="R1340" s="101">
        <v>48</v>
      </c>
      <c r="S1340" s="697">
        <v>60</v>
      </c>
      <c r="T1340" s="697">
        <f>Table1[[#This Row],[VO Wdth]]</f>
        <v>48</v>
      </c>
      <c r="U1340" s="697">
        <f>Table1[[#This Row],[VO Hgt]]</f>
        <v>60</v>
      </c>
      <c r="V1340" s="106">
        <f>IF(J1340="Canvas",P1340+Border,P1340)</f>
        <v>56</v>
      </c>
      <c r="W1340" s="106">
        <f>IF(J1340="Canvas",Q1340+Border,Q1340)</f>
        <v>68</v>
      </c>
      <c r="X1340" s="137">
        <v>69</v>
      </c>
      <c r="Y1340" s="101">
        <v>56</v>
      </c>
      <c r="Z1340" s="101">
        <v>68</v>
      </c>
      <c r="AA1340" s="649">
        <f>V1340*W1340/144</f>
        <v>26.444444444444443</v>
      </c>
      <c r="AB1340" s="184">
        <f>AA1340*IncaG</f>
        <v>556.39111111111106</v>
      </c>
      <c r="AC1340" s="104">
        <f>AA1340*Canvas</f>
        <v>17.453333333333333</v>
      </c>
      <c r="AD1340" s="107">
        <f>AA1340*IncaC</f>
        <v>44.511288888888885</v>
      </c>
      <c r="AE1340" s="104">
        <f>IF(Table1[[#This Row],[Work Center]]="SwissQ",Materials!G$37,IF(Table1[[#This Row],[Work Center]]="Inca",Materials!G$29,IF(Table1[[#This Row],[Work Center]]="Canon",Materials!G$49,Materials!G$45)))</f>
        <v>8</v>
      </c>
      <c r="AF1340" s="104">
        <f>'Cali FPS'!C$121</f>
        <v>188.18</v>
      </c>
      <c r="AG1340" s="115"/>
      <c r="AH1340" s="104">
        <f t="shared" ref="AH1340:AH1349" si="478">(M1340*0.05)</f>
        <v>45</v>
      </c>
      <c r="AI1340" s="406">
        <f>IF(A1340="Codarus",(M1340*0.13))</f>
        <v>117</v>
      </c>
      <c r="AJ1340" s="104">
        <f>SUM(AC1340:AI1340)</f>
        <v>420.14462222222221</v>
      </c>
      <c r="AK1340" s="830">
        <f t="shared" si="474"/>
        <v>0.53317264197530867</v>
      </c>
      <c r="AL1340" s="660">
        <f>Table1[[#This Row],[WSP/Dealer]]/Table1[[#This Row],[OD Sq Inch]]</f>
        <v>0.3125</v>
      </c>
      <c r="AM1340" s="229">
        <f>Table1[[#This Row],[OD Wdth]]*Table1[[#This Row],[OD Hgt]]</f>
        <v>2880</v>
      </c>
      <c r="AN1340" s="266">
        <f>Table1[[#This Row],[Min VO]]+Table1[[#This Row],[Max VO]]</f>
        <v>108</v>
      </c>
      <c r="AP1340" s="104">
        <v>1800</v>
      </c>
      <c r="AQ1340" s="104">
        <f>(Table1[[#This Row],[Desgnr/Retail P]]*0.05)</f>
        <v>90</v>
      </c>
      <c r="AR1340" s="121">
        <f>IF(A1340="Codarus",(AP1340*0.13))</f>
        <v>234</v>
      </c>
      <c r="AS1340" s="121">
        <f>SUM(Table1[[#This Row],[Substrate $]:[GP FINISH]])+Table1[[#This Row],[Retail Royalty]]+Table1[[#This Row],[Retail$Comm]]</f>
        <v>582.14462222222221</v>
      </c>
      <c r="AT1340" s="830">
        <f>IF(AP1340=0,"-",(AP1340-AS1340)/AP1340)</f>
        <v>0.67658632098765437</v>
      </c>
      <c r="AU1340" s="830">
        <f t="shared" si="462"/>
        <v>0.9924823742112483</v>
      </c>
    </row>
    <row r="1341" spans="1:47" s="103" customFormat="1" hidden="1" x14ac:dyDescent="0.2">
      <c r="A1341" s="373" t="s">
        <v>187</v>
      </c>
      <c r="B1341" s="279" t="s">
        <v>188</v>
      </c>
      <c r="C1341" s="559" t="s">
        <v>3224</v>
      </c>
      <c r="D1341" s="94"/>
      <c r="E1341" s="84" t="s">
        <v>3223</v>
      </c>
      <c r="F1341" s="84" t="s">
        <v>386</v>
      </c>
      <c r="G1341" s="68" t="s">
        <v>191</v>
      </c>
      <c r="H1341" s="68" t="s">
        <v>191</v>
      </c>
      <c r="I1341" s="68" t="s">
        <v>108</v>
      </c>
      <c r="J1341" s="68" t="s">
        <v>197</v>
      </c>
      <c r="K1341" s="68" t="s">
        <v>198</v>
      </c>
      <c r="L1341" s="68" t="s">
        <v>199</v>
      </c>
      <c r="M1341" s="93">
        <v>120</v>
      </c>
      <c r="N1341" s="71"/>
      <c r="O1341" s="68" t="s">
        <v>56</v>
      </c>
      <c r="P1341" s="68">
        <v>48</v>
      </c>
      <c r="Q1341" s="68">
        <v>60</v>
      </c>
      <c r="R1341" s="68">
        <v>48</v>
      </c>
      <c r="S1341" s="68">
        <v>60</v>
      </c>
      <c r="T1341" s="68">
        <v>48</v>
      </c>
      <c r="U1341" s="68">
        <v>60</v>
      </c>
      <c r="V1341" s="277">
        <f>Table1[[#This Row],[VO Wdth]]+Materials!$C$7</f>
        <v>50</v>
      </c>
      <c r="W1341" s="277">
        <f>Table1[[#This Row],[VO Hgt]]+Materials!$C$7</f>
        <v>62</v>
      </c>
      <c r="X1341" s="343" t="s">
        <v>197</v>
      </c>
      <c r="Y1341" s="68"/>
      <c r="Z1341" s="68"/>
      <c r="AA1341" s="699">
        <f>V1341*W1341/144</f>
        <v>21.527777777777779</v>
      </c>
      <c r="AB1341" s="297">
        <f>AA1341*IncaGR</f>
        <v>21.958333333333336</v>
      </c>
      <c r="AC1341" s="74">
        <f>Table1[[#This Row],[Substrate SF]]*POster</f>
        <v>16.016666666666666</v>
      </c>
      <c r="AD1341" s="208">
        <f>Table1[[#This Row],[Ink g/mL]]*IncaCR</f>
        <v>1.7566666666666668</v>
      </c>
      <c r="AE134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341" s="73">
        <v>0</v>
      </c>
      <c r="AG1341" s="126">
        <f>Materials!D$76</f>
        <v>10.82</v>
      </c>
      <c r="AH1341" s="112">
        <f t="shared" si="478"/>
        <v>6</v>
      </c>
      <c r="AI1341" s="112"/>
      <c r="AJ1341" s="263">
        <f>SUM(AC1341:AH1341)</f>
        <v>44.593333333333334</v>
      </c>
      <c r="AK1341" s="62">
        <f t="shared" si="474"/>
        <v>0.62838888888888889</v>
      </c>
      <c r="AL1341" s="225">
        <f>Table1[[#This Row],[WSP/Dealer]]/Table1[[#This Row],[OD Sq Inch]]</f>
        <v>4.1666666666666664E-2</v>
      </c>
      <c r="AM1341" s="170">
        <f>Table1[[#This Row],[OD Wdth]]*Table1[[#This Row],[OD Hgt]]</f>
        <v>2880</v>
      </c>
      <c r="AN1341" s="84"/>
      <c r="AO1341" s="84"/>
      <c r="AP1341" s="84"/>
      <c r="AQ1341" s="126"/>
      <c r="AR1341" s="126"/>
      <c r="AS1341" s="126"/>
      <c r="AT1341" s="74"/>
      <c r="AU1341" s="1357" t="str">
        <f t="shared" si="462"/>
        <v>-</v>
      </c>
    </row>
    <row r="1342" spans="1:47" s="63" customFormat="1" hidden="1" x14ac:dyDescent="0.2">
      <c r="A1342" s="373" t="s">
        <v>187</v>
      </c>
      <c r="B1342" s="1061" t="s">
        <v>188</v>
      </c>
      <c r="C1342" s="559" t="s">
        <v>3225</v>
      </c>
      <c r="D1342" s="94"/>
      <c r="E1342" s="84" t="s">
        <v>3223</v>
      </c>
      <c r="F1342" s="84" t="s">
        <v>386</v>
      </c>
      <c r="G1342" s="68" t="s">
        <v>191</v>
      </c>
      <c r="H1342" s="68" t="s">
        <v>193</v>
      </c>
      <c r="I1342" s="68" t="s">
        <v>52</v>
      </c>
      <c r="J1342" s="68" t="s">
        <v>53</v>
      </c>
      <c r="K1342" s="68" t="s">
        <v>69</v>
      </c>
      <c r="L1342" s="68" t="s">
        <v>70</v>
      </c>
      <c r="M1342" s="93">
        <v>2950</v>
      </c>
      <c r="N1342" s="71"/>
      <c r="O1342" s="68" t="s">
        <v>56</v>
      </c>
      <c r="P1342" s="623"/>
      <c r="Q1342" s="623"/>
      <c r="R1342" s="68"/>
      <c r="S1342" s="623"/>
      <c r="T1342" s="623"/>
      <c r="U1342" s="623"/>
      <c r="V1342" s="66"/>
      <c r="W1342" s="66"/>
      <c r="X1342" s="189"/>
      <c r="Y1342" s="68"/>
      <c r="Z1342" s="68"/>
      <c r="AA1342" s="699"/>
      <c r="AB1342" s="297"/>
      <c r="AC1342" s="74"/>
      <c r="AD1342" s="118"/>
      <c r="AE1342" s="126"/>
      <c r="AF1342" s="73"/>
      <c r="AG1342" s="84"/>
      <c r="AH1342" s="498">
        <f t="shared" si="478"/>
        <v>147.5</v>
      </c>
      <c r="AI1342" s="498"/>
      <c r="AJ1342" s="118"/>
      <c r="AK1342" s="650">
        <f t="shared" si="474"/>
        <v>1</v>
      </c>
      <c r="AL1342" s="225" t="e">
        <f>Table1[[#This Row],[WSP/Dealer]]/Table1[[#This Row],[OD Sq Inch]]</f>
        <v>#DIV/0!</v>
      </c>
      <c r="AM1342" s="119"/>
      <c r="AN1342" s="84"/>
      <c r="AO1342" s="84"/>
      <c r="AP1342" s="84"/>
      <c r="AQ1342" s="126"/>
      <c r="AR1342" s="126"/>
      <c r="AS1342" s="126"/>
      <c r="AT1342" s="74"/>
      <c r="AU1342" s="1357" t="str">
        <f t="shared" si="462"/>
        <v>-</v>
      </c>
    </row>
    <row r="1343" spans="1:47" s="103" customFormat="1" hidden="1" x14ac:dyDescent="0.2">
      <c r="A1343" s="373" t="s">
        <v>187</v>
      </c>
      <c r="B1343" s="1061" t="s">
        <v>188</v>
      </c>
      <c r="C1343" s="559" t="s">
        <v>3226</v>
      </c>
      <c r="D1343" s="94"/>
      <c r="E1343" s="84" t="s">
        <v>3223</v>
      </c>
      <c r="F1343" s="84" t="s">
        <v>386</v>
      </c>
      <c r="G1343" s="68" t="s">
        <v>191</v>
      </c>
      <c r="H1343" s="68" t="s">
        <v>191</v>
      </c>
      <c r="I1343" s="68" t="s">
        <v>52</v>
      </c>
      <c r="J1343" s="68" t="s">
        <v>53</v>
      </c>
      <c r="K1343" s="68" t="s">
        <v>54</v>
      </c>
      <c r="L1343" s="68" t="s">
        <v>55</v>
      </c>
      <c r="M1343" s="93">
        <v>2550</v>
      </c>
      <c r="N1343" s="71"/>
      <c r="O1343" s="68" t="s">
        <v>56</v>
      </c>
      <c r="P1343" s="623"/>
      <c r="Q1343" s="623"/>
      <c r="R1343" s="68"/>
      <c r="S1343" s="623"/>
      <c r="T1343" s="623"/>
      <c r="U1343" s="623"/>
      <c r="V1343" s="66"/>
      <c r="W1343" s="66"/>
      <c r="X1343" s="189"/>
      <c r="Y1343" s="68"/>
      <c r="Z1343" s="68"/>
      <c r="AA1343" s="699"/>
      <c r="AB1343" s="297"/>
      <c r="AC1343" s="74"/>
      <c r="AD1343" s="118"/>
      <c r="AE1343" s="126"/>
      <c r="AF1343" s="73"/>
      <c r="AG1343" s="84"/>
      <c r="AH1343" s="498">
        <f t="shared" si="478"/>
        <v>127.5</v>
      </c>
      <c r="AI1343" s="498"/>
      <c r="AJ1343" s="126"/>
      <c r="AK1343" s="650">
        <f t="shared" si="474"/>
        <v>1</v>
      </c>
      <c r="AL1343" s="225" t="e">
        <f>Table1[[#This Row],[WSP/Dealer]]/Table1[[#This Row],[OD Sq Inch]]</f>
        <v>#DIV/0!</v>
      </c>
      <c r="AM1343" s="119"/>
      <c r="AN1343" s="84"/>
      <c r="AO1343" s="84"/>
      <c r="AP1343" s="84"/>
      <c r="AQ1343" s="126"/>
      <c r="AR1343" s="126"/>
      <c r="AS1343" s="126"/>
      <c r="AT1343" s="74"/>
      <c r="AU1343" s="1357" t="str">
        <f t="shared" si="462"/>
        <v>-</v>
      </c>
    </row>
    <row r="1344" spans="1:47" s="46" customFormat="1" hidden="1" x14ac:dyDescent="0.2">
      <c r="A1344" s="373" t="s">
        <v>187</v>
      </c>
      <c r="B1344" s="1061" t="s">
        <v>188</v>
      </c>
      <c r="C1344" s="257" t="s">
        <v>3227</v>
      </c>
      <c r="D1344" s="94"/>
      <c r="E1344" s="84" t="s">
        <v>3223</v>
      </c>
      <c r="F1344" s="84" t="s">
        <v>386</v>
      </c>
      <c r="G1344" s="68" t="s">
        <v>191</v>
      </c>
      <c r="H1344" s="68" t="s">
        <v>3228</v>
      </c>
      <c r="I1344" s="68" t="s">
        <v>52</v>
      </c>
      <c r="J1344" s="68" t="s">
        <v>53</v>
      </c>
      <c r="K1344" s="68" t="s">
        <v>69</v>
      </c>
      <c r="L1344" s="68" t="s">
        <v>73</v>
      </c>
      <c r="M1344" s="93">
        <v>2950</v>
      </c>
      <c r="N1344" s="71"/>
      <c r="O1344" s="68" t="s">
        <v>56</v>
      </c>
      <c r="P1344" s="623"/>
      <c r="Q1344" s="623"/>
      <c r="R1344" s="68"/>
      <c r="S1344" s="623"/>
      <c r="T1344" s="623"/>
      <c r="U1344" s="623"/>
      <c r="V1344" s="66"/>
      <c r="W1344" s="66"/>
      <c r="X1344" s="189"/>
      <c r="Y1344" s="68"/>
      <c r="Z1344" s="68"/>
      <c r="AA1344" s="699"/>
      <c r="AB1344" s="297"/>
      <c r="AC1344" s="74"/>
      <c r="AD1344" s="118"/>
      <c r="AE1344" s="126"/>
      <c r="AF1344" s="73"/>
      <c r="AG1344" s="84"/>
      <c r="AH1344" s="112">
        <f t="shared" si="478"/>
        <v>147.5</v>
      </c>
      <c r="AI1344" s="112"/>
      <c r="AJ1344" s="126"/>
      <c r="AK1344" s="62">
        <f t="shared" ref="AK1344:AK1375" si="479">(M1344-AJ1344)/M1344</f>
        <v>1</v>
      </c>
      <c r="AL1344" s="225" t="e">
        <f>Table1[[#This Row],[WSP/Dealer]]/Table1[[#This Row],[OD Sq Inch]]</f>
        <v>#DIV/0!</v>
      </c>
      <c r="AM1344" s="119"/>
      <c r="AN1344" s="84"/>
      <c r="AO1344" s="119"/>
      <c r="AP1344" s="84"/>
      <c r="AQ1344" s="126"/>
      <c r="AR1344" s="126"/>
      <c r="AS1344" s="126"/>
      <c r="AT1344" s="74"/>
      <c r="AU1344" s="1356" t="str">
        <f t="shared" si="462"/>
        <v>-</v>
      </c>
    </row>
    <row r="1345" spans="1:47" s="63" customFormat="1" hidden="1" x14ac:dyDescent="0.2">
      <c r="A1345" s="373" t="s">
        <v>187</v>
      </c>
      <c r="B1345" s="1061" t="s">
        <v>261</v>
      </c>
      <c r="C1345" s="94" t="s">
        <v>3229</v>
      </c>
      <c r="D1345" s="94"/>
      <c r="E1345" s="84" t="s">
        <v>3230</v>
      </c>
      <c r="F1345" s="84" t="s">
        <v>960</v>
      </c>
      <c r="G1345" s="68" t="s">
        <v>118</v>
      </c>
      <c r="H1345" s="68"/>
      <c r="I1345" s="68" t="s">
        <v>304</v>
      </c>
      <c r="J1345" s="68" t="s">
        <v>257</v>
      </c>
      <c r="K1345" s="68" t="s">
        <v>258</v>
      </c>
      <c r="L1345" s="68" t="s">
        <v>83</v>
      </c>
      <c r="M1345" s="93"/>
      <c r="N1345" s="71"/>
      <c r="O1345" s="68" t="s">
        <v>260</v>
      </c>
      <c r="P1345" s="68"/>
      <c r="Q1345" s="68"/>
      <c r="R1345" s="68"/>
      <c r="S1345" s="68"/>
      <c r="T1345" s="68"/>
      <c r="U1345" s="68"/>
      <c r="V1345" s="917"/>
      <c r="W1345" s="917"/>
      <c r="X1345" s="189"/>
      <c r="Y1345" s="68"/>
      <c r="Z1345" s="68"/>
      <c r="AA1345" s="699"/>
      <c r="AB1345" s="297"/>
      <c r="AC1345" s="74"/>
      <c r="AD1345" s="126"/>
      <c r="AE1345" s="126"/>
      <c r="AF1345" s="73"/>
      <c r="AG1345" s="126"/>
      <c r="AH1345" s="498">
        <f t="shared" si="478"/>
        <v>0</v>
      </c>
      <c r="AI1345" s="498"/>
      <c r="AJ1345" s="126"/>
      <c r="AK1345" s="650" t="e">
        <f t="shared" si="479"/>
        <v>#DIV/0!</v>
      </c>
      <c r="AL1345" s="225" t="e">
        <f>Table1[[#This Row],[WSP/Dealer]]/Table1[[#This Row],[OD Sq Inch]]</f>
        <v>#DIV/0!</v>
      </c>
      <c r="AM1345" s="84"/>
      <c r="AN1345" s="216">
        <f>Table1[[#This Row],[Min VO]]+Table1[[#This Row],[Max VO]]</f>
        <v>0</v>
      </c>
      <c r="AO1345" s="84"/>
      <c r="AP1345" s="84"/>
      <c r="AQ1345" s="126"/>
      <c r="AR1345" s="126"/>
      <c r="AS1345" s="126"/>
      <c r="AT1345" s="74"/>
      <c r="AU1345" s="1357" t="str">
        <f t="shared" si="462"/>
        <v>-</v>
      </c>
    </row>
    <row r="1346" spans="1:47" s="63" customFormat="1" hidden="1" x14ac:dyDescent="0.2">
      <c r="A1346" s="68"/>
      <c r="B1346" s="279"/>
      <c r="C1346" s="1053" t="s">
        <v>3231</v>
      </c>
      <c r="D1346" s="94"/>
      <c r="E1346" s="84" t="s">
        <v>3230</v>
      </c>
      <c r="F1346" s="84" t="s">
        <v>960</v>
      </c>
      <c r="G1346" s="68" t="s">
        <v>118</v>
      </c>
      <c r="H1346" s="68"/>
      <c r="I1346" s="68" t="s">
        <v>304</v>
      </c>
      <c r="J1346" s="68" t="s">
        <v>257</v>
      </c>
      <c r="K1346" s="68" t="s">
        <v>258</v>
      </c>
      <c r="L1346" s="68" t="s">
        <v>83</v>
      </c>
      <c r="M1346" s="93"/>
      <c r="N1346" s="71"/>
      <c r="O1346" s="68" t="s">
        <v>260</v>
      </c>
      <c r="P1346" s="68"/>
      <c r="Q1346" s="68"/>
      <c r="R1346" s="68"/>
      <c r="S1346" s="68"/>
      <c r="T1346" s="68"/>
      <c r="U1346" s="68"/>
      <c r="V1346" s="917"/>
      <c r="W1346" s="917"/>
      <c r="X1346" s="189"/>
      <c r="Y1346" s="68"/>
      <c r="Z1346" s="68"/>
      <c r="AA1346" s="699"/>
      <c r="AB1346" s="297"/>
      <c r="AC1346" s="74"/>
      <c r="AD1346" s="126"/>
      <c r="AE1346" s="126"/>
      <c r="AF1346" s="73"/>
      <c r="AG1346" s="126"/>
      <c r="AH1346" s="498">
        <f t="shared" si="478"/>
        <v>0</v>
      </c>
      <c r="AI1346" s="112"/>
      <c r="AJ1346" s="126"/>
      <c r="AK1346" s="650" t="e">
        <f t="shared" si="479"/>
        <v>#DIV/0!</v>
      </c>
      <c r="AL1346" s="225" t="e">
        <f>Table1[[#This Row],[WSP/Dealer]]/Table1[[#This Row],[OD Sq Inch]]</f>
        <v>#DIV/0!</v>
      </c>
      <c r="AM1346" s="84"/>
      <c r="AN1346" s="216">
        <f>Table1[[#This Row],[Min VO]]+Table1[[#This Row],[Max VO]]</f>
        <v>0</v>
      </c>
      <c r="AO1346" s="84"/>
      <c r="AP1346" s="84"/>
      <c r="AQ1346" s="126"/>
      <c r="AR1346" s="126"/>
      <c r="AS1346" s="126"/>
      <c r="AT1346" s="74"/>
      <c r="AU1346" s="1357" t="str">
        <f t="shared" si="462"/>
        <v>-</v>
      </c>
    </row>
    <row r="1347" spans="1:47" s="63" customFormat="1" hidden="1" x14ac:dyDescent="0.2">
      <c r="A1347" s="1153" t="s">
        <v>187</v>
      </c>
      <c r="B1347" s="279" t="s">
        <v>261</v>
      </c>
      <c r="C1347" s="1737" t="s">
        <v>3232</v>
      </c>
      <c r="D1347" s="94"/>
      <c r="E1347" s="968" t="s">
        <v>3233</v>
      </c>
      <c r="F1347" s="84" t="s">
        <v>960</v>
      </c>
      <c r="G1347" s="973" t="s">
        <v>350</v>
      </c>
      <c r="H1347" s="101"/>
      <c r="I1347" s="973" t="s">
        <v>256</v>
      </c>
      <c r="J1347" s="68" t="s">
        <v>257</v>
      </c>
      <c r="K1347" s="968" t="s">
        <v>265</v>
      </c>
      <c r="L1347" s="101" t="s">
        <v>259</v>
      </c>
      <c r="M1347" s="983">
        <v>320</v>
      </c>
      <c r="N1347" s="71"/>
      <c r="O1347" s="101"/>
      <c r="P1347" s="60"/>
      <c r="Q1347" s="60"/>
      <c r="R1347" s="60"/>
      <c r="S1347" s="60"/>
      <c r="T1347" s="68"/>
      <c r="U1347" s="68"/>
      <c r="V1347" s="917"/>
      <c r="W1347" s="608"/>
      <c r="X1347" s="137"/>
      <c r="Y1347" s="101"/>
      <c r="Z1347" s="101"/>
      <c r="AA1347" s="649"/>
      <c r="AB1347" s="184"/>
      <c r="AC1347" s="104"/>
      <c r="AD1347" s="120"/>
      <c r="AE1347" s="121"/>
      <c r="AF1347" s="102"/>
      <c r="AG1347" s="121"/>
      <c r="AH1347" s="498">
        <f t="shared" si="478"/>
        <v>16</v>
      </c>
      <c r="AI1347" s="112"/>
      <c r="AJ1347" s="121"/>
      <c r="AK1347" s="62">
        <f t="shared" si="479"/>
        <v>1</v>
      </c>
      <c r="AL1347" s="225" t="e">
        <f>Table1[[#This Row],[WSP/Dealer]]/Table1[[#This Row],[OD Sq Inch]]</f>
        <v>#DIV/0!</v>
      </c>
      <c r="AM1347" s="113"/>
      <c r="AN1347" s="115"/>
      <c r="AO1347" s="115"/>
      <c r="AP1347" s="115"/>
      <c r="AQ1347" s="121"/>
      <c r="AR1347" s="121"/>
      <c r="AS1347" s="121"/>
      <c r="AT1347" s="104"/>
      <c r="AU1347" s="1359" t="str">
        <f t="shared" si="462"/>
        <v>-</v>
      </c>
    </row>
    <row r="1348" spans="1:47" s="63" customFormat="1" hidden="1" x14ac:dyDescent="0.2">
      <c r="A1348" s="1153" t="s">
        <v>187</v>
      </c>
      <c r="B1348" s="279" t="s">
        <v>261</v>
      </c>
      <c r="C1348" s="1737" t="s">
        <v>3234</v>
      </c>
      <c r="D1348" s="94"/>
      <c r="E1348" s="968" t="s">
        <v>3233</v>
      </c>
      <c r="F1348" s="84" t="s">
        <v>960</v>
      </c>
      <c r="G1348" s="973" t="s">
        <v>350</v>
      </c>
      <c r="H1348" s="101"/>
      <c r="I1348" s="973" t="s">
        <v>256</v>
      </c>
      <c r="J1348" s="68" t="s">
        <v>257</v>
      </c>
      <c r="K1348" s="968" t="s">
        <v>268</v>
      </c>
      <c r="L1348" s="101" t="s">
        <v>269</v>
      </c>
      <c r="M1348" s="983">
        <v>320</v>
      </c>
      <c r="N1348" s="71"/>
      <c r="O1348" s="101"/>
      <c r="P1348" s="60"/>
      <c r="Q1348" s="60"/>
      <c r="R1348" s="60"/>
      <c r="S1348" s="60"/>
      <c r="T1348" s="68"/>
      <c r="U1348" s="68"/>
      <c r="V1348" s="66"/>
      <c r="W1348" s="106"/>
      <c r="X1348" s="137"/>
      <c r="Y1348" s="101"/>
      <c r="Z1348" s="101"/>
      <c r="AA1348" s="649"/>
      <c r="AB1348" s="184"/>
      <c r="AC1348" s="104"/>
      <c r="AD1348" s="120"/>
      <c r="AE1348" s="121"/>
      <c r="AF1348" s="102"/>
      <c r="AG1348" s="121"/>
      <c r="AH1348" s="498">
        <f t="shared" si="478"/>
        <v>16</v>
      </c>
      <c r="AI1348" s="112"/>
      <c r="AJ1348" s="120"/>
      <c r="AK1348" s="62">
        <f t="shared" si="479"/>
        <v>1</v>
      </c>
      <c r="AL1348" s="225" t="e">
        <f>Table1[[#This Row],[WSP/Dealer]]/Table1[[#This Row],[OD Sq Inch]]</f>
        <v>#DIV/0!</v>
      </c>
      <c r="AM1348" s="113"/>
      <c r="AN1348" s="115"/>
      <c r="AO1348" s="115"/>
      <c r="AP1348" s="115"/>
      <c r="AQ1348" s="121"/>
      <c r="AR1348" s="121"/>
      <c r="AS1348" s="121"/>
      <c r="AT1348" s="104"/>
      <c r="AU1348" s="1359" t="str">
        <f t="shared" si="462"/>
        <v>-</v>
      </c>
    </row>
    <row r="1349" spans="1:47" s="63" customFormat="1" hidden="1" x14ac:dyDescent="0.2">
      <c r="A1349" s="1153" t="s">
        <v>187</v>
      </c>
      <c r="B1349" s="279" t="s">
        <v>261</v>
      </c>
      <c r="C1349" s="1737" t="s">
        <v>3235</v>
      </c>
      <c r="D1349" s="94"/>
      <c r="E1349" s="968" t="s">
        <v>3236</v>
      </c>
      <c r="F1349" s="84" t="s">
        <v>960</v>
      </c>
      <c r="G1349" s="973" t="s">
        <v>350</v>
      </c>
      <c r="H1349" s="101"/>
      <c r="I1349" s="973" t="s">
        <v>256</v>
      </c>
      <c r="J1349" s="68" t="s">
        <v>257</v>
      </c>
      <c r="K1349" s="968" t="s">
        <v>198</v>
      </c>
      <c r="L1349" s="101" t="s">
        <v>199</v>
      </c>
      <c r="M1349" s="983">
        <v>200</v>
      </c>
      <c r="N1349" s="71"/>
      <c r="O1349" s="101"/>
      <c r="P1349" s="60"/>
      <c r="Q1349" s="60"/>
      <c r="R1349" s="60"/>
      <c r="S1349" s="60"/>
      <c r="T1349" s="68"/>
      <c r="U1349" s="68"/>
      <c r="V1349" s="66"/>
      <c r="W1349" s="106"/>
      <c r="X1349" s="137"/>
      <c r="Y1349" s="101"/>
      <c r="Z1349" s="101"/>
      <c r="AA1349" s="649"/>
      <c r="AB1349" s="184"/>
      <c r="AC1349" s="104"/>
      <c r="AD1349" s="120"/>
      <c r="AE1349" s="104">
        <f>IF(Table1[[#This Row],[Work Center]]="SwissQ",Materials!G$37,IF(Table1[[#This Row],[Work Center]]="Inca",Materials!G$29,IF(Table1[[#This Row],[Work Center]]="Canon",Materials!G$49,Materials!G$45)))</f>
        <v>5</v>
      </c>
      <c r="AF1349" s="260"/>
      <c r="AG1349" s="126">
        <f>Materials!D$76</f>
        <v>10.82</v>
      </c>
      <c r="AH1349" s="498">
        <f t="shared" si="478"/>
        <v>10</v>
      </c>
      <c r="AI1349" s="498"/>
      <c r="AJ1349" s="121"/>
      <c r="AK1349" s="650">
        <f t="shared" si="479"/>
        <v>1</v>
      </c>
      <c r="AL1349" s="225" t="e">
        <f>Table1[[#This Row],[WSP/Dealer]]/Table1[[#This Row],[OD Sq Inch]]</f>
        <v>#DIV/0!</v>
      </c>
      <c r="AM1349" s="113"/>
      <c r="AN1349" s="115"/>
      <c r="AO1349" s="115"/>
      <c r="AP1349" s="115"/>
      <c r="AQ1349" s="121"/>
      <c r="AR1349" s="121"/>
      <c r="AS1349" s="121"/>
      <c r="AT1349" s="104"/>
      <c r="AU1349" s="1359" t="str">
        <f t="shared" si="462"/>
        <v>-</v>
      </c>
    </row>
    <row r="1350" spans="1:47" s="46" customFormat="1" hidden="1" x14ac:dyDescent="0.2">
      <c r="A1350" s="470" t="s">
        <v>318</v>
      </c>
      <c r="B1350" s="1061" t="s">
        <v>96</v>
      </c>
      <c r="C1350" s="1537" t="s">
        <v>3237</v>
      </c>
      <c r="D1350" s="94">
        <v>180846</v>
      </c>
      <c r="E1350" s="99" t="s">
        <v>3238</v>
      </c>
      <c r="F1350" s="83" t="s">
        <v>105</v>
      </c>
      <c r="G1350" s="605" t="s">
        <v>100</v>
      </c>
      <c r="H1350" s="605" t="s">
        <v>890</v>
      </c>
      <c r="I1350" s="605" t="s">
        <v>108</v>
      </c>
      <c r="J1350" s="59" t="s">
        <v>53</v>
      </c>
      <c r="K1350" s="605" t="s">
        <v>69</v>
      </c>
      <c r="L1350" s="60" t="s">
        <v>315</v>
      </c>
      <c r="M1350" s="544">
        <v>350</v>
      </c>
      <c r="N1350" s="786">
        <v>875</v>
      </c>
      <c r="O1350" s="60" t="s">
        <v>109</v>
      </c>
      <c r="P1350" s="60">
        <v>24</v>
      </c>
      <c r="Q1350" s="60">
        <v>36</v>
      </c>
      <c r="R1350" s="60">
        <v>24</v>
      </c>
      <c r="S1350" s="60">
        <v>36</v>
      </c>
      <c r="T1350" s="60">
        <v>25</v>
      </c>
      <c r="U1350" s="60">
        <v>37</v>
      </c>
      <c r="V1350" s="913">
        <f>IF(J1350="Canvas",P1350+Border,P1350)</f>
        <v>32</v>
      </c>
      <c r="W1350" s="913">
        <f>IF(J1350="Canvas",Q1350+Border,Q1350)</f>
        <v>44</v>
      </c>
      <c r="X1350" s="138">
        <v>40</v>
      </c>
      <c r="Y1350" s="60"/>
      <c r="Z1350" s="60"/>
      <c r="AA1350" s="717">
        <f t="shared" ref="AA1350:AA1381" si="480">V1350*W1350/144</f>
        <v>9.7777777777777786</v>
      </c>
      <c r="AB1350" s="125">
        <f>AA1350*EPSONM</f>
        <v>44</v>
      </c>
      <c r="AC1350" s="69">
        <f>AA1350*Canvas</f>
        <v>6.453333333333334</v>
      </c>
      <c r="AD1350" s="176">
        <f>Table1[[#This Row],[Substrate SF]]*EPSONC</f>
        <v>2.1511111111111112</v>
      </c>
      <c r="AE1350" s="69">
        <f>IF(Table1[[#This Row],[Work Center]]="SwissQ",Materials!G$37,IF(Table1[[#This Row],[Work Center]]="Inca",Materials!G$29,IF(Table1[[#This Row],[Work Center]]="Canon",Materials!G$49,Materials!G$45)))</f>
        <v>5</v>
      </c>
      <c r="AF1350" s="72">
        <f>'Cali Frames'!D510</f>
        <v>111.6</v>
      </c>
      <c r="AG1350" s="83"/>
      <c r="AH1350" s="498">
        <v>0</v>
      </c>
      <c r="AI1350" s="498"/>
      <c r="AJ1350" s="176">
        <f>SUM(AC1350:AH1350)</f>
        <v>125.20444444444443</v>
      </c>
      <c r="AK1350" s="650">
        <f t="shared" si="479"/>
        <v>0.64227301587301588</v>
      </c>
      <c r="AL1350" s="225">
        <f>Table1[[#This Row],[WSP/Dealer]]/Table1[[#This Row],[OD Sq Inch]]</f>
        <v>0.3783783783783784</v>
      </c>
      <c r="AM1350" s="180">
        <f>Table1[[#This Row],[OD Wdth]]*Table1[[#This Row],[OD Hgt]]</f>
        <v>925</v>
      </c>
      <c r="AN1350" s="180" t="str">
        <f>Table1[[#This Row],[Color]]</f>
        <v>WF</v>
      </c>
      <c r="AO1350" s="83" t="str">
        <f>Table1[[#This Row],[Print Type]]</f>
        <v>Reductive</v>
      </c>
      <c r="AP1350" s="540"/>
      <c r="AQ1350" s="540"/>
      <c r="AR1350" s="540"/>
      <c r="AS1350" s="540"/>
      <c r="AT1350" s="69"/>
      <c r="AU1350" s="1361" t="str">
        <f t="shared" ref="AU1350:AU1413" si="481">IF(AQ1350=0,"-",(AQ1350-AT1350)/AQ1350)</f>
        <v>-</v>
      </c>
    </row>
    <row r="1351" spans="1:47" s="46" customFormat="1" hidden="1" x14ac:dyDescent="0.2">
      <c r="A1351" s="373"/>
      <c r="B1351" s="279"/>
      <c r="C1351" s="1632" t="s">
        <v>3239</v>
      </c>
      <c r="D1351" s="94"/>
      <c r="E1351" s="172" t="s">
        <v>3240</v>
      </c>
      <c r="F1351" s="83" t="s">
        <v>105</v>
      </c>
      <c r="G1351" s="363" t="s">
        <v>1946</v>
      </c>
      <c r="H1351" s="363" t="s">
        <v>1946</v>
      </c>
      <c r="I1351" s="363" t="s">
        <v>108</v>
      </c>
      <c r="J1351" s="140" t="s">
        <v>53</v>
      </c>
      <c r="K1351" s="363" t="s">
        <v>3241</v>
      </c>
      <c r="L1351" s="68" t="s">
        <v>3242</v>
      </c>
      <c r="M1351" s="547"/>
      <c r="N1351" s="71"/>
      <c r="O1351" s="68"/>
      <c r="P1351" s="68"/>
      <c r="Q1351" s="68"/>
      <c r="R1351" s="68"/>
      <c r="S1351" s="68"/>
      <c r="T1351" s="68"/>
      <c r="U1351" s="68"/>
      <c r="V1351" s="917"/>
      <c r="W1351" s="917"/>
      <c r="X1351" s="189"/>
      <c r="Y1351" s="68"/>
      <c r="Z1351" s="68"/>
      <c r="AA1351" s="678">
        <f t="shared" si="480"/>
        <v>0</v>
      </c>
      <c r="AB1351" s="690"/>
      <c r="AC1351" s="74"/>
      <c r="AD1351" s="126"/>
      <c r="AE1351" s="126"/>
      <c r="AF1351" s="662"/>
      <c r="AG1351" s="126"/>
      <c r="AH1351" s="498">
        <v>0</v>
      </c>
      <c r="AI1351" s="498"/>
      <c r="AJ1351" s="126"/>
      <c r="AK1351" s="650" t="e">
        <f t="shared" si="479"/>
        <v>#DIV/0!</v>
      </c>
      <c r="AL1351" s="225" t="e">
        <f>Table1[[#This Row],[WSP/Dealer]]/Table1[[#This Row],[OD Sq Inch]]</f>
        <v>#DIV/0!</v>
      </c>
      <c r="AM1351" s="84"/>
      <c r="AN1351" s="84"/>
      <c r="AO1351" s="84"/>
      <c r="AP1351" s="84"/>
      <c r="AQ1351" s="126"/>
      <c r="AR1351" s="126"/>
      <c r="AS1351" s="126"/>
      <c r="AT1351" s="74"/>
      <c r="AU1351" s="1357" t="str">
        <f t="shared" si="481"/>
        <v>-</v>
      </c>
    </row>
    <row r="1352" spans="1:47" s="46" customFormat="1" x14ac:dyDescent="0.2">
      <c r="A1352" s="86" t="s">
        <v>58</v>
      </c>
      <c r="B1352" s="1061" t="s">
        <v>450</v>
      </c>
      <c r="C1352" s="81" t="s">
        <v>3243</v>
      </c>
      <c r="D1352" s="94" t="s">
        <v>3244</v>
      </c>
      <c r="E1352" s="85" t="s">
        <v>3245</v>
      </c>
      <c r="F1352" s="85" t="s">
        <v>374</v>
      </c>
      <c r="G1352" s="86" t="s">
        <v>191</v>
      </c>
      <c r="H1352" s="86" t="s">
        <v>191</v>
      </c>
      <c r="I1352" s="86" t="s">
        <v>52</v>
      </c>
      <c r="J1352" s="86" t="s">
        <v>53</v>
      </c>
      <c r="K1352" s="86" t="s">
        <v>54</v>
      </c>
      <c r="L1352" s="86" t="s">
        <v>55</v>
      </c>
      <c r="M1352" s="87">
        <v>900</v>
      </c>
      <c r="N1352" s="639">
        <v>950</v>
      </c>
      <c r="O1352" s="101" t="s">
        <v>56</v>
      </c>
      <c r="P1352" s="273">
        <v>48</v>
      </c>
      <c r="Q1352" s="273">
        <v>60</v>
      </c>
      <c r="R1352" s="60">
        <v>48</v>
      </c>
      <c r="S1352" s="61">
        <v>60</v>
      </c>
      <c r="T1352" s="273">
        <f>Table1[[#This Row],[VO Wdth]]</f>
        <v>48</v>
      </c>
      <c r="U1352" s="273">
        <f>Table1[[#This Row],[VO Hgt]]</f>
        <v>60</v>
      </c>
      <c r="V1352" s="106">
        <f>IF(J1352="Canvas",P1352+BorderGW,P1352)</f>
        <v>56</v>
      </c>
      <c r="W1352" s="106">
        <f>IF(J1352="Canvas",Q1352+BorderGW,Q1352)</f>
        <v>68</v>
      </c>
      <c r="X1352" s="137">
        <v>69</v>
      </c>
      <c r="Y1352" s="101"/>
      <c r="Z1352" s="101"/>
      <c r="AA1352" s="649">
        <f t="shared" si="480"/>
        <v>26.444444444444443</v>
      </c>
      <c r="AB1352" s="184">
        <f>AA1352*IncaG</f>
        <v>556.39111111111106</v>
      </c>
      <c r="AC1352" s="104">
        <f t="shared" ref="AC1352:AC1360" si="482">AA1352*Canvas</f>
        <v>17.453333333333333</v>
      </c>
      <c r="AD1352" s="107">
        <f t="shared" ref="AD1352:AD1357" si="483">AA1352*IncaC</f>
        <v>44.511288888888885</v>
      </c>
      <c r="AE1352" s="104">
        <f>IF(Table1[[#This Row],[Work Center]]="SwissQ",Materials!G$37,IF(Table1[[#This Row],[Work Center]]="Inca",Materials!G$29,IF(Table1[[#This Row],[Work Center]]="Canon",Materials!G$49,Materials!G$45)))</f>
        <v>8</v>
      </c>
      <c r="AF1352" s="104">
        <f>'Cali FPS'!C$121</f>
        <v>188.18</v>
      </c>
      <c r="AG1352" s="115"/>
      <c r="AH1352" s="112">
        <f t="shared" ref="AH1352:AH1381" si="484">(M1352*0.05)</f>
        <v>45</v>
      </c>
      <c r="AI1352" s="112"/>
      <c r="AJ1352" s="104">
        <f t="shared" ref="AJ1352:AJ1374" si="485">SUM(AC1352:AH1352)</f>
        <v>303.14462222222221</v>
      </c>
      <c r="AK1352" s="62">
        <f t="shared" si="479"/>
        <v>0.66317264197530867</v>
      </c>
      <c r="AL1352" s="225">
        <f>Table1[[#This Row],[WSP/Dealer]]/Table1[[#This Row],[OD Sq Inch]]</f>
        <v>0.3125</v>
      </c>
      <c r="AM1352" s="103">
        <f>Table1[[#This Row],[OD Wdth]]*Table1[[#This Row],[OD Hgt]]</f>
        <v>2880</v>
      </c>
      <c r="AN1352" s="216">
        <f>Table1[[#This Row],[Min VO]]+Table1[[#This Row],[Max VO]]</f>
        <v>108</v>
      </c>
      <c r="AO1352" s="101"/>
      <c r="AP1352" s="101"/>
      <c r="AQ1352" s="104"/>
      <c r="AR1352" s="104"/>
      <c r="AS1352" s="104"/>
      <c r="AT1352" s="104"/>
      <c r="AU1352" s="108" t="str">
        <f t="shared" si="481"/>
        <v>-</v>
      </c>
    </row>
    <row r="1353" spans="1:47" s="46" customFormat="1" x14ac:dyDescent="0.2">
      <c r="A1353" s="60" t="s">
        <v>58</v>
      </c>
      <c r="B1353" s="1106" t="s">
        <v>305</v>
      </c>
      <c r="C1353" s="1051" t="s">
        <v>3246</v>
      </c>
      <c r="D1353" s="79"/>
      <c r="E1353" s="83" t="s">
        <v>3247</v>
      </c>
      <c r="F1353" s="83" t="s">
        <v>1197</v>
      </c>
      <c r="G1353" s="60" t="s">
        <v>3248</v>
      </c>
      <c r="H1353" s="60" t="s">
        <v>3248</v>
      </c>
      <c r="I1353" s="60" t="s">
        <v>52</v>
      </c>
      <c r="J1353" s="59" t="s">
        <v>53</v>
      </c>
      <c r="K1353" s="60" t="s">
        <v>54</v>
      </c>
      <c r="L1353" s="60" t="s">
        <v>55</v>
      </c>
      <c r="M1353" s="124">
        <v>650</v>
      </c>
      <c r="N1353" s="124"/>
      <c r="O1353" s="60" t="s">
        <v>56</v>
      </c>
      <c r="P1353" s="273">
        <v>36</v>
      </c>
      <c r="Q1353" s="273">
        <v>60</v>
      </c>
      <c r="R1353" s="60">
        <v>36</v>
      </c>
      <c r="S1353" s="273">
        <v>60</v>
      </c>
      <c r="T1353" s="273">
        <v>36</v>
      </c>
      <c r="U1353" s="273">
        <v>60</v>
      </c>
      <c r="V1353" s="47">
        <f>IF(J1353="Canvas",P1353+BorderGW,P1353)</f>
        <v>44</v>
      </c>
      <c r="W1353" s="47">
        <f>IF(J1353="Canvas",Q1353+BorderGW,Q1353)</f>
        <v>68</v>
      </c>
      <c r="X1353" s="138">
        <v>69</v>
      </c>
      <c r="Y1353" s="60">
        <v>44</v>
      </c>
      <c r="Z1353" s="60">
        <v>68</v>
      </c>
      <c r="AA1353" s="717">
        <f t="shared" si="480"/>
        <v>20.777777777777779</v>
      </c>
      <c r="AB1353" s="125">
        <f>AA1353*IncaG</f>
        <v>437.16444444444443</v>
      </c>
      <c r="AC1353" s="69">
        <f t="shared" si="482"/>
        <v>13.713333333333335</v>
      </c>
      <c r="AD1353" s="48">
        <f t="shared" si="483"/>
        <v>34.973155555555557</v>
      </c>
      <c r="AE1353" s="69">
        <f>IF(Table1[[#This Row],[Work Center]]="SwissQ",Materials!G$37,IF(Table1[[#This Row],[Work Center]]="Inca",Materials!G$29,IF(Table1[[#This Row],[Work Center]]="Canon",Materials!G$49,Materials!G$45)))</f>
        <v>8</v>
      </c>
      <c r="AF1353" s="72">
        <f>'Cali FPS'!C75</f>
        <v>116.11</v>
      </c>
      <c r="AG1353" s="83"/>
      <c r="AH1353" s="176">
        <f t="shared" si="484"/>
        <v>32.5</v>
      </c>
      <c r="AI1353" s="176"/>
      <c r="AJ1353" s="175">
        <f t="shared" si="485"/>
        <v>205.29648888888889</v>
      </c>
      <c r="AK1353" s="1201">
        <f t="shared" si="479"/>
        <v>0.68415924786324778</v>
      </c>
      <c r="AL1353" s="176">
        <f>Table1[[#This Row],[WSP/Dealer]]/Table1[[#This Row],[OD Sq Inch]]</f>
        <v>0.30092592592592593</v>
      </c>
      <c r="AM1353" s="173">
        <f>Table1[[#This Row],[OD Wdth]]*Table1[[#This Row],[OD Hgt]]</f>
        <v>2160</v>
      </c>
      <c r="AN1353" s="180">
        <f>Table1[[#This Row],[Min VO]]+Table1[[#This Row],[Max VO]]</f>
        <v>96</v>
      </c>
      <c r="AO1353" s="83"/>
      <c r="AP1353" s="83"/>
      <c r="AQ1353" s="540"/>
      <c r="AR1353" s="540"/>
      <c r="AS1353" s="540"/>
      <c r="AT1353" s="69"/>
      <c r="AU1353" s="1361" t="str">
        <f t="shared" si="481"/>
        <v>-</v>
      </c>
    </row>
    <row r="1354" spans="1:47" s="63" customFormat="1" x14ac:dyDescent="0.2">
      <c r="A1354" s="68" t="s">
        <v>58</v>
      </c>
      <c r="B1354" s="1072" t="s">
        <v>310</v>
      </c>
      <c r="C1354" s="1496" t="s">
        <v>3249</v>
      </c>
      <c r="D1354" s="94"/>
      <c r="E1354" s="84" t="s">
        <v>3247</v>
      </c>
      <c r="F1354" s="84" t="s">
        <v>1197</v>
      </c>
      <c r="G1354" s="68" t="s">
        <v>3248</v>
      </c>
      <c r="H1354" s="68" t="s">
        <v>3250</v>
      </c>
      <c r="I1354" s="68" t="s">
        <v>52</v>
      </c>
      <c r="J1354" s="140" t="s">
        <v>53</v>
      </c>
      <c r="K1354" s="68" t="s">
        <v>69</v>
      </c>
      <c r="L1354" s="68" t="s">
        <v>76</v>
      </c>
      <c r="M1354" s="93">
        <v>950</v>
      </c>
      <c r="N1354" s="93"/>
      <c r="O1354" s="68" t="s">
        <v>56</v>
      </c>
      <c r="P1354" s="623">
        <v>36</v>
      </c>
      <c r="Q1354" s="623">
        <v>60</v>
      </c>
      <c r="R1354" s="68">
        <v>36</v>
      </c>
      <c r="S1354" s="623">
        <v>60</v>
      </c>
      <c r="T1354" s="623">
        <v>37</v>
      </c>
      <c r="U1354" s="623">
        <v>61</v>
      </c>
      <c r="V1354" s="66">
        <f>IF(J1354="Canvas",P1354+BorderGW,P1354)</f>
        <v>44</v>
      </c>
      <c r="W1354" s="66">
        <f>IF(J1354="Canvas",Q1354+BorderGW,Q1354)</f>
        <v>68</v>
      </c>
      <c r="X1354" s="68">
        <v>69</v>
      </c>
      <c r="Y1354" s="68">
        <v>44</v>
      </c>
      <c r="Z1354" s="68">
        <v>68</v>
      </c>
      <c r="AA1354" s="699">
        <f t="shared" si="480"/>
        <v>20.777777777777779</v>
      </c>
      <c r="AB1354" s="297">
        <f>AA1354*IncaG</f>
        <v>437.16444444444443</v>
      </c>
      <c r="AC1354" s="74">
        <f t="shared" si="482"/>
        <v>13.713333333333335</v>
      </c>
      <c r="AD1354" s="67">
        <f t="shared" si="483"/>
        <v>34.973155555555557</v>
      </c>
      <c r="AE1354" s="74">
        <f>IF(Table1[[#This Row],[Work Center]]="SwissQ",Materials!G$37,IF(Table1[[#This Row],[Work Center]]="Inca",Materials!G$29,IF(Table1[[#This Row],[Work Center]]="Canon",Materials!G$49,Materials!G$45)))</f>
        <v>8</v>
      </c>
      <c r="AF1354" s="73">
        <f>'Cali Frames'!D372</f>
        <v>200</v>
      </c>
      <c r="AG1354" s="84"/>
      <c r="AH1354" s="74">
        <f t="shared" si="484"/>
        <v>47.5</v>
      </c>
      <c r="AI1354" s="74"/>
      <c r="AJ1354" s="74">
        <f t="shared" si="485"/>
        <v>304.1864888888889</v>
      </c>
      <c r="AK1354" s="1001">
        <f t="shared" si="479"/>
        <v>0.67980369590643275</v>
      </c>
      <c r="AL1354" s="74">
        <f>Table1[[#This Row],[WSP/Dealer]]/Table1[[#This Row],[OD Sq Inch]]</f>
        <v>0.42091271599468322</v>
      </c>
      <c r="AM1354" s="63">
        <f>Table1[[#This Row],[OD Wdth]]*Table1[[#This Row],[OD Hgt]]</f>
        <v>2257</v>
      </c>
      <c r="AN1354" s="68">
        <f>Table1[[#This Row],[Min VO]]+Table1[[#This Row],[Max VO]]</f>
        <v>96</v>
      </c>
      <c r="AO1354" s="84"/>
      <c r="AP1354" s="84"/>
      <c r="AQ1354" s="126">
        <f>(Table1[[#This Row],[Desgnr/Retail P]]*0.05)</f>
        <v>0</v>
      </c>
      <c r="AR1354" s="126" t="b">
        <f>IF(A1354="Codarus",(AP1354*0.13))</f>
        <v>0</v>
      </c>
      <c r="AS1354" s="126" t="e" cm="1">
        <f t="array" ref="AS1354">SUM(AC1354:AG1354+AQ+AR)</f>
        <v>#NAME?</v>
      </c>
      <c r="AT1354" s="74" t="e">
        <f>(AP1354-AS1354)/AP1354</f>
        <v>#NAME?</v>
      </c>
      <c r="AU1354" s="1357" t="str">
        <f t="shared" si="481"/>
        <v>-</v>
      </c>
    </row>
    <row r="1355" spans="1:47" s="63" customFormat="1" x14ac:dyDescent="0.2">
      <c r="A1355" s="68" t="s">
        <v>58</v>
      </c>
      <c r="B1355" s="1152" t="s">
        <v>310</v>
      </c>
      <c r="C1355" s="1496" t="s">
        <v>3251</v>
      </c>
      <c r="D1355" s="94"/>
      <c r="E1355" s="84" t="s">
        <v>3247</v>
      </c>
      <c r="F1355" s="84" t="s">
        <v>1197</v>
      </c>
      <c r="G1355" s="68" t="s">
        <v>3248</v>
      </c>
      <c r="H1355" s="68" t="s">
        <v>3250</v>
      </c>
      <c r="I1355" s="68" t="s">
        <v>52</v>
      </c>
      <c r="J1355" s="140" t="s">
        <v>53</v>
      </c>
      <c r="K1355" s="68" t="s">
        <v>69</v>
      </c>
      <c r="L1355" s="68" t="s">
        <v>315</v>
      </c>
      <c r="M1355" s="93">
        <v>950</v>
      </c>
      <c r="N1355" s="93"/>
      <c r="O1355" s="68" t="s">
        <v>56</v>
      </c>
      <c r="P1355" s="623">
        <v>36</v>
      </c>
      <c r="Q1355" s="623">
        <v>60</v>
      </c>
      <c r="R1355" s="68">
        <v>36</v>
      </c>
      <c r="S1355" s="623">
        <v>60</v>
      </c>
      <c r="T1355" s="623">
        <v>37</v>
      </c>
      <c r="U1355" s="623">
        <v>61</v>
      </c>
      <c r="V1355" s="66">
        <f>IF(J1355="Canvas",P1355+BorderGW,P1355)</f>
        <v>44</v>
      </c>
      <c r="W1355" s="66">
        <f>IF(J1355="Canvas",Q1355+BorderGW,Q1355)</f>
        <v>68</v>
      </c>
      <c r="X1355" s="68">
        <v>69</v>
      </c>
      <c r="Y1355" s="68">
        <v>44</v>
      </c>
      <c r="Z1355" s="68">
        <v>68</v>
      </c>
      <c r="AA1355" s="699">
        <f t="shared" si="480"/>
        <v>20.777777777777779</v>
      </c>
      <c r="AB1355" s="297">
        <f>AA1355*IncaG</f>
        <v>437.16444444444443</v>
      </c>
      <c r="AC1355" s="74">
        <f t="shared" si="482"/>
        <v>13.713333333333335</v>
      </c>
      <c r="AD1355" s="67">
        <f t="shared" si="483"/>
        <v>34.973155555555557</v>
      </c>
      <c r="AE1355" s="74">
        <f>IF(Table1[[#This Row],[Work Center]]="SwissQ",Materials!G$37,IF(Table1[[#This Row],[Work Center]]="Inca",Materials!G$29,IF(Table1[[#This Row],[Work Center]]="Canon",Materials!G$49,Materials!G$45)))</f>
        <v>8</v>
      </c>
      <c r="AF1355" s="73">
        <f>'Cali Frames'!D516</f>
        <v>250</v>
      </c>
      <c r="AG1355" s="84"/>
      <c r="AH1355" s="67">
        <f t="shared" si="484"/>
        <v>47.5</v>
      </c>
      <c r="AI1355" s="67"/>
      <c r="AJ1355" s="67">
        <f t="shared" si="485"/>
        <v>354.1864888888889</v>
      </c>
      <c r="AK1355" s="661">
        <f t="shared" si="479"/>
        <v>0.62717211695906427</v>
      </c>
      <c r="AL1355" s="74">
        <f>Table1[[#This Row],[WSP/Dealer]]/Table1[[#This Row],[OD Sq Inch]]</f>
        <v>0.42091271599468322</v>
      </c>
      <c r="AM1355" s="63">
        <f>Table1[[#This Row],[OD Wdth]]*Table1[[#This Row],[OD Hgt]]</f>
        <v>2257</v>
      </c>
      <c r="AN1355" s="68">
        <f>Table1[[#This Row],[Min VO]]+Table1[[#This Row],[Max VO]]</f>
        <v>96</v>
      </c>
      <c r="AO1355" s="84"/>
      <c r="AP1355" s="84"/>
      <c r="AQ1355" s="126">
        <f>(Table1[[#This Row],[Desgnr/Retail P]]*0.05)</f>
        <v>0</v>
      </c>
      <c r="AR1355" s="126" t="b">
        <f>IF(A1355="Codarus",(AP1355*0.13))</f>
        <v>0</v>
      </c>
      <c r="AS1355" s="126" t="e" cm="1">
        <f t="array" ref="AS1355">SUM(AC1355:AG1355+AQ+AR)</f>
        <v>#NAME?</v>
      </c>
      <c r="AT1355" s="74" t="e">
        <f>(AP1355-AS1355)/AP1355</f>
        <v>#NAME?</v>
      </c>
      <c r="AU1355" s="1357" t="str">
        <f t="shared" si="481"/>
        <v>-</v>
      </c>
    </row>
    <row r="1356" spans="1:47" s="46" customFormat="1" hidden="1" x14ac:dyDescent="0.2">
      <c r="A1356" s="101"/>
      <c r="B1356" s="279"/>
      <c r="C1356" s="183" t="s">
        <v>3252</v>
      </c>
      <c r="D1356" s="94"/>
      <c r="E1356" s="115" t="s">
        <v>3253</v>
      </c>
      <c r="F1356" s="115" t="s">
        <v>737</v>
      </c>
      <c r="G1356" s="101" t="s">
        <v>3254</v>
      </c>
      <c r="H1356" s="101"/>
      <c r="I1356" s="60" t="s">
        <v>52</v>
      </c>
      <c r="J1356" s="59" t="s">
        <v>53</v>
      </c>
      <c r="K1356" s="60" t="s">
        <v>54</v>
      </c>
      <c r="L1356" s="101" t="s">
        <v>55</v>
      </c>
      <c r="M1356" s="299">
        <v>650</v>
      </c>
      <c r="N1356" s="71"/>
      <c r="O1356" s="101" t="s">
        <v>56</v>
      </c>
      <c r="P1356" s="60">
        <v>55</v>
      </c>
      <c r="Q1356" s="60">
        <v>71</v>
      </c>
      <c r="R1356" s="60">
        <v>55</v>
      </c>
      <c r="S1356" s="60">
        <v>71</v>
      </c>
      <c r="T1356" s="60">
        <v>55</v>
      </c>
      <c r="U1356" s="60">
        <v>71</v>
      </c>
      <c r="V1356" s="149">
        <f>IF(J1356="Canvas",P1356+Border,P1356)</f>
        <v>63</v>
      </c>
      <c r="W1356" s="149">
        <f>IF(J1356="Canvas",Q1356+Border,Q1356)</f>
        <v>79</v>
      </c>
      <c r="X1356" s="137">
        <v>82</v>
      </c>
      <c r="Y1356" s="101">
        <v>63</v>
      </c>
      <c r="Z1356" s="101">
        <v>79</v>
      </c>
      <c r="AA1356" s="649">
        <f t="shared" si="480"/>
        <v>34.5625</v>
      </c>
      <c r="AB1356" s="184">
        <f>AA1356*IncaG</f>
        <v>727.19499999999994</v>
      </c>
      <c r="AC1356" s="104">
        <f t="shared" si="482"/>
        <v>22.811250000000001</v>
      </c>
      <c r="AD1356" s="107">
        <f t="shared" si="483"/>
        <v>58.175600000000003</v>
      </c>
      <c r="AE1356" s="104">
        <f>IF(Table1[[#This Row],[Work Center]]="SwissQ",Materials!G$37,IF(Table1[[#This Row],[Work Center]]="Inca",Materials!G$29,IF(Table1[[#This Row],[Work Center]]="Canon",Materials!G$49,Materials!G$45)))</f>
        <v>8</v>
      </c>
      <c r="AF1356" s="102">
        <f>'Cali FPS'!H146</f>
        <v>198.64999999999998</v>
      </c>
      <c r="AG1356" s="121"/>
      <c r="AH1356" s="498">
        <f t="shared" si="484"/>
        <v>32.5</v>
      </c>
      <c r="AI1356" s="498"/>
      <c r="AJ1356" s="104">
        <f t="shared" si="485"/>
        <v>320.13684999999998</v>
      </c>
      <c r="AK1356" s="650">
        <f t="shared" si="479"/>
        <v>0.50748176923076926</v>
      </c>
      <c r="AL1356" s="225" t="e">
        <f>Table1[[#This Row],[WSP/Dealer]]/Table1[[#This Row],[OD Sq Inch]]</f>
        <v>#DIV/0!</v>
      </c>
      <c r="AM1356" s="113"/>
      <c r="AN1356" s="216">
        <f>Table1[[#This Row],[Min VO]]+Table1[[#This Row],[Max VO]]</f>
        <v>126</v>
      </c>
      <c r="AO1356" s="115"/>
      <c r="AP1356" s="115"/>
      <c r="AQ1356" s="121"/>
      <c r="AR1356" s="121"/>
      <c r="AS1356" s="121"/>
      <c r="AT1356" s="104"/>
      <c r="AU1356" s="1359" t="str">
        <f t="shared" si="481"/>
        <v>-</v>
      </c>
    </row>
    <row r="1357" spans="1:47" s="63" customFormat="1" hidden="1" x14ac:dyDescent="0.2">
      <c r="A1357" s="101"/>
      <c r="B1357" s="1061"/>
      <c r="C1357" s="183" t="s">
        <v>3255</v>
      </c>
      <c r="D1357" s="94"/>
      <c r="E1357" s="115" t="s">
        <v>3253</v>
      </c>
      <c r="F1357" s="115" t="s">
        <v>737</v>
      </c>
      <c r="G1357" s="101" t="s">
        <v>3254</v>
      </c>
      <c r="H1357" s="101"/>
      <c r="I1357" s="60" t="s">
        <v>52</v>
      </c>
      <c r="J1357" s="59" t="s">
        <v>53</v>
      </c>
      <c r="K1357" s="60" t="s">
        <v>54</v>
      </c>
      <c r="L1357" s="101" t="s">
        <v>55</v>
      </c>
      <c r="M1357" s="299">
        <v>650</v>
      </c>
      <c r="N1357" s="71"/>
      <c r="O1357" s="101" t="s">
        <v>56</v>
      </c>
      <c r="P1357" s="60">
        <v>55</v>
      </c>
      <c r="Q1357" s="60">
        <v>71</v>
      </c>
      <c r="R1357" s="60">
        <v>55</v>
      </c>
      <c r="S1357" s="60">
        <v>71</v>
      </c>
      <c r="T1357" s="60">
        <v>55</v>
      </c>
      <c r="U1357" s="60">
        <v>71</v>
      </c>
      <c r="V1357" s="149">
        <f>IF(J1357="Canvas",P1357+Border,P1357)</f>
        <v>63</v>
      </c>
      <c r="W1357" s="149">
        <f>IF(J1357="Canvas",Q1357+Border,Q1357)</f>
        <v>79</v>
      </c>
      <c r="X1357" s="137">
        <v>82</v>
      </c>
      <c r="Y1357" s="101">
        <v>63</v>
      </c>
      <c r="Z1357" s="101">
        <v>79</v>
      </c>
      <c r="AA1357" s="649">
        <f t="shared" si="480"/>
        <v>34.5625</v>
      </c>
      <c r="AB1357" s="125">
        <f>AA1357*Swiss1</f>
        <v>978.11874999999998</v>
      </c>
      <c r="AC1357" s="104">
        <f t="shared" si="482"/>
        <v>22.811250000000001</v>
      </c>
      <c r="AD1357" s="107">
        <f t="shared" si="483"/>
        <v>58.175600000000003</v>
      </c>
      <c r="AE1357" s="104">
        <f>IF(Table1[[#This Row],[Work Center]]="SwissQ",Materials!G$37,IF(Table1[[#This Row],[Work Center]]="Inca",Materials!G$29,IF(Table1[[#This Row],[Work Center]]="Canon",Materials!G$49,Materials!G$45)))</f>
        <v>8</v>
      </c>
      <c r="AF1357" s="102">
        <f>'Cali FPS'!H146</f>
        <v>198.64999999999998</v>
      </c>
      <c r="AG1357" s="121"/>
      <c r="AH1357" s="498">
        <f t="shared" si="484"/>
        <v>32.5</v>
      </c>
      <c r="AI1357" s="498"/>
      <c r="AJ1357" s="104">
        <f t="shared" si="485"/>
        <v>320.13684999999998</v>
      </c>
      <c r="AK1357" s="650">
        <f t="shared" si="479"/>
        <v>0.50748176923076926</v>
      </c>
      <c r="AL1357" s="225" t="e">
        <f>Table1[[#This Row],[WSP/Dealer]]/Table1[[#This Row],[OD Sq Inch]]</f>
        <v>#DIV/0!</v>
      </c>
      <c r="AM1357" s="113"/>
      <c r="AN1357" s="216">
        <f>Table1[[#This Row],[Min VO]]+Table1[[#This Row],[Max VO]]</f>
        <v>126</v>
      </c>
      <c r="AO1357" s="115"/>
      <c r="AP1357" s="115"/>
      <c r="AQ1357" s="121"/>
      <c r="AR1357" s="121"/>
      <c r="AS1357" s="121"/>
      <c r="AT1357" s="104"/>
      <c r="AU1357" s="1359" t="str">
        <f t="shared" si="481"/>
        <v>-</v>
      </c>
    </row>
    <row r="1358" spans="1:47" s="103" customFormat="1" hidden="1" x14ac:dyDescent="0.2">
      <c r="A1358" s="68" t="s">
        <v>187</v>
      </c>
      <c r="B1358" s="1061" t="s">
        <v>261</v>
      </c>
      <c r="C1358" s="1679" t="s">
        <v>3256</v>
      </c>
      <c r="D1358" s="94"/>
      <c r="E1358" s="436" t="s">
        <v>3257</v>
      </c>
      <c r="F1358" s="84" t="s">
        <v>737</v>
      </c>
      <c r="G1358" s="258" t="s">
        <v>191</v>
      </c>
      <c r="H1358" s="258" t="s">
        <v>193</v>
      </c>
      <c r="I1358" s="274" t="s">
        <v>108</v>
      </c>
      <c r="J1358" s="140" t="s">
        <v>53</v>
      </c>
      <c r="K1358" s="258" t="s">
        <v>1410</v>
      </c>
      <c r="L1358" s="68" t="s">
        <v>70</v>
      </c>
      <c r="M1358" s="453">
        <v>2950</v>
      </c>
      <c r="N1358" s="71"/>
      <c r="O1358" s="68" t="s">
        <v>109</v>
      </c>
      <c r="P1358" s="68">
        <v>48</v>
      </c>
      <c r="Q1358" s="68">
        <v>60</v>
      </c>
      <c r="R1358" s="68">
        <v>48</v>
      </c>
      <c r="S1358" s="68">
        <v>60</v>
      </c>
      <c r="T1358" s="68">
        <v>48</v>
      </c>
      <c r="U1358" s="68">
        <v>60</v>
      </c>
      <c r="V1358" s="66">
        <f>IF(J1358="Canvas",P1358+BorderGW,P1358)</f>
        <v>56</v>
      </c>
      <c r="W1358" s="66">
        <f>IF(J1358="Canvas",Q1358+BorderGW,Q1358)</f>
        <v>68</v>
      </c>
      <c r="X1358" s="189">
        <v>60</v>
      </c>
      <c r="Y1358" s="68"/>
      <c r="Z1358" s="68"/>
      <c r="AA1358" s="699">
        <f t="shared" si="480"/>
        <v>26.444444444444443</v>
      </c>
      <c r="AB1358" s="341">
        <f>AA1358*EPSONC</f>
        <v>5.8177777777777777</v>
      </c>
      <c r="AC1358" s="74">
        <f t="shared" si="482"/>
        <v>17.453333333333333</v>
      </c>
      <c r="AD1358" s="67">
        <f>AA1358*EPSONC</f>
        <v>5.8177777777777777</v>
      </c>
      <c r="AE1358" s="74">
        <f>IF(Table1[[#This Row],[Work Center]]="SwissQ",Materials!G$37,IF(Table1[[#This Row],[Work Center]]="Inca",Materials!G$29,IF(Table1[[#This Row],[Work Center]]="Canon",Materials!G$49,Materials!G$45)))</f>
        <v>5</v>
      </c>
      <c r="AF1358" s="73">
        <f>'Cali Frames'!D335</f>
        <v>258.27999999999997</v>
      </c>
      <c r="AG1358" s="126"/>
      <c r="AH1358" s="498">
        <f t="shared" si="484"/>
        <v>147.5</v>
      </c>
      <c r="AI1358" s="498"/>
      <c r="AJ1358" s="278">
        <f t="shared" si="485"/>
        <v>434.05111111111108</v>
      </c>
      <c r="AK1358" s="650">
        <f t="shared" si="479"/>
        <v>0.85286403013182677</v>
      </c>
      <c r="AL1358" s="225">
        <f>Table1[[#This Row],[WSP/Dealer]]/Table1[[#This Row],[OD Sq Inch]]</f>
        <v>1.0243055555555556</v>
      </c>
      <c r="AM1358" s="170">
        <f>Table1[[#This Row],[OD Wdth]]*Table1[[#This Row],[OD Hgt]]</f>
        <v>2880</v>
      </c>
      <c r="AN1358" s="84"/>
      <c r="AO1358" s="84"/>
      <c r="AP1358" s="84"/>
      <c r="AQ1358" s="126"/>
      <c r="AR1358" s="126"/>
      <c r="AS1358" s="126"/>
      <c r="AT1358" s="74"/>
      <c r="AU1358" s="1357" t="str">
        <f t="shared" si="481"/>
        <v>-</v>
      </c>
    </row>
    <row r="1359" spans="1:47" s="103" customFormat="1" hidden="1" x14ac:dyDescent="0.2">
      <c r="A1359" s="1718" t="s">
        <v>187</v>
      </c>
      <c r="B1359" s="279" t="s">
        <v>261</v>
      </c>
      <c r="C1359" s="1725" t="s">
        <v>3258</v>
      </c>
      <c r="D1359" s="94"/>
      <c r="E1359" s="430" t="s">
        <v>3257</v>
      </c>
      <c r="F1359" s="450" t="s">
        <v>737</v>
      </c>
      <c r="G1359" s="431" t="s">
        <v>191</v>
      </c>
      <c r="H1359" s="431" t="s">
        <v>191</v>
      </c>
      <c r="I1359" s="447" t="s">
        <v>108</v>
      </c>
      <c r="J1359" s="451" t="s">
        <v>53</v>
      </c>
      <c r="K1359" s="431" t="s">
        <v>281</v>
      </c>
      <c r="L1359" s="421" t="s">
        <v>55</v>
      </c>
      <c r="M1359" s="442">
        <v>2550</v>
      </c>
      <c r="N1359" s="71"/>
      <c r="O1359" s="68" t="s">
        <v>109</v>
      </c>
      <c r="P1359" s="68">
        <v>48</v>
      </c>
      <c r="Q1359" s="68">
        <v>60</v>
      </c>
      <c r="R1359" s="68">
        <v>48</v>
      </c>
      <c r="S1359" s="68">
        <v>60</v>
      </c>
      <c r="T1359" s="68">
        <v>48</v>
      </c>
      <c r="U1359" s="68">
        <v>60</v>
      </c>
      <c r="V1359" s="66">
        <f>IF(J1359="Canvas",P1359+BorderGW,P1359)</f>
        <v>56</v>
      </c>
      <c r="W1359" s="66">
        <f>IF(J1359="Canvas",Q1359+BorderGW,Q1359)</f>
        <v>68</v>
      </c>
      <c r="X1359" s="189">
        <v>60</v>
      </c>
      <c r="Y1359" s="68"/>
      <c r="Z1359" s="68"/>
      <c r="AA1359" s="699">
        <f t="shared" si="480"/>
        <v>26.444444444444443</v>
      </c>
      <c r="AB1359" s="341">
        <f>AA1359*EPSONC</f>
        <v>5.8177777777777777</v>
      </c>
      <c r="AC1359" s="74">
        <f t="shared" si="482"/>
        <v>17.453333333333333</v>
      </c>
      <c r="AD1359" s="67">
        <f>AA1359*EPSONC</f>
        <v>5.8177777777777777</v>
      </c>
      <c r="AE1359" s="74">
        <f>IF(Table1[[#This Row],[Work Center]]="SwissQ",Materials!G$37,IF(Table1[[#This Row],[Work Center]]="Inca",Materials!G$29,IF(Table1[[#This Row],[Work Center]]="Canon",Materials!G$49,Materials!G$45)))</f>
        <v>5</v>
      </c>
      <c r="AF1359" s="73">
        <f>'Cali FPS'!C121</f>
        <v>188.18</v>
      </c>
      <c r="AG1359" s="126"/>
      <c r="AH1359" s="112">
        <f t="shared" si="484"/>
        <v>127.5</v>
      </c>
      <c r="AI1359" s="112"/>
      <c r="AJ1359" s="278">
        <f t="shared" si="485"/>
        <v>343.95111111111112</v>
      </c>
      <c r="AK1359" s="62">
        <f t="shared" si="479"/>
        <v>0.86511721132897612</v>
      </c>
      <c r="AL1359" s="225">
        <f>Table1[[#This Row],[WSP/Dealer]]/Table1[[#This Row],[OD Sq Inch]]</f>
        <v>0.88541666666666663</v>
      </c>
      <c r="AM1359" s="170">
        <f>Table1[[#This Row],[OD Wdth]]*Table1[[#This Row],[OD Hgt]]</f>
        <v>2880</v>
      </c>
      <c r="AN1359" s="84"/>
      <c r="AO1359" s="84"/>
      <c r="AP1359" s="84"/>
      <c r="AQ1359" s="126"/>
      <c r="AR1359" s="126"/>
      <c r="AS1359" s="126"/>
      <c r="AT1359" s="74"/>
      <c r="AU1359" s="1357" t="str">
        <f t="shared" si="481"/>
        <v>-</v>
      </c>
    </row>
    <row r="1360" spans="1:47" s="63" customFormat="1" hidden="1" x14ac:dyDescent="0.2">
      <c r="A1360" s="68" t="s">
        <v>187</v>
      </c>
      <c r="B1360" s="1061" t="s">
        <v>261</v>
      </c>
      <c r="C1360" s="1679" t="s">
        <v>3259</v>
      </c>
      <c r="D1360" s="94"/>
      <c r="E1360" s="1679" t="s">
        <v>3257</v>
      </c>
      <c r="F1360" s="84" t="s">
        <v>737</v>
      </c>
      <c r="G1360" s="258" t="s">
        <v>191</v>
      </c>
      <c r="H1360" s="258" t="s">
        <v>193</v>
      </c>
      <c r="I1360" s="274" t="s">
        <v>108</v>
      </c>
      <c r="J1360" s="140" t="s">
        <v>53</v>
      </c>
      <c r="K1360" s="258" t="s">
        <v>1412</v>
      </c>
      <c r="L1360" s="68" t="s">
        <v>73</v>
      </c>
      <c r="M1360" s="453">
        <v>2950</v>
      </c>
      <c r="N1360" s="71"/>
      <c r="O1360" s="68" t="s">
        <v>109</v>
      </c>
      <c r="P1360" s="68">
        <v>48</v>
      </c>
      <c r="Q1360" s="68">
        <v>60</v>
      </c>
      <c r="R1360" s="68">
        <v>48</v>
      </c>
      <c r="S1360" s="68">
        <v>60</v>
      </c>
      <c r="T1360" s="68">
        <v>48</v>
      </c>
      <c r="U1360" s="68">
        <v>60</v>
      </c>
      <c r="V1360" s="66">
        <f>IF(J1360="Canvas",P1360+BorderGW,P1360)</f>
        <v>56</v>
      </c>
      <c r="W1360" s="66">
        <f>IF(J1360="Canvas",Q1360+BorderGW,Q1360)</f>
        <v>68</v>
      </c>
      <c r="X1360" s="189">
        <v>60</v>
      </c>
      <c r="Y1360" s="68"/>
      <c r="Z1360" s="68"/>
      <c r="AA1360" s="699">
        <f t="shared" si="480"/>
        <v>26.444444444444443</v>
      </c>
      <c r="AB1360" s="341">
        <f>AA1360*EPSONC</f>
        <v>5.8177777777777777</v>
      </c>
      <c r="AC1360" s="67">
        <f t="shared" si="482"/>
        <v>17.453333333333333</v>
      </c>
      <c r="AD1360" s="67">
        <f>AA1360*EPSONC</f>
        <v>5.8177777777777777</v>
      </c>
      <c r="AE1360" s="74">
        <f>IF(Table1[[#This Row],[Work Center]]="SwissQ",Materials!G$37,IF(Table1[[#This Row],[Work Center]]="Inca",Materials!G$29,IF(Table1[[#This Row],[Work Center]]="Canon",Materials!G$49,Materials!G$45)))</f>
        <v>5</v>
      </c>
      <c r="AF1360" s="73">
        <f>'Cali Frames'!D470</f>
        <v>263.70999999999998</v>
      </c>
      <c r="AG1360" s="126"/>
      <c r="AH1360" s="112">
        <f t="shared" si="484"/>
        <v>147.5</v>
      </c>
      <c r="AI1360" s="112"/>
      <c r="AJ1360" s="263">
        <f t="shared" si="485"/>
        <v>439.48111111111109</v>
      </c>
      <c r="AK1360" s="62">
        <f t="shared" si="479"/>
        <v>0.851023352165725</v>
      </c>
      <c r="AL1360" s="225">
        <f>Table1[[#This Row],[WSP/Dealer]]/Table1[[#This Row],[OD Sq Inch]]</f>
        <v>1.0243055555555556</v>
      </c>
      <c r="AM1360" s="170">
        <f>Table1[[#This Row],[OD Wdth]]*Table1[[#This Row],[OD Hgt]]</f>
        <v>2880</v>
      </c>
      <c r="AN1360" s="84"/>
      <c r="AO1360" s="84"/>
      <c r="AP1360" s="84"/>
      <c r="AQ1360" s="126"/>
      <c r="AR1360" s="126"/>
      <c r="AS1360" s="126"/>
      <c r="AT1360" s="74"/>
      <c r="AU1360" s="1357" t="str">
        <f t="shared" si="481"/>
        <v>-</v>
      </c>
    </row>
    <row r="1361" spans="1:47" s="63" customFormat="1" hidden="1" x14ac:dyDescent="0.2">
      <c r="A1361" s="373" t="s">
        <v>187</v>
      </c>
      <c r="B1361" s="1061" t="s">
        <v>261</v>
      </c>
      <c r="C1361" s="1679" t="s">
        <v>3260</v>
      </c>
      <c r="D1361" s="94"/>
      <c r="E1361" s="1679" t="s">
        <v>3261</v>
      </c>
      <c r="F1361" s="84" t="s">
        <v>737</v>
      </c>
      <c r="G1361" s="258" t="s">
        <v>191</v>
      </c>
      <c r="H1361" s="258" t="s">
        <v>191</v>
      </c>
      <c r="I1361" s="274" t="s">
        <v>108</v>
      </c>
      <c r="J1361" s="68" t="s">
        <v>197</v>
      </c>
      <c r="K1361" s="274" t="s">
        <v>198</v>
      </c>
      <c r="L1361" s="274" t="s">
        <v>199</v>
      </c>
      <c r="M1361" s="696">
        <v>120</v>
      </c>
      <c r="N1361" s="71"/>
      <c r="O1361" s="68" t="s">
        <v>109</v>
      </c>
      <c r="P1361" s="68">
        <v>48</v>
      </c>
      <c r="Q1361" s="68">
        <v>60</v>
      </c>
      <c r="R1361" s="68">
        <v>48</v>
      </c>
      <c r="S1361" s="68">
        <v>60</v>
      </c>
      <c r="T1361" s="68">
        <v>48</v>
      </c>
      <c r="U1361" s="68">
        <v>60</v>
      </c>
      <c r="V1361" s="277">
        <f>Table1[[#This Row],[VO Wdth]]+Materials!$C$7</f>
        <v>50</v>
      </c>
      <c r="W1361" s="277">
        <f>Table1[[#This Row],[VO Hgt]]+Materials!$C$7</f>
        <v>62</v>
      </c>
      <c r="X1361" s="343" t="s">
        <v>197</v>
      </c>
      <c r="Y1361" s="68"/>
      <c r="Z1361" s="68"/>
      <c r="AA1361" s="699">
        <f t="shared" si="480"/>
        <v>21.527777777777779</v>
      </c>
      <c r="AB1361" s="783">
        <v>12</v>
      </c>
      <c r="AC1361" s="74">
        <f>Table1[[#This Row],[Substrate SF]]*POster</f>
        <v>16.016666666666666</v>
      </c>
      <c r="AD1361" s="208">
        <f>Table1[[#This Row],[Ink g/mL]]*EPSONC</f>
        <v>2.64</v>
      </c>
      <c r="AE136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361" s="73">
        <v>0</v>
      </c>
      <c r="AG1361" s="126">
        <f>Materials!D$76</f>
        <v>10.82</v>
      </c>
      <c r="AH1361" s="112">
        <f t="shared" si="484"/>
        <v>6</v>
      </c>
      <c r="AI1361" s="112"/>
      <c r="AJ1361" s="278">
        <f t="shared" si="485"/>
        <v>45.476666666666667</v>
      </c>
      <c r="AK1361" s="62">
        <f t="shared" si="479"/>
        <v>0.62102777777777785</v>
      </c>
      <c r="AL1361" s="225">
        <f>Table1[[#This Row],[WSP/Dealer]]/Table1[[#This Row],[OD Sq Inch]]</f>
        <v>4.1666666666666664E-2</v>
      </c>
      <c r="AM1361" s="170">
        <f>Table1[[#This Row],[OD Wdth]]*Table1[[#This Row],[OD Hgt]]</f>
        <v>2880</v>
      </c>
      <c r="AN1361" s="84"/>
      <c r="AO1361" s="84"/>
      <c r="AP1361" s="84"/>
      <c r="AQ1361" s="126"/>
      <c r="AR1361" s="126"/>
      <c r="AS1361" s="126"/>
      <c r="AT1361" s="74"/>
      <c r="AU1361" s="1357" t="str">
        <f t="shared" si="481"/>
        <v>-</v>
      </c>
    </row>
    <row r="1362" spans="1:47" s="63" customFormat="1" hidden="1" x14ac:dyDescent="0.2">
      <c r="A1362" s="470" t="s">
        <v>318</v>
      </c>
      <c r="B1362" s="1061" t="s">
        <v>96</v>
      </c>
      <c r="C1362" s="1335" t="s">
        <v>3262</v>
      </c>
      <c r="D1362" s="94">
        <v>199551</v>
      </c>
      <c r="E1362" s="492" t="s">
        <v>3263</v>
      </c>
      <c r="F1362" s="492" t="s">
        <v>50</v>
      </c>
      <c r="G1362" s="60" t="s">
        <v>51</v>
      </c>
      <c r="H1362" s="60" t="s">
        <v>51</v>
      </c>
      <c r="I1362" s="60" t="s">
        <v>52</v>
      </c>
      <c r="J1362" s="59" t="s">
        <v>53</v>
      </c>
      <c r="K1362" s="60" t="s">
        <v>54</v>
      </c>
      <c r="L1362" s="60" t="s">
        <v>55</v>
      </c>
      <c r="M1362" s="544">
        <v>350</v>
      </c>
      <c r="N1362" s="786">
        <v>875</v>
      </c>
      <c r="O1362" s="60" t="s">
        <v>56</v>
      </c>
      <c r="P1362" s="60">
        <v>30</v>
      </c>
      <c r="Q1362" s="60">
        <v>40</v>
      </c>
      <c r="R1362" s="60">
        <v>30</v>
      </c>
      <c r="S1362" s="60">
        <v>40</v>
      </c>
      <c r="T1362" s="273">
        <v>30</v>
      </c>
      <c r="U1362" s="273">
        <v>40</v>
      </c>
      <c r="V1362" s="947">
        <f>IF(J1362="Canvas",P1362+Border,P1362)</f>
        <v>38</v>
      </c>
      <c r="W1362" s="947">
        <f>IF(J1362="Canvas",Q1362+Border,Q1362)</f>
        <v>48</v>
      </c>
      <c r="X1362" s="138">
        <v>40</v>
      </c>
      <c r="Y1362" s="60">
        <v>30</v>
      </c>
      <c r="Z1362" s="60">
        <v>40</v>
      </c>
      <c r="AA1362" s="678">
        <f t="shared" si="480"/>
        <v>12.666666666666666</v>
      </c>
      <c r="AB1362" s="125">
        <f>AA1362*IncaG</f>
        <v>266.50666666666666</v>
      </c>
      <c r="AC1362" s="69">
        <f>AA1362*Canvas</f>
        <v>8.36</v>
      </c>
      <c r="AD1362" s="175">
        <f>Table1[[#This Row],[Substrate SF]]*IncaC</f>
        <v>21.320533333333334</v>
      </c>
      <c r="AE1362" s="69">
        <f>IF(Table1[[#This Row],[Work Center]]="SwissQ",Materials!G$37,IF(Table1[[#This Row],[Work Center]]="Inca",Materials!G$29,IF(Table1[[#This Row],[Work Center]]="Canon",Materials!G$49,Materials!G$45)))</f>
        <v>8</v>
      </c>
      <c r="AF1362" s="176">
        <f>'Cali FPS'!C48</f>
        <v>76.3</v>
      </c>
      <c r="AG1362" s="83"/>
      <c r="AH1362" s="498">
        <f t="shared" si="484"/>
        <v>17.5</v>
      </c>
      <c r="AI1362" s="498"/>
      <c r="AJ1362" s="176">
        <f t="shared" si="485"/>
        <v>131.48053333333331</v>
      </c>
      <c r="AK1362" s="650">
        <f t="shared" si="479"/>
        <v>0.62434133333333341</v>
      </c>
      <c r="AL1362" s="225">
        <f>Table1[[#This Row],[WSP/Dealer]]/Table1[[#This Row],[OD Sq Inch]]</f>
        <v>0.29166666666666669</v>
      </c>
      <c r="AM1362" s="180">
        <f>Table1[[#This Row],[OD Wdth]]*Table1[[#This Row],[OD Hgt]]</f>
        <v>1200</v>
      </c>
      <c r="AN1362" s="180" t="str">
        <f>Table1[[#This Row],[Color]]</f>
        <v>GW</v>
      </c>
      <c r="AO1362" s="83" t="str">
        <f>Table1[[#This Row],[Print Type]]</f>
        <v>Synograph</v>
      </c>
      <c r="AP1362" s="540"/>
      <c r="AQ1362" s="540"/>
      <c r="AR1362" s="540"/>
      <c r="AS1362" s="540"/>
      <c r="AT1362" s="69"/>
      <c r="AU1362" s="1361" t="str">
        <f t="shared" si="481"/>
        <v>-</v>
      </c>
    </row>
    <row r="1363" spans="1:47" s="170" customFormat="1" x14ac:dyDescent="0.2">
      <c r="A1363" s="86" t="s">
        <v>58</v>
      </c>
      <c r="B1363" s="1061" t="s">
        <v>740</v>
      </c>
      <c r="C1363" s="122" t="s">
        <v>3264</v>
      </c>
      <c r="D1363" s="94"/>
      <c r="E1363" s="90" t="s">
        <v>3265</v>
      </c>
      <c r="F1363" s="90" t="s">
        <v>737</v>
      </c>
      <c r="G1363" s="86" t="s">
        <v>3266</v>
      </c>
      <c r="H1363" s="86" t="s">
        <v>948</v>
      </c>
      <c r="I1363" s="86" t="s">
        <v>52</v>
      </c>
      <c r="J1363" s="86" t="s">
        <v>53</v>
      </c>
      <c r="K1363" s="86" t="s">
        <v>69</v>
      </c>
      <c r="L1363" s="86" t="s">
        <v>70</v>
      </c>
      <c r="M1363" s="454">
        <v>1250</v>
      </c>
      <c r="N1363" s="639">
        <v>1200</v>
      </c>
      <c r="O1363" s="101" t="s">
        <v>56</v>
      </c>
      <c r="P1363" s="101">
        <v>47</v>
      </c>
      <c r="Q1363" s="101">
        <v>63</v>
      </c>
      <c r="R1363" s="101">
        <v>47</v>
      </c>
      <c r="S1363" s="697">
        <v>63</v>
      </c>
      <c r="T1363" s="116">
        <v>47</v>
      </c>
      <c r="U1363" s="116">
        <v>63</v>
      </c>
      <c r="V1363" s="106">
        <f>IF(J1363="Canvas",P1363+BorderGW,P1363)</f>
        <v>55</v>
      </c>
      <c r="W1363" s="106">
        <f>IF(J1363="Canvas",Q1363+BorderGW,Q1363)</f>
        <v>71</v>
      </c>
      <c r="X1363" s="137">
        <v>59</v>
      </c>
      <c r="Y1363" s="101"/>
      <c r="Z1363" s="101"/>
      <c r="AA1363" s="649">
        <f t="shared" si="480"/>
        <v>27.118055555555557</v>
      </c>
      <c r="AB1363" s="184">
        <f>AA1363*IncaG</f>
        <v>570.56388888888887</v>
      </c>
      <c r="AC1363" s="104">
        <f>AA1363*Canvas</f>
        <v>17.897916666666667</v>
      </c>
      <c r="AD1363" s="107">
        <f>Table1[[#This Row],[Substrate SF]]*IncaC</f>
        <v>45.645111111111113</v>
      </c>
      <c r="AE1363" s="104">
        <f>IF(Table1[[#This Row],[Work Center]]="SwissQ",Materials!G$37,IF(Table1[[#This Row],[Work Center]]="Inca",Materials!G$29,IF(Table1[[#This Row],[Work Center]]="Canon",Materials!G$49,Materials!G$45)))</f>
        <v>8</v>
      </c>
      <c r="AF1363" s="104">
        <f>'Cali Frames'!D$328</f>
        <v>241.41249999999999</v>
      </c>
      <c r="AG1363" s="115"/>
      <c r="AH1363" s="498">
        <f t="shared" si="484"/>
        <v>62.5</v>
      </c>
      <c r="AI1363" s="498"/>
      <c r="AJ1363" s="104">
        <f t="shared" si="485"/>
        <v>375.45552777777777</v>
      </c>
      <c r="AK1363" s="650">
        <f t="shared" si="479"/>
        <v>0.69963557777777774</v>
      </c>
      <c r="AL1363" s="225">
        <f>Table1[[#This Row],[WSP/Dealer]]/Table1[[#This Row],[OD Sq Inch]]</f>
        <v>0.4221546774738264</v>
      </c>
      <c r="AM1363" s="103">
        <f>Table1[[#This Row],[OD Wdth]]*Table1[[#This Row],[OD Hgt]]</f>
        <v>2961</v>
      </c>
      <c r="AN1363" s="216">
        <f>Table1[[#This Row],[Min VO]]+Table1[[#This Row],[Max VO]]</f>
        <v>110</v>
      </c>
      <c r="AO1363" s="101"/>
      <c r="AP1363" s="101"/>
      <c r="AQ1363" s="104"/>
      <c r="AR1363" s="104"/>
      <c r="AS1363" s="104"/>
      <c r="AT1363" s="104"/>
      <c r="AU1363" s="830" t="str">
        <f t="shared" si="481"/>
        <v>-</v>
      </c>
    </row>
    <row r="1364" spans="1:47" s="170" customFormat="1" hidden="1" x14ac:dyDescent="0.2">
      <c r="A1364" s="374" t="s">
        <v>187</v>
      </c>
      <c r="B1364" s="1061" t="s">
        <v>261</v>
      </c>
      <c r="C1364" s="1725" t="s">
        <v>3267</v>
      </c>
      <c r="D1364" s="94"/>
      <c r="E1364" s="1725" t="s">
        <v>3268</v>
      </c>
      <c r="F1364" s="1752" t="s">
        <v>737</v>
      </c>
      <c r="G1364" s="452" t="s">
        <v>191</v>
      </c>
      <c r="H1364" s="452" t="s">
        <v>193</v>
      </c>
      <c r="I1364" s="447" t="s">
        <v>108</v>
      </c>
      <c r="J1364" s="451" t="s">
        <v>53</v>
      </c>
      <c r="K1364" s="452" t="s">
        <v>1410</v>
      </c>
      <c r="L1364" s="421" t="s">
        <v>70</v>
      </c>
      <c r="M1364" s="442">
        <v>2950</v>
      </c>
      <c r="N1364" s="71"/>
      <c r="O1364" s="68" t="s">
        <v>109</v>
      </c>
      <c r="P1364" s="274">
        <v>48</v>
      </c>
      <c r="Q1364" s="274">
        <v>60</v>
      </c>
      <c r="R1364" s="274">
        <v>48</v>
      </c>
      <c r="S1364" s="783">
        <v>60</v>
      </c>
      <c r="T1364" s="783">
        <v>50</v>
      </c>
      <c r="U1364" s="783">
        <v>62</v>
      </c>
      <c r="V1364" s="917">
        <f>IF(J1364="Canvas",P1364+BorderGW,P1364)</f>
        <v>56</v>
      </c>
      <c r="W1364" s="917">
        <f>IF(J1364="Canvas",Q1364+BorderGW,Q1364)</f>
        <v>68</v>
      </c>
      <c r="X1364" s="189">
        <v>60</v>
      </c>
      <c r="Y1364" s="68"/>
      <c r="Z1364" s="68"/>
      <c r="AA1364" s="699">
        <f t="shared" si="480"/>
        <v>26.444444444444443</v>
      </c>
      <c r="AB1364" s="341">
        <f>AA1364*EPSONC</f>
        <v>5.8177777777777777</v>
      </c>
      <c r="AC1364" s="74">
        <f>AA1364*Canvas</f>
        <v>17.453333333333333</v>
      </c>
      <c r="AD1364" s="67">
        <f>AA1364*EPSONC</f>
        <v>5.8177777777777777</v>
      </c>
      <c r="AE1364" s="74">
        <f>IF(Table1[[#This Row],[Work Center]]="SwissQ",Materials!G$37,IF(Table1[[#This Row],[Work Center]]="Inca",Materials!G$29,IF(Table1[[#This Row],[Work Center]]="Canon",Materials!G$49,Materials!G$45)))</f>
        <v>5</v>
      </c>
      <c r="AF1364" s="73">
        <f>'Cali Frames'!D335</f>
        <v>258.27999999999997</v>
      </c>
      <c r="AG1364" s="126"/>
      <c r="AH1364" s="498">
        <f t="shared" si="484"/>
        <v>147.5</v>
      </c>
      <c r="AI1364" s="498"/>
      <c r="AJ1364" s="263">
        <f t="shared" si="485"/>
        <v>434.05111111111108</v>
      </c>
      <c r="AK1364" s="650">
        <f t="shared" si="479"/>
        <v>0.85286403013182677</v>
      </c>
      <c r="AL1364" s="225">
        <f>Table1[[#This Row],[WSP/Dealer]]/Table1[[#This Row],[OD Sq Inch]]</f>
        <v>0.95161290322580649</v>
      </c>
      <c r="AM1364" s="170">
        <f>Table1[[#This Row],[OD Wdth]]*Table1[[#This Row],[OD Hgt]]</f>
        <v>3100</v>
      </c>
      <c r="AN1364" s="84"/>
      <c r="AO1364" s="84"/>
      <c r="AP1364" s="84"/>
      <c r="AQ1364" s="126"/>
      <c r="AR1364" s="126"/>
      <c r="AS1364" s="126"/>
      <c r="AT1364" s="74"/>
      <c r="AU1364" s="1357" t="str">
        <f t="shared" si="481"/>
        <v>-</v>
      </c>
    </row>
    <row r="1365" spans="1:47" s="144" customFormat="1" hidden="1" x14ac:dyDescent="0.2">
      <c r="A1365" s="274" t="s">
        <v>187</v>
      </c>
      <c r="B1365" s="1061" t="s">
        <v>261</v>
      </c>
      <c r="C1365" s="1679" t="s">
        <v>3269</v>
      </c>
      <c r="D1365" s="94"/>
      <c r="E1365" s="1679" t="s">
        <v>3268</v>
      </c>
      <c r="F1365" s="906" t="s">
        <v>737</v>
      </c>
      <c r="G1365" s="258" t="s">
        <v>191</v>
      </c>
      <c r="H1365" s="258" t="s">
        <v>191</v>
      </c>
      <c r="I1365" s="274" t="s">
        <v>108</v>
      </c>
      <c r="J1365" s="140" t="s">
        <v>53</v>
      </c>
      <c r="K1365" s="258" t="s">
        <v>281</v>
      </c>
      <c r="L1365" s="68" t="s">
        <v>55</v>
      </c>
      <c r="M1365" s="453">
        <v>2550</v>
      </c>
      <c r="N1365" s="71"/>
      <c r="O1365" s="68" t="s">
        <v>109</v>
      </c>
      <c r="P1365" s="274">
        <v>48</v>
      </c>
      <c r="Q1365" s="274">
        <v>60</v>
      </c>
      <c r="R1365" s="274">
        <v>48</v>
      </c>
      <c r="S1365" s="783">
        <v>60</v>
      </c>
      <c r="T1365" s="783">
        <v>50</v>
      </c>
      <c r="U1365" s="783">
        <v>62</v>
      </c>
      <c r="V1365" s="66">
        <f>IF(J1365="Canvas",P1365+BorderGW,P1365)</f>
        <v>56</v>
      </c>
      <c r="W1365" s="66">
        <f>IF(J1365="Canvas",Q1365+BorderGW,Q1365)</f>
        <v>68</v>
      </c>
      <c r="X1365" s="189">
        <v>60</v>
      </c>
      <c r="Y1365" s="68"/>
      <c r="Z1365" s="68"/>
      <c r="AA1365" s="699">
        <f t="shared" si="480"/>
        <v>26.444444444444443</v>
      </c>
      <c r="AB1365" s="341">
        <f>AA1365*EPSONC</f>
        <v>5.8177777777777777</v>
      </c>
      <c r="AC1365" s="74">
        <f>AA1365*Canvas</f>
        <v>17.453333333333333</v>
      </c>
      <c r="AD1365" s="67">
        <f>AA1365*EPSONC</f>
        <v>5.8177777777777777</v>
      </c>
      <c r="AE1365" s="74">
        <f>IF(Table1[[#This Row],[Work Center]]="SwissQ",Materials!G$37,IF(Table1[[#This Row],[Work Center]]="Inca",Materials!G$29,IF(Table1[[#This Row],[Work Center]]="Canon",Materials!G$49,Materials!G$45)))</f>
        <v>5</v>
      </c>
      <c r="AF1365" s="73">
        <f>'Cali FPS'!C121</f>
        <v>188.18</v>
      </c>
      <c r="AG1365" s="126"/>
      <c r="AH1365" s="112">
        <f t="shared" si="484"/>
        <v>127.5</v>
      </c>
      <c r="AI1365" s="112"/>
      <c r="AJ1365" s="278">
        <f t="shared" si="485"/>
        <v>343.95111111111112</v>
      </c>
      <c r="AK1365" s="62">
        <f t="shared" si="479"/>
        <v>0.86511721132897612</v>
      </c>
      <c r="AL1365" s="225">
        <f>Table1[[#This Row],[WSP/Dealer]]/Table1[[#This Row],[OD Sq Inch]]</f>
        <v>0.82258064516129037</v>
      </c>
      <c r="AM1365" s="170">
        <f>Table1[[#This Row],[OD Wdth]]*Table1[[#This Row],[OD Hgt]]</f>
        <v>3100</v>
      </c>
      <c r="AN1365" s="84"/>
      <c r="AO1365" s="84"/>
      <c r="AP1365" s="84"/>
      <c r="AQ1365" s="126"/>
      <c r="AR1365" s="126"/>
      <c r="AS1365" s="126"/>
      <c r="AT1365" s="74"/>
      <c r="AU1365" s="1357" t="str">
        <f t="shared" si="481"/>
        <v>-</v>
      </c>
    </row>
    <row r="1366" spans="1:47" s="119" customFormat="1" hidden="1" x14ac:dyDescent="0.2">
      <c r="A1366" s="374" t="s">
        <v>187</v>
      </c>
      <c r="B1366" s="1061" t="s">
        <v>261</v>
      </c>
      <c r="C1366" s="1725" t="s">
        <v>3270</v>
      </c>
      <c r="D1366" s="94"/>
      <c r="E1366" s="1725" t="s">
        <v>3268</v>
      </c>
      <c r="F1366" s="1752" t="s">
        <v>737</v>
      </c>
      <c r="G1366" s="452" t="s">
        <v>191</v>
      </c>
      <c r="H1366" s="452" t="s">
        <v>193</v>
      </c>
      <c r="I1366" s="447" t="s">
        <v>108</v>
      </c>
      <c r="J1366" s="451" t="s">
        <v>53</v>
      </c>
      <c r="K1366" s="452" t="s">
        <v>1412</v>
      </c>
      <c r="L1366" s="421" t="s">
        <v>73</v>
      </c>
      <c r="M1366" s="442">
        <v>2950</v>
      </c>
      <c r="N1366" s="71"/>
      <c r="O1366" s="68" t="s">
        <v>109</v>
      </c>
      <c r="P1366" s="274">
        <v>48</v>
      </c>
      <c r="Q1366" s="274">
        <v>60</v>
      </c>
      <c r="R1366" s="274">
        <v>48</v>
      </c>
      <c r="S1366" s="783">
        <v>60</v>
      </c>
      <c r="T1366" s="783">
        <v>50</v>
      </c>
      <c r="U1366" s="783">
        <v>62</v>
      </c>
      <c r="V1366" s="66">
        <f>IF(J1366="Canvas",P1366+BorderGW,P1366)</f>
        <v>56</v>
      </c>
      <c r="W1366" s="66">
        <f>IF(J1366="Canvas",Q1366+BorderGW,Q1366)</f>
        <v>68</v>
      </c>
      <c r="X1366" s="189">
        <v>60</v>
      </c>
      <c r="Y1366" s="68"/>
      <c r="Z1366" s="68"/>
      <c r="AA1366" s="699">
        <f t="shared" si="480"/>
        <v>26.444444444444443</v>
      </c>
      <c r="AB1366" s="341">
        <f>AA1366*EPSONC</f>
        <v>5.8177777777777777</v>
      </c>
      <c r="AC1366" s="74">
        <f>AA1366*Canvas</f>
        <v>17.453333333333333</v>
      </c>
      <c r="AD1366" s="67">
        <f>AA1366*EPSONC</f>
        <v>5.8177777777777777</v>
      </c>
      <c r="AE1366" s="74">
        <f>IF(Table1[[#This Row],[Work Center]]="SwissQ",Materials!G$37,IF(Table1[[#This Row],[Work Center]]="Inca",Materials!G$29,IF(Table1[[#This Row],[Work Center]]="Canon",Materials!G$49,Materials!G$45)))</f>
        <v>5</v>
      </c>
      <c r="AF1366" s="73">
        <f>'Cali Frames'!D470</f>
        <v>263.70999999999998</v>
      </c>
      <c r="AG1366" s="126"/>
      <c r="AH1366" s="498">
        <f t="shared" si="484"/>
        <v>147.5</v>
      </c>
      <c r="AI1366" s="498"/>
      <c r="AJ1366" s="263">
        <f t="shared" si="485"/>
        <v>439.48111111111109</v>
      </c>
      <c r="AK1366" s="650">
        <f t="shared" si="479"/>
        <v>0.851023352165725</v>
      </c>
      <c r="AL1366" s="225">
        <f>Table1[[#This Row],[WSP/Dealer]]/Table1[[#This Row],[OD Sq Inch]]</f>
        <v>0.95161290322580649</v>
      </c>
      <c r="AM1366" s="170">
        <f>Table1[[#This Row],[OD Wdth]]*Table1[[#This Row],[OD Hgt]]</f>
        <v>3100</v>
      </c>
      <c r="AN1366" s="84"/>
      <c r="AO1366" s="84"/>
      <c r="AP1366" s="84"/>
      <c r="AQ1366" s="126"/>
      <c r="AR1366" s="126"/>
      <c r="AS1366" s="126"/>
      <c r="AT1366" s="74"/>
      <c r="AU1366" s="1357" t="str">
        <f t="shared" si="481"/>
        <v>-</v>
      </c>
    </row>
    <row r="1367" spans="1:47" s="46" customFormat="1" hidden="1" x14ac:dyDescent="0.2">
      <c r="A1367" s="274" t="s">
        <v>187</v>
      </c>
      <c r="B1367" s="1061" t="s">
        <v>261</v>
      </c>
      <c r="C1367" s="436" t="s">
        <v>3271</v>
      </c>
      <c r="D1367" s="94"/>
      <c r="E1367" s="436" t="s">
        <v>3272</v>
      </c>
      <c r="F1367" s="275" t="s">
        <v>737</v>
      </c>
      <c r="G1367" s="258" t="s">
        <v>191</v>
      </c>
      <c r="H1367" s="258" t="s">
        <v>191</v>
      </c>
      <c r="I1367" s="274" t="s">
        <v>108</v>
      </c>
      <c r="J1367" s="68" t="s">
        <v>197</v>
      </c>
      <c r="K1367" s="274" t="s">
        <v>198</v>
      </c>
      <c r="L1367" s="274" t="s">
        <v>199</v>
      </c>
      <c r="M1367" s="695">
        <v>120</v>
      </c>
      <c r="N1367" s="71"/>
      <c r="O1367" s="68" t="s">
        <v>109</v>
      </c>
      <c r="P1367" s="274">
        <v>48</v>
      </c>
      <c r="Q1367" s="274">
        <v>60</v>
      </c>
      <c r="R1367" s="274">
        <v>48</v>
      </c>
      <c r="S1367" s="783">
        <v>60</v>
      </c>
      <c r="T1367" s="783">
        <v>50</v>
      </c>
      <c r="U1367" s="783">
        <v>62</v>
      </c>
      <c r="V1367" s="277">
        <f>Table1[[#This Row],[VO Wdth]]+Materials!$C$7</f>
        <v>50</v>
      </c>
      <c r="W1367" s="277">
        <f>Table1[[#This Row],[VO Hgt]]+Materials!$C$7</f>
        <v>62</v>
      </c>
      <c r="X1367" s="343" t="s">
        <v>197</v>
      </c>
      <c r="Y1367" s="68"/>
      <c r="Z1367" s="68"/>
      <c r="AA1367" s="699">
        <f t="shared" si="480"/>
        <v>21.527777777777779</v>
      </c>
      <c r="AB1367" s="783">
        <v>12</v>
      </c>
      <c r="AC1367" s="74">
        <f>Table1[[#This Row],[Substrate SF]]*POster</f>
        <v>16.016666666666666</v>
      </c>
      <c r="AD1367" s="208">
        <f>Table1[[#This Row],[Ink g/mL]]*EPSONC</f>
        <v>2.64</v>
      </c>
      <c r="AE136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367" s="73">
        <v>0</v>
      </c>
      <c r="AG1367" s="126">
        <f>Materials!D$76</f>
        <v>10.82</v>
      </c>
      <c r="AH1367" s="498">
        <f t="shared" si="484"/>
        <v>6</v>
      </c>
      <c r="AI1367" s="498"/>
      <c r="AJ1367" s="278">
        <f t="shared" si="485"/>
        <v>45.476666666666667</v>
      </c>
      <c r="AK1367" s="650">
        <f t="shared" si="479"/>
        <v>0.62102777777777785</v>
      </c>
      <c r="AL1367" s="225">
        <f>Table1[[#This Row],[WSP/Dealer]]/Table1[[#This Row],[OD Sq Inch]]</f>
        <v>3.870967741935484E-2</v>
      </c>
      <c r="AM1367" s="170">
        <f>Table1[[#This Row],[OD Wdth]]*Table1[[#This Row],[OD Hgt]]</f>
        <v>3100</v>
      </c>
      <c r="AN1367" s="84"/>
      <c r="AO1367" s="84"/>
      <c r="AP1367" s="84"/>
      <c r="AQ1367" s="126"/>
      <c r="AR1367" s="126"/>
      <c r="AS1367" s="126"/>
      <c r="AT1367" s="74"/>
      <c r="AU1367" s="1356" t="str">
        <f t="shared" si="481"/>
        <v>-</v>
      </c>
    </row>
    <row r="1368" spans="1:47" s="119" customFormat="1" x14ac:dyDescent="0.2">
      <c r="A1368" s="86" t="s">
        <v>58</v>
      </c>
      <c r="B1368" s="1061" t="s">
        <v>740</v>
      </c>
      <c r="C1368" s="100" t="s">
        <v>3273</v>
      </c>
      <c r="D1368" s="94"/>
      <c r="E1368" s="85" t="s">
        <v>3274</v>
      </c>
      <c r="F1368" s="85" t="s">
        <v>737</v>
      </c>
      <c r="G1368" s="86" t="s">
        <v>3266</v>
      </c>
      <c r="H1368" s="86" t="s">
        <v>948</v>
      </c>
      <c r="I1368" s="86" t="s">
        <v>52</v>
      </c>
      <c r="J1368" s="86" t="s">
        <v>53</v>
      </c>
      <c r="K1368" s="86" t="s">
        <v>69</v>
      </c>
      <c r="L1368" s="86" t="s">
        <v>70</v>
      </c>
      <c r="M1368" s="454">
        <v>1250</v>
      </c>
      <c r="N1368" s="639">
        <v>1200</v>
      </c>
      <c r="O1368" s="101" t="s">
        <v>56</v>
      </c>
      <c r="P1368" s="101">
        <v>47</v>
      </c>
      <c r="Q1368" s="101">
        <v>63</v>
      </c>
      <c r="R1368" s="101">
        <v>47</v>
      </c>
      <c r="S1368" s="697">
        <v>63</v>
      </c>
      <c r="T1368" s="697">
        <v>47</v>
      </c>
      <c r="U1368" s="697">
        <v>63</v>
      </c>
      <c r="V1368" s="106">
        <f>IF(J1368="Canvas",P1368+BorderGW,P1368)</f>
        <v>55</v>
      </c>
      <c r="W1368" s="106">
        <f>IF(J1368="Canvas",Q1368+BorderGW,Q1368)</f>
        <v>71</v>
      </c>
      <c r="X1368" s="137">
        <v>59</v>
      </c>
      <c r="Y1368" s="101"/>
      <c r="Z1368" s="101"/>
      <c r="AA1368" s="649">
        <f t="shared" si="480"/>
        <v>27.118055555555557</v>
      </c>
      <c r="AB1368" s="184">
        <f>AA1368*IncaG</f>
        <v>570.56388888888887</v>
      </c>
      <c r="AC1368" s="104">
        <f>AA1368*Canvas</f>
        <v>17.897916666666667</v>
      </c>
      <c r="AD1368" s="107">
        <f>Table1[[#This Row],[Substrate SF]]*IncaC</f>
        <v>45.645111111111113</v>
      </c>
      <c r="AE1368" s="104">
        <f>IF(Table1[[#This Row],[Work Center]]="SwissQ",Materials!G$37,IF(Table1[[#This Row],[Work Center]]="Inca",Materials!G$29,IF(Table1[[#This Row],[Work Center]]="Canon",Materials!G$49,Materials!G$45)))</f>
        <v>8</v>
      </c>
      <c r="AF1368" s="104">
        <f>'Cali Frames'!D$327</f>
        <v>240.625</v>
      </c>
      <c r="AG1368" s="115"/>
      <c r="AH1368" s="498">
        <f t="shared" si="484"/>
        <v>62.5</v>
      </c>
      <c r="AI1368" s="498"/>
      <c r="AJ1368" s="104">
        <f t="shared" si="485"/>
        <v>374.66802777777775</v>
      </c>
      <c r="AK1368" s="650">
        <f t="shared" si="479"/>
        <v>0.70026557777777776</v>
      </c>
      <c r="AL1368" s="225">
        <f>Table1[[#This Row],[WSP/Dealer]]/Table1[[#This Row],[OD Sq Inch]]</f>
        <v>0.4221546774738264</v>
      </c>
      <c r="AM1368" s="103">
        <f>Table1[[#This Row],[OD Wdth]]*Table1[[#This Row],[OD Hgt]]</f>
        <v>2961</v>
      </c>
      <c r="AN1368" s="216">
        <f>Table1[[#This Row],[Min VO]]+Table1[[#This Row],[Max VO]]</f>
        <v>110</v>
      </c>
      <c r="AO1368" s="101"/>
      <c r="AP1368" s="101"/>
      <c r="AQ1368" s="104"/>
      <c r="AR1368" s="104"/>
      <c r="AS1368" s="104"/>
      <c r="AT1368" s="104"/>
      <c r="AU1368" s="830" t="str">
        <f t="shared" si="481"/>
        <v>-</v>
      </c>
    </row>
    <row r="1369" spans="1:47" s="63" customFormat="1" hidden="1" x14ac:dyDescent="0.2">
      <c r="A1369" s="274" t="s">
        <v>187</v>
      </c>
      <c r="B1369" s="279" t="s">
        <v>261</v>
      </c>
      <c r="C1369" s="436" t="s">
        <v>3275</v>
      </c>
      <c r="D1369" s="94"/>
      <c r="E1369" s="436" t="s">
        <v>3276</v>
      </c>
      <c r="F1369" s="275" t="s">
        <v>737</v>
      </c>
      <c r="G1369" s="258" t="s">
        <v>191</v>
      </c>
      <c r="H1369" s="258" t="s">
        <v>193</v>
      </c>
      <c r="I1369" s="274" t="s">
        <v>108</v>
      </c>
      <c r="J1369" s="140" t="s">
        <v>53</v>
      </c>
      <c r="K1369" s="258" t="s">
        <v>1410</v>
      </c>
      <c r="L1369" s="68" t="s">
        <v>70</v>
      </c>
      <c r="M1369" s="453">
        <v>2950</v>
      </c>
      <c r="N1369" s="71"/>
      <c r="O1369" s="68" t="s">
        <v>109</v>
      </c>
      <c r="P1369" s="274">
        <v>48</v>
      </c>
      <c r="Q1369" s="274">
        <v>60</v>
      </c>
      <c r="R1369" s="274">
        <v>48</v>
      </c>
      <c r="S1369" s="276">
        <v>60</v>
      </c>
      <c r="T1369" s="276">
        <v>50</v>
      </c>
      <c r="U1369" s="276">
        <v>62</v>
      </c>
      <c r="V1369" s="917">
        <f>IF(J1369="Canvas",P1369+BorderGW,P1369)</f>
        <v>56</v>
      </c>
      <c r="W1369" s="917">
        <f>IF(J1369="Canvas",Q1369+BorderGW,Q1369)</f>
        <v>68</v>
      </c>
      <c r="X1369" s="189">
        <v>60</v>
      </c>
      <c r="Y1369" s="68"/>
      <c r="Z1369" s="68"/>
      <c r="AA1369" s="699">
        <f t="shared" si="480"/>
        <v>26.444444444444443</v>
      </c>
      <c r="AB1369" s="341">
        <f>AA1369*EPSONC</f>
        <v>5.8177777777777777</v>
      </c>
      <c r="AC1369" s="74">
        <f>AA1369*Canvas</f>
        <v>17.453333333333333</v>
      </c>
      <c r="AD1369" s="67">
        <f>AA1369*EPSONC</f>
        <v>5.8177777777777777</v>
      </c>
      <c r="AE1369" s="74">
        <f>IF(Table1[[#This Row],[Work Center]]="SwissQ",Materials!G$37,IF(Table1[[#This Row],[Work Center]]="Inca",Materials!G$29,IF(Table1[[#This Row],[Work Center]]="Canon",Materials!G$49,Materials!G$45)))</f>
        <v>5</v>
      </c>
      <c r="AF1369" s="73">
        <f>'Cali Frames'!D335</f>
        <v>258.27999999999997</v>
      </c>
      <c r="AG1369" s="126"/>
      <c r="AH1369" s="498">
        <f t="shared" si="484"/>
        <v>147.5</v>
      </c>
      <c r="AI1369" s="498"/>
      <c r="AJ1369" s="278">
        <f t="shared" si="485"/>
        <v>434.05111111111108</v>
      </c>
      <c r="AK1369" s="650">
        <f t="shared" si="479"/>
        <v>0.85286403013182677</v>
      </c>
      <c r="AL1369" s="225">
        <f>Table1[[#This Row],[WSP/Dealer]]/Table1[[#This Row],[OD Sq Inch]]</f>
        <v>0.95161290322580649</v>
      </c>
      <c r="AM1369" s="170">
        <f>Table1[[#This Row],[OD Wdth]]*Table1[[#This Row],[OD Hgt]]</f>
        <v>3100</v>
      </c>
      <c r="AN1369" s="84"/>
      <c r="AO1369" s="119"/>
      <c r="AP1369" s="84"/>
      <c r="AQ1369" s="126"/>
      <c r="AR1369" s="126"/>
      <c r="AS1369" s="126"/>
      <c r="AT1369" s="74"/>
      <c r="AU1369" s="1356" t="str">
        <f t="shared" si="481"/>
        <v>-</v>
      </c>
    </row>
    <row r="1370" spans="1:47" s="103" customFormat="1" hidden="1" x14ac:dyDescent="0.2">
      <c r="A1370" s="374" t="s">
        <v>187</v>
      </c>
      <c r="B1370" s="1061" t="s">
        <v>261</v>
      </c>
      <c r="C1370" s="430" t="s">
        <v>3277</v>
      </c>
      <c r="D1370" s="94"/>
      <c r="E1370" s="430" t="s">
        <v>3276</v>
      </c>
      <c r="F1370" s="441" t="s">
        <v>737</v>
      </c>
      <c r="G1370" s="452" t="s">
        <v>191</v>
      </c>
      <c r="H1370" s="452" t="s">
        <v>191</v>
      </c>
      <c r="I1370" s="447" t="s">
        <v>108</v>
      </c>
      <c r="J1370" s="451" t="s">
        <v>53</v>
      </c>
      <c r="K1370" s="452" t="s">
        <v>281</v>
      </c>
      <c r="L1370" s="421" t="s">
        <v>55</v>
      </c>
      <c r="M1370" s="442">
        <v>2550</v>
      </c>
      <c r="N1370" s="71"/>
      <c r="O1370" s="68" t="s">
        <v>109</v>
      </c>
      <c r="P1370" s="274">
        <v>48</v>
      </c>
      <c r="Q1370" s="274">
        <v>60</v>
      </c>
      <c r="R1370" s="274">
        <v>48</v>
      </c>
      <c r="S1370" s="276">
        <v>60</v>
      </c>
      <c r="T1370" s="276">
        <v>50</v>
      </c>
      <c r="U1370" s="276">
        <v>62</v>
      </c>
      <c r="V1370" s="917">
        <f>IF(J1370="Canvas",P1370+BorderGW,P1370)</f>
        <v>56</v>
      </c>
      <c r="W1370" s="917">
        <f>IF(J1370="Canvas",Q1370+BorderGW,Q1370)</f>
        <v>68</v>
      </c>
      <c r="X1370" s="189">
        <v>60</v>
      </c>
      <c r="Y1370" s="68"/>
      <c r="Z1370" s="68"/>
      <c r="AA1370" s="699">
        <f t="shared" si="480"/>
        <v>26.444444444444443</v>
      </c>
      <c r="AB1370" s="341">
        <f>AA1370*EPSONC</f>
        <v>5.8177777777777777</v>
      </c>
      <c r="AC1370" s="74">
        <f>AA1370*Canvas</f>
        <v>17.453333333333333</v>
      </c>
      <c r="AD1370" s="67">
        <f>AA1370*EPSONC</f>
        <v>5.8177777777777777</v>
      </c>
      <c r="AE1370" s="74">
        <f>IF(Table1[[#This Row],[Work Center]]="SwissQ",Materials!G$37,IF(Table1[[#This Row],[Work Center]]="Inca",Materials!G$29,IF(Table1[[#This Row],[Work Center]]="Canon",Materials!G$49,Materials!G$45)))</f>
        <v>5</v>
      </c>
      <c r="AF1370" s="73">
        <f>'Cali FPS'!C121</f>
        <v>188.18</v>
      </c>
      <c r="AG1370" s="126"/>
      <c r="AH1370" s="112">
        <f t="shared" si="484"/>
        <v>127.5</v>
      </c>
      <c r="AI1370" s="112"/>
      <c r="AJ1370" s="278">
        <f t="shared" si="485"/>
        <v>343.95111111111112</v>
      </c>
      <c r="AK1370" s="62">
        <f t="shared" si="479"/>
        <v>0.86511721132897612</v>
      </c>
      <c r="AL1370" s="225">
        <f>Table1[[#This Row],[WSP/Dealer]]/Table1[[#This Row],[OD Sq Inch]]</f>
        <v>0.82258064516129037</v>
      </c>
      <c r="AM1370" s="170">
        <f>Table1[[#This Row],[OD Wdth]]*Table1[[#This Row],[OD Hgt]]</f>
        <v>3100</v>
      </c>
      <c r="AN1370" s="84"/>
      <c r="AO1370" s="84"/>
      <c r="AP1370" s="84"/>
      <c r="AQ1370" s="126"/>
      <c r="AR1370" s="126"/>
      <c r="AS1370" s="126"/>
      <c r="AT1370" s="74"/>
      <c r="AU1370" s="1357" t="str">
        <f t="shared" si="481"/>
        <v>-</v>
      </c>
    </row>
    <row r="1371" spans="1:47" s="63" customFormat="1" hidden="1" x14ac:dyDescent="0.2">
      <c r="A1371" s="274" t="s">
        <v>187</v>
      </c>
      <c r="B1371" s="1061" t="s">
        <v>261</v>
      </c>
      <c r="C1371" s="436" t="s">
        <v>3278</v>
      </c>
      <c r="D1371" s="94"/>
      <c r="E1371" s="436" t="s">
        <v>3276</v>
      </c>
      <c r="F1371" s="275" t="s">
        <v>737</v>
      </c>
      <c r="G1371" s="258" t="s">
        <v>191</v>
      </c>
      <c r="H1371" s="258" t="s">
        <v>193</v>
      </c>
      <c r="I1371" s="274" t="s">
        <v>108</v>
      </c>
      <c r="J1371" s="140" t="s">
        <v>53</v>
      </c>
      <c r="K1371" s="258" t="s">
        <v>1412</v>
      </c>
      <c r="L1371" s="68" t="s">
        <v>73</v>
      </c>
      <c r="M1371" s="453">
        <v>2950</v>
      </c>
      <c r="N1371" s="71"/>
      <c r="O1371" s="68" t="s">
        <v>109</v>
      </c>
      <c r="P1371" s="274">
        <v>48</v>
      </c>
      <c r="Q1371" s="274">
        <v>60</v>
      </c>
      <c r="R1371" s="274">
        <v>48</v>
      </c>
      <c r="S1371" s="276">
        <v>60</v>
      </c>
      <c r="T1371" s="783">
        <v>50</v>
      </c>
      <c r="U1371" s="783">
        <v>62</v>
      </c>
      <c r="V1371" s="66">
        <f>IF(J1371="Canvas",P1371+BorderGW,P1371)</f>
        <v>56</v>
      </c>
      <c r="W1371" s="66">
        <f>IF(J1371="Canvas",Q1371+BorderGW,Q1371)</f>
        <v>68</v>
      </c>
      <c r="X1371" s="189">
        <v>60</v>
      </c>
      <c r="Y1371" s="68"/>
      <c r="Z1371" s="68"/>
      <c r="AA1371" s="699">
        <f t="shared" si="480"/>
        <v>26.444444444444443</v>
      </c>
      <c r="AB1371" s="341">
        <f>AA1371*EPSONC</f>
        <v>5.8177777777777777</v>
      </c>
      <c r="AC1371" s="74">
        <f>AA1371*Canvas</f>
        <v>17.453333333333333</v>
      </c>
      <c r="AD1371" s="67">
        <f>AA1371*EPSONC</f>
        <v>5.8177777777777777</v>
      </c>
      <c r="AE1371" s="74">
        <f>IF(Table1[[#This Row],[Work Center]]="SwissQ",Materials!G$37,IF(Table1[[#This Row],[Work Center]]="Inca",Materials!G$29,IF(Table1[[#This Row],[Work Center]]="Canon",Materials!G$49,Materials!G$45)))</f>
        <v>5</v>
      </c>
      <c r="AF1371" s="73">
        <f>'Cali Frames'!D470</f>
        <v>263.70999999999998</v>
      </c>
      <c r="AG1371" s="126"/>
      <c r="AH1371" s="112">
        <f t="shared" si="484"/>
        <v>147.5</v>
      </c>
      <c r="AI1371" s="112"/>
      <c r="AJ1371" s="278">
        <f t="shared" si="485"/>
        <v>439.48111111111109</v>
      </c>
      <c r="AK1371" s="62">
        <f t="shared" si="479"/>
        <v>0.851023352165725</v>
      </c>
      <c r="AL1371" s="225">
        <f>Table1[[#This Row],[WSP/Dealer]]/Table1[[#This Row],[OD Sq Inch]]</f>
        <v>0.95161290322580649</v>
      </c>
      <c r="AM1371" s="170">
        <f>Table1[[#This Row],[OD Wdth]]*Table1[[#This Row],[OD Hgt]]</f>
        <v>3100</v>
      </c>
      <c r="AN1371" s="84"/>
      <c r="AO1371" s="84"/>
      <c r="AP1371" s="84"/>
      <c r="AQ1371" s="126"/>
      <c r="AR1371" s="126"/>
      <c r="AS1371" s="126"/>
      <c r="AT1371" s="74"/>
      <c r="AU1371" s="1357" t="str">
        <f t="shared" si="481"/>
        <v>-</v>
      </c>
    </row>
    <row r="1372" spans="1:47" s="170" customFormat="1" hidden="1" x14ac:dyDescent="0.2">
      <c r="A1372" s="374" t="s">
        <v>187</v>
      </c>
      <c r="B1372" s="1061" t="s">
        <v>261</v>
      </c>
      <c r="C1372" s="436" t="s">
        <v>3279</v>
      </c>
      <c r="D1372" s="94"/>
      <c r="E1372" s="436" t="s">
        <v>3280</v>
      </c>
      <c r="F1372" s="275" t="s">
        <v>737</v>
      </c>
      <c r="G1372" s="258" t="s">
        <v>191</v>
      </c>
      <c r="H1372" s="258" t="s">
        <v>191</v>
      </c>
      <c r="I1372" s="274" t="s">
        <v>108</v>
      </c>
      <c r="J1372" s="68" t="s">
        <v>197</v>
      </c>
      <c r="K1372" s="274" t="s">
        <v>198</v>
      </c>
      <c r="L1372" s="274" t="s">
        <v>199</v>
      </c>
      <c r="M1372" s="696">
        <v>120</v>
      </c>
      <c r="N1372" s="71"/>
      <c r="O1372" s="68" t="s">
        <v>109</v>
      </c>
      <c r="P1372" s="170">
        <v>48</v>
      </c>
      <c r="Q1372" s="170">
        <v>60</v>
      </c>
      <c r="R1372" s="274">
        <v>48</v>
      </c>
      <c r="S1372" s="276">
        <v>60</v>
      </c>
      <c r="T1372" s="276">
        <v>50</v>
      </c>
      <c r="U1372" s="276">
        <v>62</v>
      </c>
      <c r="V1372" s="277">
        <f>Table1[[#This Row],[VO Wdth]]+Materials!$C$7</f>
        <v>50</v>
      </c>
      <c r="W1372" s="277">
        <f>Table1[[#This Row],[VO Hgt]]+Materials!$C$7</f>
        <v>62</v>
      </c>
      <c r="X1372" s="343" t="s">
        <v>197</v>
      </c>
      <c r="Y1372" s="68"/>
      <c r="Z1372" s="68"/>
      <c r="AA1372" s="699">
        <f t="shared" si="480"/>
        <v>21.527777777777779</v>
      </c>
      <c r="AB1372" s="783">
        <v>12</v>
      </c>
      <c r="AC1372" s="74">
        <f>Table1[[#This Row],[Substrate SF]]*POster</f>
        <v>16.016666666666666</v>
      </c>
      <c r="AD1372" s="208">
        <f>Table1[[#This Row],[Ink g/mL]]*EPSONC</f>
        <v>2.64</v>
      </c>
      <c r="AE1372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372" s="73">
        <v>0</v>
      </c>
      <c r="AG1372" s="126">
        <f>Materials!D$76</f>
        <v>10.82</v>
      </c>
      <c r="AH1372" s="112">
        <f t="shared" si="484"/>
        <v>6</v>
      </c>
      <c r="AI1372" s="112"/>
      <c r="AJ1372" s="263">
        <f t="shared" si="485"/>
        <v>45.476666666666667</v>
      </c>
      <c r="AK1372" s="62">
        <f t="shared" si="479"/>
        <v>0.62102777777777785</v>
      </c>
      <c r="AL1372" s="225">
        <f>Table1[[#This Row],[WSP/Dealer]]/Table1[[#This Row],[OD Sq Inch]]</f>
        <v>3.870967741935484E-2</v>
      </c>
      <c r="AM1372" s="170">
        <f>Table1[[#This Row],[OD Wdth]]*Table1[[#This Row],[OD Hgt]]</f>
        <v>3100</v>
      </c>
      <c r="AN1372" s="84"/>
      <c r="AO1372" s="119"/>
      <c r="AP1372" s="84"/>
      <c r="AQ1372" s="126"/>
      <c r="AR1372" s="126"/>
      <c r="AS1372" s="126"/>
      <c r="AT1372" s="74"/>
      <c r="AU1372" s="1356" t="str">
        <f t="shared" si="481"/>
        <v>-</v>
      </c>
    </row>
    <row r="1373" spans="1:47" s="63" customFormat="1" x14ac:dyDescent="0.2">
      <c r="A1373" s="86" t="s">
        <v>58</v>
      </c>
      <c r="B1373" s="1061" t="s">
        <v>406</v>
      </c>
      <c r="C1373" s="100" t="s">
        <v>3281</v>
      </c>
      <c r="D1373" s="94" t="s">
        <v>3282</v>
      </c>
      <c r="E1373" s="85" t="s">
        <v>3283</v>
      </c>
      <c r="F1373" s="85" t="s">
        <v>1981</v>
      </c>
      <c r="G1373" s="86" t="s">
        <v>519</v>
      </c>
      <c r="H1373" s="86" t="s">
        <v>517</v>
      </c>
      <c r="I1373" s="86" t="s">
        <v>52</v>
      </c>
      <c r="J1373" s="86" t="s">
        <v>280</v>
      </c>
      <c r="K1373" s="86" t="s">
        <v>2072</v>
      </c>
      <c r="L1373" s="86" t="s">
        <v>2073</v>
      </c>
      <c r="M1373" s="87">
        <v>660</v>
      </c>
      <c r="N1373" s="639">
        <v>660</v>
      </c>
      <c r="O1373" s="145" t="s">
        <v>575</v>
      </c>
      <c r="P1373" s="101">
        <v>16</v>
      </c>
      <c r="Q1373" s="101">
        <v>20</v>
      </c>
      <c r="R1373" s="60">
        <v>16</v>
      </c>
      <c r="S1373" s="273">
        <v>20</v>
      </c>
      <c r="T1373" s="101">
        <v>18</v>
      </c>
      <c r="U1373" s="101" t="str">
        <f>RIGHT(H1373,2)</f>
        <v>23</v>
      </c>
      <c r="V1373" s="106">
        <f t="shared" ref="V1373:V1382" si="486">IF(J1373="Canvas",P1373+Border,P1373)</f>
        <v>16</v>
      </c>
      <c r="W1373" s="106">
        <f t="shared" ref="W1373:W1382" si="487">IF(J1373="Canvas",Q1373+Border,Q1373)</f>
        <v>20</v>
      </c>
      <c r="X1373" s="137" t="s">
        <v>283</v>
      </c>
      <c r="Y1373" s="101"/>
      <c r="Z1373" s="101"/>
      <c r="AA1373" s="649">
        <f t="shared" si="480"/>
        <v>2.2222222222222223</v>
      </c>
      <c r="AB1373" s="125">
        <f>AA1373*Swiss1</f>
        <v>62.888888888888893</v>
      </c>
      <c r="AC1373" s="104">
        <f>MDFSHEET/12</f>
        <v>2.0291666666666668</v>
      </c>
      <c r="AD1373" s="107">
        <f>AA1373*SWISSC1</f>
        <v>6.2222222222222223</v>
      </c>
      <c r="AE1373" s="104">
        <f>IF(Table1[[#This Row],[Work Center]]="SwissQ",Materials!G$37,IF(Table1[[#This Row],[Work Center]]="Inca",Materials!G$29,IF(Table1[[#This Row],[Work Center]]="Canon",Materials!G$49,Materials!G$45)))</f>
        <v>5</v>
      </c>
      <c r="AF1373" s="104">
        <f>'Cali Frames'!D$193</f>
        <v>126.35</v>
      </c>
      <c r="AG1373" s="115"/>
      <c r="AH1373" s="498">
        <f t="shared" si="484"/>
        <v>33</v>
      </c>
      <c r="AI1373" s="498"/>
      <c r="AJ1373" s="104">
        <f t="shared" si="485"/>
        <v>172.60138888888889</v>
      </c>
      <c r="AK1373" s="650">
        <f t="shared" si="479"/>
        <v>0.73848274410774406</v>
      </c>
      <c r="AL1373" s="225">
        <f>Table1[[#This Row],[WSP/Dealer]]/Table1[[#This Row],[OD Sq Inch]]</f>
        <v>1.5942028985507246</v>
      </c>
      <c r="AM1373" s="103">
        <f>Table1[[#This Row],[OD Wdth]]*Table1[[#This Row],[OD Hgt]]</f>
        <v>414</v>
      </c>
      <c r="AN1373" s="216">
        <f>Table1[[#This Row],[Min VO]]+Table1[[#This Row],[Max VO]]</f>
        <v>36</v>
      </c>
      <c r="AO1373" s="101"/>
      <c r="AP1373" s="101"/>
      <c r="AQ1373" s="104"/>
      <c r="AR1373" s="104"/>
      <c r="AS1373" s="104"/>
      <c r="AT1373" s="104"/>
      <c r="AU1373" s="830" t="str">
        <f t="shared" si="481"/>
        <v>-</v>
      </c>
    </row>
    <row r="1374" spans="1:47" s="63" customFormat="1" x14ac:dyDescent="0.2">
      <c r="A1374" s="86" t="s">
        <v>58</v>
      </c>
      <c r="B1374" s="1061" t="s">
        <v>406</v>
      </c>
      <c r="C1374" s="78" t="s">
        <v>3284</v>
      </c>
      <c r="D1374" s="94" t="s">
        <v>3282</v>
      </c>
      <c r="E1374" s="85" t="s">
        <v>3283</v>
      </c>
      <c r="F1374" s="85" t="s">
        <v>1981</v>
      </c>
      <c r="G1374" s="86" t="s">
        <v>519</v>
      </c>
      <c r="H1374" s="86" t="s">
        <v>517</v>
      </c>
      <c r="I1374" s="86" t="s">
        <v>52</v>
      </c>
      <c r="J1374" s="86" t="s">
        <v>280</v>
      </c>
      <c r="K1374" s="86" t="s">
        <v>814</v>
      </c>
      <c r="L1374" s="86" t="s">
        <v>815</v>
      </c>
      <c r="M1374" s="87">
        <v>660</v>
      </c>
      <c r="N1374" s="639">
        <v>660</v>
      </c>
      <c r="O1374" s="145" t="s">
        <v>575</v>
      </c>
      <c r="P1374" s="68">
        <v>16</v>
      </c>
      <c r="Q1374" s="68">
        <v>20</v>
      </c>
      <c r="R1374" s="68">
        <v>16</v>
      </c>
      <c r="S1374" s="65">
        <v>20</v>
      </c>
      <c r="T1374" s="63">
        <v>18</v>
      </c>
      <c r="U1374" s="63" t="str">
        <f>RIGHT(H1374,2)</f>
        <v>23</v>
      </c>
      <c r="V1374" s="66">
        <f t="shared" si="486"/>
        <v>16</v>
      </c>
      <c r="W1374" s="66">
        <f t="shared" si="487"/>
        <v>20</v>
      </c>
      <c r="X1374" s="189" t="s">
        <v>283</v>
      </c>
      <c r="Y1374" s="68">
        <v>16</v>
      </c>
      <c r="Z1374" s="68">
        <v>20</v>
      </c>
      <c r="AA1374" s="699">
        <f t="shared" si="480"/>
        <v>2.2222222222222223</v>
      </c>
      <c r="AB1374" s="125">
        <f>AA1374*Swiss1</f>
        <v>62.888888888888893</v>
      </c>
      <c r="AC1374" s="104">
        <f>MDFSHEET/12</f>
        <v>2.0291666666666668</v>
      </c>
      <c r="AD1374" s="107">
        <f>AA1374*SWISSC1</f>
        <v>6.2222222222222223</v>
      </c>
      <c r="AE1374" s="104">
        <f>IF(Table1[[#This Row],[Work Center]]="SwissQ",Materials!G$37,IF(Table1[[#This Row],[Work Center]]="Inca",Materials!G$29,IF(Table1[[#This Row],[Work Center]]="Canon",Materials!G$49,Materials!G$45)))</f>
        <v>5</v>
      </c>
      <c r="AF1374" s="74">
        <f>'Cali Frames'!D$193</f>
        <v>126.35</v>
      </c>
      <c r="AG1374" s="115"/>
      <c r="AH1374" s="112">
        <f t="shared" si="484"/>
        <v>33</v>
      </c>
      <c r="AI1374" s="112"/>
      <c r="AJ1374" s="74">
        <f t="shared" si="485"/>
        <v>172.60138888888889</v>
      </c>
      <c r="AK1374" s="62">
        <f t="shared" si="479"/>
        <v>0.73848274410774406</v>
      </c>
      <c r="AL1374" s="225">
        <f>Table1[[#This Row],[WSP/Dealer]]/Table1[[#This Row],[OD Sq Inch]]</f>
        <v>1.5942028985507246</v>
      </c>
      <c r="AM1374" s="218">
        <f>Table1[[#This Row],[OD Wdth]]*Table1[[#This Row],[OD Hgt]]</f>
        <v>414</v>
      </c>
      <c r="AN1374" s="216">
        <f>Table1[[#This Row],[Min VO]]+Table1[[#This Row],[Max VO]]</f>
        <v>36</v>
      </c>
      <c r="AO1374" s="68"/>
      <c r="AP1374" s="68"/>
      <c r="AQ1374" s="74"/>
      <c r="AR1374" s="74"/>
      <c r="AS1374" s="74"/>
      <c r="AT1374" s="74"/>
      <c r="AU1374" s="1001" t="str">
        <f t="shared" si="481"/>
        <v>-</v>
      </c>
    </row>
    <row r="1375" spans="1:47" s="103" customFormat="1" hidden="1" x14ac:dyDescent="0.2">
      <c r="A1375" s="101" t="s">
        <v>110</v>
      </c>
      <c r="B1375" s="1067" t="s">
        <v>250</v>
      </c>
      <c r="C1375" s="100" t="s">
        <v>3285</v>
      </c>
      <c r="D1375" s="168"/>
      <c r="E1375" s="115" t="s">
        <v>3283</v>
      </c>
      <c r="F1375" s="115" t="s">
        <v>1981</v>
      </c>
      <c r="G1375" s="101" t="s">
        <v>519</v>
      </c>
      <c r="H1375" s="101" t="s">
        <v>688</v>
      </c>
      <c r="I1375" s="101" t="s">
        <v>52</v>
      </c>
      <c r="J1375" s="487" t="s">
        <v>53</v>
      </c>
      <c r="K1375" s="101" t="s">
        <v>69</v>
      </c>
      <c r="L1375" s="101" t="s">
        <v>70</v>
      </c>
      <c r="M1375" s="114">
        <v>600</v>
      </c>
      <c r="N1375" s="114"/>
      <c r="O1375" s="188" t="s">
        <v>575</v>
      </c>
      <c r="P1375" s="101">
        <v>16</v>
      </c>
      <c r="Q1375" s="101">
        <v>20</v>
      </c>
      <c r="R1375" s="101">
        <v>16</v>
      </c>
      <c r="S1375" s="697">
        <v>20</v>
      </c>
      <c r="T1375" s="101">
        <v>17</v>
      </c>
      <c r="U1375" s="101">
        <v>21</v>
      </c>
      <c r="V1375" s="608">
        <f t="shared" si="486"/>
        <v>24</v>
      </c>
      <c r="W1375" s="608">
        <f t="shared" si="487"/>
        <v>28</v>
      </c>
      <c r="X1375" s="101">
        <v>40</v>
      </c>
      <c r="Y1375" s="101">
        <v>24</v>
      </c>
      <c r="Z1375" s="101">
        <v>38</v>
      </c>
      <c r="AA1375" s="649">
        <f t="shared" si="480"/>
        <v>4.666666666666667</v>
      </c>
      <c r="AB1375" s="633">
        <f>AA1375*SWISSMLR*3</f>
        <v>28</v>
      </c>
      <c r="AC1375" s="104">
        <f>MDFSHEET/3</f>
        <v>8.1166666666666671</v>
      </c>
      <c r="AD1375" s="405">
        <f>Table1[[#This Row],[Substrate SF]]*SWISSCR*3</f>
        <v>3.0800000000000005</v>
      </c>
      <c r="AE1375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375" s="102">
        <f>'Cali Frames'!D267</f>
        <v>82.757499999999993</v>
      </c>
      <c r="AG1375" s="115"/>
      <c r="AH1375" s="104">
        <f t="shared" si="484"/>
        <v>30</v>
      </c>
      <c r="AI1375" s="406">
        <f>IF(A1375="Codarus",(M1375*0.13))</f>
        <v>78</v>
      </c>
      <c r="AJ1375" s="104">
        <f>SUM(AC1375:AI1375)</f>
        <v>209.95416666666665</v>
      </c>
      <c r="AK1375" s="830">
        <f t="shared" si="479"/>
        <v>0.65007638888888897</v>
      </c>
      <c r="AL1375" s="660">
        <f>Table1[[#This Row],[WSP/Dealer]]/Table1[[#This Row],[OD Sq Inch]]</f>
        <v>1.680672268907563</v>
      </c>
      <c r="AM1375" s="101">
        <f>Table1[[#This Row],[OD Wdth]]*Table1[[#This Row],[OD Hgt]]</f>
        <v>357</v>
      </c>
      <c r="AN1375" s="266">
        <f>Table1[[#This Row],[Min VO]]+Table1[[#This Row],[Max VO]]</f>
        <v>36</v>
      </c>
      <c r="AO1375" s="115"/>
      <c r="AP1375" s="104">
        <v>1200</v>
      </c>
      <c r="AQ1375" s="104">
        <f>(Table1[[#This Row],[Desgnr/Retail P]]*0.05)</f>
        <v>60</v>
      </c>
      <c r="AR1375" s="121">
        <f>IF(A1375="Codarus",(AP1375*0.13))</f>
        <v>156</v>
      </c>
      <c r="AS1375" s="121">
        <f>SUM(Table1[[#This Row],[Substrate $]:[GP FINISH]])+Table1[[#This Row],[Retail Royalty]]+Table1[[#This Row],[Retail$Comm]]</f>
        <v>317.95416666666665</v>
      </c>
      <c r="AT1375" s="830">
        <f>IF(AP1375=0,"-",(AP1375-AS1375)/AP1375)</f>
        <v>0.7350381944444444</v>
      </c>
      <c r="AU1375" s="830">
        <f t="shared" si="481"/>
        <v>0.98774936342592601</v>
      </c>
    </row>
    <row r="1376" spans="1:47" s="63" customFormat="1" hidden="1" x14ac:dyDescent="0.2">
      <c r="A1376" s="68"/>
      <c r="B1376" s="1085" t="s">
        <v>111</v>
      </c>
      <c r="C1376" s="78" t="s">
        <v>3286</v>
      </c>
      <c r="D1376" s="94" t="s">
        <v>3031</v>
      </c>
      <c r="E1376" s="84" t="s">
        <v>3283</v>
      </c>
      <c r="F1376" s="84" t="s">
        <v>1981</v>
      </c>
      <c r="G1376" s="68" t="s">
        <v>519</v>
      </c>
      <c r="H1376" s="68" t="s">
        <v>517</v>
      </c>
      <c r="I1376" s="68" t="s">
        <v>52</v>
      </c>
      <c r="J1376" s="68" t="s">
        <v>53</v>
      </c>
      <c r="K1376" s="68" t="s">
        <v>814</v>
      </c>
      <c r="L1376" s="68" t="s">
        <v>815</v>
      </c>
      <c r="M1376" s="93">
        <v>660</v>
      </c>
      <c r="N1376" s="831"/>
      <c r="O1376" s="166" t="s">
        <v>575</v>
      </c>
      <c r="P1376" s="68">
        <v>16</v>
      </c>
      <c r="Q1376" s="68">
        <v>20</v>
      </c>
      <c r="R1376" s="68">
        <v>16</v>
      </c>
      <c r="S1376" s="623">
        <v>20</v>
      </c>
      <c r="T1376" s="68">
        <v>19</v>
      </c>
      <c r="U1376" s="68">
        <v>23</v>
      </c>
      <c r="V1376" s="917">
        <f t="shared" si="486"/>
        <v>24</v>
      </c>
      <c r="W1376" s="917">
        <f t="shared" si="487"/>
        <v>28</v>
      </c>
      <c r="X1376" s="189">
        <v>40</v>
      </c>
      <c r="Y1376" s="68">
        <v>24</v>
      </c>
      <c r="Z1376" s="68">
        <v>28</v>
      </c>
      <c r="AA1376" s="699">
        <f t="shared" si="480"/>
        <v>4.666666666666667</v>
      </c>
      <c r="AB1376" s="297">
        <v>63</v>
      </c>
      <c r="AC1376" s="74">
        <f>AA1376*Canvas</f>
        <v>3.0800000000000005</v>
      </c>
      <c r="AD1376" s="67">
        <f>AA1376*SWISSC1</f>
        <v>13.066666666666666</v>
      </c>
      <c r="AE1376" s="74">
        <f>IF(Table1[[#This Row],[Work Center]]="SwissQ",Materials!G$37,IF(Table1[[#This Row],[Work Center]]="Inca",Materials!G$29,IF(Table1[[#This Row],[Work Center]]="Canon",Materials!G$49,Materials!G$45)))</f>
        <v>5</v>
      </c>
      <c r="AF1376" s="74">
        <f>'Cali Frames'!D193</f>
        <v>126.35</v>
      </c>
      <c r="AG1376" s="84"/>
      <c r="AH1376" s="67">
        <f t="shared" si="484"/>
        <v>33</v>
      </c>
      <c r="AI1376" s="67"/>
      <c r="AJ1376" s="74">
        <f>SUM(AC1376:AH1376)</f>
        <v>180.49666666666667</v>
      </c>
      <c r="AK1376" s="661">
        <f t="shared" ref="AK1376:AK1407" si="488">(M1376-AJ1376)/M1376</f>
        <v>0.72652020202020207</v>
      </c>
      <c r="AL1376" s="240">
        <f>Table1[[#This Row],[WSP/Dealer]]/Table1[[#This Row],[OD Sq Inch]]</f>
        <v>1.5102974828375286</v>
      </c>
      <c r="AM1376" s="63">
        <f>Table1[[#This Row],[OD Wdth]]*Table1[[#This Row],[OD Hgt]]</f>
        <v>437</v>
      </c>
      <c r="AN1376" s="238">
        <f>Table1[[#This Row],[Min VO]]+Table1[[#This Row],[Max VO]]</f>
        <v>36</v>
      </c>
      <c r="AO1376" s="68"/>
      <c r="AP1376" s="68"/>
      <c r="AQ1376" s="74"/>
      <c r="AR1376" s="74"/>
      <c r="AS1376" s="74"/>
      <c r="AT1376" s="74"/>
      <c r="AU1376" s="1001" t="str">
        <f t="shared" si="481"/>
        <v>-</v>
      </c>
    </row>
    <row r="1377" spans="1:47" s="63" customFormat="1" x14ac:dyDescent="0.2">
      <c r="A1377" s="86" t="s">
        <v>58</v>
      </c>
      <c r="B1377" s="1061" t="s">
        <v>406</v>
      </c>
      <c r="C1377" s="100" t="s">
        <v>3287</v>
      </c>
      <c r="D1377" s="94" t="s">
        <v>3288</v>
      </c>
      <c r="E1377" s="85" t="s">
        <v>3289</v>
      </c>
      <c r="F1377" s="85" t="s">
        <v>1981</v>
      </c>
      <c r="G1377" s="86" t="s">
        <v>519</v>
      </c>
      <c r="H1377" s="86" t="s">
        <v>517</v>
      </c>
      <c r="I1377" s="86" t="s">
        <v>52</v>
      </c>
      <c r="J1377" s="86" t="s">
        <v>280</v>
      </c>
      <c r="K1377" s="86" t="s">
        <v>2072</v>
      </c>
      <c r="L1377" s="86" t="s">
        <v>2073</v>
      </c>
      <c r="M1377" s="87">
        <v>660</v>
      </c>
      <c r="N1377" s="639">
        <v>660</v>
      </c>
      <c r="O1377" s="145" t="s">
        <v>575</v>
      </c>
      <c r="P1377" s="101">
        <v>16</v>
      </c>
      <c r="Q1377" s="101">
        <v>20</v>
      </c>
      <c r="R1377" s="60">
        <v>16</v>
      </c>
      <c r="S1377" s="273">
        <v>20</v>
      </c>
      <c r="T1377" s="101">
        <v>18</v>
      </c>
      <c r="U1377" s="101" t="str">
        <f>RIGHT(H1377,2)</f>
        <v>23</v>
      </c>
      <c r="V1377" s="608">
        <f t="shared" si="486"/>
        <v>16</v>
      </c>
      <c r="W1377" s="608">
        <f t="shared" si="487"/>
        <v>20</v>
      </c>
      <c r="X1377" s="137" t="s">
        <v>283</v>
      </c>
      <c r="Y1377" s="101"/>
      <c r="Z1377" s="101"/>
      <c r="AA1377" s="649">
        <f t="shared" si="480"/>
        <v>2.2222222222222223</v>
      </c>
      <c r="AB1377" s="125">
        <f>AA1377*Swiss1</f>
        <v>62.888888888888893</v>
      </c>
      <c r="AC1377" s="104">
        <f>MDFSHEET/12</f>
        <v>2.0291666666666668</v>
      </c>
      <c r="AD1377" s="107">
        <f>AA1377*SWISSC1</f>
        <v>6.2222222222222223</v>
      </c>
      <c r="AE1377" s="104">
        <f>IF(Table1[[#This Row],[Work Center]]="SwissQ",Materials!G$37,IF(Table1[[#This Row],[Work Center]]="Inca",Materials!G$29,IF(Table1[[#This Row],[Work Center]]="Canon",Materials!G$49,Materials!G$45)))</f>
        <v>5</v>
      </c>
      <c r="AF1377" s="104">
        <f>'Cali Frames'!D$175</f>
        <v>221.64</v>
      </c>
      <c r="AG1377" s="115"/>
      <c r="AH1377" s="112">
        <f t="shared" si="484"/>
        <v>33</v>
      </c>
      <c r="AI1377" s="112"/>
      <c r="AJ1377" s="104">
        <f>SUM(AC1377:AH1377)</f>
        <v>267.89138888888886</v>
      </c>
      <c r="AK1377" s="62">
        <f t="shared" si="488"/>
        <v>0.59410395622895629</v>
      </c>
      <c r="AL1377" s="225">
        <f>Table1[[#This Row],[WSP/Dealer]]/Table1[[#This Row],[OD Sq Inch]]</f>
        <v>1.5942028985507246</v>
      </c>
      <c r="AM1377" s="218">
        <f>Table1[[#This Row],[OD Wdth]]*Table1[[#This Row],[OD Hgt]]</f>
        <v>414</v>
      </c>
      <c r="AN1377" s="216">
        <f>Table1[[#This Row],[Min VO]]+Table1[[#This Row],[Max VO]]</f>
        <v>36</v>
      </c>
      <c r="AO1377" s="101"/>
      <c r="AP1377" s="101"/>
      <c r="AQ1377" s="104"/>
      <c r="AR1377" s="104"/>
      <c r="AS1377" s="104"/>
      <c r="AT1377" s="104"/>
      <c r="AU1377" s="830" t="str">
        <f t="shared" si="481"/>
        <v>-</v>
      </c>
    </row>
    <row r="1378" spans="1:47" s="103" customFormat="1" x14ac:dyDescent="0.2">
      <c r="A1378" s="86" t="s">
        <v>58</v>
      </c>
      <c r="B1378" s="1061" t="s">
        <v>406</v>
      </c>
      <c r="C1378" s="78" t="s">
        <v>3290</v>
      </c>
      <c r="D1378" s="94" t="s">
        <v>3288</v>
      </c>
      <c r="E1378" s="85" t="s">
        <v>3289</v>
      </c>
      <c r="F1378" s="85" t="s">
        <v>1981</v>
      </c>
      <c r="G1378" s="86" t="s">
        <v>519</v>
      </c>
      <c r="H1378" s="86" t="s">
        <v>517</v>
      </c>
      <c r="I1378" s="86" t="s">
        <v>52</v>
      </c>
      <c r="J1378" s="86" t="s">
        <v>280</v>
      </c>
      <c r="K1378" s="86" t="s">
        <v>814</v>
      </c>
      <c r="L1378" s="86" t="s">
        <v>815</v>
      </c>
      <c r="M1378" s="87">
        <v>660</v>
      </c>
      <c r="N1378" s="639">
        <v>660</v>
      </c>
      <c r="O1378" s="145" t="s">
        <v>575</v>
      </c>
      <c r="P1378" s="68">
        <v>16</v>
      </c>
      <c r="Q1378" s="68">
        <v>20</v>
      </c>
      <c r="R1378" s="68">
        <v>16</v>
      </c>
      <c r="S1378" s="65">
        <v>20</v>
      </c>
      <c r="T1378" s="68">
        <v>18</v>
      </c>
      <c r="U1378" s="68" t="str">
        <f>RIGHT(H1378,2)</f>
        <v>23</v>
      </c>
      <c r="V1378" s="917">
        <f t="shared" si="486"/>
        <v>16</v>
      </c>
      <c r="W1378" s="917">
        <f t="shared" si="487"/>
        <v>20</v>
      </c>
      <c r="X1378" s="189" t="s">
        <v>2471</v>
      </c>
      <c r="Y1378" s="68"/>
      <c r="Z1378" s="68"/>
      <c r="AA1378" s="699">
        <f t="shared" si="480"/>
        <v>2.2222222222222223</v>
      </c>
      <c r="AB1378" s="125">
        <f>AA1378*Swiss1</f>
        <v>62.888888888888893</v>
      </c>
      <c r="AC1378" s="74">
        <f>PETG60/18</f>
        <v>3.24</v>
      </c>
      <c r="AD1378" s="107">
        <f>AA1378*SWISSC1</f>
        <v>6.2222222222222223</v>
      </c>
      <c r="AE1378" s="104">
        <f>IF(Table1[[#This Row],[Work Center]]="SwissQ",Materials!G$37,IF(Table1[[#This Row],[Work Center]]="Inca",Materials!G$29,IF(Table1[[#This Row],[Work Center]]="Canon",Materials!G$49,Materials!G$45)))</f>
        <v>5</v>
      </c>
      <c r="AF1378" s="74">
        <f>'Cali Frames'!D$193</f>
        <v>126.35</v>
      </c>
      <c r="AG1378" s="115"/>
      <c r="AH1378" s="498">
        <f t="shared" si="484"/>
        <v>33</v>
      </c>
      <c r="AI1378" s="498"/>
      <c r="AJ1378" s="74">
        <f>SUM(AC1378:AH1378)</f>
        <v>173.8122222222222</v>
      </c>
      <c r="AK1378" s="650">
        <f t="shared" si="488"/>
        <v>0.73664814814814816</v>
      </c>
      <c r="AL1378" s="225">
        <f>Table1[[#This Row],[WSP/Dealer]]/Table1[[#This Row],[OD Sq Inch]]</f>
        <v>1.5942028985507246</v>
      </c>
      <c r="AM1378" s="103">
        <f>Table1[[#This Row],[OD Wdth]]*Table1[[#This Row],[OD Hgt]]</f>
        <v>414</v>
      </c>
      <c r="AN1378" s="216">
        <f>Table1[[#This Row],[Min VO]]+Table1[[#This Row],[Max VO]]</f>
        <v>36</v>
      </c>
      <c r="AO1378" s="68"/>
      <c r="AP1378" s="68"/>
      <c r="AQ1378" s="74"/>
      <c r="AR1378" s="74"/>
      <c r="AS1378" s="74"/>
      <c r="AT1378" s="74"/>
      <c r="AU1378" s="1001" t="str">
        <f t="shared" si="481"/>
        <v>-</v>
      </c>
    </row>
    <row r="1379" spans="1:47" s="103" customFormat="1" hidden="1" x14ac:dyDescent="0.2">
      <c r="A1379" s="101" t="s">
        <v>110</v>
      </c>
      <c r="B1379" s="1067" t="s">
        <v>250</v>
      </c>
      <c r="C1379" s="100" t="s">
        <v>3291</v>
      </c>
      <c r="D1379" s="168"/>
      <c r="E1379" s="115" t="s">
        <v>3289</v>
      </c>
      <c r="F1379" s="115" t="s">
        <v>1981</v>
      </c>
      <c r="G1379" s="101" t="s">
        <v>519</v>
      </c>
      <c r="H1379" s="101" t="s">
        <v>688</v>
      </c>
      <c r="I1379" s="101" t="s">
        <v>52</v>
      </c>
      <c r="J1379" s="487" t="s">
        <v>53</v>
      </c>
      <c r="K1379" s="101" t="s">
        <v>69</v>
      </c>
      <c r="L1379" s="101" t="s">
        <v>70</v>
      </c>
      <c r="M1379" s="114">
        <v>600</v>
      </c>
      <c r="N1379" s="114"/>
      <c r="O1379" s="188" t="s">
        <v>575</v>
      </c>
      <c r="P1379" s="101">
        <v>16</v>
      </c>
      <c r="Q1379" s="101">
        <v>20</v>
      </c>
      <c r="R1379" s="101">
        <v>16</v>
      </c>
      <c r="S1379" s="697">
        <v>20</v>
      </c>
      <c r="T1379" s="101">
        <v>17</v>
      </c>
      <c r="U1379" s="101">
        <v>21</v>
      </c>
      <c r="V1379" s="106">
        <f t="shared" si="486"/>
        <v>24</v>
      </c>
      <c r="W1379" s="106">
        <f t="shared" si="487"/>
        <v>28</v>
      </c>
      <c r="X1379" s="101">
        <v>40</v>
      </c>
      <c r="Y1379" s="101">
        <v>24</v>
      </c>
      <c r="Z1379" s="101">
        <v>38</v>
      </c>
      <c r="AA1379" s="649">
        <f t="shared" si="480"/>
        <v>4.666666666666667</v>
      </c>
      <c r="AB1379" s="633">
        <f>AA1379*SWISSMLR*3</f>
        <v>28</v>
      </c>
      <c r="AC1379" s="104">
        <f>MDFSHEET/3</f>
        <v>8.1166666666666671</v>
      </c>
      <c r="AD1379" s="405">
        <f>Table1[[#This Row],[Substrate SF]]*SWISSCR*3</f>
        <v>3.0800000000000005</v>
      </c>
      <c r="AE1379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379" s="102">
        <f>'Cali Frames'!D267</f>
        <v>82.757499999999993</v>
      </c>
      <c r="AG1379" s="115"/>
      <c r="AH1379" s="107">
        <f t="shared" si="484"/>
        <v>30</v>
      </c>
      <c r="AI1379" s="405">
        <f>IF(A1379="Codarus",(M1379*0.13))</f>
        <v>78</v>
      </c>
      <c r="AJ1379" s="104">
        <f>SUM(AC1379:AI1379)</f>
        <v>209.95416666666665</v>
      </c>
      <c r="AK1379" s="108">
        <f t="shared" si="488"/>
        <v>0.65007638888888897</v>
      </c>
      <c r="AL1379" s="660">
        <f>Table1[[#This Row],[WSP/Dealer]]/Table1[[#This Row],[OD Sq Inch]]</f>
        <v>1.680672268907563</v>
      </c>
      <c r="AM1379" s="103">
        <f>Table1[[#This Row],[OD Wdth]]*Table1[[#This Row],[OD Hgt]]</f>
        <v>357</v>
      </c>
      <c r="AN1379" s="266">
        <f>Table1[[#This Row],[Min VO]]+Table1[[#This Row],[Max VO]]</f>
        <v>36</v>
      </c>
      <c r="AO1379" s="115"/>
      <c r="AP1379" s="104">
        <v>1200</v>
      </c>
      <c r="AQ1379" s="104">
        <f>(Table1[[#This Row],[Desgnr/Retail P]]*0.05)</f>
        <v>60</v>
      </c>
      <c r="AR1379" s="121">
        <f>IF(A1379="Codarus",(AP1379*0.13))</f>
        <v>156</v>
      </c>
      <c r="AS1379" s="121">
        <f>SUM(Table1[[#This Row],[Substrate $]:[GP FINISH]])+Table1[[#This Row],[Retail Royalty]]+Table1[[#This Row],[Retail$Comm]]</f>
        <v>317.95416666666665</v>
      </c>
      <c r="AT1379" s="830">
        <f>IF(AP1379=0,"-",(AP1379-AS1379)/AP1379)</f>
        <v>0.7350381944444444</v>
      </c>
      <c r="AU1379" s="830">
        <f t="shared" si="481"/>
        <v>0.98774936342592601</v>
      </c>
    </row>
    <row r="1380" spans="1:47" s="103" customFormat="1" hidden="1" x14ac:dyDescent="0.2">
      <c r="A1380" s="68" t="s">
        <v>318</v>
      </c>
      <c r="B1380" s="1063" t="s">
        <v>568</v>
      </c>
      <c r="C1380" s="78" t="s">
        <v>3292</v>
      </c>
      <c r="D1380" s="94"/>
      <c r="E1380" s="84" t="s">
        <v>3293</v>
      </c>
      <c r="F1380" s="84" t="s">
        <v>1981</v>
      </c>
      <c r="G1380" s="68" t="s">
        <v>3294</v>
      </c>
      <c r="H1380" s="68" t="s">
        <v>364</v>
      </c>
      <c r="I1380" s="68" t="s">
        <v>52</v>
      </c>
      <c r="J1380" s="140" t="s">
        <v>280</v>
      </c>
      <c r="K1380" s="68" t="s">
        <v>814</v>
      </c>
      <c r="L1380" s="68" t="s">
        <v>815</v>
      </c>
      <c r="M1380" s="93">
        <v>500</v>
      </c>
      <c r="N1380" s="93"/>
      <c r="O1380" s="166" t="s">
        <v>575</v>
      </c>
      <c r="P1380" s="68">
        <v>28</v>
      </c>
      <c r="Q1380" s="68">
        <v>38</v>
      </c>
      <c r="R1380" s="68">
        <v>28</v>
      </c>
      <c r="S1380" s="65">
        <v>38</v>
      </c>
      <c r="T1380" s="68">
        <v>31</v>
      </c>
      <c r="U1380" s="68">
        <v>41</v>
      </c>
      <c r="V1380" s="66">
        <f t="shared" si="486"/>
        <v>28</v>
      </c>
      <c r="W1380" s="66">
        <f t="shared" si="487"/>
        <v>38</v>
      </c>
      <c r="X1380" s="189" t="s">
        <v>283</v>
      </c>
      <c r="Y1380" s="68">
        <v>28</v>
      </c>
      <c r="Z1380" s="68">
        <v>38</v>
      </c>
      <c r="AA1380" s="699">
        <f t="shared" si="480"/>
        <v>7.3888888888888893</v>
      </c>
      <c r="AB1380" s="297">
        <f>AA1380*Swiss1</f>
        <v>209.10555555555558</v>
      </c>
      <c r="AC1380" s="74">
        <f>MDFSHEET/12</f>
        <v>2.0291666666666668</v>
      </c>
      <c r="AD1380" s="67">
        <f>AA1380*SWISSC1</f>
        <v>20.68888888888889</v>
      </c>
      <c r="AE1380" s="74">
        <f>IF(Table1[[#This Row],[Work Center]]="SwissQ",Materials!G$37,IF(Table1[[#This Row],[Work Center]]="Inca",Materials!G$29,IF(Table1[[#This Row],[Work Center]]="Canon",Materials!G$49,Materials!G$45)))</f>
        <v>5</v>
      </c>
      <c r="AF1380" s="73">
        <f>'Cali Frames'!D201</f>
        <v>160</v>
      </c>
      <c r="AG1380" s="84"/>
      <c r="AH1380" s="74">
        <f t="shared" si="484"/>
        <v>25</v>
      </c>
      <c r="AI1380" s="74"/>
      <c r="AJ1380" s="74">
        <f t="shared" ref="AJ1380:AJ1405" si="489">SUM(AC1380:AH1380)</f>
        <v>212.71805555555557</v>
      </c>
      <c r="AK1380" s="1001">
        <f t="shared" si="488"/>
        <v>0.57456388888888887</v>
      </c>
      <c r="AL1380" s="240">
        <f>Table1[[#This Row],[WSP/Dealer]]/Table1[[#This Row],[OD Sq Inch]]</f>
        <v>0.39339103068450038</v>
      </c>
      <c r="AM1380" s="63">
        <f>Table1[[#This Row],[OD Wdth]]*Table1[[#This Row],[OD Hgt]]</f>
        <v>1271</v>
      </c>
      <c r="AN1380" s="238">
        <f>Table1[[#This Row],[Min VO]]+Table1[[#This Row],[Max VO]]</f>
        <v>66</v>
      </c>
      <c r="AO1380" s="84"/>
      <c r="AP1380" s="84"/>
      <c r="AQ1380" s="74">
        <f>(Table1[[#This Row],[Desgnr/Retail P]]*0.05)</f>
        <v>0</v>
      </c>
      <c r="AR1380" s="74" t="b">
        <f>IF(A1380="Codarus",(AP1380*0.13))</f>
        <v>0</v>
      </c>
      <c r="AS1380" s="74" t="e" cm="1">
        <f t="array" ref="AS1380">SUM(AC1380:AG1380+AQ+AR)</f>
        <v>#NAME?</v>
      </c>
      <c r="AT1380" s="74" t="e">
        <f>(AP1380-AS1380)/AP1380</f>
        <v>#NAME?</v>
      </c>
      <c r="AU1380" s="1356" t="str">
        <f t="shared" si="481"/>
        <v>-</v>
      </c>
    </row>
    <row r="1381" spans="1:47" s="63" customFormat="1" hidden="1" x14ac:dyDescent="0.2">
      <c r="A1381" s="68" t="s">
        <v>318</v>
      </c>
      <c r="B1381" s="1063" t="s">
        <v>568</v>
      </c>
      <c r="C1381" s="78" t="s">
        <v>3295</v>
      </c>
      <c r="D1381" s="94"/>
      <c r="E1381" s="84" t="s">
        <v>3296</v>
      </c>
      <c r="F1381" s="84" t="s">
        <v>1981</v>
      </c>
      <c r="G1381" s="68" t="s">
        <v>3294</v>
      </c>
      <c r="H1381" s="68" t="s">
        <v>364</v>
      </c>
      <c r="I1381" s="68" t="s">
        <v>52</v>
      </c>
      <c r="J1381" s="140" t="s">
        <v>280</v>
      </c>
      <c r="K1381" s="68" t="s">
        <v>814</v>
      </c>
      <c r="L1381" s="68" t="s">
        <v>815</v>
      </c>
      <c r="M1381" s="93">
        <v>500</v>
      </c>
      <c r="N1381" s="93"/>
      <c r="O1381" s="68" t="s">
        <v>575</v>
      </c>
      <c r="P1381" s="68">
        <v>28</v>
      </c>
      <c r="Q1381" s="68">
        <v>38</v>
      </c>
      <c r="R1381" s="68">
        <v>28</v>
      </c>
      <c r="S1381" s="623">
        <v>38</v>
      </c>
      <c r="T1381" s="68">
        <v>31</v>
      </c>
      <c r="U1381" s="68">
        <v>41</v>
      </c>
      <c r="V1381" s="66">
        <f t="shared" si="486"/>
        <v>28</v>
      </c>
      <c r="W1381" s="66">
        <f t="shared" si="487"/>
        <v>38</v>
      </c>
      <c r="X1381" s="189" t="s">
        <v>283</v>
      </c>
      <c r="Y1381" s="68">
        <v>28</v>
      </c>
      <c r="Z1381" s="68">
        <v>38</v>
      </c>
      <c r="AA1381" s="699">
        <f t="shared" si="480"/>
        <v>7.3888888888888893</v>
      </c>
      <c r="AB1381" s="297">
        <f>AA1381*Swiss1</f>
        <v>209.10555555555558</v>
      </c>
      <c r="AC1381" s="74">
        <f>MDFSHEET/12</f>
        <v>2.0291666666666668</v>
      </c>
      <c r="AD1381" s="67">
        <f>AA1381*SWISSC1</f>
        <v>20.68888888888889</v>
      </c>
      <c r="AE1381" s="74">
        <f>IF(Table1[[#This Row],[Work Center]]="SwissQ",Materials!G$37,IF(Table1[[#This Row],[Work Center]]="Inca",Materials!G$29,IF(Table1[[#This Row],[Work Center]]="Canon",Materials!G$49,Materials!G$45)))</f>
        <v>5</v>
      </c>
      <c r="AF1381" s="73">
        <f>'Cali Frames'!D201</f>
        <v>160</v>
      </c>
      <c r="AG1381" s="84"/>
      <c r="AH1381" s="74">
        <f t="shared" si="484"/>
        <v>25</v>
      </c>
      <c r="AI1381" s="74"/>
      <c r="AJ1381" s="67">
        <f t="shared" si="489"/>
        <v>212.71805555555557</v>
      </c>
      <c r="AK1381" s="1001">
        <f t="shared" si="488"/>
        <v>0.57456388888888887</v>
      </c>
      <c r="AL1381" s="240">
        <f>Table1[[#This Row],[WSP/Dealer]]/Table1[[#This Row],[OD Sq Inch]]</f>
        <v>0.39339103068450038</v>
      </c>
      <c r="AM1381" s="63">
        <f>Table1[[#This Row],[OD Wdth]]*Table1[[#This Row],[OD Hgt]]</f>
        <v>1271</v>
      </c>
      <c r="AN1381" s="238">
        <f>Table1[[#This Row],[Min VO]]+Table1[[#This Row],[Max VO]]</f>
        <v>66</v>
      </c>
      <c r="AO1381" s="84"/>
      <c r="AP1381" s="126"/>
      <c r="AQ1381" s="74">
        <f>(Table1[[#This Row],[Desgnr/Retail P]]*0.05)</f>
        <v>0</v>
      </c>
      <c r="AR1381" s="126" t="b">
        <f>IF(A1381="Codarus",(AP1381*0.13))</f>
        <v>0</v>
      </c>
      <c r="AS1381" s="126" t="e" cm="1">
        <f t="array" ref="AS1381">SUM(AC1381:AG1381+AQ+AR)</f>
        <v>#NAME?</v>
      </c>
      <c r="AT1381" s="74" t="e">
        <f>(AP1381-AS1381)/AP1381</f>
        <v>#NAME?</v>
      </c>
      <c r="AU1381" s="1357" t="str">
        <f t="shared" si="481"/>
        <v>-</v>
      </c>
    </row>
    <row r="1382" spans="1:47" s="63" customFormat="1" hidden="1" x14ac:dyDescent="0.2">
      <c r="A1382" s="68" t="s">
        <v>101</v>
      </c>
      <c r="B1382" s="1072" t="s">
        <v>102</v>
      </c>
      <c r="C1382" s="78" t="s">
        <v>3297</v>
      </c>
      <c r="D1382" s="94"/>
      <c r="E1382" s="84" t="s">
        <v>3298</v>
      </c>
      <c r="F1382" s="84" t="s">
        <v>105</v>
      </c>
      <c r="G1382" s="68" t="s">
        <v>3299</v>
      </c>
      <c r="H1382" s="68" t="s">
        <v>1100</v>
      </c>
      <c r="I1382" s="68" t="s">
        <v>256</v>
      </c>
      <c r="J1382" s="140" t="s">
        <v>257</v>
      </c>
      <c r="K1382" s="68" t="s">
        <v>258</v>
      </c>
      <c r="L1382" s="68" t="s">
        <v>259</v>
      </c>
      <c r="M1382" s="141">
        <v>133</v>
      </c>
      <c r="N1382" s="93"/>
      <c r="O1382" s="68" t="s">
        <v>260</v>
      </c>
      <c r="P1382" s="68">
        <v>7</v>
      </c>
      <c r="Q1382" s="68">
        <v>12</v>
      </c>
      <c r="R1382" s="68">
        <v>7</v>
      </c>
      <c r="S1382" s="65">
        <v>12</v>
      </c>
      <c r="T1382" s="63">
        <v>9</v>
      </c>
      <c r="U1382" s="63">
        <v>14</v>
      </c>
      <c r="V1382" s="917">
        <f t="shared" si="486"/>
        <v>7</v>
      </c>
      <c r="W1382" s="917">
        <f t="shared" si="487"/>
        <v>12</v>
      </c>
      <c r="X1382" s="68" t="s">
        <v>257</v>
      </c>
      <c r="Y1382" s="1347">
        <f>Table1[[#This Row],[Print Wth]]+Materials!$C$7</f>
        <v>9</v>
      </c>
      <c r="Z1382" s="1347">
        <f>Table1[[#This Row],[Print Ht]]+Materials!$C$7</f>
        <v>14</v>
      </c>
      <c r="AA1382" s="1027">
        <f>(Table1[[#This Row],[Cut Width]]*Table1[[#This Row],[Cut Height]])/144</f>
        <v>0.875</v>
      </c>
      <c r="AB1382" s="297">
        <f>(Table1[[#This Row],[Print Wth]]*Table1[[#This Row],[Print Ht]])/144*canonML</f>
        <v>2.8000000000000003</v>
      </c>
      <c r="AC1382" s="74">
        <f>Table1[[#This Row],[Substrate SF]]*Paper</f>
        <v>1.183875</v>
      </c>
      <c r="AD1382" s="67">
        <f>(Table1[[#This Row],[Print Wth]]*Table1[[#This Row],[Print Ht]])/144*CanonC</f>
        <v>0.15750000000000003</v>
      </c>
      <c r="AE1382" s="74">
        <f>IF(Table1[[#This Row],[Work Center]]="SwissQ",Materials!G$37,IF(Table1[[#This Row],[Work Center]]="Inca",Materials!G$29,IF(Table1[[#This Row],[Work Center]]="Canon",Materials!G$49,Materials!G$45)))</f>
        <v>7</v>
      </c>
      <c r="AF1382" s="73">
        <f>'Cali Frames'!D4</f>
        <v>58</v>
      </c>
      <c r="AG1382" s="84"/>
      <c r="AH1382" s="74">
        <v>0</v>
      </c>
      <c r="AI1382" s="74"/>
      <c r="AJ1382" s="278">
        <f t="shared" si="489"/>
        <v>66.341374999999999</v>
      </c>
      <c r="AK1382" s="1001">
        <f t="shared" si="488"/>
        <v>0.50119266917293237</v>
      </c>
      <c r="AL1382" s="240">
        <f>Table1[[#This Row],[WSP/Dealer]]/Table1[[#This Row],[OD Sq Inch]]</f>
        <v>1.0555555555555556</v>
      </c>
      <c r="AM1382" s="170">
        <f>Table1[[#This Row],[OD Wdth]]*Table1[[#This Row],[OD Hgt]]</f>
        <v>126</v>
      </c>
      <c r="AN1382" s="274">
        <f>Table1[[#This Row],[Min VO]]+Table1[[#This Row],[Max VO]]</f>
        <v>19</v>
      </c>
      <c r="AO1382" s="119"/>
      <c r="AP1382" s="84"/>
      <c r="AQ1382" s="126"/>
      <c r="AR1382" s="126"/>
      <c r="AS1382" s="126"/>
      <c r="AT1382" s="74"/>
      <c r="AU1382" s="1356" t="str">
        <f t="shared" si="481"/>
        <v>-</v>
      </c>
    </row>
    <row r="1383" spans="1:47" s="103" customFormat="1" hidden="1" x14ac:dyDescent="0.2">
      <c r="A1383" s="101" t="s">
        <v>996</v>
      </c>
      <c r="B1383" s="1062" t="s">
        <v>96</v>
      </c>
      <c r="C1383" s="100" t="s">
        <v>3300</v>
      </c>
      <c r="D1383" s="168"/>
      <c r="E1383" s="115" t="s">
        <v>3301</v>
      </c>
      <c r="F1383" s="115" t="s">
        <v>1981</v>
      </c>
      <c r="G1383" s="101" t="s">
        <v>51</v>
      </c>
      <c r="H1383" s="101" t="s">
        <v>364</v>
      </c>
      <c r="I1383" s="101" t="s">
        <v>108</v>
      </c>
      <c r="J1383" s="487" t="s">
        <v>280</v>
      </c>
      <c r="K1383" s="101" t="s">
        <v>2078</v>
      </c>
      <c r="L1383" s="101" t="s">
        <v>315</v>
      </c>
      <c r="M1383" s="299">
        <v>800</v>
      </c>
      <c r="N1383" s="114"/>
      <c r="O1383" s="101" t="s">
        <v>575</v>
      </c>
      <c r="P1383" s="101">
        <v>30</v>
      </c>
      <c r="Q1383" s="101">
        <v>40</v>
      </c>
      <c r="R1383" s="101">
        <v>30</v>
      </c>
      <c r="S1383" s="697">
        <v>40</v>
      </c>
      <c r="T1383" s="101">
        <v>31</v>
      </c>
      <c r="U1383" s="101">
        <v>41</v>
      </c>
      <c r="V1383" s="106">
        <v>30</v>
      </c>
      <c r="W1383" s="106">
        <v>40</v>
      </c>
      <c r="X1383" s="137" t="s">
        <v>283</v>
      </c>
      <c r="Y1383" s="101">
        <v>30</v>
      </c>
      <c r="Z1383" s="101">
        <v>40</v>
      </c>
      <c r="AA1383" s="649">
        <f t="shared" ref="AA1383:AA1405" si="490">V1383*W1383/144</f>
        <v>8.3333333333333339</v>
      </c>
      <c r="AB1383" s="633">
        <f>AA1383*SWISSMLR*3</f>
        <v>50</v>
      </c>
      <c r="AC1383" s="104">
        <f>MDFSHEET/3</f>
        <v>8.1166666666666671</v>
      </c>
      <c r="AD1383" s="405">
        <f>Table1[[#This Row],[Substrate SF]]*SWISSCR*3</f>
        <v>5.5</v>
      </c>
      <c r="AE1383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383" s="102">
        <f>'Cali Frames'!D512</f>
        <v>201.88</v>
      </c>
      <c r="AG1383" s="115"/>
      <c r="AH1383" s="107">
        <f t="shared" ref="AH1383:AH1407" si="491">(M1383*0.05)</f>
        <v>40</v>
      </c>
      <c r="AI1383" s="107"/>
      <c r="AJ1383" s="406">
        <f t="shared" si="489"/>
        <v>263.49666666666667</v>
      </c>
      <c r="AK1383" s="108">
        <f t="shared" si="488"/>
        <v>0.67062916666666661</v>
      </c>
      <c r="AL1383" s="660">
        <f>Table1[[#This Row],[WSP/Dealer]]/Table1[[#This Row],[OD Sq Inch]]</f>
        <v>0.6294256490952006</v>
      </c>
      <c r="AM1383" s="399">
        <f>Table1[[#This Row],[OD Wdth]]*Table1[[#This Row],[OD Hgt]]</f>
        <v>1271</v>
      </c>
      <c r="AN1383" s="400">
        <f>Table1[[#This Row],[Min VO]]+Table1[[#This Row],[Max VO]]</f>
        <v>70</v>
      </c>
      <c r="AO1383" s="115" t="str">
        <f>Table1[[#This Row],[Print Type]]</f>
        <v>Reductive</v>
      </c>
      <c r="AP1383" s="115"/>
      <c r="AQ1383" s="121"/>
      <c r="AR1383" s="121"/>
      <c r="AS1383" s="121"/>
      <c r="AT1383" s="104"/>
      <c r="AU1383" s="1359" t="str">
        <f t="shared" si="481"/>
        <v>-</v>
      </c>
    </row>
    <row r="1384" spans="1:47" s="103" customFormat="1" hidden="1" x14ac:dyDescent="0.2">
      <c r="A1384" s="101" t="s">
        <v>996</v>
      </c>
      <c r="B1384" s="1062" t="s">
        <v>96</v>
      </c>
      <c r="C1384" s="100" t="s">
        <v>3302</v>
      </c>
      <c r="D1384" s="168"/>
      <c r="E1384" s="115" t="s">
        <v>3303</v>
      </c>
      <c r="F1384" s="115" t="s">
        <v>1981</v>
      </c>
      <c r="G1384" s="101" t="s">
        <v>51</v>
      </c>
      <c r="H1384" s="101" t="s">
        <v>364</v>
      </c>
      <c r="I1384" s="101" t="s">
        <v>108</v>
      </c>
      <c r="J1384" s="487" t="s">
        <v>280</v>
      </c>
      <c r="K1384" s="101" t="s">
        <v>2078</v>
      </c>
      <c r="L1384" s="101" t="s">
        <v>315</v>
      </c>
      <c r="M1384" s="299">
        <v>800</v>
      </c>
      <c r="N1384" s="114"/>
      <c r="O1384" s="101" t="s">
        <v>575</v>
      </c>
      <c r="P1384" s="101">
        <v>30</v>
      </c>
      <c r="Q1384" s="101">
        <v>40</v>
      </c>
      <c r="R1384" s="101">
        <v>30</v>
      </c>
      <c r="S1384" s="116">
        <v>40</v>
      </c>
      <c r="T1384" s="101">
        <v>31</v>
      </c>
      <c r="U1384" s="101">
        <v>41</v>
      </c>
      <c r="V1384" s="106">
        <v>30</v>
      </c>
      <c r="W1384" s="106">
        <v>40</v>
      </c>
      <c r="X1384" s="1010" t="s">
        <v>283</v>
      </c>
      <c r="Y1384" s="101">
        <v>30</v>
      </c>
      <c r="Z1384" s="101">
        <v>40</v>
      </c>
      <c r="AA1384" s="649">
        <f t="shared" si="490"/>
        <v>8.3333333333333339</v>
      </c>
      <c r="AB1384" s="633">
        <f>AA1384*SWISSMLR*3</f>
        <v>50</v>
      </c>
      <c r="AC1384" s="107">
        <f>MDFSHEET/3</f>
        <v>8.1166666666666671</v>
      </c>
      <c r="AD1384" s="405">
        <f>Table1[[#This Row],[Substrate SF]]*SWISSCR*3</f>
        <v>5.5</v>
      </c>
      <c r="AE1384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384" s="102">
        <f>'Cali Frames'!D512</f>
        <v>201.88</v>
      </c>
      <c r="AG1384" s="115"/>
      <c r="AH1384" s="107">
        <f t="shared" si="491"/>
        <v>40</v>
      </c>
      <c r="AI1384" s="104"/>
      <c r="AJ1384" s="406">
        <f t="shared" si="489"/>
        <v>263.49666666666667</v>
      </c>
      <c r="AK1384" s="108">
        <f t="shared" si="488"/>
        <v>0.67062916666666661</v>
      </c>
      <c r="AL1384" s="660">
        <f>Table1[[#This Row],[WSP/Dealer]]/Table1[[#This Row],[OD Sq Inch]]</f>
        <v>0.6294256490952006</v>
      </c>
      <c r="AM1384" s="399">
        <f>Table1[[#This Row],[OD Wdth]]*Table1[[#This Row],[OD Hgt]]</f>
        <v>1271</v>
      </c>
      <c r="AN1384" s="400">
        <f>Table1[[#This Row],[Min VO]]+Table1[[#This Row],[Max VO]]</f>
        <v>70</v>
      </c>
      <c r="AO1384" s="113" t="str">
        <f>Table1[[#This Row],[Print Type]]</f>
        <v>Reductive</v>
      </c>
      <c r="AP1384" s="115"/>
      <c r="AQ1384" s="121"/>
      <c r="AR1384" s="121"/>
      <c r="AS1384" s="121"/>
      <c r="AT1384" s="104"/>
      <c r="AU1384" s="1367" t="str">
        <f t="shared" si="481"/>
        <v>-</v>
      </c>
    </row>
    <row r="1385" spans="1:47" s="46" customFormat="1" x14ac:dyDescent="0.2">
      <c r="A1385" s="551" t="s">
        <v>58</v>
      </c>
      <c r="B1385" s="1150" t="s">
        <v>1190</v>
      </c>
      <c r="C1385" s="805" t="s">
        <v>3304</v>
      </c>
      <c r="D1385" s="77"/>
      <c r="E1385" s="653" t="s">
        <v>3305</v>
      </c>
      <c r="F1385" s="653" t="s">
        <v>50</v>
      </c>
      <c r="G1385" s="551" t="s">
        <v>132</v>
      </c>
      <c r="H1385" s="551" t="s">
        <v>132</v>
      </c>
      <c r="I1385" s="551" t="s">
        <v>52</v>
      </c>
      <c r="J1385" s="856" t="s">
        <v>53</v>
      </c>
      <c r="K1385" s="551" t="s">
        <v>54</v>
      </c>
      <c r="L1385" s="551" t="s">
        <v>55</v>
      </c>
      <c r="M1385" s="896">
        <v>650</v>
      </c>
      <c r="N1385" s="896"/>
      <c r="O1385" s="551" t="s">
        <v>56</v>
      </c>
      <c r="P1385" s="551">
        <v>36</v>
      </c>
      <c r="Q1385" s="551">
        <v>48</v>
      </c>
      <c r="R1385" s="551">
        <v>36</v>
      </c>
      <c r="S1385" s="984">
        <v>48</v>
      </c>
      <c r="T1385" s="551">
        <v>36</v>
      </c>
      <c r="U1385" s="551">
        <v>48</v>
      </c>
      <c r="V1385" s="917">
        <f>IF(J1385="Canvas",P1385+Border,P1385)</f>
        <v>44</v>
      </c>
      <c r="W1385" s="917">
        <f>IF(J1385="Canvas",Q1385+Border,Q1385)</f>
        <v>56</v>
      </c>
      <c r="X1385" s="551">
        <v>59</v>
      </c>
      <c r="Y1385" s="551">
        <v>44</v>
      </c>
      <c r="Z1385" s="551">
        <v>56</v>
      </c>
      <c r="AA1385" s="724">
        <f t="shared" si="490"/>
        <v>17.111111111111111</v>
      </c>
      <c r="AB1385" s="184">
        <f>AA1385*IncaG</f>
        <v>360.01777777777778</v>
      </c>
      <c r="AC1385" s="69">
        <f t="shared" ref="AC1385:AC1399" si="492">AA1385*Canvas</f>
        <v>11.293333333333333</v>
      </c>
      <c r="AD1385" s="405">
        <f>Table1[[#This Row],[Substrate SF]]*IncaC</f>
        <v>28.801422222222222</v>
      </c>
      <c r="AE1385" s="104">
        <f>IF(Table1[[#This Row],[Work Center]]="SwissQ",Materials!G$37,IF(Table1[[#This Row],[Work Center]]="Inca",Materials!G$29,IF(Table1[[#This Row],[Work Center]]="Canon",Materials!G$49,Materials!G$45)))</f>
        <v>8</v>
      </c>
      <c r="AF1385" s="71">
        <f>'Cali FPS'!C71</f>
        <v>114.31</v>
      </c>
      <c r="AG1385" s="653"/>
      <c r="AH1385" s="498">
        <f t="shared" si="491"/>
        <v>32.5</v>
      </c>
      <c r="AI1385" s="498"/>
      <c r="AJ1385" s="406">
        <f t="shared" si="489"/>
        <v>194.90475555555554</v>
      </c>
      <c r="AK1385" s="650">
        <f t="shared" si="488"/>
        <v>0.70014652991452997</v>
      </c>
      <c r="AL1385" s="225">
        <f>Table1[[#This Row],[WSP/Dealer]]/Table1[[#This Row],[OD Sq Inch]]</f>
        <v>0.37615740740740738</v>
      </c>
      <c r="AM1385" s="400">
        <f>Table1[[#This Row],[OD Wdth]]*Table1[[#This Row],[OD Hgt]]</f>
        <v>1728</v>
      </c>
      <c r="AN1385" s="400" t="str">
        <f>Table1[[#This Row],[Color]]</f>
        <v>GW</v>
      </c>
      <c r="AO1385" s="653"/>
      <c r="AP1385" s="653"/>
      <c r="AQ1385" s="864"/>
      <c r="AR1385" s="864"/>
      <c r="AS1385" s="864"/>
      <c r="AT1385" s="863"/>
      <c r="AU1385" s="1364" t="str">
        <f t="shared" si="481"/>
        <v>-</v>
      </c>
    </row>
    <row r="1386" spans="1:47" s="103" customFormat="1" x14ac:dyDescent="0.2">
      <c r="A1386" s="68" t="s">
        <v>58</v>
      </c>
      <c r="B1386" s="1072" t="s">
        <v>1190</v>
      </c>
      <c r="C1386" s="78" t="s">
        <v>3306</v>
      </c>
      <c r="D1386" s="94"/>
      <c r="E1386" s="84" t="s">
        <v>3305</v>
      </c>
      <c r="F1386" s="84" t="s">
        <v>50</v>
      </c>
      <c r="G1386" s="68" t="s">
        <v>132</v>
      </c>
      <c r="H1386" s="68" t="s">
        <v>133</v>
      </c>
      <c r="I1386" s="68" t="s">
        <v>52</v>
      </c>
      <c r="J1386" s="140" t="s">
        <v>53</v>
      </c>
      <c r="K1386" s="68" t="s">
        <v>69</v>
      </c>
      <c r="L1386" s="68" t="s">
        <v>76</v>
      </c>
      <c r="M1386" s="141">
        <v>750</v>
      </c>
      <c r="N1386" s="93"/>
      <c r="O1386" s="68" t="s">
        <v>56</v>
      </c>
      <c r="P1386" s="68">
        <v>36</v>
      </c>
      <c r="Q1386" s="68">
        <v>48</v>
      </c>
      <c r="R1386" s="68">
        <v>36</v>
      </c>
      <c r="S1386" s="623">
        <v>48</v>
      </c>
      <c r="T1386" s="68">
        <v>37</v>
      </c>
      <c r="U1386" s="68">
        <v>49</v>
      </c>
      <c r="V1386" s="917">
        <f>IF(J1386="Canvas",P1386+Border,P1386)</f>
        <v>44</v>
      </c>
      <c r="W1386" s="917">
        <f>IF(J1386="Canvas",Q1386+Border,Q1386)</f>
        <v>56</v>
      </c>
      <c r="X1386" s="551">
        <v>59</v>
      </c>
      <c r="Y1386" s="68">
        <v>44</v>
      </c>
      <c r="Z1386" s="68">
        <v>56</v>
      </c>
      <c r="AA1386" s="727">
        <f t="shared" si="490"/>
        <v>17.111111111111111</v>
      </c>
      <c r="AB1386" s="297">
        <f>AA1386*IncaG</f>
        <v>360.01777777777778</v>
      </c>
      <c r="AC1386" s="74">
        <f t="shared" si="492"/>
        <v>11.293333333333333</v>
      </c>
      <c r="AD1386" s="263">
        <f>Table1[[#This Row],[Substrate SF]]*IncaC</f>
        <v>28.801422222222222</v>
      </c>
      <c r="AE1386" s="74">
        <f>IF(Table1[[#This Row],[Work Center]]="SwissQ",Materials!G$37,IF(Table1[[#This Row],[Work Center]]="Inca",Materials!G$29,IF(Table1[[#This Row],[Work Center]]="Canon",Materials!G$49,Materials!G$45)))</f>
        <v>8</v>
      </c>
      <c r="AF1386" s="73">
        <f>'Cali Frames'!D371</f>
        <v>160</v>
      </c>
      <c r="AG1386" s="84"/>
      <c r="AH1386" s="498">
        <f t="shared" si="491"/>
        <v>37.5</v>
      </c>
      <c r="AI1386" s="498"/>
      <c r="AJ1386" s="406">
        <f t="shared" si="489"/>
        <v>245.59475555555554</v>
      </c>
      <c r="AK1386" s="650">
        <f t="shared" si="488"/>
        <v>0.67254032592592594</v>
      </c>
      <c r="AL1386" s="225">
        <f>Table1[[#This Row],[WSP/Dealer]]/Table1[[#This Row],[OD Sq Inch]]</f>
        <v>0.41367898510755652</v>
      </c>
      <c r="AM1386" s="400">
        <f>Table1[[#This Row],[OD Wdth]]*Table1[[#This Row],[OD Hgt]]</f>
        <v>1813</v>
      </c>
      <c r="AN1386" s="400" t="str">
        <f>Table1[[#This Row],[Color]]</f>
        <v>GF</v>
      </c>
      <c r="AO1386" s="84"/>
      <c r="AP1386" s="84"/>
      <c r="AQ1386" s="126"/>
      <c r="AR1386" s="126"/>
      <c r="AS1386" s="126"/>
      <c r="AT1386" s="74"/>
      <c r="AU1386" s="1357" t="str">
        <f t="shared" si="481"/>
        <v>-</v>
      </c>
    </row>
    <row r="1387" spans="1:47" s="63" customFormat="1" x14ac:dyDescent="0.2">
      <c r="A1387" s="68" t="s">
        <v>58</v>
      </c>
      <c r="B1387" s="1072" t="s">
        <v>1190</v>
      </c>
      <c r="C1387" s="78" t="s">
        <v>3307</v>
      </c>
      <c r="D1387" s="94"/>
      <c r="E1387" s="84" t="s">
        <v>3305</v>
      </c>
      <c r="F1387" s="84" t="s">
        <v>50</v>
      </c>
      <c r="G1387" s="68" t="s">
        <v>132</v>
      </c>
      <c r="H1387" s="68" t="s">
        <v>133</v>
      </c>
      <c r="I1387" s="68" t="s">
        <v>52</v>
      </c>
      <c r="J1387" s="140" t="s">
        <v>53</v>
      </c>
      <c r="K1387" s="68" t="s">
        <v>69</v>
      </c>
      <c r="L1387" s="68" t="s">
        <v>73</v>
      </c>
      <c r="M1387" s="141">
        <v>750</v>
      </c>
      <c r="N1387" s="93"/>
      <c r="O1387" s="68" t="s">
        <v>56</v>
      </c>
      <c r="P1387" s="68">
        <v>36</v>
      </c>
      <c r="Q1387" s="68">
        <v>48</v>
      </c>
      <c r="R1387" s="68">
        <v>36</v>
      </c>
      <c r="S1387" s="623">
        <v>48</v>
      </c>
      <c r="T1387" s="68">
        <v>37</v>
      </c>
      <c r="U1387" s="68">
        <v>49</v>
      </c>
      <c r="V1387" s="917">
        <f>IF(J1387="Canvas",P1387+Border,P1387)</f>
        <v>44</v>
      </c>
      <c r="W1387" s="917">
        <f>IF(J1387="Canvas",Q1387+Border,Q1387)</f>
        <v>56</v>
      </c>
      <c r="X1387" s="551">
        <v>59</v>
      </c>
      <c r="Y1387" s="68">
        <v>44</v>
      </c>
      <c r="Z1387" s="68">
        <v>56</v>
      </c>
      <c r="AA1387" s="727">
        <f t="shared" si="490"/>
        <v>17.111111111111111</v>
      </c>
      <c r="AB1387" s="297">
        <f>AA1387*IncaG</f>
        <v>360.01777777777778</v>
      </c>
      <c r="AC1387" s="74">
        <f t="shared" si="492"/>
        <v>11.293333333333333</v>
      </c>
      <c r="AD1387" s="263">
        <f>Table1[[#This Row],[Substrate SF]]*IncaC</f>
        <v>28.801422222222222</v>
      </c>
      <c r="AE1387" s="74">
        <f>IF(Table1[[#This Row],[Work Center]]="SwissQ",Materials!G$37,IF(Table1[[#This Row],[Work Center]]="Inca",Materials!G$29,IF(Table1[[#This Row],[Work Center]]="Canon",Materials!G$49,Materials!G$45)))</f>
        <v>8</v>
      </c>
      <c r="AF1387" s="73">
        <f>'Cali Frames'!D436</f>
        <v>145.70500000000001</v>
      </c>
      <c r="AG1387" s="84"/>
      <c r="AH1387" s="498">
        <f t="shared" si="491"/>
        <v>37.5</v>
      </c>
      <c r="AI1387" s="498"/>
      <c r="AJ1387" s="406">
        <f t="shared" si="489"/>
        <v>231.29975555555558</v>
      </c>
      <c r="AK1387" s="650">
        <f t="shared" si="488"/>
        <v>0.69160032592592602</v>
      </c>
      <c r="AL1387" s="225">
        <f>Table1[[#This Row],[WSP/Dealer]]/Table1[[#This Row],[OD Sq Inch]]</f>
        <v>0.41367898510755652</v>
      </c>
      <c r="AM1387" s="400">
        <f>Table1[[#This Row],[OD Wdth]]*Table1[[#This Row],[OD Hgt]]</f>
        <v>1813</v>
      </c>
      <c r="AN1387" s="400" t="str">
        <f>Table1[[#This Row],[Color]]</f>
        <v>NF</v>
      </c>
      <c r="AO1387" s="84"/>
      <c r="AP1387" s="84"/>
      <c r="AQ1387" s="126"/>
      <c r="AR1387" s="126"/>
      <c r="AS1387" s="126"/>
      <c r="AT1387" s="74"/>
      <c r="AU1387" s="1357" t="str">
        <f t="shared" si="481"/>
        <v>-</v>
      </c>
    </row>
    <row r="1388" spans="1:47" s="103" customFormat="1" x14ac:dyDescent="0.2">
      <c r="A1388" s="68" t="s">
        <v>58</v>
      </c>
      <c r="B1388" s="1072" t="s">
        <v>1190</v>
      </c>
      <c r="C1388" s="78" t="s">
        <v>3308</v>
      </c>
      <c r="D1388" s="94"/>
      <c r="E1388" s="84" t="s">
        <v>3305</v>
      </c>
      <c r="F1388" s="84" t="s">
        <v>50</v>
      </c>
      <c r="G1388" s="68" t="s">
        <v>132</v>
      </c>
      <c r="H1388" s="68" t="s">
        <v>133</v>
      </c>
      <c r="I1388" s="68" t="s">
        <v>52</v>
      </c>
      <c r="J1388" s="140" t="s">
        <v>53</v>
      </c>
      <c r="K1388" s="68" t="s">
        <v>69</v>
      </c>
      <c r="L1388" s="68" t="s">
        <v>70</v>
      </c>
      <c r="M1388" s="141">
        <v>750</v>
      </c>
      <c r="N1388" s="93"/>
      <c r="O1388" s="68" t="s">
        <v>56</v>
      </c>
      <c r="P1388" s="68">
        <v>36</v>
      </c>
      <c r="Q1388" s="68">
        <v>48</v>
      </c>
      <c r="R1388" s="68">
        <v>36</v>
      </c>
      <c r="S1388" s="623">
        <v>48</v>
      </c>
      <c r="T1388" s="68">
        <v>37</v>
      </c>
      <c r="U1388" s="68">
        <v>49</v>
      </c>
      <c r="V1388" s="917">
        <f>IF(J1388="Canvas",P1388+Border,P1388)</f>
        <v>44</v>
      </c>
      <c r="W1388" s="917">
        <f>IF(J1388="Canvas",Q1388+Border,Q1388)</f>
        <v>56</v>
      </c>
      <c r="X1388" s="551">
        <v>59</v>
      </c>
      <c r="Y1388" s="68">
        <v>44</v>
      </c>
      <c r="Z1388" s="68">
        <v>56</v>
      </c>
      <c r="AA1388" s="727">
        <f t="shared" si="490"/>
        <v>17.111111111111111</v>
      </c>
      <c r="AB1388" s="297">
        <f>AA1388*IncaG</f>
        <v>360.01777777777778</v>
      </c>
      <c r="AC1388" s="74">
        <f t="shared" si="492"/>
        <v>11.293333333333333</v>
      </c>
      <c r="AD1388" s="263">
        <f>Table1[[#This Row],[Substrate SF]]*IncaC</f>
        <v>28.801422222222222</v>
      </c>
      <c r="AE1388" s="74">
        <f>IF(Table1[[#This Row],[Work Center]]="SwissQ",Materials!G$37,IF(Table1[[#This Row],[Work Center]]="Inca",Materials!G$29,IF(Table1[[#This Row],[Work Center]]="Canon",Materials!G$49,Materials!G$45)))</f>
        <v>8</v>
      </c>
      <c r="AF1388" s="73">
        <f>'Cali Frames'!D300</f>
        <v>164.8</v>
      </c>
      <c r="AG1388" s="84"/>
      <c r="AH1388" s="498">
        <f t="shared" si="491"/>
        <v>37.5</v>
      </c>
      <c r="AI1388" s="498"/>
      <c r="AJ1388" s="406">
        <f t="shared" si="489"/>
        <v>250.39475555555555</v>
      </c>
      <c r="AK1388" s="650">
        <f t="shared" si="488"/>
        <v>0.66614032592592598</v>
      </c>
      <c r="AL1388" s="225">
        <f>Table1[[#This Row],[WSP/Dealer]]/Table1[[#This Row],[OD Sq Inch]]</f>
        <v>0.41367898510755652</v>
      </c>
      <c r="AM1388" s="400">
        <f>Table1[[#This Row],[OD Wdth]]*Table1[[#This Row],[OD Hgt]]</f>
        <v>1813</v>
      </c>
      <c r="AN1388" s="400" t="str">
        <f>Table1[[#This Row],[Color]]</f>
        <v>BF</v>
      </c>
      <c r="AO1388" s="84"/>
      <c r="AP1388" s="84"/>
      <c r="AQ1388" s="126"/>
      <c r="AR1388" s="126"/>
      <c r="AS1388" s="126"/>
      <c r="AT1388" s="74"/>
      <c r="AU1388" s="1357" t="str">
        <f t="shared" si="481"/>
        <v>-</v>
      </c>
    </row>
    <row r="1389" spans="1:47" s="103" customFormat="1" hidden="1" x14ac:dyDescent="0.2">
      <c r="A1389" s="495" t="s">
        <v>318</v>
      </c>
      <c r="B1389" s="1061" t="s">
        <v>96</v>
      </c>
      <c r="C1389" s="496" t="s">
        <v>3309</v>
      </c>
      <c r="D1389" s="94">
        <v>199599</v>
      </c>
      <c r="E1389" s="401" t="s">
        <v>3310</v>
      </c>
      <c r="F1389" s="401" t="s">
        <v>50</v>
      </c>
      <c r="G1389" s="400" t="s">
        <v>51</v>
      </c>
      <c r="H1389" s="400" t="s">
        <v>51</v>
      </c>
      <c r="I1389" s="400" t="s">
        <v>52</v>
      </c>
      <c r="J1389" s="400" t="s">
        <v>53</v>
      </c>
      <c r="K1389" s="400" t="s">
        <v>54</v>
      </c>
      <c r="L1389" s="400" t="s">
        <v>55</v>
      </c>
      <c r="M1389" s="541">
        <v>350</v>
      </c>
      <c r="N1389" s="786">
        <v>875</v>
      </c>
      <c r="O1389" s="400" t="s">
        <v>56</v>
      </c>
      <c r="P1389" s="399">
        <v>30</v>
      </c>
      <c r="Q1389" s="399">
        <v>40</v>
      </c>
      <c r="R1389" s="400">
        <v>30</v>
      </c>
      <c r="S1389" s="399">
        <v>40</v>
      </c>
      <c r="T1389" s="399">
        <v>30</v>
      </c>
      <c r="U1389" s="399">
        <v>40</v>
      </c>
      <c r="V1389" s="918">
        <f>IF(J1389="Canvas",P1389+Border,P1389)</f>
        <v>38</v>
      </c>
      <c r="W1389" s="918">
        <f>IF(J1389="Canvas",Q1389+Border,Q1389)</f>
        <v>48</v>
      </c>
      <c r="X1389" s="525">
        <v>53</v>
      </c>
      <c r="Y1389" s="400">
        <v>30</v>
      </c>
      <c r="Z1389" s="400">
        <v>40</v>
      </c>
      <c r="AA1389" s="724">
        <f t="shared" si="490"/>
        <v>12.666666666666666</v>
      </c>
      <c r="AB1389" s="184">
        <f>AA1389*IncaG</f>
        <v>266.50666666666666</v>
      </c>
      <c r="AC1389" s="69">
        <f t="shared" si="492"/>
        <v>8.36</v>
      </c>
      <c r="AD1389" s="405">
        <f>Table1[[#This Row],[Substrate SF]]*IncaC</f>
        <v>21.320533333333334</v>
      </c>
      <c r="AE1389" s="104">
        <f>IF(Table1[[#This Row],[Work Center]]="SwissQ",Materials!G$37,IF(Table1[[#This Row],[Work Center]]="Inca",Materials!G$29,IF(Table1[[#This Row],[Work Center]]="Canon",Materials!G$49,Materials!G$45)))</f>
        <v>8</v>
      </c>
      <c r="AF1389" s="406">
        <f>'Cali FPS'!C48</f>
        <v>76.3</v>
      </c>
      <c r="AG1389" s="115"/>
      <c r="AH1389" s="498">
        <f t="shared" si="491"/>
        <v>17.5</v>
      </c>
      <c r="AI1389" s="498"/>
      <c r="AJ1389" s="406">
        <f t="shared" si="489"/>
        <v>131.48053333333331</v>
      </c>
      <c r="AK1389" s="650">
        <f t="shared" si="488"/>
        <v>0.62434133333333341</v>
      </c>
      <c r="AL1389" s="225">
        <f>Table1[[#This Row],[WSP/Dealer]]/Table1[[#This Row],[OD Sq Inch]]</f>
        <v>0.29166666666666669</v>
      </c>
      <c r="AM1389" s="399">
        <f>Table1[[#This Row],[OD Wdth]]*Table1[[#This Row],[OD Hgt]]</f>
        <v>1200</v>
      </c>
      <c r="AN1389" s="400" t="str">
        <f>Table1[[#This Row],[Color]]</f>
        <v>GW</v>
      </c>
      <c r="AO1389" s="115" t="str">
        <f>Table1[[#This Row],[Print Type]]</f>
        <v>Synograph</v>
      </c>
      <c r="AP1389" s="121"/>
      <c r="AQ1389" s="121"/>
      <c r="AR1389" s="121"/>
      <c r="AS1389" s="121"/>
      <c r="AT1389" s="104"/>
      <c r="AU1389" s="1366" t="str">
        <f t="shared" si="481"/>
        <v>-</v>
      </c>
    </row>
    <row r="1390" spans="1:47" s="103" customFormat="1" hidden="1" x14ac:dyDescent="0.2">
      <c r="A1390" s="216" t="s">
        <v>272</v>
      </c>
      <c r="B1390" s="1061" t="s">
        <v>273</v>
      </c>
      <c r="C1390" s="243" t="s">
        <v>3311</v>
      </c>
      <c r="D1390" s="94"/>
      <c r="E1390" s="217" t="s">
        <v>3312</v>
      </c>
      <c r="F1390" s="217" t="s">
        <v>50</v>
      </c>
      <c r="G1390" s="216" t="s">
        <v>3313</v>
      </c>
      <c r="H1390" s="216" t="s">
        <v>3313</v>
      </c>
      <c r="I1390" s="216" t="s">
        <v>108</v>
      </c>
      <c r="J1390" s="216" t="s">
        <v>53</v>
      </c>
      <c r="K1390" s="216" t="s">
        <v>54</v>
      </c>
      <c r="L1390" s="216" t="s">
        <v>55</v>
      </c>
      <c r="M1390" s="219">
        <v>350</v>
      </c>
      <c r="N1390" s="219"/>
      <c r="O1390" s="218" t="s">
        <v>109</v>
      </c>
      <c r="P1390" s="218">
        <v>40</v>
      </c>
      <c r="Q1390" s="218">
        <v>53</v>
      </c>
      <c r="R1390" s="216">
        <v>40</v>
      </c>
      <c r="S1390" s="218">
        <v>53</v>
      </c>
      <c r="T1390" s="218">
        <v>40</v>
      </c>
      <c r="U1390" s="218">
        <v>53</v>
      </c>
      <c r="V1390" s="222">
        <f>IF(J1390="Canvas",P1390+BorderGW,P1390)</f>
        <v>48</v>
      </c>
      <c r="W1390" s="222">
        <f>IF(J1390="Canvas",Q1390+BorderGW,Q1390)</f>
        <v>61</v>
      </c>
      <c r="X1390" s="223">
        <v>63</v>
      </c>
      <c r="Y1390" s="218"/>
      <c r="Z1390" s="218"/>
      <c r="AA1390" s="718">
        <f t="shared" si="490"/>
        <v>20.333333333333332</v>
      </c>
      <c r="AB1390" s="233">
        <f>AA1390*EPSONM</f>
        <v>91.5</v>
      </c>
      <c r="AC1390" s="207">
        <f t="shared" si="492"/>
        <v>13.42</v>
      </c>
      <c r="AD1390" s="207">
        <f>Table1[[#This Row],[Ink g/mL]]*EPSONC</f>
        <v>20.13</v>
      </c>
      <c r="AE1390" s="104">
        <f>IF(Table1[[#This Row],[Work Center]]="SwissQ",Materials!G$37,IF(Table1[[#This Row],[Work Center]]="Inca",Materials!G$29,IF(Table1[[#This Row],[Work Center]]="Canon",Materials!G$49,Materials!G$45)))</f>
        <v>5</v>
      </c>
      <c r="AF1390" s="225">
        <f>'Cali FPS'!C87</f>
        <v>108.955</v>
      </c>
      <c r="AG1390" s="115"/>
      <c r="AH1390" s="112">
        <f t="shared" si="491"/>
        <v>17.5</v>
      </c>
      <c r="AI1390" s="112"/>
      <c r="AJ1390" s="225">
        <f t="shared" si="489"/>
        <v>165.005</v>
      </c>
      <c r="AK1390" s="62">
        <f t="shared" si="488"/>
        <v>0.52855714285714284</v>
      </c>
      <c r="AL1390" s="225">
        <f>Table1[[#This Row],[WSP/Dealer]]/Table1[[#This Row],[OD Sq Inch]]</f>
        <v>0.1650943396226415</v>
      </c>
      <c r="AM1390" s="218">
        <f>Table1[[#This Row],[OD Wdth]]*Table1[[#This Row],[OD Hgt]]</f>
        <v>2120</v>
      </c>
      <c r="AN1390" s="216">
        <f>Table1[[#This Row],[Min VO]]+Table1[[#This Row],[Max VO]]</f>
        <v>93</v>
      </c>
      <c r="AO1390" s="218" t="s">
        <v>467</v>
      </c>
      <c r="AP1390" s="226"/>
      <c r="AQ1390" s="226"/>
      <c r="AR1390" s="226"/>
      <c r="AS1390" s="226"/>
      <c r="AT1390" s="226"/>
      <c r="AU1390" s="1369" t="str">
        <f t="shared" si="481"/>
        <v>-</v>
      </c>
    </row>
    <row r="1391" spans="1:47" s="63" customFormat="1" hidden="1" x14ac:dyDescent="0.2">
      <c r="A1391" s="216" t="s">
        <v>272</v>
      </c>
      <c r="B1391" s="1061" t="s">
        <v>273</v>
      </c>
      <c r="C1391" s="232" t="s">
        <v>3314</v>
      </c>
      <c r="D1391" s="94"/>
      <c r="E1391" s="217" t="s">
        <v>3315</v>
      </c>
      <c r="F1391" s="217" t="s">
        <v>50</v>
      </c>
      <c r="G1391" s="216" t="s">
        <v>3313</v>
      </c>
      <c r="H1391" s="216" t="s">
        <v>3313</v>
      </c>
      <c r="I1391" s="216" t="s">
        <v>52</v>
      </c>
      <c r="J1391" s="216" t="s">
        <v>53</v>
      </c>
      <c r="K1391" s="216" t="s">
        <v>54</v>
      </c>
      <c r="L1391" s="216" t="s">
        <v>55</v>
      </c>
      <c r="M1391" s="219">
        <v>400</v>
      </c>
      <c r="N1391" s="219"/>
      <c r="O1391" s="218" t="s">
        <v>56</v>
      </c>
      <c r="P1391" s="218">
        <v>40</v>
      </c>
      <c r="Q1391" s="218">
        <v>53</v>
      </c>
      <c r="R1391" s="216">
        <v>40</v>
      </c>
      <c r="S1391" s="218">
        <v>53</v>
      </c>
      <c r="T1391" s="218">
        <v>40</v>
      </c>
      <c r="U1391" s="218">
        <v>53</v>
      </c>
      <c r="V1391" s="222">
        <f>IF(J1391="Canvas",P1391+BorderGW,P1391)</f>
        <v>48</v>
      </c>
      <c r="W1391" s="222">
        <f>IF(J1391="Canvas",Q1391+BorderGW,Q1391)</f>
        <v>61</v>
      </c>
      <c r="X1391" s="223">
        <v>63</v>
      </c>
      <c r="Y1391" s="218"/>
      <c r="Z1391" s="218"/>
      <c r="AA1391" s="718">
        <f t="shared" si="490"/>
        <v>20.333333333333332</v>
      </c>
      <c r="AB1391" s="233">
        <f t="shared" ref="AB1391:AB1401" si="493">AA1391*IncaG</f>
        <v>427.81333333333328</v>
      </c>
      <c r="AC1391" s="225">
        <f t="shared" si="492"/>
        <v>13.42</v>
      </c>
      <c r="AD1391" s="206">
        <f>Table1[[#This Row],[Ink g/mL]]*Materials!$C$29</f>
        <v>34.225066666666663</v>
      </c>
      <c r="AE1391" s="104">
        <f>IF(Table1[[#This Row],[Work Center]]="SwissQ",Materials!G$37,IF(Table1[[#This Row],[Work Center]]="Inca",Materials!G$29,IF(Table1[[#This Row],[Work Center]]="Canon",Materials!G$49,Materials!G$45)))</f>
        <v>8</v>
      </c>
      <c r="AF1391" s="225"/>
      <c r="AG1391" s="115"/>
      <c r="AH1391" s="112">
        <f t="shared" si="491"/>
        <v>20</v>
      </c>
      <c r="AI1391" s="112"/>
      <c r="AJ1391" s="225">
        <f t="shared" si="489"/>
        <v>75.645066666666665</v>
      </c>
      <c r="AK1391" s="62">
        <f t="shared" si="488"/>
        <v>0.8108873333333334</v>
      </c>
      <c r="AL1391" s="225">
        <f>Table1[[#This Row],[WSP/Dealer]]/Table1[[#This Row],[OD Sq Inch]]</f>
        <v>0.18867924528301888</v>
      </c>
      <c r="AM1391" s="103">
        <f>Table1[[#This Row],[OD Wdth]]*Table1[[#This Row],[OD Hgt]]</f>
        <v>2120</v>
      </c>
      <c r="AN1391" s="216">
        <f>Table1[[#This Row],[Min VO]]+Table1[[#This Row],[Max VO]]</f>
        <v>93</v>
      </c>
      <c r="AO1391" s="218" t="s">
        <v>467</v>
      </c>
      <c r="AP1391" s="226"/>
      <c r="AQ1391" s="226"/>
      <c r="AR1391" s="226"/>
      <c r="AS1391" s="226"/>
      <c r="AT1391" s="226"/>
      <c r="AU1391" s="1820" t="str">
        <f t="shared" si="481"/>
        <v>-</v>
      </c>
    </row>
    <row r="1392" spans="1:47" s="63" customFormat="1" x14ac:dyDescent="0.2">
      <c r="A1392" s="86" t="s">
        <v>58</v>
      </c>
      <c r="B1392" s="1061" t="s">
        <v>406</v>
      </c>
      <c r="C1392" s="76" t="s">
        <v>3316</v>
      </c>
      <c r="D1392" s="94" t="s">
        <v>3317</v>
      </c>
      <c r="E1392" s="85" t="s">
        <v>3318</v>
      </c>
      <c r="F1392" s="85" t="s">
        <v>650</v>
      </c>
      <c r="G1392" s="86" t="s">
        <v>1342</v>
      </c>
      <c r="H1392" s="86" t="s">
        <v>1342</v>
      </c>
      <c r="I1392" s="86" t="s">
        <v>52</v>
      </c>
      <c r="J1392" s="86" t="s">
        <v>53</v>
      </c>
      <c r="K1392" s="86" t="s">
        <v>54</v>
      </c>
      <c r="L1392" s="86" t="s">
        <v>55</v>
      </c>
      <c r="M1392" s="87">
        <v>604.5</v>
      </c>
      <c r="N1392" s="639">
        <v>720</v>
      </c>
      <c r="O1392" s="551" t="s">
        <v>56</v>
      </c>
      <c r="P1392" s="103">
        <v>48</v>
      </c>
      <c r="Q1392" s="103">
        <v>36</v>
      </c>
      <c r="R1392" s="60">
        <v>36</v>
      </c>
      <c r="S1392" s="61">
        <v>48</v>
      </c>
      <c r="T1392" s="61">
        <f>Table1[[#This Row],[VO Wdth]]</f>
        <v>48</v>
      </c>
      <c r="U1392" s="61">
        <f>Table1[[#This Row],[VO Hgt]]</f>
        <v>36</v>
      </c>
      <c r="V1392" s="608">
        <f>IF(J1392="Canvas",P1392+BorderGW,P1392)</f>
        <v>56</v>
      </c>
      <c r="W1392" s="608">
        <f>IF(J1392="Canvas",Q1392+BorderGW,Q1392)</f>
        <v>44</v>
      </c>
      <c r="X1392" s="311" t="s">
        <v>3319</v>
      </c>
      <c r="Y1392" s="551"/>
      <c r="Z1392" s="551"/>
      <c r="AA1392" s="649">
        <f t="shared" si="490"/>
        <v>17.111111111111111</v>
      </c>
      <c r="AB1392" s="184">
        <f t="shared" si="493"/>
        <v>360.01777777777778</v>
      </c>
      <c r="AC1392" s="107">
        <f t="shared" si="492"/>
        <v>11.293333333333333</v>
      </c>
      <c r="AD1392" s="107">
        <f t="shared" ref="AD1392:AD1401" si="494">AA1392*IncaC</f>
        <v>28.801422222222222</v>
      </c>
      <c r="AE1392" s="104">
        <f>IF(Table1[[#This Row],[Work Center]]="SwissQ",Materials!G$37,IF(Table1[[#This Row],[Work Center]]="Inca",Materials!G$29,IF(Table1[[#This Row],[Work Center]]="Canon",Materials!G$49,Materials!G$45)))</f>
        <v>8</v>
      </c>
      <c r="AF1392" s="104">
        <f>'Cali FPS'!C$71</f>
        <v>114.31</v>
      </c>
      <c r="AG1392" s="115"/>
      <c r="AH1392" s="112">
        <f t="shared" si="491"/>
        <v>30.225000000000001</v>
      </c>
      <c r="AI1392" s="112"/>
      <c r="AJ1392" s="104">
        <f t="shared" si="489"/>
        <v>192.62975555555553</v>
      </c>
      <c r="AK1392" s="62">
        <f t="shared" si="488"/>
        <v>0.68134035474680632</v>
      </c>
      <c r="AL1392" s="225">
        <f>Table1[[#This Row],[WSP/Dealer]]/Table1[[#This Row],[OD Sq Inch]]</f>
        <v>0.3498263888888889</v>
      </c>
      <c r="AM1392" s="103">
        <f>Table1[[#This Row],[OD Wdth]]*Table1[[#This Row],[OD Hgt]]</f>
        <v>1728</v>
      </c>
      <c r="AN1392" s="216">
        <f>Table1[[#This Row],[Min VO]]+Table1[[#This Row],[Max VO]]</f>
        <v>84</v>
      </c>
      <c r="AO1392" s="101"/>
      <c r="AP1392" s="101"/>
      <c r="AQ1392" s="104"/>
      <c r="AR1392" s="104"/>
      <c r="AS1392" s="104"/>
      <c r="AT1392" s="104"/>
      <c r="AU1392" s="830" t="str">
        <f t="shared" si="481"/>
        <v>-</v>
      </c>
    </row>
    <row r="1393" spans="1:47" s="63" customFormat="1" x14ac:dyDescent="0.2">
      <c r="A1393" s="60" t="s">
        <v>58</v>
      </c>
      <c r="B1393" s="1061" t="s">
        <v>366</v>
      </c>
      <c r="C1393" s="76" t="s">
        <v>3320</v>
      </c>
      <c r="D1393" s="94" t="s">
        <v>3321</v>
      </c>
      <c r="E1393" s="83" t="s">
        <v>3318</v>
      </c>
      <c r="F1393" s="83" t="s">
        <v>650</v>
      </c>
      <c r="G1393" s="60" t="s">
        <v>1342</v>
      </c>
      <c r="H1393" s="60" t="s">
        <v>466</v>
      </c>
      <c r="I1393" s="60" t="s">
        <v>52</v>
      </c>
      <c r="J1393" s="60" t="s">
        <v>53</v>
      </c>
      <c r="K1393" s="60" t="s">
        <v>82</v>
      </c>
      <c r="L1393" s="60" t="s">
        <v>83</v>
      </c>
      <c r="M1393" s="124">
        <v>654.5</v>
      </c>
      <c r="N1393" s="639">
        <v>780</v>
      </c>
      <c r="O1393" s="60" t="s">
        <v>56</v>
      </c>
      <c r="P1393" s="60">
        <v>48</v>
      </c>
      <c r="Q1393" s="60">
        <v>36</v>
      </c>
      <c r="R1393" s="60">
        <v>36</v>
      </c>
      <c r="S1393" s="273">
        <v>48</v>
      </c>
      <c r="T1393" s="60">
        <v>50</v>
      </c>
      <c r="U1393" s="60" t="str">
        <f>RIGHT(H1393,2)</f>
        <v>38</v>
      </c>
      <c r="V1393" s="946">
        <f>IF(J1393="Canvas",P1393+Border,P1393)</f>
        <v>56</v>
      </c>
      <c r="W1393" s="946">
        <f>IF(J1393="Canvas",Q1393+Border,Q1393)</f>
        <v>44</v>
      </c>
      <c r="X1393" s="138" t="s">
        <v>3319</v>
      </c>
      <c r="Y1393" s="60"/>
      <c r="Z1393" s="60"/>
      <c r="AA1393" s="717">
        <f t="shared" si="490"/>
        <v>17.111111111111111</v>
      </c>
      <c r="AB1393" s="125">
        <f t="shared" si="493"/>
        <v>360.01777777777778</v>
      </c>
      <c r="AC1393" s="69">
        <f t="shared" si="492"/>
        <v>11.293333333333333</v>
      </c>
      <c r="AD1393" s="48">
        <f t="shared" si="494"/>
        <v>28.801422222222222</v>
      </c>
      <c r="AE1393" s="104">
        <f>IF(Table1[[#This Row],[Work Center]]="SwissQ",Materials!G$37,IF(Table1[[#This Row],[Work Center]]="Inca",Materials!G$29,IF(Table1[[#This Row],[Work Center]]="Canon",Materials!G$49,Materials!G$45)))</f>
        <v>8</v>
      </c>
      <c r="AF1393" s="69">
        <f>'Cali Frames'!D$133</f>
        <v>148.8725</v>
      </c>
      <c r="AG1393" s="83"/>
      <c r="AH1393" s="498">
        <f t="shared" si="491"/>
        <v>32.725000000000001</v>
      </c>
      <c r="AI1393" s="498"/>
      <c r="AJ1393" s="69">
        <f t="shared" si="489"/>
        <v>229.69225555555553</v>
      </c>
      <c r="AK1393" s="650">
        <f t="shared" si="488"/>
        <v>0.64905690518631698</v>
      </c>
      <c r="AL1393" s="225">
        <f>Table1[[#This Row],[WSP/Dealer]]/Table1[[#This Row],[OD Sq Inch]]</f>
        <v>0.34447368421052632</v>
      </c>
      <c r="AM1393" s="46">
        <f>Table1[[#This Row],[OD Wdth]]*Table1[[#This Row],[OD Hgt]]</f>
        <v>1900</v>
      </c>
      <c r="AN1393" s="216">
        <f>Table1[[#This Row],[Min VO]]+Table1[[#This Row],[Max VO]]</f>
        <v>84</v>
      </c>
      <c r="AO1393" s="60"/>
      <c r="AP1393" s="60"/>
      <c r="AQ1393" s="69"/>
      <c r="AR1393" s="69"/>
      <c r="AS1393" s="69"/>
      <c r="AT1393" s="69"/>
      <c r="AU1393" s="650" t="str">
        <f t="shared" si="481"/>
        <v>-</v>
      </c>
    </row>
    <row r="1394" spans="1:47" s="63" customFormat="1" x14ac:dyDescent="0.2">
      <c r="A1394" s="180" t="s">
        <v>58</v>
      </c>
      <c r="B1394" s="1061" t="s">
        <v>718</v>
      </c>
      <c r="C1394" s="302" t="s">
        <v>3322</v>
      </c>
      <c r="D1394" s="94"/>
      <c r="E1394" s="284" t="s">
        <v>3323</v>
      </c>
      <c r="F1394" s="284" t="s">
        <v>650</v>
      </c>
      <c r="G1394" s="180" t="s">
        <v>637</v>
      </c>
      <c r="H1394" s="180" t="s">
        <v>637</v>
      </c>
      <c r="I1394" s="180" t="s">
        <v>52</v>
      </c>
      <c r="J1394" s="180" t="s">
        <v>53</v>
      </c>
      <c r="K1394" s="180" t="s">
        <v>54</v>
      </c>
      <c r="L1394" s="180" t="s">
        <v>55</v>
      </c>
      <c r="M1394" s="292">
        <v>975</v>
      </c>
      <c r="N1394" s="639">
        <v>950</v>
      </c>
      <c r="O1394" s="180" t="s">
        <v>56</v>
      </c>
      <c r="P1394" s="173">
        <v>60</v>
      </c>
      <c r="Q1394" s="173">
        <v>48</v>
      </c>
      <c r="R1394" s="180">
        <v>48</v>
      </c>
      <c r="S1394" s="1692">
        <v>60</v>
      </c>
      <c r="T1394" s="1692">
        <f>Table1[[#This Row],[VO Wdth]]</f>
        <v>60</v>
      </c>
      <c r="U1394" s="1692">
        <f>Table1[[#This Row],[VO Hgt]]</f>
        <v>48</v>
      </c>
      <c r="V1394" s="947">
        <f>IF(J1394="Canvas",P1394+BorderGW,P1394)</f>
        <v>68</v>
      </c>
      <c r="W1394" s="947">
        <f>IF(J1394="Canvas",Q1394+BorderGW,Q1394)</f>
        <v>56</v>
      </c>
      <c r="X1394" s="289">
        <v>59</v>
      </c>
      <c r="Y1394" s="180"/>
      <c r="Z1394" s="180"/>
      <c r="AA1394" s="678">
        <f t="shared" si="490"/>
        <v>26.444444444444443</v>
      </c>
      <c r="AB1394" s="329">
        <f t="shared" si="493"/>
        <v>556.39111111111106</v>
      </c>
      <c r="AC1394" s="176">
        <f t="shared" si="492"/>
        <v>17.453333333333333</v>
      </c>
      <c r="AD1394" s="175">
        <f t="shared" si="494"/>
        <v>44.511288888888885</v>
      </c>
      <c r="AE1394" s="69">
        <f>IF(Table1[[#This Row],[Work Center]]="SwissQ",Materials!G$37,IF(Table1[[#This Row],[Work Center]]="Inca",Materials!G$29,IF(Table1[[#This Row],[Work Center]]="Canon",Materials!G$49,Materials!G$45)))</f>
        <v>8</v>
      </c>
      <c r="AF1394" s="176">
        <f>'Cali FPS'!C$71</f>
        <v>114.31</v>
      </c>
      <c r="AG1394" s="284"/>
      <c r="AH1394" s="112">
        <f t="shared" si="491"/>
        <v>48.75</v>
      </c>
      <c r="AI1394" s="112"/>
      <c r="AJ1394" s="176">
        <f t="shared" si="489"/>
        <v>233.02462222222221</v>
      </c>
      <c r="AK1394" s="62">
        <f t="shared" si="488"/>
        <v>0.76100038746438747</v>
      </c>
      <c r="AL1394" s="225">
        <f>Table1[[#This Row],[WSP/Dealer]]/Table1[[#This Row],[OD Sq Inch]]</f>
        <v>0.33854166666666669</v>
      </c>
      <c r="AM1394" s="173">
        <f>Table1[[#This Row],[OD Wdth]]*Table1[[#This Row],[OD Hgt]]</f>
        <v>2880</v>
      </c>
      <c r="AN1394" s="216">
        <f>Table1[[#This Row],[Min VO]]+Table1[[#This Row],[Max VO]]</f>
        <v>108</v>
      </c>
      <c r="AO1394" s="173"/>
      <c r="AP1394" s="180"/>
      <c r="AQ1394" s="176"/>
      <c r="AR1394" s="176"/>
      <c r="AS1394" s="176"/>
      <c r="AT1394" s="176"/>
      <c r="AU1394" s="1201" t="str">
        <f t="shared" si="481"/>
        <v>-</v>
      </c>
    </row>
    <row r="1395" spans="1:47" s="170" customFormat="1" x14ac:dyDescent="0.2">
      <c r="A1395" s="274" t="s">
        <v>58</v>
      </c>
      <c r="B1395" s="1085" t="s">
        <v>1013</v>
      </c>
      <c r="C1395" s="323" t="s">
        <v>3324</v>
      </c>
      <c r="D1395" s="94" t="s">
        <v>3325</v>
      </c>
      <c r="E1395" s="275" t="s">
        <v>3326</v>
      </c>
      <c r="F1395" s="275" t="s">
        <v>650</v>
      </c>
      <c r="G1395" s="274" t="s">
        <v>3327</v>
      </c>
      <c r="H1395" s="274" t="s">
        <v>3328</v>
      </c>
      <c r="I1395" s="274" t="s">
        <v>52</v>
      </c>
      <c r="J1395" s="344" t="s">
        <v>53</v>
      </c>
      <c r="K1395" s="274" t="s">
        <v>82</v>
      </c>
      <c r="L1395" s="274" t="s">
        <v>83</v>
      </c>
      <c r="M1395" s="178">
        <v>1375</v>
      </c>
      <c r="N1395" s="318"/>
      <c r="O1395" s="274" t="s">
        <v>56</v>
      </c>
      <c r="P1395" s="274">
        <v>70</v>
      </c>
      <c r="Q1395" s="274">
        <v>53</v>
      </c>
      <c r="R1395" s="274">
        <v>53</v>
      </c>
      <c r="S1395" s="783">
        <v>70</v>
      </c>
      <c r="T1395" s="783">
        <v>72</v>
      </c>
      <c r="U1395" s="783">
        <v>55</v>
      </c>
      <c r="V1395" s="277">
        <f t="shared" ref="V1395:V1401" si="495">IF(J1395="Canvas",P1395+Border,P1395)</f>
        <v>78</v>
      </c>
      <c r="W1395" s="277">
        <f t="shared" ref="W1395:W1401" si="496">IF(J1395="Canvas",Q1395+Border,Q1395)</f>
        <v>61</v>
      </c>
      <c r="X1395" s="274">
        <v>62</v>
      </c>
      <c r="Y1395" s="274">
        <v>78</v>
      </c>
      <c r="Z1395" s="274">
        <v>61</v>
      </c>
      <c r="AA1395" s="727">
        <f t="shared" si="490"/>
        <v>33.041666666666664</v>
      </c>
      <c r="AB1395" s="341">
        <f t="shared" si="493"/>
        <v>695.1966666666666</v>
      </c>
      <c r="AC1395" s="278">
        <f t="shared" si="492"/>
        <v>21.807500000000001</v>
      </c>
      <c r="AD1395" s="263">
        <f t="shared" si="494"/>
        <v>55.615733333333331</v>
      </c>
      <c r="AE1395" s="278">
        <f>IF(Table1[[#This Row],[Work Center]]="SwissQ",Materials!G$37,IF(Table1[[#This Row],[Work Center]]="Inca",Materials!G$29,IF(Table1[[#This Row],[Work Center]]="Canon",Materials!G$49,Materials!G$45)))</f>
        <v>8</v>
      </c>
      <c r="AF1395" s="321">
        <f>'Cali Frames'!D161</f>
        <v>313</v>
      </c>
      <c r="AG1395" s="275"/>
      <c r="AH1395" s="263">
        <f t="shared" si="491"/>
        <v>68.75</v>
      </c>
      <c r="AI1395" s="263"/>
      <c r="AJ1395" s="278">
        <f t="shared" si="489"/>
        <v>467.17323333333331</v>
      </c>
      <c r="AK1395" s="688">
        <f t="shared" si="488"/>
        <v>0.66023764848484845</v>
      </c>
      <c r="AL1395" s="278">
        <f>Table1[[#This Row],[WSP/Dealer]]/Table1[[#This Row],[OD Sq Inch]]</f>
        <v>0.34722222222222221</v>
      </c>
      <c r="AM1395" s="170">
        <f>Table1[[#This Row],[OD Wdth]]*Table1[[#This Row],[OD Hgt]]</f>
        <v>3960</v>
      </c>
      <c r="AN1395" s="274">
        <f>Table1[[#This Row],[Min VO]]+Table1[[#This Row],[Max VO]]</f>
        <v>123</v>
      </c>
      <c r="AO1395" s="275"/>
      <c r="AP1395" s="275"/>
      <c r="AQ1395" s="320"/>
      <c r="AR1395" s="320"/>
      <c r="AS1395" s="320"/>
      <c r="AT1395" s="278"/>
      <c r="AU1395" s="1368" t="str">
        <f t="shared" si="481"/>
        <v>-</v>
      </c>
    </row>
    <row r="1396" spans="1:47" s="170" customFormat="1" x14ac:dyDescent="0.2">
      <c r="A1396" s="274" t="s">
        <v>58</v>
      </c>
      <c r="B1396" s="1061" t="s">
        <v>1224</v>
      </c>
      <c r="C1396" s="323" t="s">
        <v>3329</v>
      </c>
      <c r="D1396" s="94"/>
      <c r="E1396" s="275" t="s">
        <v>3330</v>
      </c>
      <c r="F1396" s="275" t="s">
        <v>650</v>
      </c>
      <c r="G1396" s="274" t="s">
        <v>1342</v>
      </c>
      <c r="H1396" s="274" t="s">
        <v>466</v>
      </c>
      <c r="I1396" s="274" t="s">
        <v>52</v>
      </c>
      <c r="J1396" s="274" t="s">
        <v>53</v>
      </c>
      <c r="K1396" s="274" t="s">
        <v>82</v>
      </c>
      <c r="L1396" s="274" t="s">
        <v>298</v>
      </c>
      <c r="M1396" s="318">
        <v>825</v>
      </c>
      <c r="N1396" s="989">
        <v>780</v>
      </c>
      <c r="O1396" s="274" t="s">
        <v>56</v>
      </c>
      <c r="P1396" s="274">
        <v>48</v>
      </c>
      <c r="Q1396" s="274">
        <v>36</v>
      </c>
      <c r="R1396" s="274">
        <v>36</v>
      </c>
      <c r="S1396" s="783">
        <v>48</v>
      </c>
      <c r="T1396" s="170">
        <v>50</v>
      </c>
      <c r="U1396" s="170" t="str">
        <f>RIGHT(H1396,2)</f>
        <v>38</v>
      </c>
      <c r="V1396" s="277">
        <f t="shared" si="495"/>
        <v>56</v>
      </c>
      <c r="W1396" s="277">
        <f t="shared" si="496"/>
        <v>44</v>
      </c>
      <c r="X1396" s="343" t="s">
        <v>3319</v>
      </c>
      <c r="Y1396" s="274"/>
      <c r="Z1396" s="274"/>
      <c r="AA1396" s="727">
        <f t="shared" si="490"/>
        <v>17.111111111111111</v>
      </c>
      <c r="AB1396" s="341">
        <f t="shared" si="493"/>
        <v>360.01777777777778</v>
      </c>
      <c r="AC1396" s="263">
        <f t="shared" si="492"/>
        <v>11.293333333333333</v>
      </c>
      <c r="AD1396" s="263">
        <f t="shared" si="494"/>
        <v>28.801422222222222</v>
      </c>
      <c r="AE1396" s="278">
        <f>IF(Table1[[#This Row],[Work Center]]="SwissQ",Materials!G$37,IF(Table1[[#This Row],[Work Center]]="Inca",Materials!G$29,IF(Table1[[#This Row],[Work Center]]="Canon",Materials!G$49,Materials!G$45)))</f>
        <v>8</v>
      </c>
      <c r="AF1396" s="278">
        <f>'Cali Frames'!D233</f>
        <v>210</v>
      </c>
      <c r="AG1396" s="275"/>
      <c r="AH1396" s="263">
        <f t="shared" si="491"/>
        <v>41.25</v>
      </c>
      <c r="AI1396" s="263"/>
      <c r="AJ1396" s="278">
        <f t="shared" si="489"/>
        <v>299.34475555555554</v>
      </c>
      <c r="AK1396" s="688">
        <f t="shared" si="488"/>
        <v>0.63715787205387198</v>
      </c>
      <c r="AL1396" s="278">
        <f>Table1[[#This Row],[WSP/Dealer]]/Table1[[#This Row],[OD Sq Inch]]</f>
        <v>0.43421052631578949</v>
      </c>
      <c r="AM1396" s="170">
        <f>Table1[[#This Row],[OD Wdth]]*Table1[[#This Row],[OD Hgt]]</f>
        <v>1900</v>
      </c>
      <c r="AN1396" s="274">
        <f>Table1[[#This Row],[Min VO]]+Table1[[#This Row],[Max VO]]</f>
        <v>84</v>
      </c>
      <c r="AP1396" s="274"/>
      <c r="AQ1396" s="278"/>
      <c r="AR1396" s="278"/>
      <c r="AS1396" s="278"/>
      <c r="AT1396" s="278"/>
      <c r="AU1396" s="688" t="str">
        <f t="shared" si="481"/>
        <v>-</v>
      </c>
    </row>
    <row r="1397" spans="1:47" s="103" customFormat="1" x14ac:dyDescent="0.2">
      <c r="A1397" s="86" t="s">
        <v>58</v>
      </c>
      <c r="B1397" s="1061" t="s">
        <v>366</v>
      </c>
      <c r="C1397" s="76" t="s">
        <v>3331</v>
      </c>
      <c r="D1397" s="94" t="s">
        <v>3332</v>
      </c>
      <c r="E1397" s="85" t="s">
        <v>3330</v>
      </c>
      <c r="F1397" s="85" t="s">
        <v>650</v>
      </c>
      <c r="G1397" s="86" t="s">
        <v>1342</v>
      </c>
      <c r="H1397" s="86" t="s">
        <v>466</v>
      </c>
      <c r="I1397" s="86" t="s">
        <v>52</v>
      </c>
      <c r="J1397" s="86" t="s">
        <v>53</v>
      </c>
      <c r="K1397" s="86" t="s">
        <v>82</v>
      </c>
      <c r="L1397" s="86" t="s">
        <v>83</v>
      </c>
      <c r="M1397" s="87">
        <v>654.5</v>
      </c>
      <c r="N1397" s="639">
        <v>780</v>
      </c>
      <c r="O1397" s="551" t="s">
        <v>56</v>
      </c>
      <c r="P1397" s="101">
        <v>48</v>
      </c>
      <c r="Q1397" s="101">
        <v>36</v>
      </c>
      <c r="R1397" s="60">
        <v>36</v>
      </c>
      <c r="S1397" s="273">
        <v>48</v>
      </c>
      <c r="T1397" s="101">
        <v>50</v>
      </c>
      <c r="U1397" s="101" t="str">
        <f>RIGHT(H1397,2)</f>
        <v>38</v>
      </c>
      <c r="V1397" s="106">
        <f t="shared" si="495"/>
        <v>56</v>
      </c>
      <c r="W1397" s="106">
        <f t="shared" si="496"/>
        <v>44</v>
      </c>
      <c r="X1397" s="311" t="s">
        <v>3319</v>
      </c>
      <c r="Y1397" s="551"/>
      <c r="Z1397" s="551"/>
      <c r="AA1397" s="649">
        <f t="shared" si="490"/>
        <v>17.111111111111111</v>
      </c>
      <c r="AB1397" s="184">
        <f t="shared" si="493"/>
        <v>360.01777777777778</v>
      </c>
      <c r="AC1397" s="107">
        <f t="shared" si="492"/>
        <v>11.293333333333333</v>
      </c>
      <c r="AD1397" s="107">
        <f t="shared" si="494"/>
        <v>28.801422222222222</v>
      </c>
      <c r="AE1397" s="104">
        <f>IF(Table1[[#This Row],[Work Center]]="SwissQ",Materials!G$37,IF(Table1[[#This Row],[Work Center]]="Inca",Materials!G$29,IF(Table1[[#This Row],[Work Center]]="Canon",Materials!G$49,Materials!G$45)))</f>
        <v>8</v>
      </c>
      <c r="AF1397" s="104">
        <f>'Cali Frames'!D$133</f>
        <v>148.8725</v>
      </c>
      <c r="AG1397" s="115"/>
      <c r="AH1397" s="112">
        <f t="shared" si="491"/>
        <v>32.725000000000001</v>
      </c>
      <c r="AI1397" s="112"/>
      <c r="AJ1397" s="104">
        <f t="shared" si="489"/>
        <v>229.69225555555553</v>
      </c>
      <c r="AK1397" s="62">
        <f t="shared" si="488"/>
        <v>0.64905690518631698</v>
      </c>
      <c r="AL1397" s="225">
        <f>Table1[[#This Row],[WSP/Dealer]]/Table1[[#This Row],[OD Sq Inch]]</f>
        <v>0.34447368421052632</v>
      </c>
      <c r="AM1397" s="103">
        <f>Table1[[#This Row],[OD Wdth]]*Table1[[#This Row],[OD Hgt]]</f>
        <v>1900</v>
      </c>
      <c r="AN1397" s="216">
        <f>Table1[[#This Row],[Min VO]]+Table1[[#This Row],[Max VO]]</f>
        <v>84</v>
      </c>
      <c r="AO1397" s="101"/>
      <c r="AP1397" s="101"/>
      <c r="AQ1397" s="104"/>
      <c r="AR1397" s="104"/>
      <c r="AS1397" s="104"/>
      <c r="AT1397" s="104"/>
      <c r="AU1397" s="830" t="str">
        <f t="shared" si="481"/>
        <v>-</v>
      </c>
    </row>
    <row r="1398" spans="1:47" s="103" customFormat="1" x14ac:dyDescent="0.2">
      <c r="A1398" s="180" t="s">
        <v>58</v>
      </c>
      <c r="B1398" s="1061" t="s">
        <v>718</v>
      </c>
      <c r="C1398" s="302" t="s">
        <v>3333</v>
      </c>
      <c r="D1398" s="94"/>
      <c r="E1398" s="284" t="s">
        <v>3334</v>
      </c>
      <c r="F1398" s="284" t="s">
        <v>650</v>
      </c>
      <c r="G1398" s="180" t="s">
        <v>637</v>
      </c>
      <c r="H1398" s="180" t="s">
        <v>637</v>
      </c>
      <c r="I1398" s="180" t="s">
        <v>52</v>
      </c>
      <c r="J1398" s="180" t="s">
        <v>53</v>
      </c>
      <c r="K1398" s="180" t="s">
        <v>54</v>
      </c>
      <c r="L1398" s="180" t="s">
        <v>55</v>
      </c>
      <c r="M1398" s="292">
        <v>975</v>
      </c>
      <c r="N1398" s="639">
        <v>950</v>
      </c>
      <c r="O1398" s="180" t="s">
        <v>56</v>
      </c>
      <c r="P1398" s="180">
        <v>60</v>
      </c>
      <c r="Q1398" s="180">
        <v>48</v>
      </c>
      <c r="R1398" s="180">
        <v>48</v>
      </c>
      <c r="S1398" s="1692">
        <v>60</v>
      </c>
      <c r="T1398" s="173">
        <v>60</v>
      </c>
      <c r="U1398" s="173">
        <v>48</v>
      </c>
      <c r="V1398" s="174">
        <f t="shared" si="495"/>
        <v>68</v>
      </c>
      <c r="W1398" s="174">
        <f t="shared" si="496"/>
        <v>56</v>
      </c>
      <c r="X1398" s="289">
        <v>59</v>
      </c>
      <c r="Y1398" s="180"/>
      <c r="Z1398" s="180"/>
      <c r="AA1398" s="678">
        <f t="shared" si="490"/>
        <v>26.444444444444443</v>
      </c>
      <c r="AB1398" s="329">
        <f t="shared" si="493"/>
        <v>556.39111111111106</v>
      </c>
      <c r="AC1398" s="176">
        <f t="shared" si="492"/>
        <v>17.453333333333333</v>
      </c>
      <c r="AD1398" s="175">
        <f t="shared" si="494"/>
        <v>44.511288888888885</v>
      </c>
      <c r="AE1398" s="69">
        <f>IF(Table1[[#This Row],[Work Center]]="SwissQ",Materials!G$37,IF(Table1[[#This Row],[Work Center]]="Inca",Materials!G$29,IF(Table1[[#This Row],[Work Center]]="Canon",Materials!G$49,Materials!G$45)))</f>
        <v>8</v>
      </c>
      <c r="AF1398" s="176">
        <f>'Cali FPS'!C71</f>
        <v>114.31</v>
      </c>
      <c r="AG1398" s="284"/>
      <c r="AH1398" s="112">
        <f t="shared" si="491"/>
        <v>48.75</v>
      </c>
      <c r="AI1398" s="112"/>
      <c r="AJ1398" s="176">
        <f t="shared" si="489"/>
        <v>233.02462222222221</v>
      </c>
      <c r="AK1398" s="62">
        <f t="shared" si="488"/>
        <v>0.76100038746438747</v>
      </c>
      <c r="AL1398" s="225">
        <f>Table1[[#This Row],[WSP/Dealer]]/Table1[[#This Row],[OD Sq Inch]]</f>
        <v>0.33854166666666669</v>
      </c>
      <c r="AM1398" s="173">
        <f>Table1[[#This Row],[OD Wdth]]*Table1[[#This Row],[OD Hgt]]</f>
        <v>2880</v>
      </c>
      <c r="AN1398" s="216">
        <f>Table1[[#This Row],[Min VO]]+Table1[[#This Row],[Max VO]]</f>
        <v>108</v>
      </c>
      <c r="AO1398" s="180"/>
      <c r="AP1398" s="180"/>
      <c r="AQ1398" s="176"/>
      <c r="AR1398" s="176"/>
      <c r="AS1398" s="176"/>
      <c r="AT1398" s="176"/>
      <c r="AU1398" s="1201" t="str">
        <f t="shared" si="481"/>
        <v>-</v>
      </c>
    </row>
    <row r="1399" spans="1:47" s="170" customFormat="1" x14ac:dyDescent="0.2">
      <c r="A1399" s="68" t="s">
        <v>58</v>
      </c>
      <c r="B1399" s="1085" t="s">
        <v>1013</v>
      </c>
      <c r="C1399" s="78" t="s">
        <v>3335</v>
      </c>
      <c r="D1399" s="94" t="s">
        <v>3336</v>
      </c>
      <c r="E1399" s="84" t="s">
        <v>3337</v>
      </c>
      <c r="F1399" s="275" t="s">
        <v>650</v>
      </c>
      <c r="G1399" s="274" t="s">
        <v>3327</v>
      </c>
      <c r="H1399" s="274" t="s">
        <v>3328</v>
      </c>
      <c r="I1399" s="274" t="s">
        <v>52</v>
      </c>
      <c r="J1399" s="344" t="s">
        <v>53</v>
      </c>
      <c r="K1399" s="274" t="s">
        <v>82</v>
      </c>
      <c r="L1399" s="274" t="s">
        <v>83</v>
      </c>
      <c r="M1399" s="178">
        <v>1375</v>
      </c>
      <c r="N1399" s="318"/>
      <c r="O1399" s="274" t="s">
        <v>56</v>
      </c>
      <c r="P1399" s="274">
        <v>70</v>
      </c>
      <c r="Q1399" s="274">
        <v>53</v>
      </c>
      <c r="R1399" s="274">
        <v>53</v>
      </c>
      <c r="S1399" s="783">
        <v>70</v>
      </c>
      <c r="T1399" s="783">
        <v>72</v>
      </c>
      <c r="U1399" s="783">
        <v>55</v>
      </c>
      <c r="V1399" s="686">
        <f t="shared" si="495"/>
        <v>78</v>
      </c>
      <c r="W1399" s="686">
        <f t="shared" si="496"/>
        <v>61</v>
      </c>
      <c r="X1399" s="274">
        <v>62</v>
      </c>
      <c r="Y1399" s="274">
        <v>78</v>
      </c>
      <c r="Z1399" s="274">
        <v>61</v>
      </c>
      <c r="AA1399" s="727">
        <f t="shared" si="490"/>
        <v>33.041666666666664</v>
      </c>
      <c r="AB1399" s="341">
        <f t="shared" si="493"/>
        <v>695.1966666666666</v>
      </c>
      <c r="AC1399" s="278">
        <f t="shared" si="492"/>
        <v>21.807500000000001</v>
      </c>
      <c r="AD1399" s="263">
        <f t="shared" si="494"/>
        <v>55.615733333333331</v>
      </c>
      <c r="AE1399" s="278">
        <f>IF(Table1[[#This Row],[Work Center]]="SwissQ",Materials!G$37,IF(Table1[[#This Row],[Work Center]]="Inca",Materials!G$29,IF(Table1[[#This Row],[Work Center]]="Canon",Materials!G$49,Materials!G$45)))</f>
        <v>8</v>
      </c>
      <c r="AF1399" s="73">
        <f>'Cali Frames'!D161</f>
        <v>313</v>
      </c>
      <c r="AG1399" s="84"/>
      <c r="AH1399" s="278">
        <f t="shared" si="491"/>
        <v>68.75</v>
      </c>
      <c r="AI1399" s="278"/>
      <c r="AJ1399" s="278">
        <f t="shared" si="489"/>
        <v>467.17323333333331</v>
      </c>
      <c r="AK1399" s="1192">
        <f t="shared" si="488"/>
        <v>0.66023764848484845</v>
      </c>
      <c r="AL1399" s="278">
        <f>Table1[[#This Row],[WSP/Dealer]]/Table1[[#This Row],[OD Sq Inch]]</f>
        <v>0.34722222222222221</v>
      </c>
      <c r="AM1399" s="170">
        <f>Table1[[#This Row],[OD Wdth]]*Table1[[#This Row],[OD Hgt]]</f>
        <v>3960</v>
      </c>
      <c r="AN1399" s="274">
        <f>Table1[[#This Row],[Min VO]]+Table1[[#This Row],[Max VO]]</f>
        <v>123</v>
      </c>
      <c r="AO1399" s="84"/>
      <c r="AP1399" s="84"/>
      <c r="AQ1399" s="126"/>
      <c r="AR1399" s="126"/>
      <c r="AS1399" s="126"/>
      <c r="AT1399" s="74"/>
      <c r="AU1399" s="1357" t="str">
        <f t="shared" si="481"/>
        <v>-</v>
      </c>
    </row>
    <row r="1400" spans="1:47" s="144" customFormat="1" x14ac:dyDescent="0.2">
      <c r="A1400" s="145" t="s">
        <v>58</v>
      </c>
      <c r="B1400" s="1061" t="s">
        <v>533</v>
      </c>
      <c r="C1400" s="146" t="s">
        <v>3338</v>
      </c>
      <c r="D1400" s="94" t="s">
        <v>3339</v>
      </c>
      <c r="E1400" s="146" t="s">
        <v>3340</v>
      </c>
      <c r="F1400" s="147" t="s">
        <v>1738</v>
      </c>
      <c r="G1400" s="156" t="s">
        <v>3341</v>
      </c>
      <c r="H1400" s="156" t="s">
        <v>3341</v>
      </c>
      <c r="I1400" s="156" t="s">
        <v>52</v>
      </c>
      <c r="J1400" s="156" t="s">
        <v>53</v>
      </c>
      <c r="K1400" s="156" t="s">
        <v>54</v>
      </c>
      <c r="L1400" s="156" t="s">
        <v>55</v>
      </c>
      <c r="M1400" s="151">
        <v>750</v>
      </c>
      <c r="N1400" s="71">
        <v>825</v>
      </c>
      <c r="O1400" s="145" t="s">
        <v>56</v>
      </c>
      <c r="P1400" s="145">
        <v>48</v>
      </c>
      <c r="Q1400" s="145">
        <v>45</v>
      </c>
      <c r="R1400" s="145">
        <v>45</v>
      </c>
      <c r="S1400" s="144">
        <v>48</v>
      </c>
      <c r="T1400" s="1777">
        <f>Table1[[#This Row],[VO Wdth]]</f>
        <v>48</v>
      </c>
      <c r="U1400" s="1777">
        <f>Table1[[#This Row],[VO Hgt]]</f>
        <v>45</v>
      </c>
      <c r="V1400" s="149">
        <f t="shared" si="495"/>
        <v>56</v>
      </c>
      <c r="W1400" s="149">
        <f t="shared" si="496"/>
        <v>53</v>
      </c>
      <c r="X1400" s="145" t="s">
        <v>3342</v>
      </c>
      <c r="Y1400" s="145"/>
      <c r="Z1400" s="145"/>
      <c r="AA1400" s="722">
        <f t="shared" si="490"/>
        <v>20.611111111111111</v>
      </c>
      <c r="AB1400" s="389">
        <f t="shared" si="493"/>
        <v>433.65777777777777</v>
      </c>
      <c r="AC1400" s="143">
        <f>Table1[[#This Row],[Substrate SF]]*Paper</f>
        <v>27.886833333333332</v>
      </c>
      <c r="AD1400" s="150">
        <f t="shared" si="494"/>
        <v>34.692622222222219</v>
      </c>
      <c r="AE1400" s="104">
        <f>IF(Table1[[#This Row],[Work Center]]="SwissQ",Materials!G$37,IF(Table1[[#This Row],[Work Center]]="Inca",Materials!G$29,IF(Table1[[#This Row],[Work Center]]="Canon",Materials!G$49,Materials!G$45)))</f>
        <v>8</v>
      </c>
      <c r="AF1400" s="143">
        <f>'Cali FPS'!C$103</f>
        <v>111.7375</v>
      </c>
      <c r="AG1400" s="115"/>
      <c r="AH1400" s="112">
        <f t="shared" si="491"/>
        <v>37.5</v>
      </c>
      <c r="AI1400" s="112"/>
      <c r="AJ1400" s="150">
        <f t="shared" si="489"/>
        <v>219.81695555555555</v>
      </c>
      <c r="AK1400" s="62">
        <f t="shared" si="488"/>
        <v>0.70691072592592596</v>
      </c>
      <c r="AL1400" s="225">
        <f>Table1[[#This Row],[WSP/Dealer]]/Table1[[#This Row],[OD Sq Inch]]</f>
        <v>0.34722222222222221</v>
      </c>
      <c r="AM1400" s="103">
        <f>Table1[[#This Row],[OD Wdth]]*Table1[[#This Row],[OD Hgt]]</f>
        <v>2160</v>
      </c>
      <c r="AN1400" s="216">
        <f>Table1[[#This Row],[Min VO]]+Table1[[#This Row],[Max VO]]</f>
        <v>93</v>
      </c>
      <c r="AP1400" s="145"/>
      <c r="AQ1400" s="143"/>
      <c r="AR1400" s="143"/>
      <c r="AS1400" s="143"/>
      <c r="AT1400" s="143"/>
      <c r="AU1400" s="1371" t="str">
        <f t="shared" si="481"/>
        <v>-</v>
      </c>
    </row>
    <row r="1401" spans="1:47" s="170" customFormat="1" x14ac:dyDescent="0.2">
      <c r="A1401" s="180" t="s">
        <v>58</v>
      </c>
      <c r="B1401" s="1061" t="s">
        <v>587</v>
      </c>
      <c r="C1401" s="281" t="s">
        <v>3343</v>
      </c>
      <c r="D1401" s="94"/>
      <c r="E1401" s="291" t="s">
        <v>3344</v>
      </c>
      <c r="F1401" s="291" t="s">
        <v>124</v>
      </c>
      <c r="G1401" s="180" t="s">
        <v>637</v>
      </c>
      <c r="H1401" s="180" t="s">
        <v>637</v>
      </c>
      <c r="I1401" s="180" t="s">
        <v>52</v>
      </c>
      <c r="J1401" s="180" t="s">
        <v>53</v>
      </c>
      <c r="K1401" s="180" t="s">
        <v>54</v>
      </c>
      <c r="L1401" s="180" t="s">
        <v>55</v>
      </c>
      <c r="M1401" s="292">
        <v>975</v>
      </c>
      <c r="N1401" s="639">
        <v>950</v>
      </c>
      <c r="O1401" s="180" t="s">
        <v>56</v>
      </c>
      <c r="P1401" s="180">
        <v>60</v>
      </c>
      <c r="Q1401" s="180">
        <v>48</v>
      </c>
      <c r="R1401" s="180">
        <v>48</v>
      </c>
      <c r="S1401" s="180">
        <v>60</v>
      </c>
      <c r="T1401" s="180">
        <v>60</v>
      </c>
      <c r="U1401" s="180">
        <v>48</v>
      </c>
      <c r="V1401" s="149">
        <f t="shared" si="495"/>
        <v>68</v>
      </c>
      <c r="W1401" s="149">
        <f t="shared" si="496"/>
        <v>56</v>
      </c>
      <c r="X1401" s="289">
        <v>59</v>
      </c>
      <c r="Y1401" s="180"/>
      <c r="Z1401" s="180"/>
      <c r="AA1401" s="722">
        <f t="shared" si="490"/>
        <v>26.444444444444443</v>
      </c>
      <c r="AB1401" s="389">
        <f t="shared" si="493"/>
        <v>556.39111111111106</v>
      </c>
      <c r="AC1401" s="48">
        <f>AA1401*Canvas</f>
        <v>17.453333333333333</v>
      </c>
      <c r="AD1401" s="48">
        <f t="shared" si="494"/>
        <v>44.511288888888885</v>
      </c>
      <c r="AE1401" s="104">
        <f>IF(Table1[[#This Row],[Work Center]]="SwissQ",Materials!G$37,IF(Table1[[#This Row],[Work Center]]="Inca",Materials!G$29,IF(Table1[[#This Row],[Work Center]]="Canon",Materials!G$49,Materials!G$45)))</f>
        <v>8</v>
      </c>
      <c r="AF1401" s="143">
        <f>'Cali FPS'!C121</f>
        <v>188.18</v>
      </c>
      <c r="AG1401" s="83"/>
      <c r="AH1401" s="112">
        <f t="shared" si="491"/>
        <v>48.75</v>
      </c>
      <c r="AI1401" s="112"/>
      <c r="AJ1401" s="150">
        <f t="shared" si="489"/>
        <v>306.89462222222221</v>
      </c>
      <c r="AK1401" s="62">
        <f t="shared" si="488"/>
        <v>0.68523628490028488</v>
      </c>
      <c r="AL1401" s="225">
        <f>Table1[[#This Row],[WSP/Dealer]]/Table1[[#This Row],[OD Sq Inch]]</f>
        <v>0.33854166666666669</v>
      </c>
      <c r="AM1401" s="46">
        <f>Table1[[#This Row],[OD Wdth]]*Table1[[#This Row],[OD Hgt]]</f>
        <v>2880</v>
      </c>
      <c r="AN1401" s="216">
        <f>Table1[[#This Row],[Min VO]]+Table1[[#This Row],[Max VO]]</f>
        <v>108</v>
      </c>
      <c r="AO1401" s="284"/>
      <c r="AP1401" s="284"/>
      <c r="AQ1401" s="296"/>
      <c r="AR1401" s="296"/>
      <c r="AS1401" s="296"/>
      <c r="AT1401" s="176"/>
      <c r="AU1401" s="1358" t="str">
        <f t="shared" si="481"/>
        <v>-</v>
      </c>
    </row>
    <row r="1402" spans="1:47" s="144" customFormat="1" hidden="1" x14ac:dyDescent="0.2">
      <c r="A1402" s="68" t="s">
        <v>187</v>
      </c>
      <c r="B1402" s="1061" t="s">
        <v>1062</v>
      </c>
      <c r="C1402" s="94" t="s">
        <v>3345</v>
      </c>
      <c r="D1402" s="94"/>
      <c r="E1402" s="172" t="s">
        <v>3346</v>
      </c>
      <c r="F1402" s="172" t="s">
        <v>3347</v>
      </c>
      <c r="G1402" s="68" t="s">
        <v>3348</v>
      </c>
      <c r="H1402" s="68"/>
      <c r="I1402" s="68" t="s">
        <v>108</v>
      </c>
      <c r="J1402" s="140" t="s">
        <v>257</v>
      </c>
      <c r="K1402" s="68" t="s">
        <v>198</v>
      </c>
      <c r="L1402" s="68" t="s">
        <v>199</v>
      </c>
      <c r="M1402" s="141">
        <v>125</v>
      </c>
      <c r="N1402" s="71"/>
      <c r="O1402" s="68" t="s">
        <v>260</v>
      </c>
      <c r="P1402" s="68">
        <v>18</v>
      </c>
      <c r="Q1402" s="68">
        <v>30</v>
      </c>
      <c r="R1402" s="68">
        <v>18</v>
      </c>
      <c r="S1402" s="68">
        <v>30</v>
      </c>
      <c r="T1402" s="68">
        <v>20</v>
      </c>
      <c r="U1402" s="68">
        <v>32</v>
      </c>
      <c r="V1402" s="917">
        <f>Table1[[#This Row],[VO Wdth]]+Materials!$C$50</f>
        <v>20</v>
      </c>
      <c r="W1402" s="917">
        <f>Table1[[#This Row],[VO Hgt]]+Materials!$C$50</f>
        <v>32</v>
      </c>
      <c r="X1402" s="189" t="s">
        <v>257</v>
      </c>
      <c r="Y1402" s="68"/>
      <c r="Z1402" s="68"/>
      <c r="AA1402" s="699">
        <f t="shared" si="490"/>
        <v>4.4444444444444446</v>
      </c>
      <c r="AB1402" s="297">
        <f>AA1402*canonML</f>
        <v>21.333333333333332</v>
      </c>
      <c r="AC1402" s="74">
        <f>Table1[[#This Row],[Print Ht]]*paper60</f>
        <v>10.88</v>
      </c>
      <c r="AD1402" s="74">
        <f>Table1[[#This Row],[Ink g/mL]]*CanonC</f>
        <v>5.76</v>
      </c>
      <c r="AE1402" s="104">
        <f>IF(Table1[[#This Row],[Work Center]]="SwissQ",Materials!G$37,IF(Table1[[#This Row],[Work Center]]="Inca",Materials!G$29,IF(Table1[[#This Row],[Work Center]]="Canon",Materials!G$49,Materials!G$45)))</f>
        <v>7</v>
      </c>
      <c r="AF1402" s="260"/>
      <c r="AG1402" s="126">
        <f>Materials!D$76</f>
        <v>10.82</v>
      </c>
      <c r="AH1402" s="498">
        <f t="shared" si="491"/>
        <v>6.25</v>
      </c>
      <c r="AI1402" s="498"/>
      <c r="AJ1402" s="278">
        <f t="shared" si="489"/>
        <v>40.71</v>
      </c>
      <c r="AK1402" s="650">
        <f t="shared" si="488"/>
        <v>0.67431999999999992</v>
      </c>
      <c r="AL1402" s="225">
        <f>Table1[[#This Row],[WSP/Dealer]]/Table1[[#This Row],[OD Sq Inch]]</f>
        <v>0.1953125</v>
      </c>
      <c r="AM1402" s="274">
        <f>Table1[[#This Row],[OD Wdth]]*Table1[[#This Row],[OD Hgt]]</f>
        <v>640</v>
      </c>
      <c r="AN1402" s="216">
        <f>Table1[[#This Row],[Min VO]]+Table1[[#This Row],[Max VO]]</f>
        <v>48</v>
      </c>
      <c r="AO1402" s="84"/>
      <c r="AP1402" s="84"/>
      <c r="AQ1402" s="126"/>
      <c r="AR1402" s="126"/>
      <c r="AS1402" s="126"/>
      <c r="AT1402" s="74"/>
      <c r="AU1402" s="1357" t="str">
        <f t="shared" si="481"/>
        <v>-</v>
      </c>
    </row>
    <row r="1403" spans="1:47" s="46" customFormat="1" hidden="1" x14ac:dyDescent="0.2">
      <c r="A1403" s="68" t="s">
        <v>187</v>
      </c>
      <c r="B1403" s="1061" t="s">
        <v>1062</v>
      </c>
      <c r="C1403" s="94" t="s">
        <v>3349</v>
      </c>
      <c r="D1403" s="94"/>
      <c r="E1403" s="172" t="s">
        <v>3350</v>
      </c>
      <c r="F1403" s="172" t="s">
        <v>3347</v>
      </c>
      <c r="G1403" s="68" t="s">
        <v>1111</v>
      </c>
      <c r="H1403" s="68"/>
      <c r="I1403" s="68" t="s">
        <v>108</v>
      </c>
      <c r="J1403" s="140" t="s">
        <v>257</v>
      </c>
      <c r="K1403" s="68" t="s">
        <v>198</v>
      </c>
      <c r="L1403" s="68" t="s">
        <v>199</v>
      </c>
      <c r="M1403" s="141">
        <v>150</v>
      </c>
      <c r="N1403" s="71"/>
      <c r="O1403" s="68" t="s">
        <v>260</v>
      </c>
      <c r="P1403" s="63">
        <v>30</v>
      </c>
      <c r="Q1403" s="63">
        <v>20</v>
      </c>
      <c r="R1403" s="68">
        <v>20</v>
      </c>
      <c r="S1403" s="63">
        <v>30</v>
      </c>
      <c r="T1403" s="63">
        <v>32</v>
      </c>
      <c r="U1403" s="63">
        <v>22</v>
      </c>
      <c r="V1403" s="66">
        <f>Table1[[#This Row],[VO Wdth]]+Materials!$C$50</f>
        <v>32</v>
      </c>
      <c r="W1403" s="66">
        <f>Table1[[#This Row],[VO Hgt]]+Materials!$C$50</f>
        <v>22</v>
      </c>
      <c r="X1403" s="189" t="s">
        <v>257</v>
      </c>
      <c r="Y1403" s="68"/>
      <c r="Z1403" s="68"/>
      <c r="AA1403" s="699">
        <f t="shared" si="490"/>
        <v>4.8888888888888893</v>
      </c>
      <c r="AB1403" s="297">
        <f>AA1403*canonML</f>
        <v>23.466666666666669</v>
      </c>
      <c r="AC1403" s="74">
        <f>Table1[[#This Row],[Print Ht]]*paper60</f>
        <v>7.48</v>
      </c>
      <c r="AD1403" s="67">
        <f>Table1[[#This Row],[Ink g/mL]]*CanonC</f>
        <v>6.3360000000000012</v>
      </c>
      <c r="AE1403" s="104">
        <f>IF(Table1[[#This Row],[Work Center]]="SwissQ",Materials!G$37,IF(Table1[[#This Row],[Work Center]]="Inca",Materials!G$29,IF(Table1[[#This Row],[Work Center]]="Canon",Materials!G$49,Materials!G$45)))</f>
        <v>7</v>
      </c>
      <c r="AF1403" s="260"/>
      <c r="AG1403" s="126">
        <f>Materials!D$76</f>
        <v>10.82</v>
      </c>
      <c r="AH1403" s="112">
        <f t="shared" si="491"/>
        <v>7.5</v>
      </c>
      <c r="AI1403" s="112"/>
      <c r="AJ1403" s="263">
        <f t="shared" si="489"/>
        <v>39.136000000000003</v>
      </c>
      <c r="AK1403" s="62">
        <f t="shared" si="488"/>
        <v>0.73909333333333338</v>
      </c>
      <c r="AL1403" s="225">
        <f>Table1[[#This Row],[WSP/Dealer]]/Table1[[#This Row],[OD Sq Inch]]</f>
        <v>0.21306818181818182</v>
      </c>
      <c r="AM1403" s="170">
        <f>Table1[[#This Row],[OD Wdth]]*Table1[[#This Row],[OD Hgt]]</f>
        <v>704</v>
      </c>
      <c r="AN1403" s="216">
        <f>Table1[[#This Row],[Min VO]]+Table1[[#This Row],[Max VO]]</f>
        <v>50</v>
      </c>
      <c r="AO1403" s="119"/>
      <c r="AP1403" s="84"/>
      <c r="AQ1403" s="126"/>
      <c r="AR1403" s="126"/>
      <c r="AS1403" s="126"/>
      <c r="AT1403" s="74"/>
      <c r="AU1403" s="1356" t="str">
        <f t="shared" si="481"/>
        <v>-</v>
      </c>
    </row>
    <row r="1404" spans="1:47" s="45" customFormat="1" x14ac:dyDescent="0.2">
      <c r="A1404" s="145" t="s">
        <v>58</v>
      </c>
      <c r="B1404" s="279" t="s">
        <v>533</v>
      </c>
      <c r="C1404" s="146" t="s">
        <v>3351</v>
      </c>
      <c r="D1404" s="94" t="s">
        <v>3352</v>
      </c>
      <c r="E1404" s="147" t="s">
        <v>3353</v>
      </c>
      <c r="F1404" s="147" t="s">
        <v>99</v>
      </c>
      <c r="G1404" s="145" t="s">
        <v>3354</v>
      </c>
      <c r="H1404" s="145" t="s">
        <v>3354</v>
      </c>
      <c r="I1404" s="145" t="s">
        <v>52</v>
      </c>
      <c r="J1404" s="145" t="s">
        <v>53</v>
      </c>
      <c r="K1404" s="145" t="s">
        <v>54</v>
      </c>
      <c r="L1404" s="145" t="s">
        <v>55</v>
      </c>
      <c r="M1404" s="148">
        <v>225</v>
      </c>
      <c r="N1404" s="639">
        <v>225</v>
      </c>
      <c r="O1404" s="145" t="s">
        <v>56</v>
      </c>
      <c r="P1404" s="145">
        <v>18</v>
      </c>
      <c r="Q1404" s="145">
        <v>18</v>
      </c>
      <c r="R1404" s="145">
        <v>18</v>
      </c>
      <c r="S1404" s="145">
        <v>18</v>
      </c>
      <c r="T1404" s="698">
        <f>Table1[[#This Row],[VO Wdth]]</f>
        <v>18</v>
      </c>
      <c r="U1404" s="698">
        <f>Table1[[#This Row],[VO Hgt]]</f>
        <v>18</v>
      </c>
      <c r="V1404" s="913">
        <f>IF(J1404="Canvas",P1404+Border,P1404)</f>
        <v>26</v>
      </c>
      <c r="W1404" s="913">
        <f>IF(J1404="Canvas",Q1404+Border,Q1404)</f>
        <v>26</v>
      </c>
      <c r="X1404" s="157" t="s">
        <v>1070</v>
      </c>
      <c r="Y1404" s="145">
        <v>26</v>
      </c>
      <c r="Z1404" s="145">
        <v>78</v>
      </c>
      <c r="AA1404" s="722">
        <f t="shared" si="490"/>
        <v>4.6944444444444446</v>
      </c>
      <c r="AB1404" s="389">
        <f>AA1404*IncaG</f>
        <v>98.771111111111111</v>
      </c>
      <c r="AC1404" s="143">
        <f>Table1[[#This Row],[Substrate SF]]*Paper</f>
        <v>6.3515833333333331</v>
      </c>
      <c r="AD1404" s="150">
        <f>AA1404*IncaC</f>
        <v>7.9016888888888897</v>
      </c>
      <c r="AE1404" s="104">
        <f>IF(Table1[[#This Row],[Work Center]]="SwissQ",Materials!G$37,IF(Table1[[#This Row],[Work Center]]="Inca",Materials!G$29,IF(Table1[[#This Row],[Work Center]]="Canon",Materials!G$49,Materials!G$45)))</f>
        <v>8</v>
      </c>
      <c r="AF1404" s="143">
        <f>'Cali FPS'!C22</f>
        <v>57.050000000000004</v>
      </c>
      <c r="AG1404" s="115"/>
      <c r="AH1404" s="498">
        <f t="shared" si="491"/>
        <v>11.25</v>
      </c>
      <c r="AI1404" s="498"/>
      <c r="AJ1404" s="143">
        <f t="shared" si="489"/>
        <v>90.553272222222233</v>
      </c>
      <c r="AK1404" s="650">
        <f t="shared" si="488"/>
        <v>0.59754101234567891</v>
      </c>
      <c r="AL1404" s="225">
        <f>Table1[[#This Row],[WSP/Dealer]]/Table1[[#This Row],[OD Sq Inch]]</f>
        <v>0.69444444444444442</v>
      </c>
      <c r="AM1404" s="110">
        <f>Table1[[#This Row],[OD Wdth]]*Table1[[#This Row],[OD Hgt]]</f>
        <v>324</v>
      </c>
      <c r="AN1404" s="216">
        <f>Table1[[#This Row],[Min VO]]+Table1[[#This Row],[Max VO]]</f>
        <v>36</v>
      </c>
      <c r="AO1404" s="145"/>
      <c r="AP1404" s="145"/>
      <c r="AQ1404" s="143"/>
      <c r="AR1404" s="143"/>
      <c r="AS1404" s="143"/>
      <c r="AT1404" s="143"/>
      <c r="AU1404" s="1371" t="str">
        <f t="shared" si="481"/>
        <v>-</v>
      </c>
    </row>
    <row r="1405" spans="1:47" s="63" customFormat="1" hidden="1" x14ac:dyDescent="0.2">
      <c r="A1405" s="551" t="s">
        <v>140</v>
      </c>
      <c r="B1405" s="1061" t="s">
        <v>141</v>
      </c>
      <c r="C1405" s="77" t="s">
        <v>3355</v>
      </c>
      <c r="D1405" s="94"/>
      <c r="E1405" s="653" t="s">
        <v>3356</v>
      </c>
      <c r="F1405" s="653" t="s">
        <v>138</v>
      </c>
      <c r="G1405" s="551" t="s">
        <v>139</v>
      </c>
      <c r="H1405" s="551" t="s">
        <v>139</v>
      </c>
      <c r="I1405" s="551" t="s">
        <v>52</v>
      </c>
      <c r="J1405" s="856" t="s">
        <v>280</v>
      </c>
      <c r="K1405" s="551" t="s">
        <v>281</v>
      </c>
      <c r="L1405" s="551" t="s">
        <v>282</v>
      </c>
      <c r="M1405" s="857">
        <v>350</v>
      </c>
      <c r="N1405" s="858">
        <f>Table1[[#This Row],[WSP/Dealer]]/0.35</f>
        <v>1000.0000000000001</v>
      </c>
      <c r="O1405" s="551" t="s">
        <v>56</v>
      </c>
      <c r="P1405" s="551">
        <v>24</v>
      </c>
      <c r="Q1405" s="551">
        <v>24</v>
      </c>
      <c r="R1405" s="551">
        <v>24</v>
      </c>
      <c r="S1405" s="984">
        <v>24</v>
      </c>
      <c r="T1405" s="551">
        <v>24</v>
      </c>
      <c r="U1405" s="984">
        <v>24</v>
      </c>
      <c r="V1405" s="881">
        <v>24</v>
      </c>
      <c r="W1405" s="881">
        <v>24</v>
      </c>
      <c r="X1405" s="311" t="s">
        <v>283</v>
      </c>
      <c r="Y1405" s="551">
        <v>24</v>
      </c>
      <c r="Z1405" s="551">
        <v>24</v>
      </c>
      <c r="AA1405" s="860">
        <f t="shared" si="490"/>
        <v>4</v>
      </c>
      <c r="AB1405" s="861">
        <f>AA1405*IncaG</f>
        <v>84.16</v>
      </c>
      <c r="AC1405" s="863">
        <f>AA1405*MDF</f>
        <v>3.9568750000000006</v>
      </c>
      <c r="AD1405" s="876">
        <f>Table1[[#This Row],[Substrate SF]]*IncaC</f>
        <v>6.7328000000000001</v>
      </c>
      <c r="AE1405" s="863">
        <f>IF(Table1[[#This Row],[Work Center]]="SwissQ",Materials!G$37,IF(Table1[[#This Row],[Work Center]]="Inca",Materials!G$29,IF(Table1[[#This Row],[Work Center]]="Canon",Materials!G$49,Materials!G$45)))</f>
        <v>8</v>
      </c>
      <c r="AF1405" s="71">
        <f>'Cali Frames'!D538</f>
        <v>90.37</v>
      </c>
      <c r="AG1405" s="653"/>
      <c r="AH1405" s="867">
        <f t="shared" si="491"/>
        <v>17.5</v>
      </c>
      <c r="AI1405" s="867"/>
      <c r="AJ1405" s="867">
        <f t="shared" si="489"/>
        <v>126.559675</v>
      </c>
      <c r="AK1405" s="1087">
        <f t="shared" si="488"/>
        <v>0.63840092857142861</v>
      </c>
      <c r="AL1405" s="867">
        <f>Table1[[#This Row],[WSP/Dealer]]/Table1[[#This Row],[OD Sq Inch]]</f>
        <v>0.60763888888888884</v>
      </c>
      <c r="AM1405" s="868">
        <f>Table1[[#This Row],[OD Wdth]]*Table1[[#This Row],[OD Hgt]]</f>
        <v>576</v>
      </c>
      <c r="AN1405" s="869">
        <f>Table1[[#This Row],[Min VO]]+Table1[[#This Row],[Max VO]]</f>
        <v>48</v>
      </c>
      <c r="AO1405" s="653"/>
      <c r="AP1405" s="653"/>
      <c r="AQ1405" s="864"/>
      <c r="AR1405" s="864"/>
      <c r="AS1405" s="864"/>
      <c r="AT1405" s="863"/>
      <c r="AU1405" s="1364" t="str">
        <f t="shared" si="481"/>
        <v>-</v>
      </c>
    </row>
    <row r="1406" spans="1:47" s="144" customFormat="1" hidden="1" x14ac:dyDescent="0.2">
      <c r="A1406" s="68"/>
      <c r="B1406" s="279"/>
      <c r="C1406" s="94" t="s">
        <v>3357</v>
      </c>
      <c r="D1406" s="94"/>
      <c r="E1406" s="84" t="s">
        <v>3358</v>
      </c>
      <c r="F1406" s="84" t="s">
        <v>960</v>
      </c>
      <c r="G1406" s="68" t="s">
        <v>643</v>
      </c>
      <c r="H1406" s="68"/>
      <c r="I1406" s="68" t="s">
        <v>304</v>
      </c>
      <c r="J1406" s="68" t="s">
        <v>257</v>
      </c>
      <c r="K1406" s="68" t="s">
        <v>258</v>
      </c>
      <c r="L1406" s="68" t="s">
        <v>83</v>
      </c>
      <c r="M1406" s="93"/>
      <c r="N1406" s="71"/>
      <c r="O1406" s="68"/>
      <c r="P1406" s="68"/>
      <c r="Q1406" s="68"/>
      <c r="R1406" s="68"/>
      <c r="S1406" s="68"/>
      <c r="T1406" s="68"/>
      <c r="U1406" s="68"/>
      <c r="V1406" s="66"/>
      <c r="W1406" s="66"/>
      <c r="X1406" s="189"/>
      <c r="Y1406" s="68"/>
      <c r="Z1406" s="68"/>
      <c r="AA1406" s="699"/>
      <c r="AB1406" s="297"/>
      <c r="AC1406" s="74"/>
      <c r="AD1406" s="118"/>
      <c r="AE1406" s="126"/>
      <c r="AF1406" s="73"/>
      <c r="AG1406" s="126"/>
      <c r="AH1406" s="498">
        <f t="shared" si="491"/>
        <v>0</v>
      </c>
      <c r="AI1406" s="498"/>
      <c r="AJ1406" s="126"/>
      <c r="AK1406" s="650" t="e">
        <f t="shared" si="488"/>
        <v>#DIV/0!</v>
      </c>
      <c r="AL1406" s="225" t="e">
        <f>Table1[[#This Row],[WSP/Dealer]]/Table1[[#This Row],[OD Sq Inch]]</f>
        <v>#DIV/0!</v>
      </c>
      <c r="AM1406" s="119"/>
      <c r="AN1406" s="216">
        <f>Table1[[#This Row],[Min VO]]+Table1[[#This Row],[Max VO]]</f>
        <v>0</v>
      </c>
      <c r="AO1406" s="84"/>
      <c r="AP1406" s="84"/>
      <c r="AQ1406" s="126"/>
      <c r="AR1406" s="126"/>
      <c r="AS1406" s="126"/>
      <c r="AT1406" s="74"/>
      <c r="AU1406" s="1357" t="str">
        <f t="shared" si="481"/>
        <v>-</v>
      </c>
    </row>
    <row r="1407" spans="1:47" s="103" customFormat="1" hidden="1" x14ac:dyDescent="0.2">
      <c r="A1407" s="101" t="s">
        <v>110</v>
      </c>
      <c r="B1407" s="1062" t="s">
        <v>134</v>
      </c>
      <c r="C1407" s="168" t="s">
        <v>3359</v>
      </c>
      <c r="D1407" s="168"/>
      <c r="E1407" s="115" t="s">
        <v>3360</v>
      </c>
      <c r="F1407" s="115" t="s">
        <v>361</v>
      </c>
      <c r="G1407" s="101" t="s">
        <v>1290</v>
      </c>
      <c r="H1407" s="101" t="s">
        <v>3143</v>
      </c>
      <c r="I1407" s="101" t="s">
        <v>52</v>
      </c>
      <c r="J1407" s="101" t="s">
        <v>53</v>
      </c>
      <c r="K1407" s="101" t="s">
        <v>69</v>
      </c>
      <c r="L1407" s="101" t="s">
        <v>70</v>
      </c>
      <c r="M1407" s="114"/>
      <c r="N1407" s="102"/>
      <c r="O1407" s="101" t="s">
        <v>56</v>
      </c>
      <c r="P1407" s="101">
        <v>20</v>
      </c>
      <c r="Q1407" s="101">
        <v>30</v>
      </c>
      <c r="R1407" s="101">
        <v>20</v>
      </c>
      <c r="S1407" s="101">
        <v>30</v>
      </c>
      <c r="T1407" s="101">
        <v>21</v>
      </c>
      <c r="U1407" s="101">
        <v>31</v>
      </c>
      <c r="V1407" s="106">
        <f>IF(J1407="Canvas",P1407+Border,P1407)</f>
        <v>28</v>
      </c>
      <c r="W1407" s="106">
        <f>IF(J1407="Canvas",Q1407+Border,Q1407)</f>
        <v>38</v>
      </c>
      <c r="X1407" s="137">
        <v>40</v>
      </c>
      <c r="Y1407" s="101">
        <v>28</v>
      </c>
      <c r="Z1407" s="101">
        <v>38</v>
      </c>
      <c r="AA1407" s="649">
        <f>V1407*W1407/144</f>
        <v>7.3888888888888893</v>
      </c>
      <c r="AB1407" s="184">
        <f>AA1407*IncaG</f>
        <v>155.46222222222224</v>
      </c>
      <c r="AC1407" s="104">
        <f>AA1407*Canvas</f>
        <v>4.8766666666666669</v>
      </c>
      <c r="AD1407" s="1066">
        <f>Table1[[#This Row],[Substrate SF]]*IncaC</f>
        <v>12.436977777777779</v>
      </c>
      <c r="AE1407" s="406">
        <f>IF(Table1[[#This Row],[Work Center]]="SwissQ",Materials!G$37,IF(Table1[[#This Row],[Work Center]]="Inca",Materials!G$29,IF(Table1[[#This Row],[Work Center]]="Canon",Materials!G$49,Materials!G$45)))</f>
        <v>8</v>
      </c>
      <c r="AF1407" s="102">
        <f>'Cali Frames'!D274</f>
        <v>89.16</v>
      </c>
      <c r="AG1407" s="121"/>
      <c r="AH1407" s="107">
        <f t="shared" si="491"/>
        <v>0</v>
      </c>
      <c r="AI1407" s="405">
        <f>IF(A1407="Codarus",(M1407*0.13))</f>
        <v>0</v>
      </c>
      <c r="AJ1407" s="107">
        <f>SUM(AC1407:AI1407)</f>
        <v>114.47364444444445</v>
      </c>
      <c r="AK1407" s="108" t="e">
        <f t="shared" si="488"/>
        <v>#DIV/0!</v>
      </c>
      <c r="AL1407" s="660" t="e">
        <f>Table1[[#This Row],[WSP/Dealer]]/Table1[[#This Row],[OD Sq Inch]]</f>
        <v>#DIV/0!</v>
      </c>
      <c r="AN1407" s="266">
        <f>Table1[[#This Row],[Min VO]]+Table1[[#This Row],[Max VO]]</f>
        <v>50</v>
      </c>
      <c r="AO1407" s="115"/>
      <c r="AP1407" s="121"/>
      <c r="AQ1407" s="121">
        <f>(Table1[[#This Row],[Desgnr/Retail P]]*0.05)</f>
        <v>0</v>
      </c>
      <c r="AR1407" s="121">
        <f>IF(A1407="Codarus",(AP1407*0.13))</f>
        <v>0</v>
      </c>
      <c r="AS1407" s="121">
        <f>SUM(Table1[[#This Row],[Substrate $]:[GP FINISH]])+Table1[[#This Row],[Retail Royalty]]+Table1[[#This Row],[Retail$Comm]]</f>
        <v>114.47364444444445</v>
      </c>
      <c r="AT1407" s="830" t="str">
        <f>IF(AP1407=0,"-",(AP1407-AS1407)/AP1407)</f>
        <v>-</v>
      </c>
      <c r="AU1407" s="1359" t="str">
        <f t="shared" si="481"/>
        <v>-</v>
      </c>
    </row>
    <row r="1408" spans="1:47" s="103" customFormat="1" hidden="1" x14ac:dyDescent="0.2">
      <c r="A1408" s="485" t="s">
        <v>318</v>
      </c>
      <c r="B1408" s="1061" t="s">
        <v>96</v>
      </c>
      <c r="C1408" s="168" t="s">
        <v>3361</v>
      </c>
      <c r="D1408" s="94">
        <v>176827</v>
      </c>
      <c r="E1408" s="115" t="s">
        <v>3362</v>
      </c>
      <c r="F1408" s="115" t="s">
        <v>105</v>
      </c>
      <c r="G1408" s="101" t="s">
        <v>519</v>
      </c>
      <c r="H1408" s="101" t="s">
        <v>974</v>
      </c>
      <c r="I1408" s="101" t="s">
        <v>256</v>
      </c>
      <c r="J1408" s="487" t="s">
        <v>257</v>
      </c>
      <c r="K1408" s="101" t="s">
        <v>1444</v>
      </c>
      <c r="L1408" s="101" t="s">
        <v>259</v>
      </c>
      <c r="M1408" s="544">
        <v>200</v>
      </c>
      <c r="N1408" s="786">
        <v>500</v>
      </c>
      <c r="O1408" s="101" t="s">
        <v>260</v>
      </c>
      <c r="P1408" s="101">
        <v>16</v>
      </c>
      <c r="Q1408" s="101">
        <v>20</v>
      </c>
      <c r="R1408" s="101">
        <v>16</v>
      </c>
      <c r="S1408" s="101">
        <v>20</v>
      </c>
      <c r="T1408" s="1328">
        <v>18</v>
      </c>
      <c r="U1408" s="1328">
        <v>22</v>
      </c>
      <c r="V1408" s="165">
        <f>IF(J1408="Canvas",P1408+Border,P1408)</f>
        <v>16</v>
      </c>
      <c r="W1408" s="165">
        <f>IF(J1408="Canvas",Q1408+Border,Q1408)</f>
        <v>20</v>
      </c>
      <c r="X1408" s="137"/>
      <c r="Y1408" s="101">
        <v>16</v>
      </c>
      <c r="Z1408" s="101">
        <v>20</v>
      </c>
      <c r="AA1408" s="649">
        <f>V1408*W1408/144</f>
        <v>2.2222222222222223</v>
      </c>
      <c r="AB1408" s="184">
        <f>AA1408*canonML</f>
        <v>10.666666666666666</v>
      </c>
      <c r="AC1408" s="104">
        <f>Table1[[#This Row],[Print Ht]]/3*paper60</f>
        <v>2.2666666666666671</v>
      </c>
      <c r="AD1408" s="107">
        <f>Table1[[#This Row],[Ink g/mL]]*CanonC</f>
        <v>2.88</v>
      </c>
      <c r="AE1408" s="104">
        <f>IF(Table1[[#This Row],[Work Center]]="SwissQ",Materials!G$37,IF(Table1[[#This Row],[Work Center]]="Inca",Materials!G$29,IF(Table1[[#This Row],[Work Center]]="Canon",Materials!G$49,Materials!G$45)))</f>
        <v>7</v>
      </c>
      <c r="AF1408" s="102">
        <f>'Cali Frames'!D32</f>
        <v>82.144999999999996</v>
      </c>
      <c r="AG1408" s="121"/>
      <c r="AH1408" s="498">
        <v>0</v>
      </c>
      <c r="AI1408" s="498"/>
      <c r="AJ1408" s="406">
        <f t="shared" ref="AJ1408:AJ1414" si="497">SUM(AC1408:AH1408)</f>
        <v>94.291666666666657</v>
      </c>
      <c r="AK1408" s="650">
        <f t="shared" ref="AK1408:AK1439" si="498">(M1408-AJ1408)/M1408</f>
        <v>0.52854166666666669</v>
      </c>
      <c r="AL1408" s="225">
        <f>Table1[[#This Row],[WSP/Dealer]]/Table1[[#This Row],[OD Sq Inch]]</f>
        <v>0.50505050505050508</v>
      </c>
      <c r="AM1408" s="399">
        <f>Table1[[#This Row],[OD Wdth]]*Table1[[#This Row],[OD Hgt]]</f>
        <v>396</v>
      </c>
      <c r="AN1408" s="400" t="str">
        <f>Table1[[#This Row],[Color]]</f>
        <v>BA</v>
      </c>
      <c r="AO1408" s="115" t="str">
        <f>Table1[[#This Row],[Print Type]]</f>
        <v>Work on Paper</v>
      </c>
      <c r="AP1408" s="121"/>
      <c r="AQ1408" s="121"/>
      <c r="AR1408" s="121"/>
      <c r="AS1408" s="121"/>
      <c r="AT1408" s="104"/>
      <c r="AU1408" s="1359" t="str">
        <f t="shared" si="481"/>
        <v>-</v>
      </c>
    </row>
    <row r="1409" spans="1:47" s="103" customFormat="1" hidden="1" x14ac:dyDescent="0.2">
      <c r="A1409" s="68" t="s">
        <v>101</v>
      </c>
      <c r="B1409" s="1072" t="s">
        <v>102</v>
      </c>
      <c r="C1409" s="94" t="s">
        <v>3363</v>
      </c>
      <c r="D1409" s="94"/>
      <c r="E1409" s="84" t="s">
        <v>3364</v>
      </c>
      <c r="F1409" s="84" t="s">
        <v>105</v>
      </c>
      <c r="G1409" s="68" t="s">
        <v>3365</v>
      </c>
      <c r="H1409" s="68" t="s">
        <v>519</v>
      </c>
      <c r="I1409" s="68" t="s">
        <v>256</v>
      </c>
      <c r="J1409" s="140" t="s">
        <v>257</v>
      </c>
      <c r="K1409" s="68" t="s">
        <v>1315</v>
      </c>
      <c r="L1409" s="68" t="s">
        <v>269</v>
      </c>
      <c r="M1409" s="141">
        <v>175</v>
      </c>
      <c r="N1409" s="93"/>
      <c r="O1409" s="68" t="s">
        <v>260</v>
      </c>
      <c r="P1409" s="68">
        <v>6</v>
      </c>
      <c r="Q1409" s="68">
        <v>8</v>
      </c>
      <c r="R1409" s="68">
        <v>6</v>
      </c>
      <c r="S1409" s="68">
        <v>8</v>
      </c>
      <c r="T1409" s="623">
        <v>16</v>
      </c>
      <c r="U1409" s="623">
        <v>20</v>
      </c>
      <c r="V1409" s="1489">
        <f>IF(J1409="Canvas",P1409+BorderGW,P1409)</f>
        <v>6</v>
      </c>
      <c r="W1409" s="1489">
        <f>IF(J1409="Canvas",Q1409+BorderGW,Q1409)</f>
        <v>8</v>
      </c>
      <c r="X1409" s="68" t="s">
        <v>257</v>
      </c>
      <c r="Y1409" s="1347">
        <f>Table1[[#This Row],[Print Wth]]+Materials!$C$7</f>
        <v>8</v>
      </c>
      <c r="Z1409" s="1347">
        <f>Table1[[#This Row],[Print Ht]]+Materials!$C$7</f>
        <v>10</v>
      </c>
      <c r="AA1409" s="1027">
        <f>(Table1[[#This Row],[Cut Width]]*Table1[[#This Row],[Cut Height]])/144</f>
        <v>0.55555555555555558</v>
      </c>
      <c r="AB1409" s="297">
        <f>(Table1[[#This Row],[Print Wth]]*Table1[[#This Row],[Print Ht]])/144*canonML</f>
        <v>1.5999999999999999</v>
      </c>
      <c r="AC1409" s="74">
        <f>Table1[[#This Row],[Substrate SF]]*Paper</f>
        <v>0.75166666666666671</v>
      </c>
      <c r="AD1409" s="74">
        <f>(Table1[[#This Row],[Print Wth]]*Table1[[#This Row],[Print Ht]])/144*CanonC</f>
        <v>0.09</v>
      </c>
      <c r="AE1409" s="74">
        <f>IF(Table1[[#This Row],[Work Center]]="SwissQ",Materials!G$37,IF(Table1[[#This Row],[Work Center]]="Inca",Materials!G$29,IF(Table1[[#This Row],[Work Center]]="Canon",Materials!G$49,Materials!G$45)))</f>
        <v>7</v>
      </c>
      <c r="AF1409" s="73">
        <f>'Cali Frames'!D95</f>
        <v>79.22</v>
      </c>
      <c r="AG1409" s="126"/>
      <c r="AH1409" s="263">
        <v>0</v>
      </c>
      <c r="AI1409" s="263"/>
      <c r="AJ1409" s="278">
        <f t="shared" si="497"/>
        <v>87.061666666666667</v>
      </c>
      <c r="AK1409" s="688">
        <f t="shared" si="498"/>
        <v>0.5025047619047619</v>
      </c>
      <c r="AL1409" s="278">
        <f>Table1[[#This Row],[WSP/Dealer]]/Table1[[#This Row],[OD Sq Inch]]</f>
        <v>0.546875</v>
      </c>
      <c r="AM1409" s="274">
        <f>Table1[[#This Row],[OD Wdth]]*Table1[[#This Row],[OD Hgt]]</f>
        <v>320</v>
      </c>
      <c r="AN1409" s="274">
        <f>Table1[[#This Row],[Min VO]]+Table1[[#This Row],[Max VO]]</f>
        <v>14</v>
      </c>
      <c r="AO1409" s="84"/>
      <c r="AP1409" s="126"/>
      <c r="AQ1409" s="126"/>
      <c r="AR1409" s="126"/>
      <c r="AS1409" s="126"/>
      <c r="AT1409" s="74"/>
      <c r="AU1409" s="1357" t="str">
        <f t="shared" si="481"/>
        <v>-</v>
      </c>
    </row>
    <row r="1410" spans="1:47" s="103" customFormat="1" hidden="1" x14ac:dyDescent="0.2">
      <c r="A1410" s="216" t="s">
        <v>272</v>
      </c>
      <c r="B1410" s="1061" t="s">
        <v>595</v>
      </c>
      <c r="C1410" s="232" t="s">
        <v>3366</v>
      </c>
      <c r="D1410" s="94"/>
      <c r="E1410" s="217" t="s">
        <v>3367</v>
      </c>
      <c r="F1410" s="217" t="s">
        <v>131</v>
      </c>
      <c r="G1410" s="216" t="s">
        <v>519</v>
      </c>
      <c r="H1410" s="216" t="s">
        <v>519</v>
      </c>
      <c r="I1410" s="216" t="s">
        <v>698</v>
      </c>
      <c r="J1410" s="216" t="s">
        <v>53</v>
      </c>
      <c r="K1410" s="216" t="s">
        <v>54</v>
      </c>
      <c r="L1410" s="216" t="s">
        <v>55</v>
      </c>
      <c r="M1410" s="219">
        <v>125</v>
      </c>
      <c r="N1410" s="219"/>
      <c r="O1410" s="216" t="s">
        <v>56</v>
      </c>
      <c r="P1410" s="216">
        <v>16</v>
      </c>
      <c r="Q1410" s="216">
        <v>20</v>
      </c>
      <c r="R1410" s="216">
        <v>16</v>
      </c>
      <c r="S1410" s="216">
        <v>20</v>
      </c>
      <c r="T1410" s="216">
        <v>16</v>
      </c>
      <c r="U1410" s="216">
        <v>20</v>
      </c>
      <c r="V1410" s="907">
        <f>IF(J1410="Canvas",P1410+BorderGW,P1410)</f>
        <v>24</v>
      </c>
      <c r="W1410" s="907">
        <f>IF(J1410="Canvas",Q1410+BorderGW,Q1410)</f>
        <v>28</v>
      </c>
      <c r="X1410" s="223" t="s">
        <v>286</v>
      </c>
      <c r="Y1410" s="216">
        <v>28</v>
      </c>
      <c r="Z1410" s="216">
        <v>96</v>
      </c>
      <c r="AA1410" s="718">
        <f>V1410*W1410/144</f>
        <v>4.666666666666667</v>
      </c>
      <c r="AB1410" s="233">
        <f>AA1410*IncaG</f>
        <v>98.186666666666667</v>
      </c>
      <c r="AC1410" s="225">
        <f>AA1410*Canvas</f>
        <v>3.0800000000000005</v>
      </c>
      <c r="AD1410" s="206">
        <f>Table1[[#This Row],[Ink g/mL]]*Materials!$C$29</f>
        <v>7.8549333333333333</v>
      </c>
      <c r="AE1410" s="104">
        <f>IF(Table1[[#This Row],[Work Center]]="SwissQ",Materials!G$37,IF(Table1[[#This Row],[Work Center]]="Inca",Materials!G$29,IF(Table1[[#This Row],[Work Center]]="Canon",Materials!G$49,Materials!G$45)))</f>
        <v>8</v>
      </c>
      <c r="AF1410" s="226">
        <f>'CALI_SONDER '!H$4</f>
        <v>45.01</v>
      </c>
      <c r="AG1410" s="225"/>
      <c r="AH1410" s="498">
        <f t="shared" ref="AH1410:AH1431" si="499">(M1410*0.05)</f>
        <v>6.25</v>
      </c>
      <c r="AI1410" s="498"/>
      <c r="AJ1410" s="225">
        <f t="shared" si="497"/>
        <v>70.194933333333324</v>
      </c>
      <c r="AK1410" s="650">
        <f t="shared" si="498"/>
        <v>0.43844053333333338</v>
      </c>
      <c r="AL1410" s="225">
        <f>Table1[[#This Row],[WSP/Dealer]]/Table1[[#This Row],[OD Sq Inch]]</f>
        <v>0.390625</v>
      </c>
      <c r="AM1410" s="218">
        <f>Table1[[#This Row],[OD Wdth]]*Table1[[#This Row],[OD Hgt]]</f>
        <v>320</v>
      </c>
      <c r="AN1410" s="216">
        <f>Table1[[#This Row],[Min VO]]+Table1[[#This Row],[Max VO]]</f>
        <v>36</v>
      </c>
      <c r="AO1410" s="216" t="s">
        <v>467</v>
      </c>
      <c r="AP1410" s="226"/>
      <c r="AQ1410" s="226"/>
      <c r="AR1410" s="226"/>
      <c r="AS1410" s="226"/>
      <c r="AT1410" s="226"/>
      <c r="AU1410" s="1363" t="str">
        <f t="shared" si="481"/>
        <v>-</v>
      </c>
    </row>
    <row r="1411" spans="1:47" s="46" customFormat="1" hidden="1" x14ac:dyDescent="0.2">
      <c r="A1411" s="216" t="s">
        <v>272</v>
      </c>
      <c r="B1411" s="1061" t="s">
        <v>273</v>
      </c>
      <c r="C1411" s="243" t="s">
        <v>3368</v>
      </c>
      <c r="D1411" s="94" t="s">
        <v>3369</v>
      </c>
      <c r="E1411" s="217" t="s">
        <v>3370</v>
      </c>
      <c r="F1411" s="217" t="s">
        <v>131</v>
      </c>
      <c r="G1411" s="216" t="s">
        <v>3371</v>
      </c>
      <c r="H1411" s="216" t="s">
        <v>3371</v>
      </c>
      <c r="I1411" s="216" t="s">
        <v>108</v>
      </c>
      <c r="J1411" s="216" t="s">
        <v>53</v>
      </c>
      <c r="K1411" s="216" t="s">
        <v>54</v>
      </c>
      <c r="L1411" s="216" t="s">
        <v>55</v>
      </c>
      <c r="M1411" s="219">
        <v>350</v>
      </c>
      <c r="N1411" s="219"/>
      <c r="O1411" s="216" t="s">
        <v>109</v>
      </c>
      <c r="P1411" s="216">
        <v>42</v>
      </c>
      <c r="Q1411" s="216">
        <v>53</v>
      </c>
      <c r="R1411" s="216">
        <v>42</v>
      </c>
      <c r="S1411" s="216">
        <v>53</v>
      </c>
      <c r="T1411" s="216">
        <v>42</v>
      </c>
      <c r="U1411" s="216">
        <v>53</v>
      </c>
      <c r="V1411" s="907">
        <f>IF(J1411="Canvas",P1411+BorderGW,P1411)</f>
        <v>50</v>
      </c>
      <c r="W1411" s="907">
        <f>IF(J1411="Canvas",Q1411+BorderGW,Q1411)</f>
        <v>61</v>
      </c>
      <c r="X1411" s="223">
        <v>63</v>
      </c>
      <c r="Y1411" s="216"/>
      <c r="Z1411" s="216"/>
      <c r="AA1411" s="718">
        <f>V1411*W1411/144</f>
        <v>21.180555555555557</v>
      </c>
      <c r="AB1411" s="233">
        <f>AA1411*EPSONM</f>
        <v>95.3125</v>
      </c>
      <c r="AC1411" s="225">
        <f>AA1411*Canvas</f>
        <v>13.979166666666668</v>
      </c>
      <c r="AD1411" s="207">
        <f>Table1[[#This Row],[Ink g/mL]]*EPSONC</f>
        <v>20.96875</v>
      </c>
      <c r="AE1411" s="104">
        <f>IF(Table1[[#This Row],[Work Center]]="SwissQ",Materials!G$37,IF(Table1[[#This Row],[Work Center]]="Inca",Materials!G$29,IF(Table1[[#This Row],[Work Center]]="Canon",Materials!G$49,Materials!G$45)))</f>
        <v>5</v>
      </c>
      <c r="AF1411" s="225">
        <f>'Cali FPS'!C96</f>
        <v>109.00749999999999</v>
      </c>
      <c r="AG1411" s="115"/>
      <c r="AH1411" s="498">
        <f t="shared" si="499"/>
        <v>17.5</v>
      </c>
      <c r="AI1411" s="498"/>
      <c r="AJ1411" s="225">
        <f t="shared" si="497"/>
        <v>166.45541666666668</v>
      </c>
      <c r="AK1411" s="650">
        <f t="shared" si="498"/>
        <v>0.52441309523809521</v>
      </c>
      <c r="AL1411" s="225">
        <f>Table1[[#This Row],[WSP/Dealer]]/Table1[[#This Row],[OD Sq Inch]]</f>
        <v>0.15723270440251572</v>
      </c>
      <c r="AM1411" s="97">
        <f>Table1[[#This Row],[OD Wdth]]*Table1[[#This Row],[OD Hgt]]</f>
        <v>2226</v>
      </c>
      <c r="AN1411" s="216">
        <f>Table1[[#This Row],[Min VO]]+Table1[[#This Row],[Max VO]]</f>
        <v>95</v>
      </c>
      <c r="AO1411" s="216" t="s">
        <v>467</v>
      </c>
      <c r="AP1411" s="226"/>
      <c r="AQ1411" s="226"/>
      <c r="AR1411" s="226"/>
      <c r="AS1411" s="226"/>
      <c r="AT1411" s="226"/>
      <c r="AU1411" s="1363" t="str">
        <f t="shared" si="481"/>
        <v>-</v>
      </c>
    </row>
    <row r="1412" spans="1:47" s="63" customFormat="1" hidden="1" x14ac:dyDescent="0.2">
      <c r="A1412" s="216" t="s">
        <v>272</v>
      </c>
      <c r="B1412" s="1061" t="s">
        <v>273</v>
      </c>
      <c r="C1412" s="232" t="s">
        <v>3372</v>
      </c>
      <c r="D1412" s="94" t="s">
        <v>3369</v>
      </c>
      <c r="E1412" s="217" t="s">
        <v>3373</v>
      </c>
      <c r="F1412" s="217" t="s">
        <v>131</v>
      </c>
      <c r="G1412" s="216" t="s">
        <v>3371</v>
      </c>
      <c r="H1412" s="216" t="s">
        <v>3371</v>
      </c>
      <c r="I1412" s="216" t="s">
        <v>52</v>
      </c>
      <c r="J1412" s="216" t="s">
        <v>53</v>
      </c>
      <c r="K1412" s="216" t="s">
        <v>54</v>
      </c>
      <c r="L1412" s="216" t="s">
        <v>55</v>
      </c>
      <c r="M1412" s="219">
        <v>400</v>
      </c>
      <c r="N1412" s="219"/>
      <c r="O1412" s="216" t="s">
        <v>56</v>
      </c>
      <c r="P1412" s="216">
        <v>42</v>
      </c>
      <c r="Q1412" s="216">
        <v>53</v>
      </c>
      <c r="R1412" s="216">
        <v>42</v>
      </c>
      <c r="S1412" s="216">
        <v>53</v>
      </c>
      <c r="T1412" s="216">
        <v>42</v>
      </c>
      <c r="U1412" s="216">
        <v>53</v>
      </c>
      <c r="V1412" s="907">
        <f>IF(J1412="Canvas",P1412+BorderGW,P1412)</f>
        <v>50</v>
      </c>
      <c r="W1412" s="907">
        <f>IF(J1412="Canvas",Q1412+BorderGW,Q1412)</f>
        <v>61</v>
      </c>
      <c r="X1412" s="223">
        <v>63</v>
      </c>
      <c r="Y1412" s="216"/>
      <c r="Z1412" s="216"/>
      <c r="AA1412" s="718">
        <f>V1412*W1412/144</f>
        <v>21.180555555555557</v>
      </c>
      <c r="AB1412" s="233">
        <f>AA1412*IncaG</f>
        <v>445.63888888888891</v>
      </c>
      <c r="AC1412" s="225">
        <f>AA1412*Canvas</f>
        <v>13.979166666666668</v>
      </c>
      <c r="AD1412" s="206">
        <f>Table1[[#This Row],[Ink g/mL]]*Materials!$C$29</f>
        <v>35.651111111111113</v>
      </c>
      <c r="AE1412" s="104">
        <f>IF(Table1[[#This Row],[Work Center]]="SwissQ",Materials!G$37,IF(Table1[[#This Row],[Work Center]]="Inca",Materials!G$29,IF(Table1[[#This Row],[Work Center]]="Canon",Materials!G$49,Materials!G$45)))</f>
        <v>8</v>
      </c>
      <c r="AF1412" s="225"/>
      <c r="AG1412" s="115"/>
      <c r="AH1412" s="498">
        <f t="shared" si="499"/>
        <v>20</v>
      </c>
      <c r="AI1412" s="498"/>
      <c r="AJ1412" s="225">
        <f t="shared" si="497"/>
        <v>77.630277777777778</v>
      </c>
      <c r="AK1412" s="650">
        <f t="shared" si="498"/>
        <v>0.8059243055555555</v>
      </c>
      <c r="AL1412" s="225">
        <f>Table1[[#This Row],[WSP/Dealer]]/Table1[[#This Row],[OD Sq Inch]]</f>
        <v>0.17969451931716082</v>
      </c>
      <c r="AM1412" s="97">
        <f>Table1[[#This Row],[OD Wdth]]*Table1[[#This Row],[OD Hgt]]</f>
        <v>2226</v>
      </c>
      <c r="AN1412" s="216">
        <f>Table1[[#This Row],[Min VO]]+Table1[[#This Row],[Max VO]]</f>
        <v>95</v>
      </c>
      <c r="AO1412" s="216" t="s">
        <v>467</v>
      </c>
      <c r="AP1412" s="226"/>
      <c r="AQ1412" s="226"/>
      <c r="AR1412" s="226"/>
      <c r="AS1412" s="226"/>
      <c r="AT1412" s="226"/>
      <c r="AU1412" s="1365" t="str">
        <f t="shared" si="481"/>
        <v>-</v>
      </c>
    </row>
    <row r="1413" spans="1:47" s="63" customFormat="1" hidden="1" x14ac:dyDescent="0.2">
      <c r="A1413" s="485" t="s">
        <v>318</v>
      </c>
      <c r="B1413" s="1061" t="s">
        <v>96</v>
      </c>
      <c r="C1413" s="168" t="s">
        <v>3374</v>
      </c>
      <c r="D1413" s="94">
        <v>180895</v>
      </c>
      <c r="E1413" s="115" t="s">
        <v>3375</v>
      </c>
      <c r="F1413" s="115" t="s">
        <v>131</v>
      </c>
      <c r="G1413" s="101" t="s">
        <v>191</v>
      </c>
      <c r="H1413" s="101" t="s">
        <v>193</v>
      </c>
      <c r="I1413" s="645" t="s">
        <v>52</v>
      </c>
      <c r="J1413" s="101" t="s">
        <v>53</v>
      </c>
      <c r="K1413" s="101" t="s">
        <v>69</v>
      </c>
      <c r="L1413" s="101" t="s">
        <v>73</v>
      </c>
      <c r="M1413" s="544">
        <v>625</v>
      </c>
      <c r="N1413" s="786">
        <v>1450</v>
      </c>
      <c r="O1413" s="645" t="s">
        <v>56</v>
      </c>
      <c r="P1413" s="101">
        <v>48</v>
      </c>
      <c r="Q1413" s="101">
        <v>60</v>
      </c>
      <c r="R1413" s="101">
        <v>48</v>
      </c>
      <c r="S1413" s="101">
        <v>60</v>
      </c>
      <c r="T1413" s="103">
        <v>49</v>
      </c>
      <c r="U1413" s="103">
        <v>61</v>
      </c>
      <c r="V1413" s="404">
        <f>IF(J1413="Canvas",P1413+Border,P1413)</f>
        <v>56</v>
      </c>
      <c r="W1413" s="404">
        <f>IF(J1413="Canvas",Q1413+Border,Q1413)</f>
        <v>68</v>
      </c>
      <c r="X1413" s="137">
        <v>62</v>
      </c>
      <c r="Y1413" s="101">
        <v>56</v>
      </c>
      <c r="Z1413" s="101">
        <v>68</v>
      </c>
      <c r="AA1413" s="724">
        <f>V1413*W1413/144</f>
        <v>26.444444444444443</v>
      </c>
      <c r="AB1413" s="184">
        <f>AA1413*IncaC</f>
        <v>44.511288888888885</v>
      </c>
      <c r="AC1413" s="104">
        <f>AA1413*Canvas</f>
        <v>17.453333333333333</v>
      </c>
      <c r="AD1413" s="405">
        <f>Table1[[#This Row],[Substrate SF]]*IncaC</f>
        <v>44.511288888888885</v>
      </c>
      <c r="AE1413" s="104">
        <f>IF(Table1[[#This Row],[Work Center]]="SwissQ",Materials!G$37,IF(Table1[[#This Row],[Work Center]]="Inca",Materials!G$29,IF(Table1[[#This Row],[Work Center]]="Canon",Materials!G$49,Materials!G$45)))</f>
        <v>8</v>
      </c>
      <c r="AF1413" s="406">
        <f>'Cali Frames'!D470</f>
        <v>263.70999999999998</v>
      </c>
      <c r="AG1413" s="121"/>
      <c r="AH1413" s="498">
        <f t="shared" si="499"/>
        <v>31.25</v>
      </c>
      <c r="AI1413" s="498"/>
      <c r="AJ1413" s="405">
        <f t="shared" si="497"/>
        <v>364.92462222222218</v>
      </c>
      <c r="AK1413" s="650">
        <f t="shared" si="498"/>
        <v>0.41612060444444449</v>
      </c>
      <c r="AL1413" s="225">
        <f>Table1[[#This Row],[WSP/Dealer]]/Table1[[#This Row],[OD Sq Inch]]</f>
        <v>0.20910003345600536</v>
      </c>
      <c r="AM1413" s="399">
        <f>Table1[[#This Row],[OD Wdth]]*Table1[[#This Row],[OD Hgt]]</f>
        <v>2989</v>
      </c>
      <c r="AN1413" s="400" t="str">
        <f>Table1[[#This Row],[Color]]</f>
        <v>NF</v>
      </c>
      <c r="AO1413" s="115" t="str">
        <f>Table1[[#This Row],[Print Type]]</f>
        <v>Synograph</v>
      </c>
      <c r="AP1413" s="121"/>
      <c r="AQ1413" s="121"/>
      <c r="AR1413" s="121"/>
      <c r="AS1413" s="121"/>
      <c r="AT1413" s="104"/>
      <c r="AU1413" s="1359" t="str">
        <f t="shared" si="481"/>
        <v>-</v>
      </c>
    </row>
    <row r="1414" spans="1:47" s="103" customFormat="1" hidden="1" x14ac:dyDescent="0.2">
      <c r="A1414" s="68"/>
      <c r="B1414" s="1061"/>
      <c r="C1414" s="94" t="s">
        <v>3376</v>
      </c>
      <c r="D1414" s="94"/>
      <c r="E1414" s="84" t="s">
        <v>3375</v>
      </c>
      <c r="F1414" s="84" t="s">
        <v>131</v>
      </c>
      <c r="G1414" s="68" t="s">
        <v>191</v>
      </c>
      <c r="H1414" s="68" t="s">
        <v>191</v>
      </c>
      <c r="I1414" s="68" t="s">
        <v>108</v>
      </c>
      <c r="J1414" s="68" t="s">
        <v>53</v>
      </c>
      <c r="K1414" s="68" t="s">
        <v>54</v>
      </c>
      <c r="L1414" s="68" t="s">
        <v>55</v>
      </c>
      <c r="M1414" s="141">
        <v>155</v>
      </c>
      <c r="N1414" s="71"/>
      <c r="O1414" s="68" t="s">
        <v>109</v>
      </c>
      <c r="P1414" s="68">
        <v>48</v>
      </c>
      <c r="Q1414" s="68">
        <v>60</v>
      </c>
      <c r="R1414" s="68">
        <v>48</v>
      </c>
      <c r="S1414" s="68">
        <v>60</v>
      </c>
      <c r="T1414" s="63">
        <v>48</v>
      </c>
      <c r="U1414" s="63">
        <v>60</v>
      </c>
      <c r="V1414" s="277">
        <f>IF(J1414="Canvas",P1414+Border,P1414)</f>
        <v>56</v>
      </c>
      <c r="W1414" s="277">
        <f>IF(J1414="Canvas",Q1414+Border,Q1414)</f>
        <v>68</v>
      </c>
      <c r="X1414" s="189">
        <v>59</v>
      </c>
      <c r="Y1414" s="68"/>
      <c r="Z1414" s="68"/>
      <c r="AA1414" s="729">
        <f>V1414*W1414/144</f>
        <v>26.444444444444443</v>
      </c>
      <c r="AB1414" s="372">
        <f>AA1414*EPSONM</f>
        <v>119</v>
      </c>
      <c r="AC1414" s="74">
        <f>AA1414*Canvas</f>
        <v>17.453333333333333</v>
      </c>
      <c r="AD1414" s="208">
        <f>Table1[[#This Row],[Ink g/mL]]*EPSONC</f>
        <v>26.18</v>
      </c>
      <c r="AE1414" s="104">
        <f>IF(Table1[[#This Row],[Work Center]]="SwissQ",Materials!G$37,IF(Table1[[#This Row],[Work Center]]="Inca",Materials!G$29,IF(Table1[[#This Row],[Work Center]]="Canon",Materials!G$49,Materials!G$45)))</f>
        <v>5</v>
      </c>
      <c r="AF1414" s="73">
        <f>'CALI CB2'!H2</f>
        <v>42.6</v>
      </c>
      <c r="AG1414" s="126"/>
      <c r="AH1414" s="112">
        <f t="shared" si="499"/>
        <v>7.75</v>
      </c>
      <c r="AI1414" s="112"/>
      <c r="AJ1414" s="278">
        <f t="shared" si="497"/>
        <v>98.983333333333334</v>
      </c>
      <c r="AK1414" s="62">
        <f t="shared" si="498"/>
        <v>0.36139784946236558</v>
      </c>
      <c r="AL1414" s="225">
        <f>Table1[[#This Row],[WSP/Dealer]]/Table1[[#This Row],[OD Sq Inch]]</f>
        <v>5.3819444444444448E-2</v>
      </c>
      <c r="AM1414" s="170">
        <f>Table1[[#This Row],[OD Wdth]]*Table1[[#This Row],[OD Hgt]]</f>
        <v>2880</v>
      </c>
      <c r="AN1414" s="216">
        <f>Table1[[#This Row],[Min VO]]+Table1[[#This Row],[Max VO]]</f>
        <v>108</v>
      </c>
      <c r="AO1414" s="119"/>
      <c r="AP1414" s="84"/>
      <c r="AQ1414" s="126"/>
      <c r="AR1414" s="126"/>
      <c r="AS1414" s="126"/>
      <c r="AT1414" s="74"/>
      <c r="AU1414" s="1356" t="str">
        <f t="shared" ref="AU1414:AU1477" si="500">IF(AQ1414=0,"-",(AQ1414-AT1414)/AQ1414)</f>
        <v>-</v>
      </c>
    </row>
    <row r="1415" spans="1:47" s="63" customFormat="1" hidden="1" x14ac:dyDescent="0.2">
      <c r="A1415" s="274"/>
      <c r="B1415" s="279"/>
      <c r="C1415" s="323" t="s">
        <v>3377</v>
      </c>
      <c r="D1415" s="94"/>
      <c r="E1415" s="275" t="s">
        <v>3378</v>
      </c>
      <c r="F1415" s="275" t="s">
        <v>301</v>
      </c>
      <c r="G1415" s="274" t="s">
        <v>449</v>
      </c>
      <c r="H1415" s="274" t="s">
        <v>1619</v>
      </c>
      <c r="I1415" s="274" t="s">
        <v>52</v>
      </c>
      <c r="J1415" s="344" t="s">
        <v>53</v>
      </c>
      <c r="K1415" s="274" t="s">
        <v>69</v>
      </c>
      <c r="L1415" s="274" t="s">
        <v>70</v>
      </c>
      <c r="M1415" s="318"/>
      <c r="N1415" s="71">
        <v>700</v>
      </c>
      <c r="O1415" s="274"/>
      <c r="P1415" s="274"/>
      <c r="Q1415" s="274"/>
      <c r="R1415" s="274"/>
      <c r="S1415" s="274"/>
      <c r="T1415" s="274"/>
      <c r="U1415" s="274"/>
      <c r="V1415" s="686"/>
      <c r="W1415" s="686"/>
      <c r="X1415" s="343"/>
      <c r="Y1415" s="274"/>
      <c r="Z1415" s="274"/>
      <c r="AA1415" s="727"/>
      <c r="AB1415" s="341"/>
      <c r="AC1415" s="278"/>
      <c r="AD1415" s="320"/>
      <c r="AE1415" s="320"/>
      <c r="AF1415" s="321"/>
      <c r="AG1415" s="275"/>
      <c r="AH1415" s="498">
        <f t="shared" si="499"/>
        <v>0</v>
      </c>
      <c r="AI1415" s="112"/>
      <c r="AJ1415" s="320"/>
      <c r="AK1415" s="650" t="e">
        <f t="shared" si="498"/>
        <v>#DIV/0!</v>
      </c>
      <c r="AL1415" s="225" t="e">
        <f>Table1[[#This Row],[WSP/Dealer]]/Table1[[#This Row],[OD Sq Inch]]</f>
        <v>#DIV/0!</v>
      </c>
      <c r="AM1415" s="275"/>
      <c r="AN1415" s="275"/>
      <c r="AO1415" s="275"/>
      <c r="AP1415" s="275"/>
      <c r="AQ1415" s="320"/>
      <c r="AR1415" s="320"/>
      <c r="AS1415" s="320"/>
      <c r="AT1415" s="278"/>
      <c r="AU1415" s="1368" t="str">
        <f t="shared" si="500"/>
        <v>-</v>
      </c>
    </row>
    <row r="1416" spans="1:47" s="103" customFormat="1" x14ac:dyDescent="0.2">
      <c r="A1416" s="86" t="s">
        <v>58</v>
      </c>
      <c r="B1416" s="279" t="s">
        <v>88</v>
      </c>
      <c r="C1416" s="100" t="s">
        <v>3379</v>
      </c>
      <c r="D1416" s="94" t="s">
        <v>3380</v>
      </c>
      <c r="E1416" s="85" t="s">
        <v>3381</v>
      </c>
      <c r="F1416" s="85" t="s">
        <v>634</v>
      </c>
      <c r="G1416" s="86" t="s">
        <v>449</v>
      </c>
      <c r="H1416" s="86" t="s">
        <v>1619</v>
      </c>
      <c r="I1416" s="86" t="s">
        <v>794</v>
      </c>
      <c r="J1416" s="86" t="s">
        <v>53</v>
      </c>
      <c r="K1416" s="86" t="s">
        <v>69</v>
      </c>
      <c r="L1416" s="86" t="s">
        <v>70</v>
      </c>
      <c r="M1416" s="87">
        <v>583</v>
      </c>
      <c r="N1416" s="639">
        <v>641.30000000000007</v>
      </c>
      <c r="O1416" s="551" t="s">
        <v>795</v>
      </c>
      <c r="P1416" s="101">
        <v>36</v>
      </c>
      <c r="Q1416" s="101">
        <v>36</v>
      </c>
      <c r="R1416" s="101">
        <v>36</v>
      </c>
      <c r="S1416" s="101">
        <v>36</v>
      </c>
      <c r="T1416" s="101">
        <v>37</v>
      </c>
      <c r="U1416" s="101" t="str">
        <f>RIGHT(H1416,2)</f>
        <v>37</v>
      </c>
      <c r="V1416" s="106">
        <f>IF(J1416="Canvas",P1416+Border,P1416)</f>
        <v>44</v>
      </c>
      <c r="W1416" s="106">
        <f>IF(J1416="Canvas",Q1416+Border,Q1416)</f>
        <v>44</v>
      </c>
      <c r="X1416" s="137" t="s">
        <v>796</v>
      </c>
      <c r="Y1416" s="101"/>
      <c r="Z1416" s="101"/>
      <c r="AA1416" s="649">
        <f>V1416*W1416/144</f>
        <v>13.444444444444445</v>
      </c>
      <c r="AB1416" s="184">
        <v>0</v>
      </c>
      <c r="AC1416" s="104">
        <f>TX!H22</f>
        <v>124.02</v>
      </c>
      <c r="AD1416" s="107">
        <f>AA1416*IncaC</f>
        <v>22.629688888888889</v>
      </c>
      <c r="AE1416" s="104">
        <v>0</v>
      </c>
      <c r="AF1416" s="104">
        <f>'Cali Frames'!D$297</f>
        <v>119.875</v>
      </c>
      <c r="AG1416" s="115"/>
      <c r="AH1416" s="112">
        <f t="shared" si="499"/>
        <v>29.150000000000002</v>
      </c>
      <c r="AI1416" s="112"/>
      <c r="AJ1416" s="104">
        <f>SUM(AC1416:AH1416)</f>
        <v>295.67468888888885</v>
      </c>
      <c r="AK1416" s="62">
        <f t="shared" si="498"/>
        <v>0.49283929864684589</v>
      </c>
      <c r="AL1416" s="225">
        <f>Table1[[#This Row],[WSP/Dealer]]/Table1[[#This Row],[OD Sq Inch]]</f>
        <v>0.42585829072315556</v>
      </c>
      <c r="AM1416" s="218">
        <f>Table1[[#This Row],[OD Wdth]]*Table1[[#This Row],[OD Hgt]]</f>
        <v>1369</v>
      </c>
      <c r="AN1416" s="216">
        <f>Table1[[#This Row],[Min VO]]+Table1[[#This Row],[Max VO]]</f>
        <v>72</v>
      </c>
      <c r="AO1416" s="101"/>
      <c r="AP1416" s="101"/>
      <c r="AQ1416" s="104"/>
      <c r="AR1416" s="104"/>
      <c r="AS1416" s="104"/>
      <c r="AT1416" s="104"/>
      <c r="AU1416" s="830" t="str">
        <f t="shared" si="500"/>
        <v>-</v>
      </c>
    </row>
    <row r="1417" spans="1:47" s="235" customFormat="1" x14ac:dyDescent="0.2">
      <c r="A1417" s="68" t="s">
        <v>58</v>
      </c>
      <c r="B1417" s="1061" t="s">
        <v>533</v>
      </c>
      <c r="C1417" s="78" t="s">
        <v>3377</v>
      </c>
      <c r="D1417" s="94"/>
      <c r="E1417" s="84" t="s">
        <v>3381</v>
      </c>
      <c r="F1417" s="84" t="s">
        <v>301</v>
      </c>
      <c r="G1417" s="68" t="s">
        <v>449</v>
      </c>
      <c r="H1417" s="68" t="s">
        <v>1619</v>
      </c>
      <c r="I1417" s="68" t="s">
        <v>52</v>
      </c>
      <c r="J1417" s="140" t="s">
        <v>53</v>
      </c>
      <c r="K1417" s="68" t="s">
        <v>69</v>
      </c>
      <c r="L1417" s="68" t="s">
        <v>70</v>
      </c>
      <c r="M1417" s="93"/>
      <c r="N1417" s="639">
        <v>700</v>
      </c>
      <c r="O1417" s="68"/>
      <c r="P1417" s="63">
        <v>36</v>
      </c>
      <c r="Q1417" s="63">
        <v>36</v>
      </c>
      <c r="R1417" s="68">
        <v>36</v>
      </c>
      <c r="S1417" s="63">
        <v>36</v>
      </c>
      <c r="T1417" s="63">
        <v>37</v>
      </c>
      <c r="U1417" s="63">
        <v>37</v>
      </c>
      <c r="V1417" s="66"/>
      <c r="W1417" s="66"/>
      <c r="X1417" s="189"/>
      <c r="Y1417" s="68"/>
      <c r="Z1417" s="68"/>
      <c r="AA1417" s="699"/>
      <c r="AB1417" s="297"/>
      <c r="AC1417" s="67"/>
      <c r="AD1417" s="118"/>
      <c r="AE1417" s="126"/>
      <c r="AF1417" s="126"/>
      <c r="AG1417" s="115"/>
      <c r="AH1417" s="112">
        <f t="shared" si="499"/>
        <v>0</v>
      </c>
      <c r="AI1417" s="112"/>
      <c r="AJ1417" s="126"/>
      <c r="AK1417" s="62" t="e">
        <f t="shared" si="498"/>
        <v>#DIV/0!</v>
      </c>
      <c r="AL1417" s="225">
        <f>Table1[[#This Row],[WSP/Dealer]]/Table1[[#This Row],[OD Sq Inch]]</f>
        <v>0</v>
      </c>
      <c r="AM1417" s="103">
        <f>Table1[[#This Row],[OD Wdth]]*Table1[[#This Row],[OD Hgt]]</f>
        <v>1369</v>
      </c>
      <c r="AN1417" s="216">
        <f>Table1[[#This Row],[Min VO]]+Table1[[#This Row],[Max VO]]</f>
        <v>72</v>
      </c>
      <c r="AO1417" s="119"/>
      <c r="AP1417" s="84"/>
      <c r="AQ1417" s="126"/>
      <c r="AR1417" s="126"/>
      <c r="AS1417" s="126"/>
      <c r="AT1417" s="74"/>
      <c r="AU1417" s="1356" t="str">
        <f t="shared" si="500"/>
        <v>-</v>
      </c>
    </row>
    <row r="1418" spans="1:47" hidden="1" x14ac:dyDescent="0.2">
      <c r="A1418" s="216" t="s">
        <v>272</v>
      </c>
      <c r="B1418" s="1061" t="s">
        <v>595</v>
      </c>
      <c r="C1418" s="232" t="s">
        <v>3382</v>
      </c>
      <c r="D1418" s="94"/>
      <c r="E1418" s="217" t="s">
        <v>3383</v>
      </c>
      <c r="F1418" s="217" t="s">
        <v>301</v>
      </c>
      <c r="G1418" s="216" t="s">
        <v>395</v>
      </c>
      <c r="H1418" s="216" t="s">
        <v>396</v>
      </c>
      <c r="I1418" s="216" t="s">
        <v>52</v>
      </c>
      <c r="J1418" s="555" t="s">
        <v>53</v>
      </c>
      <c r="K1418" s="216" t="s">
        <v>69</v>
      </c>
      <c r="L1418" s="216" t="s">
        <v>70</v>
      </c>
      <c r="M1418" s="219">
        <v>1000</v>
      </c>
      <c r="N1418" s="219"/>
      <c r="O1418" s="216" t="s">
        <v>64</v>
      </c>
      <c r="P1418" s="216">
        <v>60</v>
      </c>
      <c r="Q1418" s="216">
        <v>60</v>
      </c>
      <c r="R1418" s="216">
        <v>60</v>
      </c>
      <c r="S1418" s="216">
        <v>60</v>
      </c>
      <c r="T1418" s="216">
        <v>61</v>
      </c>
      <c r="U1418" s="216" t="str">
        <f>RIGHT(H1418,2)</f>
        <v>61</v>
      </c>
      <c r="V1418" s="222">
        <f>IF(J1418="Canvas",P1418+Border,P1418)</f>
        <v>68</v>
      </c>
      <c r="W1418" s="222">
        <f>IF(J1418="Canvas",Q1418+Border,Q1418)</f>
        <v>68</v>
      </c>
      <c r="X1418" s="223">
        <v>69</v>
      </c>
      <c r="Y1418" s="216"/>
      <c r="Z1418" s="216"/>
      <c r="AA1418" s="718">
        <f>V1418*W1418/144</f>
        <v>32.111111111111114</v>
      </c>
      <c r="AB1418" s="233">
        <f>AA1418*Swiss1</f>
        <v>908.74444444444453</v>
      </c>
      <c r="AC1418" s="225">
        <f>AA1418*Canvas</f>
        <v>21.193333333333335</v>
      </c>
      <c r="AD1418" s="207">
        <f>Table1[[#This Row],[Substrate SF]]*Materials!C$37</f>
        <v>89.911111111111111</v>
      </c>
      <c r="AE1418" s="104">
        <f>IF(Table1[[#This Row],[Work Center]]="SwissQ",Materials!G$37,IF(Table1[[#This Row],[Work Center]]="Inca",Materials!G$29,IF(Table1[[#This Row],[Work Center]]="Canon",Materials!G$49,Materials!G$45)))</f>
        <v>20</v>
      </c>
      <c r="AF1418" s="225"/>
      <c r="AG1418" s="115"/>
      <c r="AH1418" s="498">
        <f t="shared" si="499"/>
        <v>50</v>
      </c>
      <c r="AI1418" s="498"/>
      <c r="AJ1418" s="225">
        <f>SUM(AC1418:AH1418)</f>
        <v>181.10444444444445</v>
      </c>
      <c r="AK1418" s="650">
        <f t="shared" si="498"/>
        <v>0.8188955555555556</v>
      </c>
      <c r="AL1418" s="225">
        <f>Table1[[#This Row],[WSP/Dealer]]/Table1[[#This Row],[OD Sq Inch]]</f>
        <v>0.26874496103198064</v>
      </c>
      <c r="AM1418" s="218">
        <f>Table1[[#This Row],[OD Wdth]]*Table1[[#This Row],[OD Hgt]]</f>
        <v>3721</v>
      </c>
      <c r="AN1418" s="216">
        <f>Table1[[#This Row],[Min VO]]+Table1[[#This Row],[Max VO]]</f>
        <v>120</v>
      </c>
      <c r="AO1418" s="217"/>
      <c r="AP1418" s="217"/>
      <c r="AQ1418" s="986"/>
      <c r="AR1418" s="986"/>
      <c r="AS1418" s="986"/>
      <c r="AT1418" s="225"/>
      <c r="AU1418" s="1365" t="str">
        <f t="shared" si="500"/>
        <v>-</v>
      </c>
    </row>
    <row r="1419" spans="1:47" s="63" customFormat="1" x14ac:dyDescent="0.2">
      <c r="A1419" s="86" t="s">
        <v>58</v>
      </c>
      <c r="B1419" s="1061" t="s">
        <v>88</v>
      </c>
      <c r="C1419" s="100" t="s">
        <v>3384</v>
      </c>
      <c r="D1419" s="94" t="s">
        <v>3385</v>
      </c>
      <c r="E1419" s="85" t="s">
        <v>3386</v>
      </c>
      <c r="F1419" s="85" t="s">
        <v>634</v>
      </c>
      <c r="G1419" s="86" t="s">
        <v>449</v>
      </c>
      <c r="H1419" s="86" t="s">
        <v>1619</v>
      </c>
      <c r="I1419" s="86" t="s">
        <v>794</v>
      </c>
      <c r="J1419" s="86" t="s">
        <v>53</v>
      </c>
      <c r="K1419" s="86" t="s">
        <v>69</v>
      </c>
      <c r="L1419" s="86" t="s">
        <v>70</v>
      </c>
      <c r="M1419" s="87">
        <v>583</v>
      </c>
      <c r="N1419" s="639">
        <v>641.30000000000007</v>
      </c>
      <c r="O1419" s="551" t="s">
        <v>795</v>
      </c>
      <c r="P1419" s="101">
        <v>36</v>
      </c>
      <c r="Q1419" s="101">
        <v>36</v>
      </c>
      <c r="R1419" s="101">
        <v>36</v>
      </c>
      <c r="S1419" s="103">
        <v>36</v>
      </c>
      <c r="T1419" s="103">
        <v>37</v>
      </c>
      <c r="U1419" s="103" t="str">
        <f>RIGHT(H1419,2)</f>
        <v>37</v>
      </c>
      <c r="V1419" s="106">
        <f>IF(J1419="Canvas",P1419+Border,P1419)</f>
        <v>44</v>
      </c>
      <c r="W1419" s="106">
        <f>IF(J1419="Canvas",Q1419+Border,Q1419)</f>
        <v>44</v>
      </c>
      <c r="X1419" s="137" t="s">
        <v>796</v>
      </c>
      <c r="Y1419" s="101"/>
      <c r="Z1419" s="101"/>
      <c r="AA1419" s="649">
        <f>V1419*W1419/144</f>
        <v>13.444444444444445</v>
      </c>
      <c r="AB1419" s="184">
        <v>0</v>
      </c>
      <c r="AC1419" s="104">
        <f>TX!H23</f>
        <v>124.02</v>
      </c>
      <c r="AD1419" s="107">
        <f>AA1419*IncaC</f>
        <v>22.629688888888889</v>
      </c>
      <c r="AE1419" s="104">
        <v>0</v>
      </c>
      <c r="AF1419" s="104">
        <f>'Cali Frames'!D$297</f>
        <v>119.875</v>
      </c>
      <c r="AG1419" s="115"/>
      <c r="AH1419" s="112">
        <f t="shared" si="499"/>
        <v>29.150000000000002</v>
      </c>
      <c r="AI1419" s="112"/>
      <c r="AJ1419" s="104">
        <f>SUM(AC1419:AH1419)</f>
        <v>295.67468888888885</v>
      </c>
      <c r="AK1419" s="62">
        <f t="shared" si="498"/>
        <v>0.49283929864684589</v>
      </c>
      <c r="AL1419" s="225">
        <f>Table1[[#This Row],[WSP/Dealer]]/Table1[[#This Row],[OD Sq Inch]]</f>
        <v>0.42585829072315556</v>
      </c>
      <c r="AM1419" s="218">
        <f>Table1[[#This Row],[OD Wdth]]*Table1[[#This Row],[OD Hgt]]</f>
        <v>1369</v>
      </c>
      <c r="AN1419" s="216">
        <f>Table1[[#This Row],[Min VO]]+Table1[[#This Row],[Max VO]]</f>
        <v>72</v>
      </c>
      <c r="AO1419" s="103"/>
      <c r="AP1419" s="101"/>
      <c r="AQ1419" s="104"/>
      <c r="AR1419" s="104"/>
      <c r="AS1419" s="104"/>
      <c r="AT1419" s="104"/>
      <c r="AU1419" s="108" t="str">
        <f t="shared" si="500"/>
        <v>-</v>
      </c>
    </row>
    <row r="1420" spans="1:47" s="235" customFormat="1" x14ac:dyDescent="0.2">
      <c r="A1420" s="68" t="s">
        <v>58</v>
      </c>
      <c r="B1420" s="1061" t="s">
        <v>533</v>
      </c>
      <c r="C1420" s="78" t="s">
        <v>3387</v>
      </c>
      <c r="D1420" s="94"/>
      <c r="E1420" s="84" t="s">
        <v>3386</v>
      </c>
      <c r="F1420" s="84" t="s">
        <v>301</v>
      </c>
      <c r="G1420" s="68" t="s">
        <v>449</v>
      </c>
      <c r="H1420" s="68" t="s">
        <v>1619</v>
      </c>
      <c r="I1420" s="282" t="s">
        <v>52</v>
      </c>
      <c r="J1420" s="140" t="s">
        <v>53</v>
      </c>
      <c r="K1420" s="68" t="s">
        <v>69</v>
      </c>
      <c r="L1420" s="68" t="s">
        <v>70</v>
      </c>
      <c r="M1420" s="93"/>
      <c r="N1420" s="639">
        <v>700</v>
      </c>
      <c r="O1420" s="282"/>
      <c r="P1420" s="68">
        <v>36</v>
      </c>
      <c r="Q1420" s="68">
        <v>36</v>
      </c>
      <c r="R1420" s="68">
        <v>36</v>
      </c>
      <c r="S1420" s="68">
        <v>36</v>
      </c>
      <c r="T1420" s="68">
        <v>37</v>
      </c>
      <c r="U1420" s="68">
        <v>37</v>
      </c>
      <c r="V1420" s="917"/>
      <c r="W1420" s="917"/>
      <c r="X1420" s="189"/>
      <c r="Y1420" s="68"/>
      <c r="Z1420" s="68"/>
      <c r="AA1420" s="699"/>
      <c r="AB1420" s="297"/>
      <c r="AC1420" s="74"/>
      <c r="AD1420" s="126"/>
      <c r="AE1420" s="126"/>
      <c r="AF1420" s="126"/>
      <c r="AG1420" s="115"/>
      <c r="AH1420" s="498">
        <f t="shared" si="499"/>
        <v>0</v>
      </c>
      <c r="AI1420" s="498"/>
      <c r="AJ1420" s="126"/>
      <c r="AK1420" s="650" t="e">
        <f t="shared" si="498"/>
        <v>#DIV/0!</v>
      </c>
      <c r="AL1420" s="225">
        <f>Table1[[#This Row],[WSP/Dealer]]/Table1[[#This Row],[OD Sq Inch]]</f>
        <v>0</v>
      </c>
      <c r="AM1420" s="101">
        <f>Table1[[#This Row],[OD Wdth]]*Table1[[#This Row],[OD Hgt]]</f>
        <v>1369</v>
      </c>
      <c r="AN1420" s="216">
        <f>Table1[[#This Row],[Min VO]]+Table1[[#This Row],[Max VO]]</f>
        <v>72</v>
      </c>
      <c r="AO1420" s="84"/>
      <c r="AP1420" s="84"/>
      <c r="AQ1420" s="126"/>
      <c r="AR1420" s="126"/>
      <c r="AS1420" s="126"/>
      <c r="AT1420" s="74"/>
      <c r="AU1420" s="1357" t="str">
        <f t="shared" si="500"/>
        <v>-</v>
      </c>
    </row>
    <row r="1421" spans="1:47" s="235" customFormat="1" hidden="1" x14ac:dyDescent="0.2">
      <c r="A1421" s="274"/>
      <c r="B1421" s="1061"/>
      <c r="C1421" s="323" t="s">
        <v>3387</v>
      </c>
      <c r="D1421" s="94"/>
      <c r="E1421" s="275" t="s">
        <v>3386</v>
      </c>
      <c r="F1421" s="275" t="s">
        <v>301</v>
      </c>
      <c r="G1421" s="274" t="s">
        <v>449</v>
      </c>
      <c r="H1421" s="274" t="s">
        <v>1619</v>
      </c>
      <c r="I1421" s="274" t="s">
        <v>52</v>
      </c>
      <c r="J1421" s="344" t="s">
        <v>53</v>
      </c>
      <c r="K1421" s="274" t="s">
        <v>69</v>
      </c>
      <c r="L1421" s="274" t="s">
        <v>70</v>
      </c>
      <c r="M1421" s="318"/>
      <c r="N1421" s="71">
        <v>700</v>
      </c>
      <c r="O1421" s="274"/>
      <c r="P1421" s="274"/>
      <c r="Q1421" s="274"/>
      <c r="R1421" s="274"/>
      <c r="S1421" s="274"/>
      <c r="T1421" s="274"/>
      <c r="U1421" s="274"/>
      <c r="V1421" s="686"/>
      <c r="W1421" s="686"/>
      <c r="X1421" s="343"/>
      <c r="Y1421" s="274"/>
      <c r="Z1421" s="274"/>
      <c r="AA1421" s="727"/>
      <c r="AB1421" s="341"/>
      <c r="AC1421" s="278"/>
      <c r="AD1421" s="320"/>
      <c r="AE1421" s="320"/>
      <c r="AF1421" s="321"/>
      <c r="AG1421" s="275"/>
      <c r="AH1421" s="498">
        <f t="shared" si="499"/>
        <v>0</v>
      </c>
      <c r="AI1421" s="498"/>
      <c r="AJ1421" s="320"/>
      <c r="AK1421" s="650" t="e">
        <f t="shared" si="498"/>
        <v>#DIV/0!</v>
      </c>
      <c r="AL1421" s="225" t="e">
        <f>Table1[[#This Row],[WSP/Dealer]]/Table1[[#This Row],[OD Sq Inch]]</f>
        <v>#DIV/0!</v>
      </c>
      <c r="AM1421" s="275"/>
      <c r="AN1421" s="275"/>
      <c r="AO1421" s="275"/>
      <c r="AP1421" s="275"/>
      <c r="AQ1421" s="320"/>
      <c r="AR1421" s="320"/>
      <c r="AS1421" s="320"/>
      <c r="AT1421" s="278"/>
      <c r="AU1421" s="1368" t="str">
        <f t="shared" si="500"/>
        <v>-</v>
      </c>
    </row>
    <row r="1422" spans="1:47" s="63" customFormat="1" hidden="1" x14ac:dyDescent="0.2">
      <c r="A1422" s="216" t="s">
        <v>272</v>
      </c>
      <c r="B1422" s="1061" t="s">
        <v>595</v>
      </c>
      <c r="C1422" s="232" t="s">
        <v>3388</v>
      </c>
      <c r="D1422" s="94"/>
      <c r="E1422" s="217" t="s">
        <v>3389</v>
      </c>
      <c r="F1422" s="217" t="s">
        <v>301</v>
      </c>
      <c r="G1422" s="216" t="s">
        <v>395</v>
      </c>
      <c r="H1422" s="216" t="s">
        <v>396</v>
      </c>
      <c r="I1422" s="216" t="s">
        <v>52</v>
      </c>
      <c r="J1422" s="555" t="s">
        <v>53</v>
      </c>
      <c r="K1422" s="216" t="s">
        <v>69</v>
      </c>
      <c r="L1422" s="216" t="s">
        <v>70</v>
      </c>
      <c r="M1422" s="219">
        <v>1000</v>
      </c>
      <c r="N1422" s="219"/>
      <c r="O1422" s="216" t="s">
        <v>64</v>
      </c>
      <c r="P1422" s="216">
        <v>60</v>
      </c>
      <c r="Q1422" s="216">
        <v>60</v>
      </c>
      <c r="R1422" s="216">
        <v>60</v>
      </c>
      <c r="S1422" s="218">
        <v>60</v>
      </c>
      <c r="T1422" s="218">
        <v>61</v>
      </c>
      <c r="U1422" s="218" t="str">
        <f>RIGHT(H1422,2)</f>
        <v>61</v>
      </c>
      <c r="V1422" s="222">
        <f>IF(J1422="Canvas",P1422+Border,P1422)</f>
        <v>68</v>
      </c>
      <c r="W1422" s="222">
        <f>IF(J1422="Canvas",Q1422+Border,Q1422)</f>
        <v>68</v>
      </c>
      <c r="X1422" s="223">
        <v>69</v>
      </c>
      <c r="Y1422" s="216"/>
      <c r="Z1422" s="216"/>
      <c r="AA1422" s="718">
        <f t="shared" ref="AA1422:AA1433" si="501">V1422*W1422/144</f>
        <v>32.111111111111114</v>
      </c>
      <c r="AB1422" s="233">
        <f>AA1422*Swiss1</f>
        <v>908.74444444444453</v>
      </c>
      <c r="AC1422" s="225">
        <f>AA1422*Canvas</f>
        <v>21.193333333333335</v>
      </c>
      <c r="AD1422" s="207">
        <f>Table1[[#This Row],[Substrate SF]]*Materials!C$37</f>
        <v>89.911111111111111</v>
      </c>
      <c r="AE1422" s="104">
        <f>IF(Table1[[#This Row],[Work Center]]="SwissQ",Materials!G$37,IF(Table1[[#This Row],[Work Center]]="Inca",Materials!G$29,IF(Table1[[#This Row],[Work Center]]="Canon",Materials!G$49,Materials!G$45)))</f>
        <v>20</v>
      </c>
      <c r="AF1422" s="225"/>
      <c r="AG1422" s="115"/>
      <c r="AH1422" s="112">
        <f t="shared" si="499"/>
        <v>50</v>
      </c>
      <c r="AI1422" s="112"/>
      <c r="AJ1422" s="225">
        <f t="shared" ref="AJ1422:AJ1433" si="502">SUM(AC1422:AH1422)</f>
        <v>181.10444444444445</v>
      </c>
      <c r="AK1422" s="62">
        <f t="shared" si="498"/>
        <v>0.8188955555555556</v>
      </c>
      <c r="AL1422" s="225">
        <f>Table1[[#This Row],[WSP/Dealer]]/Table1[[#This Row],[OD Sq Inch]]</f>
        <v>0.26874496103198064</v>
      </c>
      <c r="AM1422" s="218">
        <f>Table1[[#This Row],[OD Wdth]]*Table1[[#This Row],[OD Hgt]]</f>
        <v>3721</v>
      </c>
      <c r="AN1422" s="216">
        <f>Table1[[#This Row],[Min VO]]+Table1[[#This Row],[Max VO]]</f>
        <v>120</v>
      </c>
      <c r="AO1422" s="220"/>
      <c r="AP1422" s="217"/>
      <c r="AQ1422" s="986"/>
      <c r="AR1422" s="986"/>
      <c r="AS1422" s="986"/>
      <c r="AT1422" s="225"/>
      <c r="AU1422" s="1820" t="str">
        <f t="shared" si="500"/>
        <v>-</v>
      </c>
    </row>
    <row r="1423" spans="1:47" s="103" customFormat="1" x14ac:dyDescent="0.2">
      <c r="A1423" s="86" t="s">
        <v>58</v>
      </c>
      <c r="B1423" s="1061" t="s">
        <v>366</v>
      </c>
      <c r="C1423" s="76" t="s">
        <v>3390</v>
      </c>
      <c r="D1423" s="94"/>
      <c r="E1423" s="85" t="s">
        <v>3391</v>
      </c>
      <c r="F1423" s="85" t="s">
        <v>114</v>
      </c>
      <c r="G1423" s="86" t="s">
        <v>191</v>
      </c>
      <c r="H1423" s="86" t="s">
        <v>191</v>
      </c>
      <c r="I1423" s="86" t="s">
        <v>52</v>
      </c>
      <c r="J1423" s="86" t="s">
        <v>283</v>
      </c>
      <c r="K1423" s="86" t="s">
        <v>281</v>
      </c>
      <c r="L1423" s="86" t="s">
        <v>282</v>
      </c>
      <c r="M1423" s="87">
        <v>935</v>
      </c>
      <c r="N1423" s="639">
        <v>1100</v>
      </c>
      <c r="O1423" s="145" t="s">
        <v>64</v>
      </c>
      <c r="P1423" s="103">
        <v>48</v>
      </c>
      <c r="Q1423" s="103">
        <v>60</v>
      </c>
      <c r="R1423" s="60">
        <v>48</v>
      </c>
      <c r="S1423" s="61">
        <v>60</v>
      </c>
      <c r="T1423" s="103">
        <v>48</v>
      </c>
      <c r="U1423" s="103" t="str">
        <f>RIGHT(H1423,2)</f>
        <v>60</v>
      </c>
      <c r="V1423" s="106">
        <f>IF(J1423="Canvas",P1423+Border,P1423)</f>
        <v>48</v>
      </c>
      <c r="W1423" s="106">
        <f>IF(J1423="Canvas",Q1423+Border,Q1423)</f>
        <v>60</v>
      </c>
      <c r="X1423" s="137" t="str">
        <f>J1423</f>
        <v>MDF</v>
      </c>
      <c r="Y1423" s="101"/>
      <c r="Z1423" s="101"/>
      <c r="AA1423" s="649">
        <f t="shared" si="501"/>
        <v>20</v>
      </c>
      <c r="AB1423" s="184">
        <f>Table1[[#This Row],[Substrate SF]]*Swiss1</f>
        <v>566</v>
      </c>
      <c r="AC1423" s="104">
        <f>MDFSHEET</f>
        <v>24.35</v>
      </c>
      <c r="AD1423" s="107">
        <f>Table1[[#This Row],[Substrate SF]]*Materials!C$37</f>
        <v>56</v>
      </c>
      <c r="AE1423" s="104">
        <f>IF(Table1[[#This Row],[Work Center]]="SwissQ",Materials!G$37,IF(Table1[[#This Row],[Work Center]]="Inca",Materials!G$29,IF(Table1[[#This Row],[Work Center]]="Canon",Materials!G$49,Materials!G$45)))</f>
        <v>20</v>
      </c>
      <c r="AF1423" s="104">
        <f>'Cali Frames'!D$552</f>
        <v>182.89</v>
      </c>
      <c r="AG1423" s="115"/>
      <c r="AH1423" s="112">
        <f t="shared" si="499"/>
        <v>46.75</v>
      </c>
      <c r="AI1423" s="112"/>
      <c r="AJ1423" s="107">
        <f t="shared" si="502"/>
        <v>329.99</v>
      </c>
      <c r="AK1423" s="62">
        <f t="shared" si="498"/>
        <v>0.64706951871657759</v>
      </c>
      <c r="AL1423" s="225">
        <f>Table1[[#This Row],[WSP/Dealer]]/Table1[[#This Row],[OD Sq Inch]]</f>
        <v>0.32465277777777779</v>
      </c>
      <c r="AM1423" s="97">
        <f>Table1[[#This Row],[OD Wdth]]*Table1[[#This Row],[OD Hgt]]</f>
        <v>2880</v>
      </c>
      <c r="AN1423" s="216">
        <f>Table1[[#This Row],[Min VO]]+Table1[[#This Row],[Max VO]]</f>
        <v>108</v>
      </c>
      <c r="AP1423" s="794">
        <v>2200</v>
      </c>
      <c r="AQ1423" s="118">
        <f>(Table1[[#This Row],[Desgnr/Retail P]]*0.05)</f>
        <v>110</v>
      </c>
      <c r="AR1423" s="118" t="b">
        <f>IF(A1423="Codarus",(AP1423*0.13))</f>
        <v>0</v>
      </c>
      <c r="AS1423" s="118">
        <f>SUM(Table1[[#This Row],[Substrate $]:[GP FINISH]])+Table1[[#This Row],[Retail Royalty]]+Table1[[#This Row],[Retail$Comm]]</f>
        <v>393.24</v>
      </c>
      <c r="AT1423" s="661">
        <f>IF(AP1423=0,"-",(AP1423-AS1423)/AP1423)</f>
        <v>0.82125454545454546</v>
      </c>
      <c r="AU1423" s="108">
        <f t="shared" si="500"/>
        <v>0.99253404958677682</v>
      </c>
    </row>
    <row r="1424" spans="1:47" s="63" customFormat="1" x14ac:dyDescent="0.2">
      <c r="A1424" s="180" t="s">
        <v>58</v>
      </c>
      <c r="B1424" s="1061" t="s">
        <v>366</v>
      </c>
      <c r="C1424" s="302" t="s">
        <v>3392</v>
      </c>
      <c r="D1424" s="94" t="s">
        <v>3393</v>
      </c>
      <c r="E1424" s="284" t="s">
        <v>3391</v>
      </c>
      <c r="F1424" s="284" t="s">
        <v>114</v>
      </c>
      <c r="G1424" s="180" t="s">
        <v>191</v>
      </c>
      <c r="H1424" s="180" t="s">
        <v>193</v>
      </c>
      <c r="I1424" s="180" t="s">
        <v>52</v>
      </c>
      <c r="J1424" s="180" t="s">
        <v>283</v>
      </c>
      <c r="K1424" s="180" t="s">
        <v>69</v>
      </c>
      <c r="L1424" s="180" t="s">
        <v>70</v>
      </c>
      <c r="M1424" s="285">
        <v>1200</v>
      </c>
      <c r="N1424" s="639">
        <v>1250</v>
      </c>
      <c r="O1424" s="180" t="s">
        <v>64</v>
      </c>
      <c r="P1424" s="180">
        <v>48</v>
      </c>
      <c r="Q1424" s="180">
        <v>60</v>
      </c>
      <c r="R1424" s="180">
        <v>48</v>
      </c>
      <c r="S1424" s="813">
        <v>60</v>
      </c>
      <c r="T1424" s="180">
        <v>49</v>
      </c>
      <c r="U1424" s="180" t="str">
        <f>RIGHT(H1424,2)</f>
        <v>61</v>
      </c>
      <c r="V1424" s="174">
        <f>IF(J1424="Canvas",P1424+Border,P1424)</f>
        <v>48</v>
      </c>
      <c r="W1424" s="174">
        <f>IF(J1424="Canvas",Q1424+Border,Q1424)</f>
        <v>60</v>
      </c>
      <c r="X1424" s="289" t="str">
        <f>J1424</f>
        <v>MDF</v>
      </c>
      <c r="Y1424" s="180"/>
      <c r="Z1424" s="180"/>
      <c r="AA1424" s="678">
        <f t="shared" si="501"/>
        <v>20</v>
      </c>
      <c r="AB1424" s="329">
        <f>Table1[[#This Row],[Substrate SF]]*Swiss1</f>
        <v>566</v>
      </c>
      <c r="AC1424" s="175">
        <f>MDFSHEET</f>
        <v>24.35</v>
      </c>
      <c r="AD1424" s="175">
        <f>Table1[[#This Row],[Substrate SF]]*Materials!C$37</f>
        <v>56</v>
      </c>
      <c r="AE1424" s="69">
        <f>IF(Table1[[#This Row],[Work Center]]="SwissQ",Materials!G$37,IF(Table1[[#This Row],[Work Center]]="Inca",Materials!G$29,IF(Table1[[#This Row],[Work Center]]="Canon",Materials!G$49,Materials!G$45)))</f>
        <v>20</v>
      </c>
      <c r="AF1424" s="176">
        <f>'Cali Frames'!D335</f>
        <v>258.27999999999997</v>
      </c>
      <c r="AG1424" s="284"/>
      <c r="AH1424" s="112">
        <f t="shared" si="499"/>
        <v>60</v>
      </c>
      <c r="AI1424" s="112"/>
      <c r="AJ1424" s="175">
        <f t="shared" si="502"/>
        <v>418.63</v>
      </c>
      <c r="AK1424" s="62">
        <f t="shared" si="498"/>
        <v>0.65114166666666662</v>
      </c>
      <c r="AL1424" s="225">
        <f>Table1[[#This Row],[WSP/Dealer]]/Table1[[#This Row],[OD Sq Inch]]</f>
        <v>0.40147206423553028</v>
      </c>
      <c r="AM1424" s="173">
        <f>Table1[[#This Row],[OD Wdth]]*Table1[[#This Row],[OD Hgt]]</f>
        <v>2989</v>
      </c>
      <c r="AN1424" s="180">
        <f>Table1[[#This Row],[Min VO]]+Table1[[#This Row],[Max VO]]</f>
        <v>108</v>
      </c>
      <c r="AO1424" s="173"/>
      <c r="AP1424" s="839">
        <v>2500</v>
      </c>
      <c r="AQ1424" s="126">
        <f>(Table1[[#This Row],[Desgnr/Retail P]]*0.05)</f>
        <v>125</v>
      </c>
      <c r="AR1424" s="126" t="b">
        <f>IF(A1424="Codarus",(AP1424*0.13))</f>
        <v>0</v>
      </c>
      <c r="AS1424" s="126">
        <f>SUM(Table1[[#This Row],[Substrate $]:[GP FINISH]])+Table1[[#This Row],[Retail Royalty]]+Table1[[#This Row],[Retail$Comm]]</f>
        <v>483.63</v>
      </c>
      <c r="AT1424" s="1001">
        <f>IF(AP1424=0,"-",(AP1424-AS1424)/AP1424)</f>
        <v>0.80654799999999993</v>
      </c>
      <c r="AU1424" s="676">
        <f t="shared" si="500"/>
        <v>0.99354761599999997</v>
      </c>
    </row>
    <row r="1425" spans="1:47" s="63" customFormat="1" x14ac:dyDescent="0.2">
      <c r="A1425" s="400" t="s">
        <v>58</v>
      </c>
      <c r="B1425" s="1061" t="s">
        <v>366</v>
      </c>
      <c r="C1425" s="496" t="s">
        <v>3394</v>
      </c>
      <c r="D1425" s="94" t="s">
        <v>3395</v>
      </c>
      <c r="E1425" s="401" t="s">
        <v>3391</v>
      </c>
      <c r="F1425" s="401" t="s">
        <v>114</v>
      </c>
      <c r="G1425" s="400" t="s">
        <v>191</v>
      </c>
      <c r="H1425" s="400" t="s">
        <v>193</v>
      </c>
      <c r="I1425" s="400" t="s">
        <v>52</v>
      </c>
      <c r="J1425" s="400" t="s">
        <v>283</v>
      </c>
      <c r="K1425" s="400" t="s">
        <v>69</v>
      </c>
      <c r="L1425" s="400" t="s">
        <v>73</v>
      </c>
      <c r="M1425" s="832">
        <v>1300</v>
      </c>
      <c r="N1425" s="829">
        <v>1250</v>
      </c>
      <c r="O1425" s="400" t="s">
        <v>64</v>
      </c>
      <c r="P1425" s="400">
        <v>48</v>
      </c>
      <c r="Q1425" s="400">
        <v>60</v>
      </c>
      <c r="R1425" s="400">
        <v>48</v>
      </c>
      <c r="S1425" s="1244">
        <v>60</v>
      </c>
      <c r="T1425" s="400">
        <v>49</v>
      </c>
      <c r="U1425" s="400" t="str">
        <f>RIGHT(H1425,2)</f>
        <v>61</v>
      </c>
      <c r="V1425" s="404">
        <f>IF(J1425="Canvas",P1425+Border,P1425)</f>
        <v>48</v>
      </c>
      <c r="W1425" s="404">
        <f>IF(J1425="Canvas",Q1425+Border,Q1425)</f>
        <v>60</v>
      </c>
      <c r="X1425" s="525" t="str">
        <f>J1425</f>
        <v>MDF</v>
      </c>
      <c r="Y1425" s="400"/>
      <c r="Z1425" s="400"/>
      <c r="AA1425" s="724">
        <f t="shared" si="501"/>
        <v>20</v>
      </c>
      <c r="AB1425" s="633">
        <f>Table1[[#This Row],[Substrate SF]]*Swiss1</f>
        <v>566</v>
      </c>
      <c r="AC1425" s="406">
        <f>MDFSHEET</f>
        <v>24.35</v>
      </c>
      <c r="AD1425" s="405">
        <f>Table1[[#This Row],[Substrate SF]]*Materials!C$37</f>
        <v>56</v>
      </c>
      <c r="AE1425" s="104">
        <f>IF(Table1[[#This Row],[Work Center]]="SwissQ",Materials!G$37,IF(Table1[[#This Row],[Work Center]]="Inca",Materials!G$29,IF(Table1[[#This Row],[Work Center]]="Canon",Materials!G$49,Materials!G$45)))</f>
        <v>20</v>
      </c>
      <c r="AF1425" s="406" t="e">
        <f>'Cali Frames'!#REF!</f>
        <v>#REF!</v>
      </c>
      <c r="AG1425" s="401"/>
      <c r="AH1425" s="107">
        <f t="shared" si="499"/>
        <v>65</v>
      </c>
      <c r="AI1425" s="107"/>
      <c r="AJ1425" s="406" t="e">
        <f t="shared" si="502"/>
        <v>#REF!</v>
      </c>
      <c r="AK1425" s="108" t="e">
        <f t="shared" si="498"/>
        <v>#REF!</v>
      </c>
      <c r="AL1425" s="660">
        <f>Table1[[#This Row],[WSP/Dealer]]/Table1[[#This Row],[OD Sq Inch]]</f>
        <v>0.43492806958849112</v>
      </c>
      <c r="AM1425" s="399">
        <f>Table1[[#This Row],[OD Wdth]]*Table1[[#This Row],[OD Hgt]]</f>
        <v>2989</v>
      </c>
      <c r="AN1425" s="400">
        <f>Table1[[#This Row],[Min VO]]+Table1[[#This Row],[Max VO]]</f>
        <v>108</v>
      </c>
      <c r="AO1425" s="400"/>
      <c r="AP1425" s="400"/>
      <c r="AQ1425" s="406"/>
      <c r="AR1425" s="406"/>
      <c r="AS1425" s="406"/>
      <c r="AT1425" s="406"/>
      <c r="AU1425" s="1065" t="str">
        <f t="shared" si="500"/>
        <v>-</v>
      </c>
    </row>
    <row r="1426" spans="1:47" s="46" customFormat="1" hidden="1" x14ac:dyDescent="0.2">
      <c r="A1426" s="470" t="s">
        <v>318</v>
      </c>
      <c r="B1426" s="279" t="s">
        <v>96</v>
      </c>
      <c r="C1426" s="79" t="s">
        <v>3396</v>
      </c>
      <c r="D1426" s="94">
        <v>176892</v>
      </c>
      <c r="E1426" s="83" t="s">
        <v>3397</v>
      </c>
      <c r="F1426" s="83" t="s">
        <v>571</v>
      </c>
      <c r="G1426" s="60" t="s">
        <v>643</v>
      </c>
      <c r="H1426" s="60" t="s">
        <v>806</v>
      </c>
      <c r="I1426" s="60" t="s">
        <v>574</v>
      </c>
      <c r="J1426" s="59" t="s">
        <v>53</v>
      </c>
      <c r="K1426" s="60" t="s">
        <v>69</v>
      </c>
      <c r="L1426" s="60" t="s">
        <v>73</v>
      </c>
      <c r="M1426" s="543">
        <v>210</v>
      </c>
      <c r="N1426" s="786">
        <v>525</v>
      </c>
      <c r="O1426" s="145" t="s">
        <v>575</v>
      </c>
      <c r="P1426" s="60">
        <v>20</v>
      </c>
      <c r="Q1426" s="60">
        <v>16</v>
      </c>
      <c r="R1426" s="60">
        <v>16</v>
      </c>
      <c r="S1426" s="273">
        <v>20</v>
      </c>
      <c r="T1426" s="60">
        <v>21</v>
      </c>
      <c r="U1426" s="60">
        <v>17</v>
      </c>
      <c r="V1426" s="174">
        <f>IF(J1426="Canvas",P1426+Border,P1426)</f>
        <v>28</v>
      </c>
      <c r="W1426" s="174">
        <f>IF(J1426="Canvas",Q1426+Border,Q1426)</f>
        <v>24</v>
      </c>
      <c r="X1426" s="138"/>
      <c r="Y1426" s="60">
        <v>28</v>
      </c>
      <c r="Z1426" s="60">
        <v>24</v>
      </c>
      <c r="AA1426" s="678">
        <f t="shared" si="501"/>
        <v>4.666666666666667</v>
      </c>
      <c r="AB1426" s="329">
        <f>Table1[[#This Row],[Substrate SF]]*SWISSMLR*3</f>
        <v>28</v>
      </c>
      <c r="AC1426" s="176">
        <f t="shared" ref="AC1426:AC1431" si="503">AA1426*Canvas</f>
        <v>3.0800000000000005</v>
      </c>
      <c r="AD1426" s="175">
        <f>Table1[[#This Row],[Substrate SF]]*SWISSCR*3</f>
        <v>3.0800000000000005</v>
      </c>
      <c r="AE1426" s="69">
        <f>Materials!I$41</f>
        <v>8</v>
      </c>
      <c r="AF1426" s="72">
        <f>'Cali Frames'!D414</f>
        <v>89.83</v>
      </c>
      <c r="AG1426" s="83"/>
      <c r="AH1426" s="112">
        <f t="shared" si="499"/>
        <v>10.5</v>
      </c>
      <c r="AI1426" s="112"/>
      <c r="AJ1426" s="176">
        <f t="shared" si="502"/>
        <v>114.49</v>
      </c>
      <c r="AK1426" s="62">
        <f t="shared" si="498"/>
        <v>0.45480952380952383</v>
      </c>
      <c r="AL1426" s="225">
        <f>Table1[[#This Row],[WSP/Dealer]]/Table1[[#This Row],[OD Sq Inch]]</f>
        <v>0.58823529411764708</v>
      </c>
      <c r="AM1426" s="173">
        <f>Table1[[#This Row],[OD Wdth]]*Table1[[#This Row],[OD Hgt]]</f>
        <v>357</v>
      </c>
      <c r="AN1426" s="180" t="str">
        <f>Table1[[#This Row],[Color]]</f>
        <v>NF</v>
      </c>
      <c r="AO1426" s="83" t="str">
        <f>Table1[[#This Row],[Print Type]]</f>
        <v>Reductive+</v>
      </c>
      <c r="AP1426" s="540"/>
      <c r="AQ1426" s="540"/>
      <c r="AR1426" s="540"/>
      <c r="AS1426" s="540"/>
      <c r="AT1426" s="69"/>
      <c r="AU1426" s="1361" t="str">
        <f t="shared" si="500"/>
        <v>-</v>
      </c>
    </row>
    <row r="1427" spans="1:47" s="399" customFormat="1" hidden="1" x14ac:dyDescent="0.2">
      <c r="A1427" s="101" t="s">
        <v>110</v>
      </c>
      <c r="B1427" s="1322" t="s">
        <v>3398</v>
      </c>
      <c r="C1427" s="100" t="s">
        <v>3399</v>
      </c>
      <c r="D1427" s="168"/>
      <c r="E1427" s="115" t="s">
        <v>3400</v>
      </c>
      <c r="F1427" s="115" t="s">
        <v>289</v>
      </c>
      <c r="G1427" s="101" t="s">
        <v>3401</v>
      </c>
      <c r="H1427" s="101" t="s">
        <v>3401</v>
      </c>
      <c r="I1427" s="101" t="s">
        <v>52</v>
      </c>
      <c r="J1427" s="101" t="s">
        <v>53</v>
      </c>
      <c r="K1427" s="101" t="s">
        <v>54</v>
      </c>
      <c r="L1427" s="101" t="s">
        <v>55</v>
      </c>
      <c r="M1427" s="114">
        <v>400</v>
      </c>
      <c r="N1427" s="829">
        <v>550</v>
      </c>
      <c r="O1427" s="101" t="s">
        <v>56</v>
      </c>
      <c r="P1427" s="101">
        <v>32</v>
      </c>
      <c r="Q1427" s="101">
        <v>32</v>
      </c>
      <c r="R1427" s="101">
        <v>32</v>
      </c>
      <c r="S1427" s="697">
        <v>32</v>
      </c>
      <c r="T1427" s="697">
        <f>Table1[[#This Row],[VO Wdth]]</f>
        <v>32</v>
      </c>
      <c r="U1427" s="697">
        <f>Table1[[#This Row],[VO Hgt]]</f>
        <v>32</v>
      </c>
      <c r="V1427" s="106">
        <f>IF(J1427="Canvas",P1427+BorderGW,P1427)</f>
        <v>40</v>
      </c>
      <c r="W1427" s="106">
        <f>IF(J1427="Canvas",Q1427+BorderGW,Q1427)</f>
        <v>40</v>
      </c>
      <c r="X1427" s="800" t="s">
        <v>57</v>
      </c>
      <c r="Y1427" s="101">
        <v>40</v>
      </c>
      <c r="Z1427" s="101">
        <v>40</v>
      </c>
      <c r="AA1427" s="649">
        <f t="shared" si="501"/>
        <v>11.111111111111111</v>
      </c>
      <c r="AB1427" s="184">
        <f>AA1427*IncaG</f>
        <v>233.77777777777777</v>
      </c>
      <c r="AC1427" s="107">
        <f t="shared" si="503"/>
        <v>7.333333333333333</v>
      </c>
      <c r="AD1427" s="107">
        <f>AA1427*IncaC</f>
        <v>18.702222222222222</v>
      </c>
      <c r="AE1427" s="104">
        <f>IF(Table1[[#This Row],[Work Center]]="SwissQ",Materials!G$37,IF(Table1[[#This Row],[Work Center]]="Inca",Materials!G$29,IF(Table1[[#This Row],[Work Center]]="Canon",Materials!G$49,Materials!G$45)))</f>
        <v>8</v>
      </c>
      <c r="AF1427" s="104">
        <f>'Cali FPS'!C$55</f>
        <v>75.25</v>
      </c>
      <c r="AG1427" s="115"/>
      <c r="AH1427" s="104">
        <f t="shared" si="499"/>
        <v>20</v>
      </c>
      <c r="AI1427" s="406">
        <f>IF(A1427="Codarus",(M1427*0.13))</f>
        <v>52</v>
      </c>
      <c r="AJ1427" s="107">
        <f t="shared" si="502"/>
        <v>129.28555555555556</v>
      </c>
      <c r="AK1427" s="830">
        <f t="shared" si="498"/>
        <v>0.67678611111111109</v>
      </c>
      <c r="AL1427" s="660">
        <f>Table1[[#This Row],[WSP/Dealer]]/Table1[[#This Row],[OD Sq Inch]]</f>
        <v>0.390625</v>
      </c>
      <c r="AM1427" s="229">
        <f>Table1[[#This Row],[OD Wdth]]*Table1[[#This Row],[OD Hgt]]</f>
        <v>1024</v>
      </c>
      <c r="AN1427" s="266">
        <f>Table1[[#This Row],[Min VO]]+Table1[[#This Row],[Max VO]]</f>
        <v>64</v>
      </c>
      <c r="AO1427" s="101"/>
      <c r="AP1427" s="104">
        <v>800</v>
      </c>
      <c r="AQ1427" s="121">
        <f>(Table1[[#This Row],[Desgnr/Retail P]]*0.05)</f>
        <v>40</v>
      </c>
      <c r="AR1427" s="121">
        <f>IF(A1427="Codarus",(AP1427*0.13))</f>
        <v>104</v>
      </c>
      <c r="AS1427" s="121">
        <f>SUM(Table1[[#This Row],[Substrate $]:[GP FINISH]])+Table1[[#This Row],[Retail Royalty]]+Table1[[#This Row],[Retail$Comm]]</f>
        <v>253.28555555555556</v>
      </c>
      <c r="AT1427" s="830">
        <f>IF(AP1427=0,"-",(AP1427-AS1427)/AP1427)</f>
        <v>0.68339305555555552</v>
      </c>
      <c r="AU1427" s="830">
        <f t="shared" si="500"/>
        <v>0.98291517361111114</v>
      </c>
    </row>
    <row r="1428" spans="1:47" s="103" customFormat="1" hidden="1" x14ac:dyDescent="0.2">
      <c r="A1428" s="400" t="s">
        <v>110</v>
      </c>
      <c r="B1428" s="1062" t="s">
        <v>484</v>
      </c>
      <c r="C1428" s="100" t="s">
        <v>3402</v>
      </c>
      <c r="D1428" s="168"/>
      <c r="E1428" s="401" t="s">
        <v>3403</v>
      </c>
      <c r="F1428" s="401" t="s">
        <v>289</v>
      </c>
      <c r="G1428" s="400" t="s">
        <v>751</v>
      </c>
      <c r="H1428" s="400" t="s">
        <v>751</v>
      </c>
      <c r="I1428" s="400" t="s">
        <v>52</v>
      </c>
      <c r="J1428" s="400" t="s">
        <v>53</v>
      </c>
      <c r="K1428" s="400" t="s">
        <v>54</v>
      </c>
      <c r="L1428" s="400" t="s">
        <v>55</v>
      </c>
      <c r="M1428" s="832">
        <v>500</v>
      </c>
      <c r="N1428" s="1397"/>
      <c r="O1428" s="400" t="s">
        <v>56</v>
      </c>
      <c r="P1428" s="399">
        <v>40</v>
      </c>
      <c r="Q1428" s="399">
        <v>40</v>
      </c>
      <c r="R1428" s="400">
        <v>40</v>
      </c>
      <c r="S1428" s="1773">
        <v>40</v>
      </c>
      <c r="T1428" s="1244">
        <f>Table1[[#This Row],[VO Wdth]]</f>
        <v>40</v>
      </c>
      <c r="U1428" s="1244">
        <f>Table1[[#This Row],[VO Hgt]]</f>
        <v>40</v>
      </c>
      <c r="V1428" s="404">
        <f>IF(J1428="Canvas",P1428+BorderGW,P1428)</f>
        <v>48</v>
      </c>
      <c r="W1428" s="404">
        <f>IF(J1428="Canvas",Q1428+BorderGW,Q1428)</f>
        <v>48</v>
      </c>
      <c r="X1428" s="525">
        <v>52</v>
      </c>
      <c r="Y1428" s="400">
        <v>48</v>
      </c>
      <c r="Z1428" s="400">
        <v>48</v>
      </c>
      <c r="AA1428" s="724">
        <f t="shared" si="501"/>
        <v>16</v>
      </c>
      <c r="AB1428" s="633">
        <f>AA1428*IncaG</f>
        <v>336.64</v>
      </c>
      <c r="AC1428" s="406">
        <f t="shared" si="503"/>
        <v>10.56</v>
      </c>
      <c r="AD1428" s="405">
        <f>AA1428*IncaC</f>
        <v>26.9312</v>
      </c>
      <c r="AE1428" s="406">
        <f>IF(Table1[[#This Row],[Work Center]]="SwissQ",Materials!G$37,IF(Table1[[#This Row],[Work Center]]="Inca",Materials!G$29,IF(Table1[[#This Row],[Work Center]]="Canon",Materials!G$49,Materials!G$45)))</f>
        <v>8</v>
      </c>
      <c r="AF1428" s="406">
        <f>'Cali FPS'!G83</f>
        <v>98.09</v>
      </c>
      <c r="AG1428" s="401"/>
      <c r="AH1428" s="405">
        <f t="shared" si="499"/>
        <v>25</v>
      </c>
      <c r="AI1428" s="405">
        <f>IF(A1428="Codarus",(M1428*0.13))</f>
        <v>65</v>
      </c>
      <c r="AJ1428" s="406">
        <f t="shared" si="502"/>
        <v>168.5812</v>
      </c>
      <c r="AK1428" s="1068">
        <f t="shared" si="498"/>
        <v>0.66283760000000003</v>
      </c>
      <c r="AL1428" s="406">
        <f>Table1[[#This Row],[WSP/Dealer]]/Table1[[#This Row],[OD Sq Inch]]</f>
        <v>0.3125</v>
      </c>
      <c r="AM1428" s="399">
        <f>Table1[[#This Row],[OD Wdth]]*Table1[[#This Row],[OD Hgt]]</f>
        <v>1600</v>
      </c>
      <c r="AN1428" s="400">
        <f>Table1[[#This Row],[Min VO]]+Table1[[#This Row],[Max VO]]</f>
        <v>80</v>
      </c>
      <c r="AO1428" s="399"/>
      <c r="AP1428" s="406">
        <v>1000</v>
      </c>
      <c r="AQ1428" s="121">
        <f>(Table1[[#This Row],[Desgnr/Retail P]]*0.05)</f>
        <v>50</v>
      </c>
      <c r="AR1428" s="121">
        <f>IF(A1428="Codarus",(AP1428*0.13))</f>
        <v>130</v>
      </c>
      <c r="AS1428" s="121">
        <f>SUM(Table1[[#This Row],[Substrate $]:[GP FINISH]])+Table1[[#This Row],[Retail Royalty]]+Table1[[#This Row],[Retail$Comm]]</f>
        <v>323.58119999999997</v>
      </c>
      <c r="AT1428" s="830">
        <f>IF(AP1428=0,"-",(AP1428-AS1428)/AP1428)</f>
        <v>0.67641879999999999</v>
      </c>
      <c r="AU1428" s="1068">
        <f t="shared" si="500"/>
        <v>0.98647162399999999</v>
      </c>
    </row>
    <row r="1429" spans="1:47" s="63" customFormat="1" hidden="1" x14ac:dyDescent="0.2">
      <c r="A1429" s="216" t="s">
        <v>272</v>
      </c>
      <c r="B1429" s="279" t="s">
        <v>595</v>
      </c>
      <c r="C1429" s="232" t="s">
        <v>3404</v>
      </c>
      <c r="D1429" s="94"/>
      <c r="E1429" s="217" t="s">
        <v>3405</v>
      </c>
      <c r="F1429" s="217" t="s">
        <v>289</v>
      </c>
      <c r="G1429" s="216" t="s">
        <v>1937</v>
      </c>
      <c r="H1429" s="216" t="s">
        <v>1937</v>
      </c>
      <c r="I1429" s="216" t="s">
        <v>698</v>
      </c>
      <c r="J1429" s="216" t="s">
        <v>53</v>
      </c>
      <c r="K1429" s="216" t="s">
        <v>54</v>
      </c>
      <c r="L1429" s="216" t="s">
        <v>55</v>
      </c>
      <c r="M1429" s="219">
        <v>125</v>
      </c>
      <c r="N1429" s="219"/>
      <c r="O1429" s="216" t="s">
        <v>56</v>
      </c>
      <c r="P1429" s="216">
        <v>16</v>
      </c>
      <c r="Q1429" s="216">
        <v>16</v>
      </c>
      <c r="R1429" s="216">
        <v>16</v>
      </c>
      <c r="S1429" s="216">
        <v>16</v>
      </c>
      <c r="T1429" s="216">
        <v>16</v>
      </c>
      <c r="U1429" s="216">
        <v>16</v>
      </c>
      <c r="V1429" s="907">
        <f>IF(J1429="Canvas",P1429+BorderGW,P1429)</f>
        <v>24</v>
      </c>
      <c r="W1429" s="907">
        <f>IF(J1429="Canvas",Q1429+BorderGW,Q1429)</f>
        <v>24</v>
      </c>
      <c r="X1429" s="223" t="s">
        <v>286</v>
      </c>
      <c r="Y1429" s="216">
        <v>28</v>
      </c>
      <c r="Z1429" s="216">
        <v>92</v>
      </c>
      <c r="AA1429" s="718">
        <f t="shared" si="501"/>
        <v>4</v>
      </c>
      <c r="AB1429" s="233">
        <f>AA1429*IncaG</f>
        <v>84.16</v>
      </c>
      <c r="AC1429" s="225">
        <f t="shared" si="503"/>
        <v>2.64</v>
      </c>
      <c r="AD1429" s="207">
        <f>AA1429*IncaC</f>
        <v>6.7328000000000001</v>
      </c>
      <c r="AE1429" s="104">
        <f>IF(Table1[[#This Row],[Work Center]]="SwissQ",Materials!G$37,IF(Table1[[#This Row],[Work Center]]="Inca",Materials!G$29,IF(Table1[[#This Row],[Work Center]]="Canon",Materials!G$49,Materials!G$45)))</f>
        <v>8</v>
      </c>
      <c r="AF1429" s="226">
        <f>'CALI_SONDER '!H$3</f>
        <v>43.8</v>
      </c>
      <c r="AG1429" s="225"/>
      <c r="AH1429" s="498">
        <f t="shared" si="499"/>
        <v>6.25</v>
      </c>
      <c r="AI1429" s="112"/>
      <c r="AJ1429" s="225">
        <f t="shared" si="502"/>
        <v>67.422799999999995</v>
      </c>
      <c r="AK1429" s="650">
        <f t="shared" si="498"/>
        <v>0.46061760000000002</v>
      </c>
      <c r="AL1429" s="225">
        <f>Table1[[#This Row],[WSP/Dealer]]/Table1[[#This Row],[OD Sq Inch]]</f>
        <v>0.48828125</v>
      </c>
      <c r="AM1429" s="110">
        <f>Table1[[#This Row],[OD Wdth]]*Table1[[#This Row],[OD Hgt]]</f>
        <v>256</v>
      </c>
      <c r="AN1429" s="216">
        <f>Table1[[#This Row],[Min VO]]+Table1[[#This Row],[Max VO]]</f>
        <v>32</v>
      </c>
      <c r="AO1429" s="216"/>
      <c r="AP1429" s="216"/>
      <c r="AQ1429" s="225"/>
      <c r="AR1429" s="225"/>
      <c r="AS1429" s="225"/>
      <c r="AT1429" s="225"/>
      <c r="AU1429" s="1363" t="str">
        <f t="shared" si="500"/>
        <v>-</v>
      </c>
    </row>
    <row r="1430" spans="1:47" s="46" customFormat="1" hidden="1" x14ac:dyDescent="0.2">
      <c r="A1430" s="68" t="s">
        <v>187</v>
      </c>
      <c r="B1430" s="279" t="s">
        <v>292</v>
      </c>
      <c r="C1430" s="653" t="s">
        <v>3406</v>
      </c>
      <c r="D1430" s="94"/>
      <c r="E1430" s="84" t="s">
        <v>3407</v>
      </c>
      <c r="F1430" s="84" t="s">
        <v>349</v>
      </c>
      <c r="G1430" s="68" t="s">
        <v>643</v>
      </c>
      <c r="H1430" s="68" t="s">
        <v>806</v>
      </c>
      <c r="I1430" s="68" t="s">
        <v>52</v>
      </c>
      <c r="J1430" s="68" t="s">
        <v>53</v>
      </c>
      <c r="K1430" s="68" t="s">
        <v>54</v>
      </c>
      <c r="L1430" s="68" t="s">
        <v>70</v>
      </c>
      <c r="M1430" s="93">
        <v>700</v>
      </c>
      <c r="N1430" s="71"/>
      <c r="O1430" s="68" t="s">
        <v>56</v>
      </c>
      <c r="P1430" s="68">
        <v>20</v>
      </c>
      <c r="Q1430" s="68">
        <v>16</v>
      </c>
      <c r="R1430" s="68">
        <v>16</v>
      </c>
      <c r="S1430" s="68">
        <v>20</v>
      </c>
      <c r="T1430" s="68">
        <v>21</v>
      </c>
      <c r="U1430" s="68">
        <v>17</v>
      </c>
      <c r="V1430" s="917">
        <f>IF(J1430="Canvas",P1430+Border,P1430)</f>
        <v>28</v>
      </c>
      <c r="W1430" s="917">
        <f>IF(J1430="Canvas",Q1430+Border,Q1430)</f>
        <v>24</v>
      </c>
      <c r="X1430" s="189"/>
      <c r="Y1430" s="68"/>
      <c r="Z1430" s="68"/>
      <c r="AA1430" s="699">
        <f t="shared" si="501"/>
        <v>4.666666666666667</v>
      </c>
      <c r="AB1430" s="297">
        <f>AA1430*IncaG</f>
        <v>98.186666666666667</v>
      </c>
      <c r="AC1430" s="74">
        <f t="shared" si="503"/>
        <v>3.0800000000000005</v>
      </c>
      <c r="AD1430" s="319">
        <f>Table1[[#This Row],[Substrate SF]]*IncaC</f>
        <v>7.8549333333333342</v>
      </c>
      <c r="AE1430" s="278">
        <f>IF(Table1[[#This Row],[Work Center]]="SwissQ",Materials!G$37,IF(Table1[[#This Row],[Work Center]]="Inca",Materials!G$29,IF(Table1[[#This Row],[Work Center]]="Canon",Materials!G$49,Materials!G$45)))</f>
        <v>8</v>
      </c>
      <c r="AF1430" s="278">
        <f>'Cali Frames'!D$267</f>
        <v>82.757499999999993</v>
      </c>
      <c r="AG1430" s="126"/>
      <c r="AH1430" s="278">
        <f t="shared" si="499"/>
        <v>35</v>
      </c>
      <c r="AI1430" s="278"/>
      <c r="AJ1430" s="278">
        <f t="shared" si="502"/>
        <v>136.69243333333333</v>
      </c>
      <c r="AK1430" s="650">
        <f t="shared" si="498"/>
        <v>0.80472509523809521</v>
      </c>
      <c r="AL1430" s="225">
        <f>Table1[[#This Row],[WSP/Dealer]]/Table1[[#This Row],[OD Sq Inch]]</f>
        <v>1.9607843137254901</v>
      </c>
      <c r="AM1430" s="170">
        <f>Table1[[#This Row],[OD Wdth]]*Table1[[#This Row],[OD Hgt]]</f>
        <v>357</v>
      </c>
      <c r="AN1430" s="216">
        <f>Table1[[#This Row],[Min VO]]+Table1[[#This Row],[Max VO]]</f>
        <v>36</v>
      </c>
      <c r="AO1430" s="84"/>
      <c r="AP1430" s="84"/>
      <c r="AQ1430" s="126"/>
      <c r="AR1430" s="126"/>
      <c r="AS1430" s="126"/>
      <c r="AT1430" s="74"/>
      <c r="AU1430" s="1357" t="str">
        <f t="shared" si="500"/>
        <v>-</v>
      </c>
    </row>
    <row r="1431" spans="1:47" s="46" customFormat="1" hidden="1" x14ac:dyDescent="0.2">
      <c r="A1431" s="68" t="s">
        <v>187</v>
      </c>
      <c r="B1431" s="279" t="s">
        <v>292</v>
      </c>
      <c r="C1431" s="653" t="s">
        <v>3408</v>
      </c>
      <c r="D1431" s="94"/>
      <c r="E1431" s="84" t="s">
        <v>3409</v>
      </c>
      <c r="F1431" s="84" t="s">
        <v>349</v>
      </c>
      <c r="G1431" s="68" t="s">
        <v>309</v>
      </c>
      <c r="H1431" s="68" t="s">
        <v>312</v>
      </c>
      <c r="I1431" s="68" t="s">
        <v>52</v>
      </c>
      <c r="J1431" s="68" t="s">
        <v>53</v>
      </c>
      <c r="K1431" s="68" t="s">
        <v>54</v>
      </c>
      <c r="L1431" s="68" t="s">
        <v>70</v>
      </c>
      <c r="M1431" s="93">
        <v>1250</v>
      </c>
      <c r="N1431" s="71"/>
      <c r="O1431" s="68" t="s">
        <v>56</v>
      </c>
      <c r="P1431" s="68">
        <v>32</v>
      </c>
      <c r="Q1431" s="68">
        <v>24</v>
      </c>
      <c r="R1431" s="68">
        <v>24</v>
      </c>
      <c r="S1431" s="68">
        <v>32</v>
      </c>
      <c r="T1431" s="68">
        <v>33</v>
      </c>
      <c r="U1431" s="68">
        <v>25</v>
      </c>
      <c r="V1431" s="917">
        <f>IF(J1431="Canvas",P1431+Border,P1431)</f>
        <v>40</v>
      </c>
      <c r="W1431" s="917">
        <f>IF(J1431="Canvas",Q1431+Border,Q1431)</f>
        <v>32</v>
      </c>
      <c r="X1431" s="189"/>
      <c r="Y1431" s="68"/>
      <c r="Z1431" s="68"/>
      <c r="AA1431" s="699">
        <f t="shared" si="501"/>
        <v>8.8888888888888893</v>
      </c>
      <c r="AB1431" s="297">
        <f>AA1431*IncaG</f>
        <v>187.02222222222221</v>
      </c>
      <c r="AC1431" s="74">
        <f t="shared" si="503"/>
        <v>5.8666666666666671</v>
      </c>
      <c r="AD1431" s="319">
        <f>Table1[[#This Row],[Substrate SF]]*IncaC</f>
        <v>14.961777777777778</v>
      </c>
      <c r="AE1431" s="278">
        <f>IF(Table1[[#This Row],[Work Center]]="SwissQ",Materials!G$37,IF(Table1[[#This Row],[Work Center]]="Inca",Materials!G$29,IF(Table1[[#This Row],[Work Center]]="Canon",Materials!G$49,Materials!G$45)))</f>
        <v>8</v>
      </c>
      <c r="AF1431" s="321">
        <f>'Cali Frames'!D$280</f>
        <v>110.0575</v>
      </c>
      <c r="AG1431" s="126"/>
      <c r="AH1431" s="278">
        <f t="shared" si="499"/>
        <v>62.5</v>
      </c>
      <c r="AI1431" s="278"/>
      <c r="AJ1431" s="278">
        <f t="shared" si="502"/>
        <v>201.38594444444445</v>
      </c>
      <c r="AK1431" s="650">
        <f t="shared" si="498"/>
        <v>0.83889124444444441</v>
      </c>
      <c r="AL1431" s="225">
        <f>Table1[[#This Row],[WSP/Dealer]]/Table1[[#This Row],[OD Sq Inch]]</f>
        <v>1.5151515151515151</v>
      </c>
      <c r="AM1431" s="170">
        <f>Table1[[#This Row],[OD Wdth]]*Table1[[#This Row],[OD Hgt]]</f>
        <v>825</v>
      </c>
      <c r="AN1431" s="216">
        <f>Table1[[#This Row],[Min VO]]+Table1[[#This Row],[Max VO]]</f>
        <v>56</v>
      </c>
      <c r="AO1431" s="84"/>
      <c r="AP1431" s="84"/>
      <c r="AQ1431" s="126"/>
      <c r="AR1431" s="126"/>
      <c r="AS1431" s="126"/>
      <c r="AT1431" s="74"/>
      <c r="AU1431" s="1357" t="str">
        <f t="shared" si="500"/>
        <v>-</v>
      </c>
    </row>
    <row r="1432" spans="1:47" s="63" customFormat="1" hidden="1" x14ac:dyDescent="0.2">
      <c r="A1432" s="495" t="s">
        <v>318</v>
      </c>
      <c r="B1432" s="1061" t="s">
        <v>96</v>
      </c>
      <c r="C1432" s="168" t="s">
        <v>3410</v>
      </c>
      <c r="D1432" s="94">
        <v>176544</v>
      </c>
      <c r="E1432" s="401" t="s">
        <v>3411</v>
      </c>
      <c r="F1432" s="83" t="s">
        <v>105</v>
      </c>
      <c r="G1432" s="400" t="s">
        <v>519</v>
      </c>
      <c r="H1432" s="101" t="s">
        <v>2698</v>
      </c>
      <c r="I1432" s="400" t="s">
        <v>52</v>
      </c>
      <c r="J1432" s="497" t="s">
        <v>280</v>
      </c>
      <c r="K1432" s="400" t="s">
        <v>814</v>
      </c>
      <c r="L1432" s="400" t="s">
        <v>815</v>
      </c>
      <c r="M1432" s="541">
        <v>285</v>
      </c>
      <c r="N1432" s="786">
        <v>700</v>
      </c>
      <c r="O1432" s="60" t="s">
        <v>575</v>
      </c>
      <c r="P1432" s="400">
        <v>16</v>
      </c>
      <c r="Q1432" s="400">
        <v>20</v>
      </c>
      <c r="R1432" s="400">
        <v>16</v>
      </c>
      <c r="S1432" s="400">
        <v>20</v>
      </c>
      <c r="T1432" s="400">
        <v>18</v>
      </c>
      <c r="U1432" s="400">
        <v>22</v>
      </c>
      <c r="V1432" s="404">
        <f>IF(J1432="Canvas",P1432+Border,P1432)</f>
        <v>16</v>
      </c>
      <c r="W1432" s="404">
        <f>IF(J1432="Canvas",Q1432+Border,Q1432)</f>
        <v>20</v>
      </c>
      <c r="X1432" s="137" t="s">
        <v>283</v>
      </c>
      <c r="Y1432" s="400">
        <v>16</v>
      </c>
      <c r="Z1432" s="400">
        <v>20</v>
      </c>
      <c r="AA1432" s="724">
        <f t="shared" si="501"/>
        <v>2.2222222222222223</v>
      </c>
      <c r="AB1432" s="633">
        <f>Table1[[#This Row],[Substrate SF]]*Swiss1</f>
        <v>62.888888888888893</v>
      </c>
      <c r="AC1432" s="406">
        <f>MDFSHEET/10</f>
        <v>2.4350000000000001</v>
      </c>
      <c r="AD1432" s="405">
        <f>Table1[[#This Row],[Substrate SF]]*SWISSC1</f>
        <v>6.2222222222222223</v>
      </c>
      <c r="AE1432" s="406">
        <f>IF(Table1[[#This Row],[Work Center]]="SwissQ",Materials!G$37,IF(Table1[[#This Row],[Work Center]]="Inca",Materials!G$29,IF(Table1[[#This Row],[Work Center]]="Canon",Materials!G$49,Materials!G$45)))</f>
        <v>5</v>
      </c>
      <c r="AF1432" s="403">
        <f>'Cali Frames'!D193</f>
        <v>126.35</v>
      </c>
      <c r="AG1432" s="1000"/>
      <c r="AH1432" s="112">
        <v>0</v>
      </c>
      <c r="AI1432" s="112"/>
      <c r="AJ1432" s="405">
        <f t="shared" si="502"/>
        <v>140.00722222222223</v>
      </c>
      <c r="AK1432" s="62">
        <f t="shared" si="498"/>
        <v>0.50874658869395706</v>
      </c>
      <c r="AL1432" s="225">
        <f>Table1[[#This Row],[WSP/Dealer]]/Table1[[#This Row],[OD Sq Inch]]</f>
        <v>0.71969696969696972</v>
      </c>
      <c r="AM1432" s="399">
        <f>Table1[[#This Row],[OD Wdth]]*Table1[[#This Row],[OD Hgt]]</f>
        <v>396</v>
      </c>
      <c r="AN1432" s="400" t="str">
        <f>Table1[[#This Row],[Color]]</f>
        <v>CB</v>
      </c>
      <c r="AO1432" s="115" t="str">
        <f>Table1[[#This Row],[Print Type]]</f>
        <v>Synograph</v>
      </c>
      <c r="AP1432" s="121"/>
      <c r="AQ1432" s="121"/>
      <c r="AR1432" s="121"/>
      <c r="AS1432" s="121"/>
      <c r="AT1432" s="104"/>
      <c r="AU1432" s="1366" t="str">
        <f t="shared" si="500"/>
        <v>-</v>
      </c>
    </row>
    <row r="1433" spans="1:47" s="63" customFormat="1" hidden="1" x14ac:dyDescent="0.2">
      <c r="A1433" s="373" t="s">
        <v>187</v>
      </c>
      <c r="B1433" s="1061" t="s">
        <v>261</v>
      </c>
      <c r="C1433" s="94" t="s">
        <v>3412</v>
      </c>
      <c r="D1433" s="94"/>
      <c r="E1433" s="84" t="s">
        <v>3411</v>
      </c>
      <c r="F1433" s="84" t="s">
        <v>105</v>
      </c>
      <c r="G1433" s="68" t="s">
        <v>519</v>
      </c>
      <c r="H1433" s="68" t="s">
        <v>2698</v>
      </c>
      <c r="I1433" s="68" t="s">
        <v>108</v>
      </c>
      <c r="J1433" s="140" t="s">
        <v>53</v>
      </c>
      <c r="K1433" s="68" t="s">
        <v>814</v>
      </c>
      <c r="L1433" s="68" t="s">
        <v>815</v>
      </c>
      <c r="M1433" s="93">
        <v>1450</v>
      </c>
      <c r="N1433" s="71"/>
      <c r="O1433" s="68" t="s">
        <v>109</v>
      </c>
      <c r="P1433" s="68">
        <v>16</v>
      </c>
      <c r="Q1433" s="68">
        <v>20</v>
      </c>
      <c r="R1433" s="68">
        <v>16</v>
      </c>
      <c r="S1433" s="68">
        <v>20</v>
      </c>
      <c r="T1433" s="68">
        <v>18</v>
      </c>
      <c r="U1433" s="68">
        <v>24</v>
      </c>
      <c r="V1433" s="277">
        <f>IF(J1433="Canvas",P1433+Border,P1433)</f>
        <v>24</v>
      </c>
      <c r="W1433" s="277">
        <f>IF(J1433="Canvas",Q1433+Border,Q1433)</f>
        <v>28</v>
      </c>
      <c r="X1433" s="189">
        <v>59</v>
      </c>
      <c r="Y1433" s="68"/>
      <c r="Z1433" s="68"/>
      <c r="AA1433" s="727">
        <f t="shared" si="501"/>
        <v>4.666666666666667</v>
      </c>
      <c r="AB1433" s="341">
        <f>AA1433*EPSONC</f>
        <v>1.0266666666666668</v>
      </c>
      <c r="AC1433" s="278">
        <f>AA1433*Canvas</f>
        <v>3.0800000000000005</v>
      </c>
      <c r="AD1433" s="263">
        <f>AA1433*EPSONC</f>
        <v>1.0266666666666668</v>
      </c>
      <c r="AE1433" s="104">
        <f>IF(Table1[[#This Row],[Work Center]]="SwissQ",Materials!G$37,IF(Table1[[#This Row],[Work Center]]="Inca",Materials!G$29,IF(Table1[[#This Row],[Work Center]]="Canon",Materials!G$49,Materials!G$45)))</f>
        <v>5</v>
      </c>
      <c r="AF1433" s="73">
        <f>'Cali Frames'!D193</f>
        <v>126.35</v>
      </c>
      <c r="AG1433" s="126"/>
      <c r="AH1433" s="112">
        <v>0</v>
      </c>
      <c r="AI1433" s="112"/>
      <c r="AJ1433" s="278">
        <f t="shared" si="502"/>
        <v>135.45666666666665</v>
      </c>
      <c r="AK1433" s="62">
        <f t="shared" si="498"/>
        <v>0.90658160919540232</v>
      </c>
      <c r="AL1433" s="225">
        <f>Table1[[#This Row],[WSP/Dealer]]/Table1[[#This Row],[OD Sq Inch]]</f>
        <v>3.3564814814814814</v>
      </c>
      <c r="AM1433" s="170">
        <f>Table1[[#This Row],[OD Wdth]]*Table1[[#This Row],[OD Hgt]]</f>
        <v>432</v>
      </c>
      <c r="AN1433" s="216">
        <f>Table1[[#This Row],[Min VO]]+Table1[[#This Row],[Max VO]]</f>
        <v>36</v>
      </c>
      <c r="AO1433" s="84"/>
      <c r="AP1433" s="84"/>
      <c r="AQ1433" s="126"/>
      <c r="AR1433" s="126"/>
      <c r="AS1433" s="126"/>
      <c r="AT1433" s="74"/>
      <c r="AU1433" s="1357" t="str">
        <f t="shared" si="500"/>
        <v>-</v>
      </c>
    </row>
    <row r="1434" spans="1:47" s="170" customFormat="1" hidden="1" x14ac:dyDescent="0.2">
      <c r="A1434" s="68"/>
      <c r="B1434" s="1061"/>
      <c r="C1434" s="94" t="s">
        <v>3413</v>
      </c>
      <c r="D1434" s="94"/>
      <c r="E1434" s="84" t="s">
        <v>3411</v>
      </c>
      <c r="F1434" s="84" t="s">
        <v>105</v>
      </c>
      <c r="G1434" s="68" t="s">
        <v>519</v>
      </c>
      <c r="H1434" s="68" t="s">
        <v>2698</v>
      </c>
      <c r="I1434" s="68" t="s">
        <v>52</v>
      </c>
      <c r="J1434" s="140" t="s">
        <v>53</v>
      </c>
      <c r="K1434" s="68" t="s">
        <v>814</v>
      </c>
      <c r="L1434" s="68" t="s">
        <v>815</v>
      </c>
      <c r="M1434" s="93"/>
      <c r="N1434" s="71"/>
      <c r="O1434" s="68"/>
      <c r="P1434" s="68"/>
      <c r="Q1434" s="68"/>
      <c r="R1434" s="68"/>
      <c r="S1434" s="68"/>
      <c r="T1434" s="68"/>
      <c r="U1434" s="68"/>
      <c r="V1434" s="917"/>
      <c r="W1434" s="917"/>
      <c r="X1434" s="189"/>
      <c r="Y1434" s="68"/>
      <c r="Z1434" s="68"/>
      <c r="AA1434" s="699"/>
      <c r="AB1434" s="297"/>
      <c r="AC1434" s="74"/>
      <c r="AD1434" s="263"/>
      <c r="AE1434" s="126"/>
      <c r="AF1434" s="73"/>
      <c r="AG1434" s="126"/>
      <c r="AH1434" s="498">
        <v>0</v>
      </c>
      <c r="AI1434" s="498"/>
      <c r="AJ1434" s="126"/>
      <c r="AK1434" s="650" t="e">
        <f t="shared" si="498"/>
        <v>#DIV/0!</v>
      </c>
      <c r="AL1434" s="225" t="e">
        <f>Table1[[#This Row],[WSP/Dealer]]/Table1[[#This Row],[OD Sq Inch]]</f>
        <v>#DIV/0!</v>
      </c>
      <c r="AM1434" s="84"/>
      <c r="AN1434" s="216">
        <f>Table1[[#This Row],[Min VO]]+Table1[[#This Row],[Max VO]]</f>
        <v>0</v>
      </c>
      <c r="AO1434" s="84"/>
      <c r="AP1434" s="84"/>
      <c r="AQ1434" s="126"/>
      <c r="AR1434" s="126"/>
      <c r="AS1434" s="126"/>
      <c r="AT1434" s="74"/>
      <c r="AU1434" s="1357" t="str">
        <f t="shared" si="500"/>
        <v>-</v>
      </c>
    </row>
    <row r="1435" spans="1:47" s="103" customFormat="1" hidden="1" x14ac:dyDescent="0.2">
      <c r="A1435" s="373" t="s">
        <v>187</v>
      </c>
      <c r="B1435" s="1061" t="s">
        <v>261</v>
      </c>
      <c r="C1435" s="436" t="s">
        <v>3414</v>
      </c>
      <c r="D1435" s="94"/>
      <c r="E1435" s="436" t="s">
        <v>3415</v>
      </c>
      <c r="F1435" s="84" t="s">
        <v>105</v>
      </c>
      <c r="G1435" s="68" t="s">
        <v>519</v>
      </c>
      <c r="H1435" s="68" t="s">
        <v>519</v>
      </c>
      <c r="I1435" s="274" t="s">
        <v>108</v>
      </c>
      <c r="J1435" s="68" t="s">
        <v>197</v>
      </c>
      <c r="K1435" s="274" t="s">
        <v>198</v>
      </c>
      <c r="L1435" s="274" t="s">
        <v>199</v>
      </c>
      <c r="M1435" s="455">
        <v>60</v>
      </c>
      <c r="N1435" s="71"/>
      <c r="O1435" s="68" t="s">
        <v>109</v>
      </c>
      <c r="P1435" s="68">
        <v>16</v>
      </c>
      <c r="Q1435" s="68">
        <v>20</v>
      </c>
      <c r="R1435" s="68">
        <v>16</v>
      </c>
      <c r="S1435" s="68">
        <v>20</v>
      </c>
      <c r="T1435" s="68">
        <v>18</v>
      </c>
      <c r="U1435" s="68">
        <v>24</v>
      </c>
      <c r="V1435" s="686">
        <f>Table1[[#This Row],[VO Wdth]]+Materials!$C$7</f>
        <v>18</v>
      </c>
      <c r="W1435" s="686">
        <f>Table1[[#This Row],[VO Hgt]]+Materials!$C$7</f>
        <v>22</v>
      </c>
      <c r="X1435" s="343" t="s">
        <v>197</v>
      </c>
      <c r="Y1435" s="68"/>
      <c r="Z1435" s="68"/>
      <c r="AA1435" s="699">
        <f t="shared" ref="AA1435:AA1445" si="504">V1435*W1435/144</f>
        <v>2.75</v>
      </c>
      <c r="AB1435" s="341">
        <f>AA1435*EPSONML</f>
        <v>12.375</v>
      </c>
      <c r="AC1435" s="74">
        <f>Table1[[#This Row],[Substrate SF]]*POster</f>
        <v>2.0459999999999998</v>
      </c>
      <c r="AD1435" s="263">
        <f>Table1[[#This Row],[Substrate SF]]*EPSONC</f>
        <v>0.60499999999999998</v>
      </c>
      <c r="AE1435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435" s="73">
        <v>0</v>
      </c>
      <c r="AG1435" s="126">
        <f>Materials!D$76</f>
        <v>10.82</v>
      </c>
      <c r="AH1435" s="498">
        <v>0</v>
      </c>
      <c r="AI1435" s="498"/>
      <c r="AJ1435" s="278">
        <f t="shared" ref="AJ1435:AJ1454" si="505">SUM(AC1435:AH1435)</f>
        <v>23.471</v>
      </c>
      <c r="AK1435" s="650">
        <f t="shared" si="498"/>
        <v>0.60881666666666656</v>
      </c>
      <c r="AL1435" s="225">
        <f>Table1[[#This Row],[WSP/Dealer]]/Table1[[#This Row],[OD Sq Inch]]</f>
        <v>0.1388888888888889</v>
      </c>
      <c r="AM1435" s="170">
        <f>Table1[[#This Row],[OD Wdth]]*Table1[[#This Row],[OD Hgt]]</f>
        <v>432</v>
      </c>
      <c r="AN1435" s="84"/>
      <c r="AO1435" s="84"/>
      <c r="AP1435" s="84"/>
      <c r="AQ1435" s="126"/>
      <c r="AR1435" s="126"/>
      <c r="AS1435" s="126"/>
      <c r="AT1435" s="74"/>
      <c r="AU1435" s="1357" t="str">
        <f t="shared" si="500"/>
        <v>-</v>
      </c>
    </row>
    <row r="1436" spans="1:47" s="46" customFormat="1" hidden="1" x14ac:dyDescent="0.2">
      <c r="A1436" s="374" t="s">
        <v>187</v>
      </c>
      <c r="B1436" s="279" t="s">
        <v>261</v>
      </c>
      <c r="C1436" s="1675" t="s">
        <v>3416</v>
      </c>
      <c r="D1436" s="94"/>
      <c r="E1436" s="375" t="s">
        <v>3417</v>
      </c>
      <c r="F1436" s="375" t="s">
        <v>585</v>
      </c>
      <c r="G1436" s="274" t="s">
        <v>3418</v>
      </c>
      <c r="H1436" s="274" t="s">
        <v>3418</v>
      </c>
      <c r="I1436" s="274" t="s">
        <v>52</v>
      </c>
      <c r="J1436" s="344" t="s">
        <v>280</v>
      </c>
      <c r="K1436" s="274" t="s">
        <v>281</v>
      </c>
      <c r="L1436" s="274" t="s">
        <v>282</v>
      </c>
      <c r="M1436" s="318">
        <v>2390</v>
      </c>
      <c r="N1436" s="71"/>
      <c r="O1436" s="274" t="s">
        <v>64</v>
      </c>
      <c r="P1436" s="274">
        <v>33</v>
      </c>
      <c r="Q1436" s="274">
        <v>42</v>
      </c>
      <c r="R1436" s="274">
        <v>33</v>
      </c>
      <c r="S1436" s="274">
        <v>42</v>
      </c>
      <c r="T1436" s="274">
        <v>33</v>
      </c>
      <c r="U1436" s="274">
        <v>42</v>
      </c>
      <c r="V1436" s="686">
        <v>33</v>
      </c>
      <c r="W1436" s="686">
        <v>42</v>
      </c>
      <c r="X1436" s="343" t="s">
        <v>283</v>
      </c>
      <c r="Y1436" s="274"/>
      <c r="Z1436" s="274"/>
      <c r="AA1436" s="727">
        <f t="shared" si="504"/>
        <v>9.625</v>
      </c>
      <c r="AB1436" s="341">
        <f>AA1436*Swiss1</f>
        <v>272.38749999999999</v>
      </c>
      <c r="AC1436" s="278">
        <f>MDFSHEET*0.5</f>
        <v>12.175000000000001</v>
      </c>
      <c r="AD1436" s="263">
        <f>Table1[[#This Row],[Substrate SF]]*Materials!C$37</f>
        <v>26.95</v>
      </c>
      <c r="AE1436" s="104">
        <f>IF(Table1[[#This Row],[Work Center]]="SwissQ",Materials!G$37,IF(Table1[[#This Row],[Work Center]]="Inca",Materials!G$29,IF(Table1[[#This Row],[Work Center]]="Canon",Materials!G$49,Materials!G$45)))</f>
        <v>20</v>
      </c>
      <c r="AF1436" s="321">
        <f>'Cali Frames'!D543</f>
        <v>140.61249999999998</v>
      </c>
      <c r="AG1436" s="320"/>
      <c r="AH1436" s="112">
        <f t="shared" ref="AH1436:AH1453" si="506">(M1436*0.05)</f>
        <v>119.5</v>
      </c>
      <c r="AI1436" s="112"/>
      <c r="AJ1436" s="278">
        <f t="shared" si="505"/>
        <v>319.23749999999995</v>
      </c>
      <c r="AK1436" s="62">
        <f t="shared" si="498"/>
        <v>0.86642782426778231</v>
      </c>
      <c r="AL1436" s="225">
        <f>Table1[[#This Row],[WSP/Dealer]]/Table1[[#This Row],[OD Sq Inch]]</f>
        <v>1.7243867243867244</v>
      </c>
      <c r="AM1436" s="170">
        <f>Table1[[#This Row],[OD Wdth]]*Table1[[#This Row],[OD Hgt]]</f>
        <v>1386</v>
      </c>
      <c r="AN1436" s="238">
        <f>Table1[[#This Row],[Min VO]]+Table1[[#This Row],[Max VO]]</f>
        <v>75</v>
      </c>
      <c r="AO1436" s="275"/>
      <c r="AP1436" s="275"/>
      <c r="AQ1436" s="320"/>
      <c r="AR1436" s="320"/>
      <c r="AS1436" s="320"/>
      <c r="AT1436" s="278"/>
      <c r="AU1436" s="1368" t="str">
        <f t="shared" si="500"/>
        <v>-</v>
      </c>
    </row>
    <row r="1437" spans="1:47" s="63" customFormat="1" x14ac:dyDescent="0.2">
      <c r="A1437" s="180" t="s">
        <v>58</v>
      </c>
      <c r="B1437" s="279" t="s">
        <v>587</v>
      </c>
      <c r="C1437" s="281" t="s">
        <v>3419</v>
      </c>
      <c r="D1437" s="94"/>
      <c r="E1437" s="291" t="s">
        <v>3417</v>
      </c>
      <c r="F1437" s="291" t="s">
        <v>585</v>
      </c>
      <c r="G1437" s="180" t="s">
        <v>3418</v>
      </c>
      <c r="H1437" s="180" t="s">
        <v>3418</v>
      </c>
      <c r="I1437" s="180" t="s">
        <v>52</v>
      </c>
      <c r="J1437" s="310" t="s">
        <v>280</v>
      </c>
      <c r="K1437" s="180" t="s">
        <v>281</v>
      </c>
      <c r="L1437" s="180" t="s">
        <v>282</v>
      </c>
      <c r="M1437" s="292">
        <v>700</v>
      </c>
      <c r="N1437" s="639">
        <v>715</v>
      </c>
      <c r="O1437" s="180" t="s">
        <v>64</v>
      </c>
      <c r="P1437" s="180">
        <v>33</v>
      </c>
      <c r="Q1437" s="180">
        <v>42</v>
      </c>
      <c r="R1437" s="180">
        <v>33</v>
      </c>
      <c r="S1437" s="180">
        <v>42</v>
      </c>
      <c r="T1437" s="180">
        <v>33</v>
      </c>
      <c r="U1437" s="180">
        <v>42</v>
      </c>
      <c r="V1437" s="947">
        <v>33</v>
      </c>
      <c r="W1437" s="947">
        <v>42</v>
      </c>
      <c r="X1437" s="289" t="s">
        <v>283</v>
      </c>
      <c r="Y1437" s="180"/>
      <c r="Z1437" s="180"/>
      <c r="AA1437" s="678">
        <f t="shared" si="504"/>
        <v>9.625</v>
      </c>
      <c r="AB1437" s="329">
        <f>AA1437*Swiss1</f>
        <v>272.38749999999999</v>
      </c>
      <c r="AC1437" s="176">
        <f>MDFSHEET*0.5</f>
        <v>12.175000000000001</v>
      </c>
      <c r="AD1437" s="175">
        <f>Table1[[#This Row],[Substrate SF]]*Materials!C$37</f>
        <v>26.95</v>
      </c>
      <c r="AE1437" s="104">
        <f>IF(Table1[[#This Row],[Work Center]]="SwissQ",Materials!G$37,IF(Table1[[#This Row],[Work Center]]="Inca",Materials!G$29,IF(Table1[[#This Row],[Work Center]]="Canon",Materials!G$49,Materials!G$45)))</f>
        <v>20</v>
      </c>
      <c r="AF1437" s="290">
        <f>'Cali Frames'!D543</f>
        <v>140.61249999999998</v>
      </c>
      <c r="AG1437" s="296"/>
      <c r="AH1437" s="498">
        <f t="shared" si="506"/>
        <v>35</v>
      </c>
      <c r="AI1437" s="112"/>
      <c r="AJ1437" s="176">
        <f t="shared" si="505"/>
        <v>234.73749999999998</v>
      </c>
      <c r="AK1437" s="650">
        <f t="shared" si="498"/>
        <v>0.66466071428571438</v>
      </c>
      <c r="AL1437" s="225">
        <f>Table1[[#This Row],[WSP/Dealer]]/Table1[[#This Row],[OD Sq Inch]]</f>
        <v>0.50505050505050508</v>
      </c>
      <c r="AM1437" s="180">
        <f>Table1[[#This Row],[OD Wdth]]*Table1[[#This Row],[OD Hgt]]</f>
        <v>1386</v>
      </c>
      <c r="AN1437" s="216">
        <f>Table1[[#This Row],[Min VO]]+Table1[[#This Row],[Max VO]]</f>
        <v>75</v>
      </c>
      <c r="AO1437" s="284"/>
      <c r="AP1437" s="284"/>
      <c r="AQ1437" s="296"/>
      <c r="AR1437" s="296"/>
      <c r="AS1437" s="296"/>
      <c r="AT1437" s="176"/>
      <c r="AU1437" s="1358" t="str">
        <f t="shared" si="500"/>
        <v>-</v>
      </c>
    </row>
    <row r="1438" spans="1:47" s="63" customFormat="1" hidden="1" x14ac:dyDescent="0.2">
      <c r="A1438" s="374" t="s">
        <v>187</v>
      </c>
      <c r="B1438" s="279" t="s">
        <v>261</v>
      </c>
      <c r="C1438" s="436" t="s">
        <v>3420</v>
      </c>
      <c r="D1438" s="94"/>
      <c r="E1438" s="436" t="s">
        <v>3421</v>
      </c>
      <c r="F1438" s="375" t="s">
        <v>585</v>
      </c>
      <c r="G1438" s="274" t="s">
        <v>3418</v>
      </c>
      <c r="H1438" s="274" t="s">
        <v>3418</v>
      </c>
      <c r="I1438" s="274" t="s">
        <v>108</v>
      </c>
      <c r="J1438" s="68" t="s">
        <v>197</v>
      </c>
      <c r="K1438" s="274" t="s">
        <v>198</v>
      </c>
      <c r="L1438" s="274" t="s">
        <v>199</v>
      </c>
      <c r="M1438" s="696">
        <v>60</v>
      </c>
      <c r="N1438" s="71"/>
      <c r="O1438" s="274" t="s">
        <v>64</v>
      </c>
      <c r="P1438" s="274">
        <v>33</v>
      </c>
      <c r="Q1438" s="274">
        <v>42</v>
      </c>
      <c r="R1438" s="274">
        <v>33</v>
      </c>
      <c r="S1438" s="274">
        <v>42</v>
      </c>
      <c r="T1438" s="274">
        <v>33</v>
      </c>
      <c r="U1438" s="274">
        <v>42</v>
      </c>
      <c r="V1438" s="686">
        <f>Table1[[#This Row],[VO Wdth]]+Materials!$C$7</f>
        <v>35</v>
      </c>
      <c r="W1438" s="686">
        <f>Table1[[#This Row],[VO Hgt]]+Materials!$C$7</f>
        <v>44</v>
      </c>
      <c r="X1438" s="343" t="s">
        <v>197</v>
      </c>
      <c r="Y1438" s="68"/>
      <c r="Z1438" s="68"/>
      <c r="AA1438" s="699">
        <f t="shared" si="504"/>
        <v>10.694444444444445</v>
      </c>
      <c r="AB1438" s="341">
        <f>AA1438*SWISSRML</f>
        <v>21.388888888888889</v>
      </c>
      <c r="AC1438" s="74">
        <f>Table1[[#This Row],[Substrate SF]]*POster</f>
        <v>7.956666666666667</v>
      </c>
      <c r="AD1438" s="263">
        <f>Table1[[#This Row],[Substrate SF]]*SWISSRC</f>
        <v>2.3527777777777779</v>
      </c>
      <c r="AE143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438" s="73">
        <v>0</v>
      </c>
      <c r="AG1438" s="126">
        <f>Materials!D$76</f>
        <v>10.82</v>
      </c>
      <c r="AH1438" s="498">
        <f t="shared" si="506"/>
        <v>3</v>
      </c>
      <c r="AI1438" s="498"/>
      <c r="AJ1438" s="278">
        <f t="shared" si="505"/>
        <v>34.129444444444445</v>
      </c>
      <c r="AK1438" s="650">
        <f t="shared" si="498"/>
        <v>0.43117592592592591</v>
      </c>
      <c r="AL1438" s="225">
        <f>Table1[[#This Row],[WSP/Dealer]]/Table1[[#This Row],[OD Sq Inch]]</f>
        <v>4.3290043290043288E-2</v>
      </c>
      <c r="AM1438" s="170">
        <f>Table1[[#This Row],[OD Wdth]]*Table1[[#This Row],[OD Hgt]]</f>
        <v>1386</v>
      </c>
      <c r="AN1438" s="84"/>
      <c r="AO1438" s="84"/>
      <c r="AP1438" s="84"/>
      <c r="AQ1438" s="126"/>
      <c r="AR1438" s="126"/>
      <c r="AS1438" s="126"/>
      <c r="AT1438" s="74"/>
      <c r="AU1438" s="1357" t="str">
        <f t="shared" si="500"/>
        <v>-</v>
      </c>
    </row>
    <row r="1439" spans="1:47" s="144" customFormat="1" x14ac:dyDescent="0.2">
      <c r="A1439" s="145" t="s">
        <v>58</v>
      </c>
      <c r="B1439" s="1061" t="s">
        <v>533</v>
      </c>
      <c r="C1439" s="146" t="s">
        <v>3422</v>
      </c>
      <c r="D1439" s="94" t="s">
        <v>3423</v>
      </c>
      <c r="E1439" s="146" t="s">
        <v>3424</v>
      </c>
      <c r="F1439" s="154" t="s">
        <v>386</v>
      </c>
      <c r="G1439" s="145" t="s">
        <v>405</v>
      </c>
      <c r="H1439" s="145" t="s">
        <v>405</v>
      </c>
      <c r="I1439" s="145" t="s">
        <v>52</v>
      </c>
      <c r="J1439" s="145" t="s">
        <v>53</v>
      </c>
      <c r="K1439" s="145" t="s">
        <v>54</v>
      </c>
      <c r="L1439" s="145" t="s">
        <v>55</v>
      </c>
      <c r="M1439" s="151">
        <v>750</v>
      </c>
      <c r="N1439" s="639">
        <v>830</v>
      </c>
      <c r="O1439" s="145" t="s">
        <v>56</v>
      </c>
      <c r="P1439" s="145">
        <v>48</v>
      </c>
      <c r="Q1439" s="145">
        <v>48</v>
      </c>
      <c r="R1439" s="145">
        <v>48</v>
      </c>
      <c r="S1439" s="145">
        <v>48</v>
      </c>
      <c r="T1439" s="698">
        <f>Table1[[#This Row],[VO Wdth]]</f>
        <v>48</v>
      </c>
      <c r="U1439" s="698">
        <f>Table1[[#This Row],[VO Hgt]]</f>
        <v>48</v>
      </c>
      <c r="V1439" s="149">
        <f>IF(J1439="Canvas",P1439+Border,P1439)</f>
        <v>56</v>
      </c>
      <c r="W1439" s="149">
        <f>IF(J1439="Canvas",Q1439+Border,Q1439)</f>
        <v>56</v>
      </c>
      <c r="X1439" s="157">
        <v>59</v>
      </c>
      <c r="Y1439" s="145"/>
      <c r="Z1439" s="145"/>
      <c r="AA1439" s="722">
        <f t="shared" si="504"/>
        <v>21.777777777777779</v>
      </c>
      <c r="AB1439" s="389">
        <f t="shared" ref="AB1439:AB1444" si="507">AA1439*IncaG</f>
        <v>458.20444444444445</v>
      </c>
      <c r="AC1439" s="143">
        <f>Table1[[#This Row],[Substrate SF]]*Paper</f>
        <v>29.465333333333334</v>
      </c>
      <c r="AD1439" s="150">
        <f>AA1439*IncaC</f>
        <v>36.656355555555557</v>
      </c>
      <c r="AE1439" s="104">
        <f>IF(Table1[[#This Row],[Work Center]]="SwissQ",Materials!G$37,IF(Table1[[#This Row],[Work Center]]="Inca",Materials!G$29,IF(Table1[[#This Row],[Work Center]]="Canon",Materials!G$49,Materials!G$45)))</f>
        <v>8</v>
      </c>
      <c r="AF1439" s="143">
        <f>'Cali FPS'!C$117</f>
        <v>119.7</v>
      </c>
      <c r="AG1439" s="115"/>
      <c r="AH1439" s="498">
        <f t="shared" si="506"/>
        <v>37.5</v>
      </c>
      <c r="AI1439" s="498"/>
      <c r="AJ1439" s="143">
        <f t="shared" si="505"/>
        <v>231.3216888888889</v>
      </c>
      <c r="AK1439" s="650">
        <f t="shared" si="498"/>
        <v>0.69157108148148139</v>
      </c>
      <c r="AL1439" s="225">
        <f>Table1[[#This Row],[WSP/Dealer]]/Table1[[#This Row],[OD Sq Inch]]</f>
        <v>0.32552083333333331</v>
      </c>
      <c r="AM1439" s="46">
        <f>Table1[[#This Row],[OD Wdth]]*Table1[[#This Row],[OD Hgt]]</f>
        <v>2304</v>
      </c>
      <c r="AN1439" s="216">
        <f>Table1[[#This Row],[Min VO]]+Table1[[#This Row],[Max VO]]</f>
        <v>96</v>
      </c>
      <c r="AO1439" s="145"/>
      <c r="AP1439" s="145"/>
      <c r="AQ1439" s="143"/>
      <c r="AR1439" s="143"/>
      <c r="AS1439" s="143"/>
      <c r="AT1439" s="143"/>
      <c r="AU1439" s="1371" t="str">
        <f t="shared" si="500"/>
        <v>-</v>
      </c>
    </row>
    <row r="1440" spans="1:47" s="103" customFormat="1" hidden="1" x14ac:dyDescent="0.2">
      <c r="A1440" s="101" t="s">
        <v>110</v>
      </c>
      <c r="B1440" s="1067" t="s">
        <v>134</v>
      </c>
      <c r="C1440" s="168" t="s">
        <v>3425</v>
      </c>
      <c r="D1440" s="168"/>
      <c r="E1440" s="1267" t="s">
        <v>3426</v>
      </c>
      <c r="F1440" s="115" t="s">
        <v>131</v>
      </c>
      <c r="G1440" s="101" t="s">
        <v>100</v>
      </c>
      <c r="H1440" s="101" t="s">
        <v>100</v>
      </c>
      <c r="I1440" s="101" t="s">
        <v>52</v>
      </c>
      <c r="J1440" s="487" t="s">
        <v>53</v>
      </c>
      <c r="K1440" s="101" t="s">
        <v>54</v>
      </c>
      <c r="L1440" s="101" t="s">
        <v>55</v>
      </c>
      <c r="M1440" s="114">
        <v>350</v>
      </c>
      <c r="N1440" s="114"/>
      <c r="O1440" s="101" t="s">
        <v>56</v>
      </c>
      <c r="P1440" s="101">
        <v>24</v>
      </c>
      <c r="Q1440" s="101">
        <v>36</v>
      </c>
      <c r="R1440" s="101">
        <v>24</v>
      </c>
      <c r="S1440" s="101">
        <v>36</v>
      </c>
      <c r="T1440" s="697">
        <v>24</v>
      </c>
      <c r="U1440" s="697">
        <v>26</v>
      </c>
      <c r="V1440" s="404">
        <f>IF(J1440="Canvas",P1440+Border,P1440)</f>
        <v>32</v>
      </c>
      <c r="W1440" s="404">
        <f>IF(J1440="Canvas",Q1440+Border,Q1440)</f>
        <v>44</v>
      </c>
      <c r="X1440" s="101">
        <v>40</v>
      </c>
      <c r="Y1440" s="101">
        <v>32</v>
      </c>
      <c r="Z1440" s="101">
        <v>44</v>
      </c>
      <c r="AA1440" s="649">
        <f t="shared" si="504"/>
        <v>9.7777777777777786</v>
      </c>
      <c r="AB1440" s="184">
        <f t="shared" si="507"/>
        <v>205.72444444444446</v>
      </c>
      <c r="AC1440" s="104">
        <f t="shared" ref="AC1440:AC1445" si="508">AA1440*Canvas</f>
        <v>6.453333333333334</v>
      </c>
      <c r="AD1440" s="107">
        <f>AA1440*IncaC</f>
        <v>16.457955555555557</v>
      </c>
      <c r="AE1440" s="104">
        <f>IF(Table1[[#This Row],[Work Center]]="SwissQ",Materials!G$37,IF(Table1[[#This Row],[Work Center]]="Inca",Materials!G$29,IF(Table1[[#This Row],[Work Center]]="Canon",Materials!G$49,Materials!G$45)))</f>
        <v>8</v>
      </c>
      <c r="AF1440" s="102">
        <f>'Cali FPS'!C37</f>
        <v>75.162500000000009</v>
      </c>
      <c r="AG1440" s="121"/>
      <c r="AH1440" s="406">
        <f t="shared" si="506"/>
        <v>17.5</v>
      </c>
      <c r="AI1440" s="406">
        <f>IF(A1440="Codarus",(M1440*0.13))</f>
        <v>45.5</v>
      </c>
      <c r="AJ1440" s="406">
        <f t="shared" si="505"/>
        <v>123.5737888888889</v>
      </c>
      <c r="AK1440" s="1065">
        <f t="shared" ref="AK1440:AK1471" si="509">(M1440-AJ1440)/M1440</f>
        <v>0.64693203174603175</v>
      </c>
      <c r="AL1440" s="406">
        <f>Table1[[#This Row],[WSP/Dealer]]/Table1[[#This Row],[OD Sq Inch]]</f>
        <v>0.5608974358974359</v>
      </c>
      <c r="AM1440" s="399">
        <f>Table1[[#This Row],[OD Wdth]]*Table1[[#This Row],[OD Hgt]]</f>
        <v>624</v>
      </c>
      <c r="AN1440" s="400">
        <f>Table1[[#This Row],[Min VO]]+Table1[[#This Row],[Max VO]]</f>
        <v>60</v>
      </c>
      <c r="AO1440" s="115"/>
      <c r="AP1440" s="121">
        <v>700</v>
      </c>
      <c r="AQ1440" s="121">
        <f>(Table1[[#This Row],[Desgnr/Retail P]]*0.05)</f>
        <v>35</v>
      </c>
      <c r="AR1440" s="121">
        <f>IF(A1440="Codarus",(AP1440*0.13))</f>
        <v>91</v>
      </c>
      <c r="AS1440" s="121">
        <f>SUM(Table1[[#This Row],[Substrate $]:[GP FINISH]])+Table1[[#This Row],[Retail Royalty]]+Table1[[#This Row],[Retail$Comm]]</f>
        <v>232.07378888888888</v>
      </c>
      <c r="AT1440" s="830">
        <f>IF(AP1440=0,"-",(AP1440-AS1440)/AP1440)</f>
        <v>0.66846601587301591</v>
      </c>
      <c r="AU1440" s="1359">
        <f t="shared" si="500"/>
        <v>0.98090097097505669</v>
      </c>
    </row>
    <row r="1441" spans="1:47" s="63" customFormat="1" hidden="1" x14ac:dyDescent="0.2">
      <c r="A1441" s="101" t="s">
        <v>1287</v>
      </c>
      <c r="B1441" s="1067" t="s">
        <v>801</v>
      </c>
      <c r="C1441" s="168" t="s">
        <v>3425</v>
      </c>
      <c r="D1441" s="94"/>
      <c r="E1441" s="1267" t="s">
        <v>3426</v>
      </c>
      <c r="F1441" s="115" t="s">
        <v>131</v>
      </c>
      <c r="G1441" s="101" t="s">
        <v>100</v>
      </c>
      <c r="H1441" s="101" t="s">
        <v>100</v>
      </c>
      <c r="I1441" s="101" t="s">
        <v>52</v>
      </c>
      <c r="J1441" s="487" t="s">
        <v>53</v>
      </c>
      <c r="K1441" s="101" t="s">
        <v>54</v>
      </c>
      <c r="L1441" s="101" t="s">
        <v>55</v>
      </c>
      <c r="M1441" s="114">
        <v>300</v>
      </c>
      <c r="N1441" s="114"/>
      <c r="O1441" s="101" t="s">
        <v>56</v>
      </c>
      <c r="P1441" s="101">
        <v>24</v>
      </c>
      <c r="Q1441" s="101">
        <v>36</v>
      </c>
      <c r="R1441" s="101">
        <v>24</v>
      </c>
      <c r="S1441" s="101">
        <v>36</v>
      </c>
      <c r="T1441" s="697">
        <v>24</v>
      </c>
      <c r="U1441" s="697">
        <v>26</v>
      </c>
      <c r="V1441" s="404">
        <f>IF(J1441="Canvas",P1441+Border,P1441)</f>
        <v>32</v>
      </c>
      <c r="W1441" s="404">
        <f>IF(J1441="Canvas",Q1441+Border,Q1441)</f>
        <v>44</v>
      </c>
      <c r="X1441" s="101">
        <v>40</v>
      </c>
      <c r="Y1441" s="101">
        <v>32</v>
      </c>
      <c r="Z1441" s="101">
        <v>44</v>
      </c>
      <c r="AA1441" s="649">
        <f t="shared" si="504"/>
        <v>9.7777777777777786</v>
      </c>
      <c r="AB1441" s="184">
        <f t="shared" si="507"/>
        <v>205.72444444444446</v>
      </c>
      <c r="AC1441" s="104">
        <f t="shared" si="508"/>
        <v>6.453333333333334</v>
      </c>
      <c r="AD1441" s="107">
        <f>AA1441*IncaC</f>
        <v>16.457955555555557</v>
      </c>
      <c r="AE1441" s="104">
        <f>IF(Table1[[#This Row],[Work Center]]="SwissQ",Materials!G$37,IF(Table1[[#This Row],[Work Center]]="Inca",Materials!G$29,IF(Table1[[#This Row],[Work Center]]="Canon",Materials!G$49,Materials!G$45)))</f>
        <v>8</v>
      </c>
      <c r="AF1441" s="102">
        <f>'Cali FPS'!C37</f>
        <v>75.162500000000009</v>
      </c>
      <c r="AG1441" s="121"/>
      <c r="AH1441" s="405">
        <f t="shared" si="506"/>
        <v>15</v>
      </c>
      <c r="AI1441" s="405"/>
      <c r="AJ1441" s="406">
        <f t="shared" si="505"/>
        <v>121.0737888888889</v>
      </c>
      <c r="AK1441" s="1068">
        <f t="shared" si="509"/>
        <v>0.5964207037037037</v>
      </c>
      <c r="AL1441" s="406">
        <f>Table1[[#This Row],[WSP/Dealer]]/Table1[[#This Row],[OD Sq Inch]]</f>
        <v>0.48076923076923078</v>
      </c>
      <c r="AM1441" s="399">
        <f>Table1[[#This Row],[OD Wdth]]*Table1[[#This Row],[OD Hgt]]</f>
        <v>624</v>
      </c>
      <c r="AN1441" s="400">
        <f>Table1[[#This Row],[Min VO]]+Table1[[#This Row],[Max VO]]</f>
        <v>60</v>
      </c>
      <c r="AO1441" s="115"/>
      <c r="AP1441" s="115"/>
      <c r="AQ1441" s="121"/>
      <c r="AR1441" s="121"/>
      <c r="AS1441" s="121"/>
      <c r="AT1441" s="104"/>
      <c r="AU1441" s="1359" t="str">
        <f t="shared" si="500"/>
        <v>-</v>
      </c>
    </row>
    <row r="1442" spans="1:47" s="103" customFormat="1" hidden="1" x14ac:dyDescent="0.2">
      <c r="A1442" s="373"/>
      <c r="B1442" s="1061"/>
      <c r="C1442" s="168" t="s">
        <v>3427</v>
      </c>
      <c r="D1442" s="94"/>
      <c r="E1442" s="172" t="s">
        <v>3428</v>
      </c>
      <c r="F1442" s="84" t="s">
        <v>131</v>
      </c>
      <c r="G1442" s="68" t="s">
        <v>482</v>
      </c>
      <c r="H1442" s="68" t="s">
        <v>488</v>
      </c>
      <c r="I1442" s="1269" t="s">
        <v>108</v>
      </c>
      <c r="J1442" s="140" t="s">
        <v>53</v>
      </c>
      <c r="K1442" s="68" t="s">
        <v>69</v>
      </c>
      <c r="L1442" s="68" t="s">
        <v>73</v>
      </c>
      <c r="M1442" s="141">
        <v>525</v>
      </c>
      <c r="N1442" s="71"/>
      <c r="O1442" s="1454" t="s">
        <v>109</v>
      </c>
      <c r="P1442" s="68">
        <v>40</v>
      </c>
      <c r="Q1442" s="68">
        <v>60</v>
      </c>
      <c r="R1442" s="68">
        <v>40</v>
      </c>
      <c r="S1442" s="68">
        <v>60</v>
      </c>
      <c r="T1442" s="623">
        <v>41</v>
      </c>
      <c r="U1442" s="623">
        <v>61</v>
      </c>
      <c r="V1442" s="686">
        <f>IF(J1442="Canvas",P1442+Border,P1442)</f>
        <v>48</v>
      </c>
      <c r="W1442" s="686">
        <f>IF(J1442="Canvas",Q1442+Border,Q1442)</f>
        <v>68</v>
      </c>
      <c r="X1442" s="189"/>
      <c r="Y1442" s="68">
        <v>48</v>
      </c>
      <c r="Z1442" s="68">
        <v>68</v>
      </c>
      <c r="AA1442" s="727">
        <f t="shared" si="504"/>
        <v>22.666666666666668</v>
      </c>
      <c r="AB1442" s="297">
        <f t="shared" si="507"/>
        <v>476.90666666666669</v>
      </c>
      <c r="AC1442" s="74">
        <f t="shared" si="508"/>
        <v>14.96</v>
      </c>
      <c r="AD1442" s="263">
        <f>Table1[[#This Row],[Substrate SF]]*IncaC</f>
        <v>38.152533333333338</v>
      </c>
      <c r="AE1442" s="104">
        <f>IF(Table1[[#This Row],[Work Center]]="SwissQ",Materials!G$37,IF(Table1[[#This Row],[Work Center]]="Inca",Materials!G$29,IF(Table1[[#This Row],[Work Center]]="Canon",Materials!G$49,Materials!G$45)))</f>
        <v>5</v>
      </c>
      <c r="AF1442" s="278">
        <f>'Cali Frames'!D450</f>
        <v>224.10500000000002</v>
      </c>
      <c r="AG1442" s="126"/>
      <c r="AH1442" s="498">
        <f t="shared" si="506"/>
        <v>26.25</v>
      </c>
      <c r="AI1442" s="498"/>
      <c r="AJ1442" s="278">
        <f t="shared" si="505"/>
        <v>308.46753333333334</v>
      </c>
      <c r="AK1442" s="650">
        <f t="shared" si="509"/>
        <v>0.41244279365079367</v>
      </c>
      <c r="AL1442" s="225">
        <f>Table1[[#This Row],[WSP/Dealer]]/Table1[[#This Row],[OD Sq Inch]]</f>
        <v>0.20991603358656538</v>
      </c>
      <c r="AM1442" s="274">
        <f>Table1[[#This Row],[OD Wdth]]*Table1[[#This Row],[OD Hgt]]</f>
        <v>2501</v>
      </c>
      <c r="AN1442" s="274" t="str">
        <f>Table1[[#This Row],[Color]]</f>
        <v>NF</v>
      </c>
      <c r="AO1442" s="119" t="str">
        <f>Table1[[#This Row],[Print Type]]</f>
        <v>Reductive</v>
      </c>
      <c r="AP1442" s="126"/>
      <c r="AQ1442" s="126"/>
      <c r="AR1442" s="278"/>
      <c r="AS1442" s="1146"/>
      <c r="AT1442" s="1147"/>
      <c r="AU1442" s="1356" t="str">
        <f t="shared" si="500"/>
        <v>-</v>
      </c>
    </row>
    <row r="1443" spans="1:47" s="103" customFormat="1" x14ac:dyDescent="0.2">
      <c r="A1443" s="86" t="s">
        <v>58</v>
      </c>
      <c r="B1443" s="1061" t="s">
        <v>591</v>
      </c>
      <c r="C1443" s="75" t="s">
        <v>3429</v>
      </c>
      <c r="D1443" s="94" t="s">
        <v>3430</v>
      </c>
      <c r="E1443" s="85" t="s">
        <v>3431</v>
      </c>
      <c r="F1443" s="85" t="s">
        <v>614</v>
      </c>
      <c r="G1443" s="86" t="s">
        <v>191</v>
      </c>
      <c r="H1443" s="86" t="s">
        <v>191</v>
      </c>
      <c r="I1443" s="86" t="s">
        <v>52</v>
      </c>
      <c r="J1443" s="86" t="s">
        <v>53</v>
      </c>
      <c r="K1443" s="86" t="s">
        <v>54</v>
      </c>
      <c r="L1443" s="86" t="s">
        <v>55</v>
      </c>
      <c r="M1443" s="87">
        <v>900</v>
      </c>
      <c r="N1443" s="639">
        <v>950</v>
      </c>
      <c r="O1443" s="101" t="s">
        <v>56</v>
      </c>
      <c r="P1443" s="273">
        <v>48</v>
      </c>
      <c r="Q1443" s="273">
        <v>60</v>
      </c>
      <c r="R1443" s="60">
        <v>48</v>
      </c>
      <c r="S1443" s="273">
        <v>60</v>
      </c>
      <c r="T1443" s="273">
        <f>Table1[[#This Row],[VO Wdth]]</f>
        <v>48</v>
      </c>
      <c r="U1443" s="273">
        <f>Table1[[#This Row],[VO Hgt]]</f>
        <v>60</v>
      </c>
      <c r="V1443" s="106">
        <f>IF(J1443="Canvas",P1443+BorderGW,P1443)</f>
        <v>56</v>
      </c>
      <c r="W1443" s="106">
        <f>IF(J1443="Canvas",Q1443+BorderGW,Q1443)</f>
        <v>68</v>
      </c>
      <c r="X1443" s="137">
        <v>69</v>
      </c>
      <c r="Y1443" s="101"/>
      <c r="Z1443" s="101"/>
      <c r="AA1443" s="649">
        <f t="shared" si="504"/>
        <v>26.444444444444443</v>
      </c>
      <c r="AB1443" s="184">
        <f t="shared" si="507"/>
        <v>556.39111111111106</v>
      </c>
      <c r="AC1443" s="107">
        <f t="shared" si="508"/>
        <v>17.453333333333333</v>
      </c>
      <c r="AD1443" s="107">
        <f>AA1443*IncaC</f>
        <v>44.511288888888885</v>
      </c>
      <c r="AE1443" s="104">
        <f>IF(Table1[[#This Row],[Work Center]]="SwissQ",Materials!G$37,IF(Table1[[#This Row],[Work Center]]="Inca",Materials!G$29,IF(Table1[[#This Row],[Work Center]]="Canon",Materials!G$49,Materials!G$45)))</f>
        <v>8</v>
      </c>
      <c r="AF1443" s="104">
        <f>'Cali FPS'!C$121</f>
        <v>188.18</v>
      </c>
      <c r="AG1443" s="115"/>
      <c r="AH1443" s="112">
        <f t="shared" si="506"/>
        <v>45</v>
      </c>
      <c r="AI1443" s="112"/>
      <c r="AJ1443" s="107">
        <f t="shared" si="505"/>
        <v>303.14462222222221</v>
      </c>
      <c r="AK1443" s="62">
        <f t="shared" si="509"/>
        <v>0.66317264197530867</v>
      </c>
      <c r="AL1443" s="225">
        <f>Table1[[#This Row],[WSP/Dealer]]/Table1[[#This Row],[OD Sq Inch]]</f>
        <v>0.3125</v>
      </c>
      <c r="AM1443" s="218">
        <f>Table1[[#This Row],[OD Wdth]]*Table1[[#This Row],[OD Hgt]]</f>
        <v>2880</v>
      </c>
      <c r="AN1443" s="216">
        <f>Table1[[#This Row],[Min VO]]+Table1[[#This Row],[Max VO]]</f>
        <v>108</v>
      </c>
      <c r="AO1443" s="101"/>
      <c r="AP1443" s="101"/>
      <c r="AQ1443" s="104"/>
      <c r="AR1443" s="104"/>
      <c r="AS1443" s="104"/>
      <c r="AT1443" s="104"/>
      <c r="AU1443" s="830" t="str">
        <f t="shared" si="500"/>
        <v>-</v>
      </c>
    </row>
    <row r="1444" spans="1:47" s="170" customFormat="1" hidden="1" x14ac:dyDescent="0.2">
      <c r="A1444" s="241" t="s">
        <v>272</v>
      </c>
      <c r="B1444" s="1722" t="s">
        <v>595</v>
      </c>
      <c r="C1444" s="641" t="s">
        <v>3432</v>
      </c>
      <c r="D1444" s="342"/>
      <c r="E1444" s="242" t="s">
        <v>3433</v>
      </c>
      <c r="F1444" s="242" t="s">
        <v>614</v>
      </c>
      <c r="G1444" s="241" t="s">
        <v>3434</v>
      </c>
      <c r="H1444" s="241" t="s">
        <v>3434</v>
      </c>
      <c r="I1444" s="241" t="s">
        <v>698</v>
      </c>
      <c r="J1444" s="993" t="s">
        <v>53</v>
      </c>
      <c r="K1444" s="241" t="s">
        <v>54</v>
      </c>
      <c r="L1444" s="241" t="s">
        <v>55</v>
      </c>
      <c r="M1444" s="1039">
        <v>375</v>
      </c>
      <c r="N1444" s="219"/>
      <c r="O1444" s="241" t="s">
        <v>56</v>
      </c>
      <c r="P1444" s="1314">
        <v>38</v>
      </c>
      <c r="Q1444" s="1314">
        <v>48</v>
      </c>
      <c r="R1444" s="241">
        <v>38</v>
      </c>
      <c r="S1444" s="1314">
        <v>48</v>
      </c>
      <c r="T1444" s="1314">
        <v>38</v>
      </c>
      <c r="U1444" s="1314">
        <v>48</v>
      </c>
      <c r="V1444" s="1789">
        <f>IF(J1444="Canvas",P1444+BorderGW,P1444)</f>
        <v>46</v>
      </c>
      <c r="W1444" s="1789">
        <f>IF(J1444="Canvas",Q1444+BorderGW,Q1444)</f>
        <v>56</v>
      </c>
      <c r="X1444" s="223">
        <v>59</v>
      </c>
      <c r="Y1444" s="216"/>
      <c r="Z1444" s="216"/>
      <c r="AA1444" s="911">
        <f t="shared" si="504"/>
        <v>17.888888888888889</v>
      </c>
      <c r="AB1444" s="233">
        <f t="shared" si="507"/>
        <v>376.3822222222222</v>
      </c>
      <c r="AC1444" s="923">
        <f t="shared" si="508"/>
        <v>11.806666666666667</v>
      </c>
      <c r="AD1444" s="209">
        <f>AA1444*IncaC</f>
        <v>30.110577777777777</v>
      </c>
      <c r="AE1444" s="104">
        <f>IF(Table1[[#This Row],[Work Center]]="SwissQ",Materials!G$37,IF(Table1[[#This Row],[Work Center]]="Inca",Materials!G$29,IF(Table1[[#This Row],[Work Center]]="Canon",Materials!G$49,Materials!G$45)))</f>
        <v>8</v>
      </c>
      <c r="AF1444" s="923"/>
      <c r="AG1444" s="115"/>
      <c r="AH1444" s="498">
        <f t="shared" si="506"/>
        <v>18.75</v>
      </c>
      <c r="AI1444" s="278"/>
      <c r="AJ1444" s="923">
        <f t="shared" si="505"/>
        <v>68.667244444444435</v>
      </c>
      <c r="AK1444" s="650">
        <f t="shared" si="509"/>
        <v>0.81688734814814812</v>
      </c>
      <c r="AL1444" s="225">
        <f>Table1[[#This Row],[WSP/Dealer]]/Table1[[#This Row],[OD Sq Inch]]</f>
        <v>0.20559210526315788</v>
      </c>
      <c r="AM1444" s="216">
        <f>Table1[[#This Row],[OD Wdth]]*Table1[[#This Row],[OD Hgt]]</f>
        <v>1824</v>
      </c>
      <c r="AN1444" s="216">
        <f>Table1[[#This Row],[Min VO]]+Table1[[#This Row],[Max VO]]</f>
        <v>86</v>
      </c>
      <c r="AO1444" s="242"/>
      <c r="AP1444" s="242"/>
      <c r="AQ1444" s="1421"/>
      <c r="AR1444" s="1421"/>
      <c r="AS1444" s="1421"/>
      <c r="AT1444" s="923"/>
      <c r="AU1444" s="1463" t="str">
        <f t="shared" si="500"/>
        <v>-</v>
      </c>
    </row>
    <row r="1445" spans="1:47" s="170" customFormat="1" hidden="1" x14ac:dyDescent="0.2">
      <c r="A1445" s="470"/>
      <c r="B1445" s="1061"/>
      <c r="C1445" s="79" t="s">
        <v>3435</v>
      </c>
      <c r="D1445" s="94"/>
      <c r="E1445" s="83" t="s">
        <v>3436</v>
      </c>
      <c r="F1445" s="83" t="s">
        <v>571</v>
      </c>
      <c r="G1445" s="60" t="s">
        <v>572</v>
      </c>
      <c r="H1445" s="60" t="s">
        <v>573</v>
      </c>
      <c r="I1445" s="60" t="s">
        <v>574</v>
      </c>
      <c r="J1445" s="60" t="s">
        <v>53</v>
      </c>
      <c r="K1445" s="60" t="s">
        <v>69</v>
      </c>
      <c r="L1445" s="60" t="s">
        <v>70</v>
      </c>
      <c r="M1445" s="544">
        <v>460</v>
      </c>
      <c r="N1445" s="71"/>
      <c r="O1445" s="145" t="s">
        <v>575</v>
      </c>
      <c r="P1445" s="60">
        <v>60</v>
      </c>
      <c r="Q1445" s="60">
        <v>40</v>
      </c>
      <c r="R1445" s="60">
        <v>40</v>
      </c>
      <c r="S1445" s="60">
        <v>60</v>
      </c>
      <c r="T1445" s="60">
        <v>61</v>
      </c>
      <c r="U1445" s="60">
        <v>41</v>
      </c>
      <c r="V1445" s="947">
        <f>IF(J1445="Canvas",P1445+Border,P1445)</f>
        <v>68</v>
      </c>
      <c r="W1445" s="947">
        <f>IF(J1445="Canvas",Q1445+Border,Q1445)</f>
        <v>48</v>
      </c>
      <c r="X1445" s="138"/>
      <c r="Y1445" s="60">
        <v>68</v>
      </c>
      <c r="Z1445" s="60">
        <v>48</v>
      </c>
      <c r="AA1445" s="678">
        <f t="shared" si="504"/>
        <v>22.666666666666668</v>
      </c>
      <c r="AB1445" s="329">
        <f>Table1[[#This Row],[Substrate SF]]*SWISSMLR*3</f>
        <v>136</v>
      </c>
      <c r="AC1445" s="175">
        <f t="shared" si="508"/>
        <v>14.96</v>
      </c>
      <c r="AD1445" s="175">
        <f>Table1[[#This Row],[Substrate SF]]*SWISSCR*3</f>
        <v>14.96</v>
      </c>
      <c r="AE1445" s="69">
        <f>Materials!I$41</f>
        <v>8</v>
      </c>
      <c r="AF1445" s="548">
        <f>'Cali Frames'!D315</f>
        <v>164.9025</v>
      </c>
      <c r="AG1445" s="540"/>
      <c r="AH1445" s="498">
        <f t="shared" si="506"/>
        <v>23</v>
      </c>
      <c r="AI1445" s="112"/>
      <c r="AJ1445" s="176">
        <f t="shared" si="505"/>
        <v>225.82249999999999</v>
      </c>
      <c r="AK1445" s="62">
        <f t="shared" si="509"/>
        <v>0.50908152173913046</v>
      </c>
      <c r="AL1445" s="225">
        <f>Table1[[#This Row],[WSP/Dealer]]/Table1[[#This Row],[OD Sq Inch]]</f>
        <v>0.1839264294282287</v>
      </c>
      <c r="AM1445" s="173">
        <f>Table1[[#This Row],[OD Wdth]]*Table1[[#This Row],[OD Hgt]]</f>
        <v>2501</v>
      </c>
      <c r="AN1445" s="180" t="str">
        <f>Table1[[#This Row],[Color]]</f>
        <v>BF</v>
      </c>
      <c r="AO1445" s="83" t="str">
        <f>Table1[[#This Row],[Print Type]]</f>
        <v>Reductive+</v>
      </c>
      <c r="AP1445" s="83"/>
      <c r="AQ1445" s="540"/>
      <c r="AR1445" s="540"/>
      <c r="AS1445" s="540"/>
      <c r="AT1445" s="69"/>
      <c r="AU1445" s="1361" t="str">
        <f t="shared" si="500"/>
        <v>-</v>
      </c>
    </row>
    <row r="1446" spans="1:47" s="103" customFormat="1" hidden="1" x14ac:dyDescent="0.2">
      <c r="A1446" s="68" t="s">
        <v>101</v>
      </c>
      <c r="B1446" s="1072" t="s">
        <v>65</v>
      </c>
      <c r="C1446" s="94" t="s">
        <v>3437</v>
      </c>
      <c r="D1446" s="94"/>
      <c r="E1446" s="84" t="s">
        <v>3436</v>
      </c>
      <c r="F1446" s="84" t="s">
        <v>571</v>
      </c>
      <c r="G1446" s="68" t="s">
        <v>572</v>
      </c>
      <c r="H1446" s="68" t="s">
        <v>572</v>
      </c>
      <c r="I1446" s="68" t="s">
        <v>52</v>
      </c>
      <c r="J1446" s="140" t="s">
        <v>53</v>
      </c>
      <c r="K1446" s="68" t="s">
        <v>54</v>
      </c>
      <c r="L1446" s="68" t="s">
        <v>55</v>
      </c>
      <c r="M1446" s="141">
        <v>325</v>
      </c>
      <c r="N1446" s="93"/>
      <c r="O1446" s="68" t="s">
        <v>575</v>
      </c>
      <c r="P1446" s="68">
        <v>60</v>
      </c>
      <c r="Q1446" s="68">
        <v>40</v>
      </c>
      <c r="R1446" s="68">
        <v>40</v>
      </c>
      <c r="S1446" s="68">
        <v>60</v>
      </c>
      <c r="T1446" s="68">
        <v>60</v>
      </c>
      <c r="U1446" s="68">
        <v>40</v>
      </c>
      <c r="V1446" s="917">
        <f>IF(J1446="Canvas",P1446+Border,P1446)</f>
        <v>68</v>
      </c>
      <c r="W1446" s="917">
        <f>IF(J1446="Canvas",Q1446+Border,Q1446)</f>
        <v>48</v>
      </c>
      <c r="X1446" s="68">
        <v>69</v>
      </c>
      <c r="Y1446" s="917">
        <f>Table1[[#This Row],[Print Wth]]</f>
        <v>68</v>
      </c>
      <c r="Z1446" s="917">
        <f>Table1[[#This Row],[Print Ht]]</f>
        <v>48</v>
      </c>
      <c r="AA1446" s="952">
        <f>Table1[[#This Row],[Cut Width]]*Table1[[#This Row],[Cut Height]]/144</f>
        <v>22.666666666666668</v>
      </c>
      <c r="AB1446" s="341">
        <f>(Table1[[#This Row],[Print Wth]]*Table1[[#This Row],[Print Ht]])/144*SWISSMLR</f>
        <v>45.333333333333336</v>
      </c>
      <c r="AC1446" s="74">
        <f>(Table1[[#This Row],[Cut Width]]*Table1[[#This Row],[Cut Height]])/144*Canvas</f>
        <v>14.96</v>
      </c>
      <c r="AD1446" s="263">
        <f>(Table1[[#This Row],[Print Wth]]*Table1[[#This Row],[Print Ht]])/144*Materials!$C$42</f>
        <v>7.2533333333333339</v>
      </c>
      <c r="AE1446" s="74">
        <v>10</v>
      </c>
      <c r="AF1446" s="73">
        <f>'Cali FPS'!C89</f>
        <v>112.01750000000001</v>
      </c>
      <c r="AG1446" s="126"/>
      <c r="AH1446" s="67">
        <f t="shared" si="506"/>
        <v>16.25</v>
      </c>
      <c r="AI1446" s="67"/>
      <c r="AJ1446" s="278">
        <f t="shared" si="505"/>
        <v>160.48083333333335</v>
      </c>
      <c r="AK1446" s="661">
        <f t="shared" si="509"/>
        <v>0.50621282051282046</v>
      </c>
      <c r="AL1446" s="240">
        <f>Table1[[#This Row],[WSP/Dealer]]/Table1[[#This Row],[OD Sq Inch]]</f>
        <v>0.13541666666666666</v>
      </c>
      <c r="AM1446" s="170">
        <f>Table1[[#This Row],[OD Wdth]]*Table1[[#This Row],[OD Hgt]]</f>
        <v>2400</v>
      </c>
      <c r="AN1446" s="274" t="str">
        <f>Table1[[#This Row],[Color]]</f>
        <v>GW</v>
      </c>
      <c r="AO1446" s="84" t="str">
        <f>Table1[[#This Row],[Print Type]]</f>
        <v>Synograph</v>
      </c>
      <c r="AP1446" s="84"/>
      <c r="AQ1446" s="126"/>
      <c r="AR1446" s="126"/>
      <c r="AS1446" s="126"/>
      <c r="AT1446" s="74"/>
      <c r="AU1446" s="1357" t="str">
        <f t="shared" si="500"/>
        <v>-</v>
      </c>
    </row>
    <row r="1447" spans="1:47" s="63" customFormat="1" x14ac:dyDescent="0.2">
      <c r="A1447" s="101" t="s">
        <v>58</v>
      </c>
      <c r="B1447" s="1064" t="s">
        <v>59</v>
      </c>
      <c r="C1447" s="168" t="s">
        <v>3438</v>
      </c>
      <c r="D1447" s="168"/>
      <c r="E1447" s="169" t="s">
        <v>3439</v>
      </c>
      <c r="F1447" s="115" t="s">
        <v>567</v>
      </c>
      <c r="G1447" s="101" t="s">
        <v>191</v>
      </c>
      <c r="H1447" s="101" t="s">
        <v>191</v>
      </c>
      <c r="I1447" s="101" t="s">
        <v>52</v>
      </c>
      <c r="J1447" s="487" t="s">
        <v>53</v>
      </c>
      <c r="K1447" s="101" t="s">
        <v>54</v>
      </c>
      <c r="L1447" s="101" t="s">
        <v>55</v>
      </c>
      <c r="M1447" s="114">
        <v>900</v>
      </c>
      <c r="N1447" s="114"/>
      <c r="O1447" s="101" t="s">
        <v>64</v>
      </c>
      <c r="P1447" s="697">
        <v>48</v>
      </c>
      <c r="Q1447" s="697">
        <v>60</v>
      </c>
      <c r="R1447" s="101">
        <v>48</v>
      </c>
      <c r="S1447" s="697">
        <v>60</v>
      </c>
      <c r="T1447" s="697">
        <f>Table1[[#This Row],[VO Wdth]]</f>
        <v>48</v>
      </c>
      <c r="U1447" s="697">
        <f>Table1[[#This Row],[VO Hgt]]</f>
        <v>60</v>
      </c>
      <c r="V1447" s="608">
        <f t="shared" ref="V1447:V1454" si="510">IF(J1447="Canvas",P1447+BorderGW,P1447)</f>
        <v>56</v>
      </c>
      <c r="W1447" s="608">
        <f t="shared" ref="W1447:W1454" si="511">IF(J1447="Canvas",Q1447+BorderGW,Q1447)</f>
        <v>68</v>
      </c>
      <c r="X1447" s="101">
        <v>69</v>
      </c>
      <c r="Y1447" s="101">
        <v>56</v>
      </c>
      <c r="Z1447" s="101">
        <v>68</v>
      </c>
      <c r="AA1447" s="724">
        <f t="shared" ref="AA1447:AA1453" si="512">V1447*W1447/144</f>
        <v>26.444444444444443</v>
      </c>
      <c r="AB1447" s="633">
        <f>Table1[[#This Row],[Substrate SF]]*Swiss1ML</f>
        <v>748.37777777777774</v>
      </c>
      <c r="AC1447" s="406">
        <f t="shared" ref="AC1447:AC1453" si="513">AA1447*Canvas</f>
        <v>17.453333333333333</v>
      </c>
      <c r="AD1447" s="405">
        <f>Table1[[#This Row],[Substrate SF]]*SWISSC1</f>
        <v>74.044444444444437</v>
      </c>
      <c r="AE1447" s="104">
        <f>Materials!I$41</f>
        <v>8</v>
      </c>
      <c r="AF1447" s="102">
        <f>'Cali FPS'!C121</f>
        <v>188.18</v>
      </c>
      <c r="AG1447" s="121"/>
      <c r="AH1447" s="107">
        <f t="shared" si="506"/>
        <v>45</v>
      </c>
      <c r="AI1447" s="107"/>
      <c r="AJ1447" s="406">
        <f t="shared" si="505"/>
        <v>332.67777777777781</v>
      </c>
      <c r="AK1447" s="108">
        <f t="shared" si="509"/>
        <v>0.63035802469135804</v>
      </c>
      <c r="AL1447" s="660">
        <f>Table1[[#This Row],[WSP/Dealer]]/Table1[[#This Row],[OD Sq Inch]]</f>
        <v>0.3125</v>
      </c>
      <c r="AM1447" s="399">
        <f>Table1[[#This Row],[OD Wdth]]*Table1[[#This Row],[OD Hgt]]</f>
        <v>2880</v>
      </c>
      <c r="AN1447" s="400" t="str">
        <f>Table1[[#This Row],[Color]]</f>
        <v>GW</v>
      </c>
      <c r="AO1447" s="113"/>
      <c r="AP1447" s="115"/>
      <c r="AQ1447" s="121"/>
      <c r="AR1447" s="121"/>
      <c r="AS1447" s="121"/>
      <c r="AT1447" s="104"/>
      <c r="AU1447" s="1367" t="str">
        <f t="shared" si="500"/>
        <v>-</v>
      </c>
    </row>
    <row r="1448" spans="1:47" s="103" customFormat="1" x14ac:dyDescent="0.2">
      <c r="A1448" s="551" t="s">
        <v>58</v>
      </c>
      <c r="B1448" s="1150" t="s">
        <v>59</v>
      </c>
      <c r="C1448" s="77" t="s">
        <v>3440</v>
      </c>
      <c r="D1448" s="77"/>
      <c r="E1448" s="387" t="s">
        <v>3439</v>
      </c>
      <c r="F1448" s="653" t="s">
        <v>567</v>
      </c>
      <c r="G1448" s="551" t="s">
        <v>191</v>
      </c>
      <c r="H1448" s="551" t="s">
        <v>193</v>
      </c>
      <c r="I1448" s="551" t="s">
        <v>52</v>
      </c>
      <c r="J1448" s="856" t="s">
        <v>53</v>
      </c>
      <c r="K1448" s="551" t="s">
        <v>69</v>
      </c>
      <c r="L1448" s="551" t="s">
        <v>70</v>
      </c>
      <c r="M1448" s="896">
        <v>1150</v>
      </c>
      <c r="N1448" s="896"/>
      <c r="O1448" s="551" t="s">
        <v>64</v>
      </c>
      <c r="P1448" s="984">
        <v>48</v>
      </c>
      <c r="Q1448" s="984">
        <v>60</v>
      </c>
      <c r="R1448" s="551">
        <v>48</v>
      </c>
      <c r="S1448" s="984">
        <v>60</v>
      </c>
      <c r="T1448" s="984">
        <v>49</v>
      </c>
      <c r="U1448" s="984">
        <v>61</v>
      </c>
      <c r="V1448" s="859">
        <f t="shared" si="510"/>
        <v>56</v>
      </c>
      <c r="W1448" s="859">
        <f t="shared" si="511"/>
        <v>68</v>
      </c>
      <c r="X1448" s="551">
        <v>69</v>
      </c>
      <c r="Y1448" s="551">
        <v>56</v>
      </c>
      <c r="Z1448" s="551">
        <v>68</v>
      </c>
      <c r="AA1448" s="991">
        <f t="shared" si="512"/>
        <v>26.444444444444443</v>
      </c>
      <c r="AB1448" s="893">
        <f>Table1[[#This Row],[Substrate SF]]*Swiss1ML</f>
        <v>748.37777777777774</v>
      </c>
      <c r="AC1448" s="867">
        <f t="shared" si="513"/>
        <v>17.453333333333333</v>
      </c>
      <c r="AD1448" s="865">
        <f>Table1[[#This Row],[Substrate SF]]*SWISSC1</f>
        <v>74.044444444444437</v>
      </c>
      <c r="AE1448" s="863">
        <f>Materials!I$41</f>
        <v>8</v>
      </c>
      <c r="AF1448" s="71">
        <f>'Cali Frames'!D335</f>
        <v>258.27999999999997</v>
      </c>
      <c r="AG1448" s="864"/>
      <c r="AH1448" s="863">
        <f t="shared" si="506"/>
        <v>57.5</v>
      </c>
      <c r="AI1448" s="862"/>
      <c r="AJ1448" s="867">
        <f t="shared" si="505"/>
        <v>415.27777777777771</v>
      </c>
      <c r="AK1448" s="1163">
        <f t="shared" si="509"/>
        <v>0.63888888888888895</v>
      </c>
      <c r="AL1448" s="895">
        <f>Table1[[#This Row],[WSP/Dealer]]/Table1[[#This Row],[OD Sq Inch]]</f>
        <v>0.38474406155904983</v>
      </c>
      <c r="AM1448" s="868">
        <f>Table1[[#This Row],[OD Wdth]]*Table1[[#This Row],[OD Hgt]]</f>
        <v>2989</v>
      </c>
      <c r="AN1448" s="869" t="str">
        <f>Table1[[#This Row],[Color]]</f>
        <v>BF</v>
      </c>
      <c r="AO1448" s="653"/>
      <c r="AP1448" s="653"/>
      <c r="AQ1448" s="864">
        <f>(Table1[[#This Row],[Desgnr/Retail P]]*0.05)</f>
        <v>0</v>
      </c>
      <c r="AR1448" s="864" t="b">
        <f>IF(A1448="Codarus",(AP1448*0.13))</f>
        <v>0</v>
      </c>
      <c r="AS1448" s="864" t="e" cm="1">
        <f t="array" ref="AS1448">SUM(AC1448:AG1448+AQ+AR)</f>
        <v>#NAME?</v>
      </c>
      <c r="AT1448" s="863" t="e">
        <f>(AP1448-AS1448)/AP1448</f>
        <v>#NAME?</v>
      </c>
      <c r="AU1448" s="1364" t="str">
        <f t="shared" si="500"/>
        <v>-</v>
      </c>
    </row>
    <row r="1449" spans="1:47" s="63" customFormat="1" x14ac:dyDescent="0.2">
      <c r="A1449" s="551" t="s">
        <v>58</v>
      </c>
      <c r="B1449" s="1150" t="s">
        <v>59</v>
      </c>
      <c r="C1449" s="77" t="s">
        <v>3441</v>
      </c>
      <c r="D1449" s="77"/>
      <c r="E1449" s="878" t="s">
        <v>3439</v>
      </c>
      <c r="F1449" s="653" t="s">
        <v>567</v>
      </c>
      <c r="G1449" s="551" t="s">
        <v>191</v>
      </c>
      <c r="H1449" s="551" t="s">
        <v>193</v>
      </c>
      <c r="I1449" s="551" t="s">
        <v>52</v>
      </c>
      <c r="J1449" s="856" t="s">
        <v>53</v>
      </c>
      <c r="K1449" s="551" t="s">
        <v>69</v>
      </c>
      <c r="L1449" s="551" t="s">
        <v>73</v>
      </c>
      <c r="M1449" s="1167">
        <v>1150</v>
      </c>
      <c r="N1449" s="1167"/>
      <c r="O1449" s="551" t="s">
        <v>64</v>
      </c>
      <c r="P1449" s="984">
        <v>48</v>
      </c>
      <c r="Q1449" s="984">
        <v>60</v>
      </c>
      <c r="R1449" s="551">
        <v>48</v>
      </c>
      <c r="S1449" s="984">
        <v>60</v>
      </c>
      <c r="T1449" s="984">
        <v>49</v>
      </c>
      <c r="U1449" s="984">
        <v>61</v>
      </c>
      <c r="V1449" s="859">
        <f t="shared" si="510"/>
        <v>56</v>
      </c>
      <c r="W1449" s="859">
        <f t="shared" si="511"/>
        <v>68</v>
      </c>
      <c r="X1449" s="551">
        <v>69</v>
      </c>
      <c r="Y1449" s="551">
        <v>56</v>
      </c>
      <c r="Z1449" s="551">
        <v>68</v>
      </c>
      <c r="AA1449" s="903">
        <f t="shared" si="512"/>
        <v>26.444444444444443</v>
      </c>
      <c r="AB1449" s="898">
        <f>Table1[[#This Row],[Substrate SF]]*Swiss1ML</f>
        <v>748.37777777777774</v>
      </c>
      <c r="AC1449" s="867">
        <f t="shared" si="513"/>
        <v>17.453333333333333</v>
      </c>
      <c r="AD1449" s="865">
        <f>Table1[[#This Row],[Substrate SF]]*SWISSC1</f>
        <v>74.044444444444437</v>
      </c>
      <c r="AE1449" s="863">
        <f>Materials!I$41</f>
        <v>8</v>
      </c>
      <c r="AF1449" s="902">
        <f>'Cali Frames'!D470</f>
        <v>263.70999999999998</v>
      </c>
      <c r="AG1449" s="864"/>
      <c r="AH1449" s="862">
        <f t="shared" si="506"/>
        <v>57.5</v>
      </c>
      <c r="AI1449" s="862"/>
      <c r="AJ1449" s="865">
        <f t="shared" si="505"/>
        <v>420.70777777777778</v>
      </c>
      <c r="AK1449" s="894">
        <f t="shared" si="509"/>
        <v>0.63416714975845412</v>
      </c>
      <c r="AL1449" s="895">
        <f>Table1[[#This Row],[WSP/Dealer]]/Table1[[#This Row],[OD Sq Inch]]</f>
        <v>0.38474406155904983</v>
      </c>
      <c r="AM1449" s="868">
        <f>Table1[[#This Row],[OD Wdth]]*Table1[[#This Row],[OD Hgt]]</f>
        <v>2989</v>
      </c>
      <c r="AN1449" s="869" t="str">
        <f>Table1[[#This Row],[Color]]</f>
        <v>NF</v>
      </c>
      <c r="AO1449" s="1545"/>
      <c r="AP1449" s="653"/>
      <c r="AQ1449" s="864">
        <f>(Table1[[#This Row],[Desgnr/Retail P]]*0.05)</f>
        <v>0</v>
      </c>
      <c r="AR1449" s="864" t="b">
        <f>IF(A1449="Codarus",(AP1449*0.13))</f>
        <v>0</v>
      </c>
      <c r="AS1449" s="864" t="e" cm="1">
        <f t="array" ref="AS1449">SUM(AC1449:AG1449+AQ+AR)</f>
        <v>#NAME?</v>
      </c>
      <c r="AT1449" s="863" t="e">
        <f>(AP1449-AS1449)/AP1449</f>
        <v>#NAME?</v>
      </c>
      <c r="AU1449" s="1705" t="str">
        <f t="shared" si="500"/>
        <v>-</v>
      </c>
    </row>
    <row r="1450" spans="1:47" s="63" customFormat="1" x14ac:dyDescent="0.2">
      <c r="A1450" s="86" t="s">
        <v>58</v>
      </c>
      <c r="B1450" s="279" t="s">
        <v>619</v>
      </c>
      <c r="C1450" s="75" t="s">
        <v>3442</v>
      </c>
      <c r="D1450" s="94" t="s">
        <v>3443</v>
      </c>
      <c r="E1450" s="85" t="s">
        <v>3444</v>
      </c>
      <c r="F1450" s="85" t="s">
        <v>144</v>
      </c>
      <c r="G1450" s="86" t="s">
        <v>191</v>
      </c>
      <c r="H1450" s="86" t="s">
        <v>191</v>
      </c>
      <c r="I1450" s="86" t="s">
        <v>52</v>
      </c>
      <c r="J1450" s="86" t="s">
        <v>53</v>
      </c>
      <c r="K1450" s="86" t="s">
        <v>54</v>
      </c>
      <c r="L1450" s="86" t="s">
        <v>55</v>
      </c>
      <c r="M1450" s="87">
        <v>900</v>
      </c>
      <c r="N1450" s="639">
        <v>950</v>
      </c>
      <c r="O1450" s="101" t="s">
        <v>64</v>
      </c>
      <c r="P1450" s="273">
        <v>48</v>
      </c>
      <c r="Q1450" s="273">
        <v>60</v>
      </c>
      <c r="R1450" s="60">
        <v>48</v>
      </c>
      <c r="S1450" s="273">
        <v>60</v>
      </c>
      <c r="T1450" s="273">
        <f>Table1[[#This Row],[VO Wdth]]</f>
        <v>48</v>
      </c>
      <c r="U1450" s="273">
        <f>Table1[[#This Row],[VO Hgt]]</f>
        <v>60</v>
      </c>
      <c r="V1450" s="106">
        <f t="shared" si="510"/>
        <v>56</v>
      </c>
      <c r="W1450" s="106">
        <f t="shared" si="511"/>
        <v>68</v>
      </c>
      <c r="X1450" s="137">
        <v>69</v>
      </c>
      <c r="Y1450" s="101"/>
      <c r="Z1450" s="101"/>
      <c r="AA1450" s="649">
        <f t="shared" si="512"/>
        <v>26.444444444444443</v>
      </c>
      <c r="AB1450" s="184">
        <f>AA1450*Swiss1</f>
        <v>748.37777777777774</v>
      </c>
      <c r="AC1450" s="104">
        <f t="shared" si="513"/>
        <v>17.453333333333333</v>
      </c>
      <c r="AD1450" s="107">
        <f>AA1450*SWISSC1</f>
        <v>74.044444444444437</v>
      </c>
      <c r="AE1450" s="104">
        <f>IF(Table1[[#This Row],[Work Center]]="SwissQ",Materials!G$37,IF(Table1[[#This Row],[Work Center]]="Inca",Materials!G$29,IF(Table1[[#This Row],[Work Center]]="Canon",Materials!G$49,Materials!G$45)))</f>
        <v>20</v>
      </c>
      <c r="AF1450" s="104">
        <f>'Cali FPS'!C$121</f>
        <v>188.18</v>
      </c>
      <c r="AG1450" s="115"/>
      <c r="AH1450" s="498">
        <f t="shared" si="506"/>
        <v>45</v>
      </c>
      <c r="AI1450" s="498"/>
      <c r="AJ1450" s="104">
        <f t="shared" si="505"/>
        <v>344.67777777777781</v>
      </c>
      <c r="AK1450" s="650">
        <f t="shared" si="509"/>
        <v>0.61702469135802462</v>
      </c>
      <c r="AL1450" s="225">
        <f>Table1[[#This Row],[WSP/Dealer]]/Table1[[#This Row],[OD Sq Inch]]</f>
        <v>0.3125</v>
      </c>
      <c r="AM1450" s="46">
        <f>Table1[[#This Row],[OD Wdth]]*Table1[[#This Row],[OD Hgt]]</f>
        <v>2880</v>
      </c>
      <c r="AN1450" s="216">
        <f>Table1[[#This Row],[Min VO]]+Table1[[#This Row],[Max VO]]</f>
        <v>108</v>
      </c>
      <c r="AO1450" s="101"/>
      <c r="AP1450" s="101"/>
      <c r="AQ1450" s="104"/>
      <c r="AR1450" s="104"/>
      <c r="AS1450" s="104"/>
      <c r="AT1450" s="104"/>
      <c r="AU1450" s="830" t="str">
        <f t="shared" si="500"/>
        <v>-</v>
      </c>
    </row>
    <row r="1451" spans="1:47" s="63" customFormat="1" x14ac:dyDescent="0.2">
      <c r="A1451" s="60" t="s">
        <v>58</v>
      </c>
      <c r="B1451" s="279" t="s">
        <v>619</v>
      </c>
      <c r="C1451" s="75" t="s">
        <v>3445</v>
      </c>
      <c r="D1451" s="94" t="s">
        <v>3446</v>
      </c>
      <c r="E1451" s="83" t="s">
        <v>3447</v>
      </c>
      <c r="F1451" s="83" t="s">
        <v>144</v>
      </c>
      <c r="G1451" s="60" t="s">
        <v>3448</v>
      </c>
      <c r="H1451" s="60" t="s">
        <v>3448</v>
      </c>
      <c r="I1451" s="60" t="s">
        <v>52</v>
      </c>
      <c r="J1451" s="60" t="s">
        <v>53</v>
      </c>
      <c r="K1451" s="60" t="s">
        <v>54</v>
      </c>
      <c r="L1451" s="60" t="s">
        <v>55</v>
      </c>
      <c r="M1451" s="124">
        <v>950</v>
      </c>
      <c r="N1451" s="639">
        <v>1000</v>
      </c>
      <c r="O1451" s="60" t="s">
        <v>64</v>
      </c>
      <c r="P1451" s="273">
        <v>52</v>
      </c>
      <c r="Q1451" s="273">
        <v>58</v>
      </c>
      <c r="R1451" s="273">
        <v>52</v>
      </c>
      <c r="S1451" s="273">
        <v>58</v>
      </c>
      <c r="T1451" s="273">
        <f>Table1[[#This Row],[VO Wdth]]</f>
        <v>52</v>
      </c>
      <c r="U1451" s="273">
        <f>Table1[[#This Row],[VO Hgt]]</f>
        <v>58</v>
      </c>
      <c r="V1451" s="946">
        <f t="shared" si="510"/>
        <v>60</v>
      </c>
      <c r="W1451" s="946">
        <f t="shared" si="511"/>
        <v>66</v>
      </c>
      <c r="X1451" s="137" t="s">
        <v>1093</v>
      </c>
      <c r="Y1451" s="60"/>
      <c r="Z1451" s="60"/>
      <c r="AA1451" s="717">
        <f t="shared" si="512"/>
        <v>27.5</v>
      </c>
      <c r="AB1451" s="125">
        <f>AA1451*Swiss1</f>
        <v>778.25</v>
      </c>
      <c r="AC1451" s="69">
        <f t="shared" si="513"/>
        <v>18.150000000000002</v>
      </c>
      <c r="AD1451" s="69">
        <f>Table1[[#This Row],[Substrate SF]]*SWISSC1</f>
        <v>77</v>
      </c>
      <c r="AE1451" s="104">
        <f>IF(Table1[[#This Row],[Work Center]]="SwissQ",Materials!G$37,IF(Table1[[#This Row],[Work Center]]="Inca",Materials!G$29,IF(Table1[[#This Row],[Work Center]]="Canon",Materials!G$49,Materials!G$45)))</f>
        <v>20</v>
      </c>
      <c r="AF1451" s="69">
        <f>'Cali FPS'!C137</f>
        <v>177.1</v>
      </c>
      <c r="AG1451" s="115"/>
      <c r="AH1451" s="498">
        <f t="shared" si="506"/>
        <v>47.5</v>
      </c>
      <c r="AI1451" s="498"/>
      <c r="AJ1451" s="69">
        <f t="shared" si="505"/>
        <v>339.75</v>
      </c>
      <c r="AK1451" s="650">
        <f t="shared" si="509"/>
        <v>0.64236842105263159</v>
      </c>
      <c r="AL1451" s="225">
        <f>Table1[[#This Row],[WSP/Dealer]]/Table1[[#This Row],[OD Sq Inch]]</f>
        <v>0.31498673740053051</v>
      </c>
      <c r="AM1451" s="101">
        <f>Table1[[#This Row],[OD Wdth]]*Table1[[#This Row],[OD Hgt]]</f>
        <v>3016</v>
      </c>
      <c r="AN1451" s="216">
        <f>Table1[[#This Row],[Min VO]]+Table1[[#This Row],[Max VO]]</f>
        <v>110</v>
      </c>
      <c r="AO1451" s="83"/>
      <c r="AP1451" s="83"/>
      <c r="AQ1451" s="540"/>
      <c r="AR1451" s="540"/>
      <c r="AS1451" s="540"/>
      <c r="AT1451" s="69"/>
      <c r="AU1451" s="1361" t="str">
        <f t="shared" si="500"/>
        <v>-</v>
      </c>
    </row>
    <row r="1452" spans="1:47" s="63" customFormat="1" x14ac:dyDescent="0.2">
      <c r="A1452" s="86" t="s">
        <v>58</v>
      </c>
      <c r="B1452" s="1061" t="s">
        <v>619</v>
      </c>
      <c r="C1452" s="75" t="s">
        <v>3449</v>
      </c>
      <c r="D1452" s="94" t="s">
        <v>3450</v>
      </c>
      <c r="E1452" s="85" t="s">
        <v>3451</v>
      </c>
      <c r="F1452" s="85" t="s">
        <v>144</v>
      </c>
      <c r="G1452" s="86" t="s">
        <v>191</v>
      </c>
      <c r="H1452" s="86" t="s">
        <v>191</v>
      </c>
      <c r="I1452" s="86" t="s">
        <v>52</v>
      </c>
      <c r="J1452" s="86" t="s">
        <v>53</v>
      </c>
      <c r="K1452" s="86" t="s">
        <v>54</v>
      </c>
      <c r="L1452" s="86" t="s">
        <v>55</v>
      </c>
      <c r="M1452" s="87">
        <v>900</v>
      </c>
      <c r="N1452" s="639">
        <v>950</v>
      </c>
      <c r="O1452" s="101" t="s">
        <v>64</v>
      </c>
      <c r="P1452" s="273">
        <v>48</v>
      </c>
      <c r="Q1452" s="273">
        <v>60</v>
      </c>
      <c r="R1452" s="60">
        <v>48</v>
      </c>
      <c r="S1452" s="61">
        <v>60</v>
      </c>
      <c r="T1452" s="61">
        <f>Table1[[#This Row],[VO Wdth]]</f>
        <v>48</v>
      </c>
      <c r="U1452" s="61">
        <f>Table1[[#This Row],[VO Hgt]]</f>
        <v>60</v>
      </c>
      <c r="V1452" s="106">
        <f t="shared" si="510"/>
        <v>56</v>
      </c>
      <c r="W1452" s="106">
        <f t="shared" si="511"/>
        <v>68</v>
      </c>
      <c r="X1452" s="137" t="s">
        <v>1093</v>
      </c>
      <c r="Y1452" s="101"/>
      <c r="Z1452" s="101"/>
      <c r="AA1452" s="649">
        <f t="shared" si="512"/>
        <v>26.444444444444443</v>
      </c>
      <c r="AB1452" s="184">
        <f>AA1452*Swiss1</f>
        <v>748.37777777777774</v>
      </c>
      <c r="AC1452" s="104">
        <f t="shared" si="513"/>
        <v>17.453333333333333</v>
      </c>
      <c r="AD1452" s="107">
        <f>AA1452*SWISSC1</f>
        <v>74.044444444444437</v>
      </c>
      <c r="AE1452" s="104">
        <f>IF(Table1[[#This Row],[Work Center]]="SwissQ",Materials!G$37,IF(Table1[[#This Row],[Work Center]]="Inca",Materials!G$29,IF(Table1[[#This Row],[Work Center]]="Canon",Materials!G$49,Materials!G$45)))</f>
        <v>20</v>
      </c>
      <c r="AF1452" s="104">
        <f>'Cali FPS'!C$121</f>
        <v>188.18</v>
      </c>
      <c r="AG1452" s="115"/>
      <c r="AH1452" s="112">
        <f t="shared" si="506"/>
        <v>45</v>
      </c>
      <c r="AI1452" s="112"/>
      <c r="AJ1452" s="107">
        <f t="shared" si="505"/>
        <v>344.67777777777781</v>
      </c>
      <c r="AK1452" s="62">
        <f t="shared" si="509"/>
        <v>0.61702469135802462</v>
      </c>
      <c r="AL1452" s="225">
        <f>Table1[[#This Row],[WSP/Dealer]]/Table1[[#This Row],[OD Sq Inch]]</f>
        <v>0.3125</v>
      </c>
      <c r="AM1452" s="218">
        <f>Table1[[#This Row],[OD Wdth]]*Table1[[#This Row],[OD Hgt]]</f>
        <v>2880</v>
      </c>
      <c r="AN1452" s="216">
        <f>Table1[[#This Row],[Min VO]]+Table1[[#This Row],[Max VO]]</f>
        <v>108</v>
      </c>
      <c r="AO1452" s="103"/>
      <c r="AP1452" s="101"/>
      <c r="AQ1452" s="104"/>
      <c r="AR1452" s="104"/>
      <c r="AS1452" s="104"/>
      <c r="AT1452" s="104"/>
      <c r="AU1452" s="108" t="str">
        <f t="shared" si="500"/>
        <v>-</v>
      </c>
    </row>
    <row r="1453" spans="1:47" s="103" customFormat="1" x14ac:dyDescent="0.2">
      <c r="A1453" s="60" t="s">
        <v>58</v>
      </c>
      <c r="B1453" s="1061" t="s">
        <v>619</v>
      </c>
      <c r="C1453" s="75" t="s">
        <v>3452</v>
      </c>
      <c r="D1453" s="94" t="s">
        <v>3453</v>
      </c>
      <c r="E1453" s="83" t="s">
        <v>3454</v>
      </c>
      <c r="F1453" s="83" t="s">
        <v>144</v>
      </c>
      <c r="G1453" s="60" t="s">
        <v>3448</v>
      </c>
      <c r="H1453" s="60" t="s">
        <v>3448</v>
      </c>
      <c r="I1453" s="60" t="s">
        <v>52</v>
      </c>
      <c r="J1453" s="60" t="s">
        <v>53</v>
      </c>
      <c r="K1453" s="60" t="s">
        <v>54</v>
      </c>
      <c r="L1453" s="60" t="s">
        <v>55</v>
      </c>
      <c r="M1453" s="124">
        <v>950</v>
      </c>
      <c r="N1453" s="639">
        <v>1000</v>
      </c>
      <c r="O1453" s="60" t="s">
        <v>64</v>
      </c>
      <c r="P1453" s="273">
        <v>52</v>
      </c>
      <c r="Q1453" s="273">
        <v>58</v>
      </c>
      <c r="R1453" s="273">
        <v>52</v>
      </c>
      <c r="S1453" s="273">
        <v>58</v>
      </c>
      <c r="T1453" s="273">
        <f>Table1[[#This Row],[VO Wdth]]</f>
        <v>52</v>
      </c>
      <c r="U1453" s="273">
        <f>Table1[[#This Row],[VO Hgt]]</f>
        <v>58</v>
      </c>
      <c r="V1453" s="47">
        <f t="shared" si="510"/>
        <v>60</v>
      </c>
      <c r="W1453" s="47">
        <f t="shared" si="511"/>
        <v>66</v>
      </c>
      <c r="X1453" s="138" t="s">
        <v>1093</v>
      </c>
      <c r="Y1453" s="60"/>
      <c r="Z1453" s="60"/>
      <c r="AA1453" s="717">
        <f t="shared" si="512"/>
        <v>27.5</v>
      </c>
      <c r="AB1453" s="125">
        <f>AA1453*Swiss1</f>
        <v>778.25</v>
      </c>
      <c r="AC1453" s="69">
        <f t="shared" si="513"/>
        <v>18.150000000000002</v>
      </c>
      <c r="AD1453" s="48">
        <f>Table1[[#This Row],[Substrate SF]]*SWISSC1</f>
        <v>77</v>
      </c>
      <c r="AE1453" s="104">
        <f>IF(Table1[[#This Row],[Work Center]]="SwissQ",Materials!G$37,IF(Table1[[#This Row],[Work Center]]="Inca",Materials!G$29,IF(Table1[[#This Row],[Work Center]]="Canon",Materials!G$49,Materials!G$45)))</f>
        <v>20</v>
      </c>
      <c r="AF1453" s="69">
        <f>'Cali FPS'!C141</f>
        <v>232.10249999999999</v>
      </c>
      <c r="AG1453" s="115"/>
      <c r="AH1453" s="112">
        <f t="shared" si="506"/>
        <v>47.5</v>
      </c>
      <c r="AI1453" s="112"/>
      <c r="AJ1453" s="48">
        <f t="shared" si="505"/>
        <v>394.7525</v>
      </c>
      <c r="AK1453" s="62">
        <f t="shared" si="509"/>
        <v>0.58447105263157884</v>
      </c>
      <c r="AL1453" s="225">
        <f>Table1[[#This Row],[WSP/Dealer]]/Table1[[#This Row],[OD Sq Inch]]</f>
        <v>0.31498673740053051</v>
      </c>
      <c r="AM1453" s="103">
        <f>Table1[[#This Row],[OD Wdth]]*Table1[[#This Row],[OD Hgt]]</f>
        <v>3016</v>
      </c>
      <c r="AN1453" s="216">
        <f>Table1[[#This Row],[Min VO]]+Table1[[#This Row],[Max VO]]</f>
        <v>110</v>
      </c>
      <c r="AO1453" s="83"/>
      <c r="AP1453" s="83"/>
      <c r="AQ1453" s="540"/>
      <c r="AR1453" s="540"/>
      <c r="AS1453" s="540"/>
      <c r="AT1453" s="69"/>
      <c r="AU1453" s="1361" t="str">
        <f t="shared" si="500"/>
        <v>-</v>
      </c>
    </row>
    <row r="1454" spans="1:47" s="103" customFormat="1" hidden="1" x14ac:dyDescent="0.2">
      <c r="A1454" s="68" t="s">
        <v>101</v>
      </c>
      <c r="B1454" s="1072" t="s">
        <v>102</v>
      </c>
      <c r="C1454" s="257" t="s">
        <v>3455</v>
      </c>
      <c r="D1454" s="94"/>
      <c r="E1454" s="84" t="s">
        <v>3456</v>
      </c>
      <c r="F1454" s="84" t="s">
        <v>105</v>
      </c>
      <c r="G1454" s="68" t="s">
        <v>3457</v>
      </c>
      <c r="H1454" s="68" t="s">
        <v>693</v>
      </c>
      <c r="I1454" s="68" t="s">
        <v>256</v>
      </c>
      <c r="J1454" s="140" t="s">
        <v>257</v>
      </c>
      <c r="K1454" s="68" t="s">
        <v>1315</v>
      </c>
      <c r="L1454" s="68" t="s">
        <v>259</v>
      </c>
      <c r="M1454" s="141">
        <v>187</v>
      </c>
      <c r="N1454" s="93"/>
      <c r="O1454" s="68" t="s">
        <v>260</v>
      </c>
      <c r="P1454" s="623">
        <v>8</v>
      </c>
      <c r="Q1454" s="623">
        <v>8</v>
      </c>
      <c r="R1454" s="623">
        <v>8</v>
      </c>
      <c r="S1454" s="65">
        <v>8</v>
      </c>
      <c r="T1454" s="65">
        <v>12</v>
      </c>
      <c r="U1454" s="65">
        <v>12</v>
      </c>
      <c r="V1454" s="47">
        <f t="shared" si="510"/>
        <v>8</v>
      </c>
      <c r="W1454" s="47">
        <f t="shared" si="511"/>
        <v>8</v>
      </c>
      <c r="X1454" s="68" t="s">
        <v>257</v>
      </c>
      <c r="Y1454" s="1795">
        <f>Table1[[#This Row],[Print Wth]]+Materials!$C$7</f>
        <v>10</v>
      </c>
      <c r="Z1454" s="1795">
        <f>Table1[[#This Row],[Print Ht]]+Materials!$C$7</f>
        <v>10</v>
      </c>
      <c r="AA1454" s="1027">
        <f>(Table1[[#This Row],[Cut Width]]*Table1[[#This Row],[Cut Height]])/144</f>
        <v>0.69444444444444442</v>
      </c>
      <c r="AB1454" s="297">
        <f>(Table1[[#This Row],[Print Wth]]*Table1[[#This Row],[Print Ht]])/144*canonML</f>
        <v>2.1333333333333333</v>
      </c>
      <c r="AC1454" s="74">
        <f>Table1[[#This Row],[Substrate SF]]*Paper</f>
        <v>0.93958333333333333</v>
      </c>
      <c r="AD1454" s="67">
        <f>(Table1[[#This Row],[Print Wth]]*Table1[[#This Row],[Print Ht]])/144*CanonC</f>
        <v>0.12</v>
      </c>
      <c r="AE1454" s="74">
        <f>IF(Table1[[#This Row],[Work Center]]="SwissQ",Materials!G$37,IF(Table1[[#This Row],[Work Center]]="Inca",Materials!G$29,IF(Table1[[#This Row],[Work Center]]="Canon",Materials!G$49,Materials!G$45)))</f>
        <v>7</v>
      </c>
      <c r="AF1454" s="73">
        <f>'Cali Frames'!D91</f>
        <v>85</v>
      </c>
      <c r="AG1454" s="84"/>
      <c r="AH1454" s="263">
        <v>0</v>
      </c>
      <c r="AI1454" s="263"/>
      <c r="AJ1454" s="263">
        <f t="shared" si="505"/>
        <v>93.059583333333336</v>
      </c>
      <c r="AK1454" s="688">
        <f t="shared" si="509"/>
        <v>0.50235516934046343</v>
      </c>
      <c r="AL1454" s="278">
        <f>Table1[[#This Row],[WSP/Dealer]]/Table1[[#This Row],[OD Sq Inch]]</f>
        <v>1.2986111111111112</v>
      </c>
      <c r="AM1454" s="170">
        <f>Table1[[#This Row],[OD Wdth]]*Table1[[#This Row],[OD Hgt]]</f>
        <v>144</v>
      </c>
      <c r="AN1454" s="274">
        <f>Table1[[#This Row],[Min VO]]+Table1[[#This Row],[Max VO]]</f>
        <v>16</v>
      </c>
      <c r="AO1454" s="119"/>
      <c r="AP1454" s="84"/>
      <c r="AQ1454" s="126"/>
      <c r="AR1454" s="126"/>
      <c r="AS1454" s="126"/>
      <c r="AT1454" s="74"/>
      <c r="AU1454" s="1356" t="str">
        <f t="shared" si="500"/>
        <v>-</v>
      </c>
    </row>
    <row r="1455" spans="1:47" s="103" customFormat="1" x14ac:dyDescent="0.2">
      <c r="A1455" s="68" t="s">
        <v>58</v>
      </c>
      <c r="B1455" s="1072"/>
      <c r="C1455" s="257"/>
      <c r="D1455" s="94"/>
      <c r="E1455" s="84" t="s">
        <v>3458</v>
      </c>
      <c r="F1455" s="84" t="s">
        <v>1738</v>
      </c>
      <c r="G1455" s="68"/>
      <c r="H1455" s="68"/>
      <c r="I1455" s="68"/>
      <c r="J1455" s="140"/>
      <c r="K1455" s="68"/>
      <c r="L1455" s="68"/>
      <c r="M1455" s="93"/>
      <c r="N1455" s="93"/>
      <c r="O1455" s="68"/>
      <c r="P1455" s="623"/>
      <c r="Q1455" s="623"/>
      <c r="R1455" s="623"/>
      <c r="S1455" s="623"/>
      <c r="T1455" s="623"/>
      <c r="U1455" s="623"/>
      <c r="V1455" s="66"/>
      <c r="W1455" s="66"/>
      <c r="X1455" s="68"/>
      <c r="Y1455" s="68"/>
      <c r="Z1455" s="68"/>
      <c r="AA1455" s="699"/>
      <c r="AB1455" s="297"/>
      <c r="AC1455" s="67"/>
      <c r="AD1455" s="118"/>
      <c r="AE1455" s="126"/>
      <c r="AF1455" s="73"/>
      <c r="AG1455" s="84"/>
      <c r="AH1455" s="118"/>
      <c r="AI1455" s="118"/>
      <c r="AJ1455" s="118"/>
      <c r="AK1455" s="661"/>
      <c r="AL1455" s="126"/>
      <c r="AM1455" s="119"/>
      <c r="AN1455" s="84"/>
      <c r="AO1455" s="84"/>
      <c r="AP1455" s="84"/>
      <c r="AQ1455" s="126"/>
      <c r="AR1455" s="126"/>
      <c r="AS1455" s="126"/>
      <c r="AT1455" s="74"/>
      <c r="AU1455" s="1357" t="str">
        <f t="shared" si="500"/>
        <v>-</v>
      </c>
    </row>
    <row r="1456" spans="1:47" s="63" customFormat="1" x14ac:dyDescent="0.2">
      <c r="A1456" s="86" t="s">
        <v>58</v>
      </c>
      <c r="B1456" s="279" t="s">
        <v>366</v>
      </c>
      <c r="C1456" s="100" t="s">
        <v>3459</v>
      </c>
      <c r="D1456" s="94" t="s">
        <v>3460</v>
      </c>
      <c r="E1456" s="85" t="s">
        <v>3461</v>
      </c>
      <c r="F1456" s="85" t="s">
        <v>789</v>
      </c>
      <c r="G1456" s="86" t="s">
        <v>139</v>
      </c>
      <c r="H1456" s="86" t="s">
        <v>1067</v>
      </c>
      <c r="I1456" s="86" t="s">
        <v>52</v>
      </c>
      <c r="J1456" s="86" t="s">
        <v>280</v>
      </c>
      <c r="K1456" s="86" t="s">
        <v>69</v>
      </c>
      <c r="L1456" s="86" t="s">
        <v>70</v>
      </c>
      <c r="M1456" s="87">
        <v>308</v>
      </c>
      <c r="N1456" s="639">
        <v>350</v>
      </c>
      <c r="O1456" s="551" t="s">
        <v>64</v>
      </c>
      <c r="P1456" s="101">
        <v>24</v>
      </c>
      <c r="Q1456" s="101">
        <v>24</v>
      </c>
      <c r="R1456" s="60">
        <v>24</v>
      </c>
      <c r="S1456" s="273">
        <v>24</v>
      </c>
      <c r="T1456" s="103">
        <v>25</v>
      </c>
      <c r="U1456" s="103" t="str">
        <f>RIGHT(H1456,2)</f>
        <v>25</v>
      </c>
      <c r="V1456" s="106">
        <f t="shared" ref="V1456:V1471" si="514">IF(J1456="Canvas",P1456+Border,P1456)</f>
        <v>24</v>
      </c>
      <c r="W1456" s="106">
        <f t="shared" ref="W1456:W1471" si="515">IF(J1456="Canvas",Q1456+Border,Q1456)</f>
        <v>24</v>
      </c>
      <c r="X1456" s="137" t="s">
        <v>675</v>
      </c>
      <c r="Y1456" s="101"/>
      <c r="Z1456" s="101"/>
      <c r="AA1456" s="649">
        <f t="shared" ref="AA1456:AA1471" si="516">V1456*W1456/144</f>
        <v>4</v>
      </c>
      <c r="AB1456" s="125">
        <f>AA1456*Swiss1</f>
        <v>113.2</v>
      </c>
      <c r="AC1456" s="104">
        <f>PETG48/8</f>
        <v>6.0824999999999996</v>
      </c>
      <c r="AD1456" s="107">
        <f>Table1[[#This Row],[Substrate SF]]*Materials!C$37</f>
        <v>11.2</v>
      </c>
      <c r="AE1456" s="104">
        <f>IF(Table1[[#This Row],[Work Center]]="SwissQ",Materials!G$37,IF(Table1[[#This Row],[Work Center]]="Inca",Materials!G$29,IF(Table1[[#This Row],[Work Center]]="Canon",Materials!G$49,Materials!G$45)))</f>
        <v>20</v>
      </c>
      <c r="AF1456" s="104">
        <f>'Cali Frames'!D$278</f>
        <v>93.42</v>
      </c>
      <c r="AG1456" s="115"/>
      <c r="AH1456" s="112">
        <f t="shared" ref="AH1456:AH1479" si="517">(M1456*0.05)</f>
        <v>15.4</v>
      </c>
      <c r="AI1456" s="498"/>
      <c r="AJ1456" s="104">
        <f>SUM(AC1456:AH1456)</f>
        <v>146.10249999999999</v>
      </c>
      <c r="AK1456" s="62">
        <f t="shared" ref="AK1456:AK1479" si="518">(M1456-AJ1456)/M1456</f>
        <v>0.52564123376623384</v>
      </c>
      <c r="AL1456" s="225">
        <f>Table1[[#This Row],[WSP/Dealer]]/Table1[[#This Row],[OD Sq Inch]]</f>
        <v>0.49280000000000002</v>
      </c>
      <c r="AM1456" s="103">
        <f>Table1[[#This Row],[OD Wdth]]*Table1[[#This Row],[OD Hgt]]</f>
        <v>625</v>
      </c>
      <c r="AN1456" s="216">
        <f>Table1[[#This Row],[Min VO]]+Table1[[#This Row],[Max VO]]</f>
        <v>48</v>
      </c>
      <c r="AO1456" s="101"/>
      <c r="AP1456" s="101"/>
      <c r="AQ1456" s="104"/>
      <c r="AR1456" s="104"/>
      <c r="AS1456" s="104"/>
      <c r="AT1456" s="104"/>
      <c r="AU1456" s="830" t="str">
        <f t="shared" si="500"/>
        <v>-</v>
      </c>
    </row>
    <row r="1457" spans="1:47" s="1054" customFormat="1" x14ac:dyDescent="0.2">
      <c r="A1457" s="86" t="s">
        <v>58</v>
      </c>
      <c r="B1457" s="1061" t="s">
        <v>406</v>
      </c>
      <c r="C1457" s="76" t="s">
        <v>3462</v>
      </c>
      <c r="D1457" s="94" t="s">
        <v>3463</v>
      </c>
      <c r="E1457" s="85" t="s">
        <v>3461</v>
      </c>
      <c r="F1457" s="85" t="s">
        <v>789</v>
      </c>
      <c r="G1457" s="86" t="s">
        <v>139</v>
      </c>
      <c r="H1457" s="86" t="s">
        <v>1067</v>
      </c>
      <c r="I1457" s="86" t="s">
        <v>52</v>
      </c>
      <c r="J1457" s="86" t="s">
        <v>53</v>
      </c>
      <c r="K1457" s="86" t="s">
        <v>69</v>
      </c>
      <c r="L1457" s="86" t="s">
        <v>70</v>
      </c>
      <c r="M1457" s="87">
        <v>308</v>
      </c>
      <c r="N1457" s="639">
        <v>350</v>
      </c>
      <c r="O1457" s="551" t="s">
        <v>56</v>
      </c>
      <c r="P1457" s="101">
        <v>24</v>
      </c>
      <c r="Q1457" s="101">
        <v>24</v>
      </c>
      <c r="R1457" s="60">
        <v>24</v>
      </c>
      <c r="S1457" s="273">
        <v>24</v>
      </c>
      <c r="T1457" s="101">
        <v>25</v>
      </c>
      <c r="U1457" s="101">
        <v>25</v>
      </c>
      <c r="V1457" s="608">
        <f t="shared" si="514"/>
        <v>32</v>
      </c>
      <c r="W1457" s="608">
        <f t="shared" si="515"/>
        <v>32</v>
      </c>
      <c r="X1457" s="157" t="s">
        <v>1070</v>
      </c>
      <c r="Y1457" s="60">
        <v>32</v>
      </c>
      <c r="Z1457" s="60">
        <v>96</v>
      </c>
      <c r="AA1457" s="649">
        <f t="shared" si="516"/>
        <v>7.1111111111111107</v>
      </c>
      <c r="AB1457" s="184">
        <f>AA1457*IncaG</f>
        <v>149.61777777777777</v>
      </c>
      <c r="AC1457" s="104">
        <f>AA1457*Canvas</f>
        <v>4.6933333333333334</v>
      </c>
      <c r="AD1457" s="107">
        <f>AA1457*IncaC</f>
        <v>11.969422222222223</v>
      </c>
      <c r="AE1457" s="104">
        <f>IF(Table1[[#This Row],[Work Center]]="SwissQ",Materials!G$37,IF(Table1[[#This Row],[Work Center]]="Inca",Materials!G$29,IF(Table1[[#This Row],[Work Center]]="Canon",Materials!G$49,Materials!G$45)))</f>
        <v>8</v>
      </c>
      <c r="AF1457" s="104">
        <f>'Cali Frames'!D$278</f>
        <v>93.42</v>
      </c>
      <c r="AG1457" s="115"/>
      <c r="AH1457" s="112">
        <f t="shared" si="517"/>
        <v>15.4</v>
      </c>
      <c r="AI1457" s="112"/>
      <c r="AJ1457" s="104">
        <f>SUM(AC1457:AH1457)</f>
        <v>133.48275555555557</v>
      </c>
      <c r="AK1457" s="62">
        <f t="shared" si="518"/>
        <v>0.56661443001443001</v>
      </c>
      <c r="AL1457" s="225">
        <f>Table1[[#This Row],[WSP/Dealer]]/Table1[[#This Row],[OD Sq Inch]]</f>
        <v>0.49280000000000002</v>
      </c>
      <c r="AM1457" s="218">
        <f>Table1[[#This Row],[OD Wdth]]*Table1[[#This Row],[OD Hgt]]</f>
        <v>625</v>
      </c>
      <c r="AN1457" s="216">
        <f>Table1[[#This Row],[Min VO]]+Table1[[#This Row],[Max VO]]</f>
        <v>48</v>
      </c>
      <c r="AO1457" s="101"/>
      <c r="AP1457" s="101"/>
      <c r="AQ1457" s="104"/>
      <c r="AR1457" s="104"/>
      <c r="AS1457" s="104"/>
      <c r="AT1457" s="104"/>
      <c r="AU1457" s="830" t="str">
        <f t="shared" si="500"/>
        <v>-</v>
      </c>
    </row>
    <row r="1458" spans="1:47" s="1054" customFormat="1" hidden="1" x14ac:dyDescent="0.2">
      <c r="A1458" s="101" t="s">
        <v>110</v>
      </c>
      <c r="B1458" s="1067" t="s">
        <v>134</v>
      </c>
      <c r="C1458" s="100" t="s">
        <v>3464</v>
      </c>
      <c r="D1458" s="168"/>
      <c r="E1458" s="115" t="s">
        <v>3465</v>
      </c>
      <c r="F1458" s="115" t="s">
        <v>789</v>
      </c>
      <c r="G1458" s="101" t="s">
        <v>139</v>
      </c>
      <c r="H1458" s="101" t="s">
        <v>139</v>
      </c>
      <c r="I1458" s="101" t="s">
        <v>52</v>
      </c>
      <c r="J1458" s="487" t="s">
        <v>53</v>
      </c>
      <c r="K1458" s="101" t="s">
        <v>54</v>
      </c>
      <c r="L1458" s="101" t="s">
        <v>55</v>
      </c>
      <c r="M1458" s="114"/>
      <c r="N1458" s="114"/>
      <c r="O1458" s="101" t="s">
        <v>56</v>
      </c>
      <c r="P1458" s="101">
        <v>24</v>
      </c>
      <c r="Q1458" s="101">
        <v>24</v>
      </c>
      <c r="R1458" s="101">
        <v>24</v>
      </c>
      <c r="S1458" s="101">
        <v>24</v>
      </c>
      <c r="T1458" s="101">
        <v>24</v>
      </c>
      <c r="U1458" s="101">
        <v>24</v>
      </c>
      <c r="V1458" s="608">
        <f t="shared" si="514"/>
        <v>32</v>
      </c>
      <c r="W1458" s="608">
        <f t="shared" si="515"/>
        <v>32</v>
      </c>
      <c r="X1458" s="137">
        <v>40</v>
      </c>
      <c r="Y1458" s="101">
        <v>32</v>
      </c>
      <c r="Z1458" s="101">
        <v>32</v>
      </c>
      <c r="AA1458" s="649">
        <f t="shared" si="516"/>
        <v>7.1111111111111107</v>
      </c>
      <c r="AB1458" s="184">
        <f>AA1458*IncaG</f>
        <v>149.61777777777777</v>
      </c>
      <c r="AC1458" s="104">
        <f>AA1458*Canvas</f>
        <v>4.6933333333333334</v>
      </c>
      <c r="AD1458" s="1066">
        <f>Table1[[#This Row],[Substrate SF]]*IncaC</f>
        <v>11.969422222222223</v>
      </c>
      <c r="AE1458" s="406">
        <f>IF(Table1[[#This Row],[Work Center]]="SwissQ",Materials!G$37,IF(Table1[[#This Row],[Work Center]]="Inca",Materials!G$29,IF(Table1[[#This Row],[Work Center]]="Canon",Materials!G$49,Materials!G$45)))</f>
        <v>8</v>
      </c>
      <c r="AF1458" s="102">
        <f>'Cali FPS'!C32</f>
        <v>63.47</v>
      </c>
      <c r="AG1458" s="115"/>
      <c r="AH1458" s="405">
        <f t="shared" si="517"/>
        <v>0</v>
      </c>
      <c r="AI1458" s="405">
        <f>IF(A1458="Codarus",(M1458*0.13))</f>
        <v>0</v>
      </c>
      <c r="AJ1458" s="104">
        <f>SUM(AC1458:AI1458)</f>
        <v>88.132755555555548</v>
      </c>
      <c r="AK1458" s="108" t="e">
        <f t="shared" si="518"/>
        <v>#DIV/0!</v>
      </c>
      <c r="AL1458" s="660">
        <f>Table1[[#This Row],[WSP/Dealer]]/Table1[[#This Row],[OD Sq Inch]]</f>
        <v>0</v>
      </c>
      <c r="AM1458" s="399">
        <f>Table1[[#This Row],[OD Wdth]]*Table1[[#This Row],[OD Hgt]]</f>
        <v>576</v>
      </c>
      <c r="AN1458" s="400">
        <f>Table1[[#This Row],[Min VO]]+Table1[[#This Row],[Max VO]]</f>
        <v>48</v>
      </c>
      <c r="AO1458" s="115"/>
      <c r="AP1458" s="121"/>
      <c r="AQ1458" s="121">
        <f>(Table1[[#This Row],[Desgnr/Retail P]]*0.05)</f>
        <v>0</v>
      </c>
      <c r="AR1458" s="121">
        <f>IF(A1458="Codarus",(AP1458*0.13))</f>
        <v>0</v>
      </c>
      <c r="AS1458" s="121">
        <f>SUM(Table1[[#This Row],[Substrate $]:[GP FINISH]])+Table1[[#This Row],[Retail Royalty]]+Table1[[#This Row],[Retail$Comm]]</f>
        <v>88.132755555555548</v>
      </c>
      <c r="AT1458" s="830" t="str">
        <f>IF(AP1458=0,"-",(AP1458-AS1458)/AP1458)</f>
        <v>-</v>
      </c>
      <c r="AU1458" s="1359" t="str">
        <f t="shared" si="500"/>
        <v>-</v>
      </c>
    </row>
    <row r="1459" spans="1:47" s="103" customFormat="1" hidden="1" x14ac:dyDescent="0.2">
      <c r="A1459" s="101" t="s">
        <v>110</v>
      </c>
      <c r="B1459" s="1067" t="s">
        <v>250</v>
      </c>
      <c r="C1459" s="100" t="s">
        <v>3466</v>
      </c>
      <c r="D1459" s="168"/>
      <c r="E1459" s="115" t="s">
        <v>3465</v>
      </c>
      <c r="F1459" s="115" t="s">
        <v>789</v>
      </c>
      <c r="G1459" s="101" t="s">
        <v>139</v>
      </c>
      <c r="H1459" s="101" t="s">
        <v>1067</v>
      </c>
      <c r="I1459" s="101" t="s">
        <v>52</v>
      </c>
      <c r="J1459" s="487" t="s">
        <v>53</v>
      </c>
      <c r="K1459" s="101" t="s">
        <v>69</v>
      </c>
      <c r="L1459" s="101" t="s">
        <v>73</v>
      </c>
      <c r="M1459" s="299">
        <v>350</v>
      </c>
      <c r="N1459" s="114"/>
      <c r="O1459" s="101" t="s">
        <v>56</v>
      </c>
      <c r="P1459" s="103">
        <v>24</v>
      </c>
      <c r="Q1459" s="103">
        <v>24</v>
      </c>
      <c r="R1459" s="101">
        <v>24</v>
      </c>
      <c r="S1459" s="103">
        <v>24</v>
      </c>
      <c r="T1459" s="103">
        <v>25</v>
      </c>
      <c r="U1459" s="103">
        <v>25</v>
      </c>
      <c r="V1459" s="106">
        <f t="shared" si="514"/>
        <v>32</v>
      </c>
      <c r="W1459" s="106">
        <f t="shared" si="515"/>
        <v>32</v>
      </c>
      <c r="X1459" s="137">
        <v>40</v>
      </c>
      <c r="Y1459" s="101">
        <v>32</v>
      </c>
      <c r="Z1459" s="101">
        <v>32</v>
      </c>
      <c r="AA1459" s="649">
        <f t="shared" si="516"/>
        <v>7.1111111111111107</v>
      </c>
      <c r="AB1459" s="184">
        <f>AA1459*IncaG</f>
        <v>149.61777777777777</v>
      </c>
      <c r="AC1459" s="104">
        <f>AA1459*Canvas</f>
        <v>4.6933333333333334</v>
      </c>
      <c r="AD1459" s="1066">
        <f>Table1[[#This Row],[Substrate SF]]*IncaC</f>
        <v>11.969422222222223</v>
      </c>
      <c r="AE1459" s="406">
        <f>IF(Table1[[#This Row],[Work Center]]="SwissQ",Materials!G$37,IF(Table1[[#This Row],[Work Center]]="Inca",Materials!G$29,IF(Table1[[#This Row],[Work Center]]="Canon",Materials!G$49,Materials!G$45)))</f>
        <v>8</v>
      </c>
      <c r="AF1459" s="102">
        <f>'Cali Frames'!D421</f>
        <v>83.685000000000002</v>
      </c>
      <c r="AG1459" s="115"/>
      <c r="AH1459" s="405">
        <f t="shared" si="517"/>
        <v>17.5</v>
      </c>
      <c r="AI1459" s="405">
        <f>IF(A1459="Codarus",(M1459*0.13))</f>
        <v>45.5</v>
      </c>
      <c r="AJ1459" s="104">
        <f>SUM(AC1459:AI1459)</f>
        <v>171.34775555555555</v>
      </c>
      <c r="AK1459" s="108">
        <f t="shared" si="518"/>
        <v>0.51043498412698418</v>
      </c>
      <c r="AL1459" s="660">
        <f>Table1[[#This Row],[WSP/Dealer]]/Table1[[#This Row],[OD Sq Inch]]</f>
        <v>0.56000000000000005</v>
      </c>
      <c r="AM1459" s="399">
        <f>Table1[[#This Row],[OD Wdth]]*Table1[[#This Row],[OD Hgt]]</f>
        <v>625</v>
      </c>
      <c r="AN1459" s="400">
        <f>Table1[[#This Row],[Min VO]]+Table1[[#This Row],[Max VO]]</f>
        <v>48</v>
      </c>
      <c r="AO1459" s="113"/>
      <c r="AP1459" s="121">
        <v>700</v>
      </c>
      <c r="AQ1459" s="121">
        <f>(Table1[[#This Row],[Desgnr/Retail P]]*0.05)</f>
        <v>35</v>
      </c>
      <c r="AR1459" s="121">
        <f>IF(A1459="Codarus",(AP1459*0.13))</f>
        <v>91</v>
      </c>
      <c r="AS1459" s="121">
        <f>SUM(Table1[[#This Row],[Substrate $]:[GP FINISH]])+Table1[[#This Row],[Retail Royalty]]+Table1[[#This Row],[Retail$Comm]]</f>
        <v>234.34775555555555</v>
      </c>
      <c r="AT1459" s="830">
        <f>IF(AP1459=0,"-",(AP1459-AS1459)/AP1459)</f>
        <v>0.66521749206349212</v>
      </c>
      <c r="AU1459" s="1367">
        <f t="shared" si="500"/>
        <v>0.98099378594104314</v>
      </c>
    </row>
    <row r="1460" spans="1:47" s="63" customFormat="1" x14ac:dyDescent="0.2">
      <c r="A1460" s="86" t="s">
        <v>58</v>
      </c>
      <c r="B1460" s="279" t="s">
        <v>366</v>
      </c>
      <c r="C1460" s="100" t="s">
        <v>3467</v>
      </c>
      <c r="D1460" s="94" t="s">
        <v>3468</v>
      </c>
      <c r="E1460" s="85" t="s">
        <v>3469</v>
      </c>
      <c r="F1460" s="85" t="s">
        <v>789</v>
      </c>
      <c r="G1460" s="86" t="s">
        <v>139</v>
      </c>
      <c r="H1460" s="86" t="s">
        <v>1067</v>
      </c>
      <c r="I1460" s="86" t="s">
        <v>52</v>
      </c>
      <c r="J1460" s="86" t="s">
        <v>280</v>
      </c>
      <c r="K1460" s="86" t="s">
        <v>69</v>
      </c>
      <c r="L1460" s="86" t="s">
        <v>70</v>
      </c>
      <c r="M1460" s="87">
        <v>308</v>
      </c>
      <c r="N1460" s="639">
        <v>350</v>
      </c>
      <c r="O1460" s="551" t="s">
        <v>64</v>
      </c>
      <c r="P1460" s="101">
        <v>24</v>
      </c>
      <c r="Q1460" s="101">
        <v>24</v>
      </c>
      <c r="R1460" s="60">
        <v>24</v>
      </c>
      <c r="S1460" s="273">
        <v>24</v>
      </c>
      <c r="T1460" s="101">
        <v>25</v>
      </c>
      <c r="U1460" s="101" t="str">
        <f>RIGHT(H1460,2)</f>
        <v>25</v>
      </c>
      <c r="V1460" s="608">
        <f t="shared" si="514"/>
        <v>24</v>
      </c>
      <c r="W1460" s="608">
        <f t="shared" si="515"/>
        <v>24</v>
      </c>
      <c r="X1460" s="137" t="s">
        <v>675</v>
      </c>
      <c r="Y1460" s="101"/>
      <c r="Z1460" s="101"/>
      <c r="AA1460" s="649">
        <f t="shared" si="516"/>
        <v>4</v>
      </c>
      <c r="AB1460" s="125">
        <f>AA1460*Swiss1</f>
        <v>113.2</v>
      </c>
      <c r="AC1460" s="104">
        <f>PETG48/8</f>
        <v>6.0824999999999996</v>
      </c>
      <c r="AD1460" s="107">
        <f>Table1[[#This Row],[Substrate SF]]*Materials!C$37</f>
        <v>11.2</v>
      </c>
      <c r="AE1460" s="104">
        <f>IF(Table1[[#This Row],[Work Center]]="SwissQ",Materials!G$37,IF(Table1[[#This Row],[Work Center]]="Inca",Materials!G$29,IF(Table1[[#This Row],[Work Center]]="Canon",Materials!G$49,Materials!G$45)))</f>
        <v>20</v>
      </c>
      <c r="AF1460" s="104">
        <f>'Cali Frames'!D$278</f>
        <v>93.42</v>
      </c>
      <c r="AG1460" s="115"/>
      <c r="AH1460" s="112">
        <f t="shared" si="517"/>
        <v>15.4</v>
      </c>
      <c r="AI1460" s="112"/>
      <c r="AJ1460" s="104">
        <f>SUM(AC1460:AH1460)</f>
        <v>146.10249999999999</v>
      </c>
      <c r="AK1460" s="62">
        <f t="shared" si="518"/>
        <v>0.52564123376623384</v>
      </c>
      <c r="AL1460" s="225">
        <f>Table1[[#This Row],[WSP/Dealer]]/Table1[[#This Row],[OD Sq Inch]]</f>
        <v>0.49280000000000002</v>
      </c>
      <c r="AM1460" s="46">
        <f>Table1[[#This Row],[OD Wdth]]*Table1[[#This Row],[OD Hgt]]</f>
        <v>625</v>
      </c>
      <c r="AN1460" s="216">
        <f>Table1[[#This Row],[Min VO]]+Table1[[#This Row],[Max VO]]</f>
        <v>48</v>
      </c>
      <c r="AO1460" s="101"/>
      <c r="AP1460" s="101"/>
      <c r="AQ1460" s="104"/>
      <c r="AR1460" s="104"/>
      <c r="AS1460" s="104"/>
      <c r="AT1460" s="104"/>
      <c r="AU1460" s="830" t="str">
        <f t="shared" si="500"/>
        <v>-</v>
      </c>
    </row>
    <row r="1461" spans="1:47" s="103" customFormat="1" hidden="1" x14ac:dyDescent="0.2">
      <c r="A1461" s="101" t="s">
        <v>110</v>
      </c>
      <c r="B1461" s="1067" t="s">
        <v>250</v>
      </c>
      <c r="C1461" s="100" t="s">
        <v>3470</v>
      </c>
      <c r="D1461" s="168"/>
      <c r="E1461" s="115" t="s">
        <v>3471</v>
      </c>
      <c r="F1461" s="115" t="s">
        <v>789</v>
      </c>
      <c r="G1461" s="101" t="s">
        <v>139</v>
      </c>
      <c r="H1461" s="101" t="s">
        <v>1067</v>
      </c>
      <c r="I1461" s="101" t="s">
        <v>52</v>
      </c>
      <c r="J1461" s="487" t="s">
        <v>53</v>
      </c>
      <c r="K1461" s="101" t="s">
        <v>69</v>
      </c>
      <c r="L1461" s="101" t="s">
        <v>73</v>
      </c>
      <c r="M1461" s="299">
        <v>350</v>
      </c>
      <c r="N1461" s="114"/>
      <c r="O1461" s="101" t="s">
        <v>56</v>
      </c>
      <c r="P1461" s="101">
        <v>24</v>
      </c>
      <c r="Q1461" s="101">
        <v>24</v>
      </c>
      <c r="R1461" s="101">
        <v>24</v>
      </c>
      <c r="S1461" s="101">
        <v>24</v>
      </c>
      <c r="T1461" s="101">
        <v>25</v>
      </c>
      <c r="U1461" s="101">
        <v>25</v>
      </c>
      <c r="V1461" s="608">
        <f t="shared" si="514"/>
        <v>32</v>
      </c>
      <c r="W1461" s="608">
        <f t="shared" si="515"/>
        <v>32</v>
      </c>
      <c r="X1461" s="137">
        <v>40</v>
      </c>
      <c r="Y1461" s="101">
        <v>32</v>
      </c>
      <c r="Z1461" s="101">
        <v>32</v>
      </c>
      <c r="AA1461" s="649">
        <f t="shared" si="516"/>
        <v>7.1111111111111107</v>
      </c>
      <c r="AB1461" s="184">
        <f>AA1461*IncaG</f>
        <v>149.61777777777777</v>
      </c>
      <c r="AC1461" s="104">
        <f>AA1461*Canvas</f>
        <v>4.6933333333333334</v>
      </c>
      <c r="AD1461" s="1066">
        <f>Table1[[#This Row],[Substrate SF]]*IncaC</f>
        <v>11.969422222222223</v>
      </c>
      <c r="AE1461" s="406">
        <f>IF(Table1[[#This Row],[Work Center]]="SwissQ",Materials!G$37,IF(Table1[[#This Row],[Work Center]]="Inca",Materials!G$29,IF(Table1[[#This Row],[Work Center]]="Canon",Materials!G$49,Materials!G$45)))</f>
        <v>8</v>
      </c>
      <c r="AF1461" s="102">
        <f>'Cali Frames'!D421</f>
        <v>83.685000000000002</v>
      </c>
      <c r="AG1461" s="115"/>
      <c r="AH1461" s="405">
        <f t="shared" si="517"/>
        <v>17.5</v>
      </c>
      <c r="AI1461" s="405">
        <f>IF(A1461="Codarus",(M1461*0.13))</f>
        <v>45.5</v>
      </c>
      <c r="AJ1461" s="104">
        <f>SUM(AC1461:AI1461)</f>
        <v>171.34775555555555</v>
      </c>
      <c r="AK1461" s="108">
        <f t="shared" si="518"/>
        <v>0.51043498412698418</v>
      </c>
      <c r="AL1461" s="660">
        <f>Table1[[#This Row],[WSP/Dealer]]/Table1[[#This Row],[OD Sq Inch]]</f>
        <v>0.56000000000000005</v>
      </c>
      <c r="AM1461" s="399">
        <f>Table1[[#This Row],[OD Wdth]]*Table1[[#This Row],[OD Hgt]]</f>
        <v>625</v>
      </c>
      <c r="AN1461" s="400">
        <f>Table1[[#This Row],[Min VO]]+Table1[[#This Row],[Max VO]]</f>
        <v>48</v>
      </c>
      <c r="AO1461" s="113"/>
      <c r="AP1461" s="121">
        <v>700</v>
      </c>
      <c r="AQ1461" s="121">
        <f>(Table1[[#This Row],[Desgnr/Retail P]]*0.05)</f>
        <v>35</v>
      </c>
      <c r="AR1461" s="121">
        <f>IF(A1461="Codarus",(AP1461*0.13))</f>
        <v>91</v>
      </c>
      <c r="AS1461" s="121">
        <f>SUM(Table1[[#This Row],[Substrate $]:[GP FINISH]])+Table1[[#This Row],[Retail Royalty]]+Table1[[#This Row],[Retail$Comm]]</f>
        <v>234.34775555555555</v>
      </c>
      <c r="AT1461" s="830">
        <f>IF(AP1461=0,"-",(AP1461-AS1461)/AP1461)</f>
        <v>0.66521749206349212</v>
      </c>
      <c r="AU1461" s="1359">
        <f t="shared" si="500"/>
        <v>0.98099378594104314</v>
      </c>
    </row>
    <row r="1462" spans="1:47" s="63" customFormat="1" x14ac:dyDescent="0.2">
      <c r="A1462" s="86" t="s">
        <v>58</v>
      </c>
      <c r="B1462" s="1061" t="s">
        <v>406</v>
      </c>
      <c r="C1462" s="76" t="s">
        <v>3472</v>
      </c>
      <c r="D1462" s="94" t="s">
        <v>3473</v>
      </c>
      <c r="E1462" s="85" t="s">
        <v>3471</v>
      </c>
      <c r="F1462" s="85" t="s">
        <v>789</v>
      </c>
      <c r="G1462" s="86" t="s">
        <v>139</v>
      </c>
      <c r="H1462" s="86" t="s">
        <v>1067</v>
      </c>
      <c r="I1462" s="86" t="s">
        <v>52</v>
      </c>
      <c r="J1462" s="86" t="s">
        <v>53</v>
      </c>
      <c r="K1462" s="86" t="s">
        <v>69</v>
      </c>
      <c r="L1462" s="86" t="s">
        <v>70</v>
      </c>
      <c r="M1462" s="87">
        <v>308</v>
      </c>
      <c r="N1462" s="639">
        <v>350</v>
      </c>
      <c r="O1462" s="551" t="s">
        <v>56</v>
      </c>
      <c r="P1462" s="101">
        <v>24</v>
      </c>
      <c r="Q1462" s="101">
        <v>24</v>
      </c>
      <c r="R1462" s="60">
        <v>24</v>
      </c>
      <c r="S1462" s="273">
        <v>24</v>
      </c>
      <c r="T1462" s="101">
        <v>25</v>
      </c>
      <c r="U1462" s="101">
        <v>25</v>
      </c>
      <c r="V1462" s="106">
        <f t="shared" si="514"/>
        <v>32</v>
      </c>
      <c r="W1462" s="106">
        <f t="shared" si="515"/>
        <v>32</v>
      </c>
      <c r="X1462" s="157" t="s">
        <v>1070</v>
      </c>
      <c r="Y1462" s="60">
        <v>32</v>
      </c>
      <c r="Z1462" s="60">
        <v>96</v>
      </c>
      <c r="AA1462" s="649">
        <f t="shared" si="516"/>
        <v>7.1111111111111107</v>
      </c>
      <c r="AB1462" s="184">
        <f>AA1462*IncaG</f>
        <v>149.61777777777777</v>
      </c>
      <c r="AC1462" s="104">
        <f>AA1462*Canvas</f>
        <v>4.6933333333333334</v>
      </c>
      <c r="AD1462" s="107">
        <f>AA1462*IncaC</f>
        <v>11.969422222222223</v>
      </c>
      <c r="AE1462" s="104">
        <f>IF(Table1[[#This Row],[Work Center]]="SwissQ",Materials!G$37,IF(Table1[[#This Row],[Work Center]]="Inca",Materials!G$29,IF(Table1[[#This Row],[Work Center]]="Canon",Materials!G$49,Materials!G$45)))</f>
        <v>8</v>
      </c>
      <c r="AF1462" s="104">
        <f>'Cali Frames'!D$278</f>
        <v>93.42</v>
      </c>
      <c r="AG1462" s="115"/>
      <c r="AH1462" s="498">
        <f t="shared" si="517"/>
        <v>15.4</v>
      </c>
      <c r="AI1462" s="498"/>
      <c r="AJ1462" s="104">
        <f>SUM(AC1462:AH1462)</f>
        <v>133.48275555555557</v>
      </c>
      <c r="AK1462" s="650">
        <f t="shared" si="518"/>
        <v>0.56661443001443001</v>
      </c>
      <c r="AL1462" s="225">
        <f>Table1[[#This Row],[WSP/Dealer]]/Table1[[#This Row],[OD Sq Inch]]</f>
        <v>0.49280000000000002</v>
      </c>
      <c r="AM1462" s="46">
        <f>Table1[[#This Row],[OD Wdth]]*Table1[[#This Row],[OD Hgt]]</f>
        <v>625</v>
      </c>
      <c r="AN1462" s="216">
        <f>Table1[[#This Row],[Min VO]]+Table1[[#This Row],[Max VO]]</f>
        <v>48</v>
      </c>
      <c r="AO1462" s="101"/>
      <c r="AP1462" s="101"/>
      <c r="AQ1462" s="104"/>
      <c r="AR1462" s="104"/>
      <c r="AS1462" s="104"/>
      <c r="AT1462" s="104"/>
      <c r="AU1462" s="830" t="str">
        <f t="shared" si="500"/>
        <v>-</v>
      </c>
    </row>
    <row r="1463" spans="1:47" s="63" customFormat="1" hidden="1" x14ac:dyDescent="0.2">
      <c r="A1463" s="86"/>
      <c r="B1463" s="1061" t="s">
        <v>562</v>
      </c>
      <c r="C1463" s="122" t="s">
        <v>3474</v>
      </c>
      <c r="D1463" s="94" t="s">
        <v>3475</v>
      </c>
      <c r="E1463" s="85" t="s">
        <v>3476</v>
      </c>
      <c r="F1463" s="85" t="s">
        <v>789</v>
      </c>
      <c r="G1463" s="91" t="s">
        <v>139</v>
      </c>
      <c r="H1463" s="91" t="s">
        <v>1067</v>
      </c>
      <c r="I1463" s="91" t="s">
        <v>52</v>
      </c>
      <c r="J1463" s="91" t="s">
        <v>280</v>
      </c>
      <c r="K1463" s="91" t="s">
        <v>69</v>
      </c>
      <c r="L1463" s="91" t="s">
        <v>70</v>
      </c>
      <c r="M1463" s="87">
        <v>308</v>
      </c>
      <c r="N1463" s="71"/>
      <c r="O1463" s="551" t="s">
        <v>64</v>
      </c>
      <c r="P1463" s="103">
        <v>24</v>
      </c>
      <c r="Q1463" s="103">
        <v>24</v>
      </c>
      <c r="R1463" s="60">
        <v>24</v>
      </c>
      <c r="S1463" s="61">
        <v>24</v>
      </c>
      <c r="T1463" s="103">
        <v>25</v>
      </c>
      <c r="U1463" s="103" t="str">
        <f>RIGHT(H1463,2)</f>
        <v>25</v>
      </c>
      <c r="V1463" s="608">
        <f t="shared" si="514"/>
        <v>24</v>
      </c>
      <c r="W1463" s="608">
        <f t="shared" si="515"/>
        <v>24</v>
      </c>
      <c r="X1463" s="137" t="s">
        <v>675</v>
      </c>
      <c r="Y1463" s="101"/>
      <c r="Z1463" s="101"/>
      <c r="AA1463" s="649">
        <f t="shared" si="516"/>
        <v>4</v>
      </c>
      <c r="AB1463" s="125">
        <f>AA1463*Swiss1</f>
        <v>113.2</v>
      </c>
      <c r="AC1463" s="104">
        <f>PETG48/8</f>
        <v>6.0824999999999996</v>
      </c>
      <c r="AD1463" s="107">
        <f>Table1[[#This Row],[Substrate SF]]*Materials!C$37</f>
        <v>11.2</v>
      </c>
      <c r="AE1463" s="104">
        <f>IF(Table1[[#This Row],[Work Center]]="SwissQ",Materials!G$37,IF(Table1[[#This Row],[Work Center]]="Inca",Materials!G$29,IF(Table1[[#This Row],[Work Center]]="Canon",Materials!G$49,Materials!G$45)))</f>
        <v>20</v>
      </c>
      <c r="AF1463" s="104">
        <f>'Cali Frames'!D$278</f>
        <v>93.42</v>
      </c>
      <c r="AG1463" s="115"/>
      <c r="AH1463" s="112">
        <f t="shared" si="517"/>
        <v>15.4</v>
      </c>
      <c r="AI1463" s="112"/>
      <c r="AJ1463" s="104">
        <f>SUM(AC1463:AH1463)</f>
        <v>146.10249999999999</v>
      </c>
      <c r="AK1463" s="62">
        <f t="shared" si="518"/>
        <v>0.52564123376623384</v>
      </c>
      <c r="AL1463" s="225">
        <f>Table1[[#This Row],[WSP/Dealer]]/Table1[[#This Row],[OD Sq Inch]]</f>
        <v>0.49280000000000002</v>
      </c>
      <c r="AM1463" s="218">
        <f>Table1[[#This Row],[OD Wdth]]*Table1[[#This Row],[OD Hgt]]</f>
        <v>625</v>
      </c>
      <c r="AN1463" s="216">
        <f>Table1[[#This Row],[Min VO]]+Table1[[#This Row],[Max VO]]</f>
        <v>48</v>
      </c>
      <c r="AO1463" s="103"/>
      <c r="AP1463" s="101"/>
      <c r="AQ1463" s="104"/>
      <c r="AR1463" s="104"/>
      <c r="AS1463" s="104"/>
      <c r="AT1463" s="104"/>
      <c r="AU1463" s="108" t="str">
        <f t="shared" si="500"/>
        <v>-</v>
      </c>
    </row>
    <row r="1464" spans="1:47" s="103" customFormat="1" hidden="1" x14ac:dyDescent="0.2">
      <c r="A1464" s="86"/>
      <c r="B1464" s="1061" t="s">
        <v>562</v>
      </c>
      <c r="C1464" s="76" t="s">
        <v>3477</v>
      </c>
      <c r="D1464" s="94" t="s">
        <v>3478</v>
      </c>
      <c r="E1464" s="85" t="s">
        <v>3479</v>
      </c>
      <c r="F1464" s="85" t="s">
        <v>789</v>
      </c>
      <c r="G1464" s="86" t="s">
        <v>139</v>
      </c>
      <c r="H1464" s="86" t="s">
        <v>1067</v>
      </c>
      <c r="I1464" s="86" t="s">
        <v>52</v>
      </c>
      <c r="J1464" s="86" t="s">
        <v>53</v>
      </c>
      <c r="K1464" s="86" t="s">
        <v>69</v>
      </c>
      <c r="L1464" s="86" t="s">
        <v>70</v>
      </c>
      <c r="M1464" s="87">
        <v>308</v>
      </c>
      <c r="N1464" s="71"/>
      <c r="O1464" s="551" t="s">
        <v>56</v>
      </c>
      <c r="P1464" s="103">
        <v>24</v>
      </c>
      <c r="Q1464" s="103">
        <v>24</v>
      </c>
      <c r="R1464" s="60">
        <v>24</v>
      </c>
      <c r="S1464" s="61">
        <v>24</v>
      </c>
      <c r="T1464" s="101">
        <v>25</v>
      </c>
      <c r="U1464" s="101">
        <v>25</v>
      </c>
      <c r="V1464" s="106">
        <f t="shared" si="514"/>
        <v>32</v>
      </c>
      <c r="W1464" s="106">
        <f t="shared" si="515"/>
        <v>32</v>
      </c>
      <c r="X1464" s="157" t="s">
        <v>1070</v>
      </c>
      <c r="Y1464" s="60">
        <v>32</v>
      </c>
      <c r="Z1464" s="60">
        <v>96</v>
      </c>
      <c r="AA1464" s="649">
        <f t="shared" si="516"/>
        <v>7.1111111111111107</v>
      </c>
      <c r="AB1464" s="184">
        <f>AA1464*IncaG</f>
        <v>149.61777777777777</v>
      </c>
      <c r="AC1464" s="104">
        <f>AA1464*Canvas</f>
        <v>4.6933333333333334</v>
      </c>
      <c r="AD1464" s="107">
        <f>AA1464*IncaC</f>
        <v>11.969422222222223</v>
      </c>
      <c r="AE1464" s="104">
        <f>IF(Table1[[#This Row],[Work Center]]="SwissQ",Materials!G$37,IF(Table1[[#This Row],[Work Center]]="Inca",Materials!G$29,IF(Table1[[#This Row],[Work Center]]="Canon",Materials!G$49,Materials!G$45)))</f>
        <v>8</v>
      </c>
      <c r="AF1464" s="104">
        <f>'Cali Frames'!D$278</f>
        <v>93.42</v>
      </c>
      <c r="AG1464" s="115"/>
      <c r="AH1464" s="112">
        <f t="shared" si="517"/>
        <v>15.4</v>
      </c>
      <c r="AI1464" s="112"/>
      <c r="AJ1464" s="104">
        <f>SUM(AC1464:AH1464)</f>
        <v>133.48275555555557</v>
      </c>
      <c r="AK1464" s="62">
        <f t="shared" si="518"/>
        <v>0.56661443001443001</v>
      </c>
      <c r="AL1464" s="225">
        <f>Table1[[#This Row],[WSP/Dealer]]/Table1[[#This Row],[OD Sq Inch]]</f>
        <v>0.49280000000000002</v>
      </c>
      <c r="AM1464" s="103">
        <f>Table1[[#This Row],[OD Wdth]]*Table1[[#This Row],[OD Hgt]]</f>
        <v>625</v>
      </c>
      <c r="AN1464" s="216">
        <f>Table1[[#This Row],[Min VO]]+Table1[[#This Row],[Max VO]]</f>
        <v>48</v>
      </c>
      <c r="AP1464" s="101"/>
      <c r="AQ1464" s="104"/>
      <c r="AR1464" s="104"/>
      <c r="AS1464" s="104"/>
      <c r="AT1464" s="104"/>
      <c r="AU1464" s="108" t="str">
        <f t="shared" si="500"/>
        <v>-</v>
      </c>
    </row>
    <row r="1465" spans="1:47" s="103" customFormat="1" hidden="1" x14ac:dyDescent="0.2">
      <c r="A1465" s="101" t="s">
        <v>110</v>
      </c>
      <c r="B1465" s="1067" t="s">
        <v>134</v>
      </c>
      <c r="C1465" s="100" t="s">
        <v>3480</v>
      </c>
      <c r="D1465" s="168"/>
      <c r="E1465" s="115" t="s">
        <v>3481</v>
      </c>
      <c r="F1465" s="115" t="s">
        <v>789</v>
      </c>
      <c r="G1465" s="101" t="s">
        <v>139</v>
      </c>
      <c r="H1465" s="101" t="s">
        <v>139</v>
      </c>
      <c r="I1465" s="101" t="s">
        <v>52</v>
      </c>
      <c r="J1465" s="487" t="s">
        <v>53</v>
      </c>
      <c r="K1465" s="101" t="s">
        <v>54</v>
      </c>
      <c r="L1465" s="101" t="s">
        <v>55</v>
      </c>
      <c r="M1465" s="114"/>
      <c r="N1465" s="114"/>
      <c r="O1465" s="101" t="s">
        <v>56</v>
      </c>
      <c r="P1465" s="101">
        <v>24</v>
      </c>
      <c r="Q1465" s="101">
        <v>24</v>
      </c>
      <c r="R1465" s="101">
        <v>24</v>
      </c>
      <c r="S1465" s="101">
        <v>24</v>
      </c>
      <c r="T1465" s="101">
        <v>24</v>
      </c>
      <c r="U1465" s="101">
        <v>24</v>
      </c>
      <c r="V1465" s="608">
        <f t="shared" si="514"/>
        <v>32</v>
      </c>
      <c r="W1465" s="608">
        <f t="shared" si="515"/>
        <v>32</v>
      </c>
      <c r="X1465" s="137">
        <v>40</v>
      </c>
      <c r="Y1465" s="101">
        <v>32</v>
      </c>
      <c r="Z1465" s="101">
        <v>32</v>
      </c>
      <c r="AA1465" s="649">
        <f t="shared" si="516"/>
        <v>7.1111111111111107</v>
      </c>
      <c r="AB1465" s="184">
        <f>AA1465*IncaG</f>
        <v>149.61777777777777</v>
      </c>
      <c r="AC1465" s="104">
        <f>AA1465*Canvas</f>
        <v>4.6933333333333334</v>
      </c>
      <c r="AD1465" s="1066">
        <f>Table1[[#This Row],[Substrate SF]]*IncaC</f>
        <v>11.969422222222223</v>
      </c>
      <c r="AE1465" s="406">
        <f>IF(Table1[[#This Row],[Work Center]]="SwissQ",Materials!G$37,IF(Table1[[#This Row],[Work Center]]="Inca",Materials!G$29,IF(Table1[[#This Row],[Work Center]]="Canon",Materials!G$49,Materials!G$45)))</f>
        <v>8</v>
      </c>
      <c r="AF1465" s="102">
        <f>'Cali FPS'!C32</f>
        <v>63.47</v>
      </c>
      <c r="AG1465" s="115"/>
      <c r="AH1465" s="405">
        <f t="shared" si="517"/>
        <v>0</v>
      </c>
      <c r="AI1465" s="405">
        <f>IF(A1465="Codarus",(M1465*0.13))</f>
        <v>0</v>
      </c>
      <c r="AJ1465" s="104">
        <f>SUM(AC1465:AI1465)</f>
        <v>88.132755555555548</v>
      </c>
      <c r="AK1465" s="108" t="e">
        <f t="shared" si="518"/>
        <v>#DIV/0!</v>
      </c>
      <c r="AL1465" s="660">
        <f>Table1[[#This Row],[WSP/Dealer]]/Table1[[#This Row],[OD Sq Inch]]</f>
        <v>0</v>
      </c>
      <c r="AM1465" s="399">
        <f>Table1[[#This Row],[OD Wdth]]*Table1[[#This Row],[OD Hgt]]</f>
        <v>576</v>
      </c>
      <c r="AN1465" s="400">
        <f>Table1[[#This Row],[Min VO]]+Table1[[#This Row],[Max VO]]</f>
        <v>48</v>
      </c>
      <c r="AO1465" s="113"/>
      <c r="AP1465" s="121"/>
      <c r="AQ1465" s="121">
        <f>(Table1[[#This Row],[Desgnr/Retail P]]*0.05)</f>
        <v>0</v>
      </c>
      <c r="AR1465" s="121">
        <f>IF(A1465="Codarus",(AP1465*0.13))</f>
        <v>0</v>
      </c>
      <c r="AS1465" s="121">
        <f>SUM(Table1[[#This Row],[Substrate $]:[GP FINISH]])+Table1[[#This Row],[Retail Royalty]]+Table1[[#This Row],[Retail$Comm]]</f>
        <v>88.132755555555548</v>
      </c>
      <c r="AT1465" s="830" t="str">
        <f>IF(AP1465=0,"-",(AP1465-AS1465)/AP1465)</f>
        <v>-</v>
      </c>
      <c r="AU1465" s="1359" t="str">
        <f t="shared" si="500"/>
        <v>-</v>
      </c>
    </row>
    <row r="1466" spans="1:47" s="103" customFormat="1" hidden="1" x14ac:dyDescent="0.2">
      <c r="A1466" s="101" t="s">
        <v>110</v>
      </c>
      <c r="B1466" s="1067" t="s">
        <v>250</v>
      </c>
      <c r="C1466" s="100" t="s">
        <v>3482</v>
      </c>
      <c r="D1466" s="168"/>
      <c r="E1466" s="115" t="s">
        <v>3481</v>
      </c>
      <c r="F1466" s="115" t="s">
        <v>789</v>
      </c>
      <c r="G1466" s="101" t="s">
        <v>139</v>
      </c>
      <c r="H1466" s="101" t="s">
        <v>1067</v>
      </c>
      <c r="I1466" s="101" t="s">
        <v>52</v>
      </c>
      <c r="J1466" s="487" t="s">
        <v>53</v>
      </c>
      <c r="K1466" s="101" t="s">
        <v>69</v>
      </c>
      <c r="L1466" s="101" t="s">
        <v>73</v>
      </c>
      <c r="M1466" s="299">
        <v>350</v>
      </c>
      <c r="N1466" s="114"/>
      <c r="O1466" s="101" t="s">
        <v>56</v>
      </c>
      <c r="P1466" s="101">
        <v>24</v>
      </c>
      <c r="Q1466" s="101">
        <v>24</v>
      </c>
      <c r="R1466" s="101">
        <v>24</v>
      </c>
      <c r="S1466" s="103">
        <v>24</v>
      </c>
      <c r="T1466" s="103">
        <v>25</v>
      </c>
      <c r="U1466" s="103">
        <v>25</v>
      </c>
      <c r="V1466" s="106">
        <f t="shared" si="514"/>
        <v>32</v>
      </c>
      <c r="W1466" s="106">
        <f t="shared" si="515"/>
        <v>32</v>
      </c>
      <c r="X1466" s="137">
        <v>40</v>
      </c>
      <c r="Y1466" s="101">
        <v>32</v>
      </c>
      <c r="Z1466" s="101">
        <v>32</v>
      </c>
      <c r="AA1466" s="649">
        <f t="shared" si="516"/>
        <v>7.1111111111111107</v>
      </c>
      <c r="AB1466" s="184">
        <f>AA1466*IncaG</f>
        <v>149.61777777777777</v>
      </c>
      <c r="AC1466" s="104">
        <f>AA1466*Canvas</f>
        <v>4.6933333333333334</v>
      </c>
      <c r="AD1466" s="1066">
        <f>Table1[[#This Row],[Substrate SF]]*IncaC</f>
        <v>11.969422222222223</v>
      </c>
      <c r="AE1466" s="406">
        <f>IF(Table1[[#This Row],[Work Center]]="SwissQ",Materials!G$37,IF(Table1[[#This Row],[Work Center]]="Inca",Materials!G$29,IF(Table1[[#This Row],[Work Center]]="Canon",Materials!G$49,Materials!G$45)))</f>
        <v>8</v>
      </c>
      <c r="AF1466" s="102">
        <f>'Cali Frames'!D421</f>
        <v>83.685000000000002</v>
      </c>
      <c r="AG1466" s="115"/>
      <c r="AH1466" s="405">
        <f t="shared" si="517"/>
        <v>17.5</v>
      </c>
      <c r="AI1466" s="405">
        <f>IF(A1466="Codarus",(M1466*0.13))</f>
        <v>45.5</v>
      </c>
      <c r="AJ1466" s="107">
        <f>SUM(AC1466:AI1466)</f>
        <v>171.34775555555555</v>
      </c>
      <c r="AK1466" s="108">
        <f t="shared" si="518"/>
        <v>0.51043498412698418</v>
      </c>
      <c r="AL1466" s="660">
        <f>Table1[[#This Row],[WSP/Dealer]]/Table1[[#This Row],[OD Sq Inch]]</f>
        <v>0.56000000000000005</v>
      </c>
      <c r="AM1466" s="399">
        <f>Table1[[#This Row],[OD Wdth]]*Table1[[#This Row],[OD Hgt]]</f>
        <v>625</v>
      </c>
      <c r="AN1466" s="400">
        <f>Table1[[#This Row],[Min VO]]+Table1[[#This Row],[Max VO]]</f>
        <v>48</v>
      </c>
      <c r="AO1466" s="115"/>
      <c r="AP1466" s="121">
        <v>700</v>
      </c>
      <c r="AQ1466" s="121">
        <f>(Table1[[#This Row],[Desgnr/Retail P]]*0.05)</f>
        <v>35</v>
      </c>
      <c r="AR1466" s="121">
        <f>IF(A1466="Codarus",(AP1466*0.13))</f>
        <v>91</v>
      </c>
      <c r="AS1466" s="121">
        <f>SUM(Table1[[#This Row],[Substrate $]:[GP FINISH]])+Table1[[#This Row],[Retail Royalty]]+Table1[[#This Row],[Retail$Comm]]</f>
        <v>234.34775555555555</v>
      </c>
      <c r="AT1466" s="830">
        <f>IF(AP1466=0,"-",(AP1466-AS1466)/AP1466)</f>
        <v>0.66521749206349212</v>
      </c>
      <c r="AU1466" s="1359">
        <f t="shared" si="500"/>
        <v>0.98099378594104314</v>
      </c>
    </row>
    <row r="1467" spans="1:47" s="46" customFormat="1" hidden="1" x14ac:dyDescent="0.2">
      <c r="A1467" s="86"/>
      <c r="B1467" s="1061" t="s">
        <v>562</v>
      </c>
      <c r="C1467" s="100" t="s">
        <v>3483</v>
      </c>
      <c r="D1467" s="94" t="s">
        <v>3484</v>
      </c>
      <c r="E1467" s="85" t="s">
        <v>3485</v>
      </c>
      <c r="F1467" s="85" t="s">
        <v>789</v>
      </c>
      <c r="G1467" s="91" t="s">
        <v>139</v>
      </c>
      <c r="H1467" s="91" t="s">
        <v>1067</v>
      </c>
      <c r="I1467" s="91" t="s">
        <v>52</v>
      </c>
      <c r="J1467" s="91" t="s">
        <v>280</v>
      </c>
      <c r="K1467" s="91" t="s">
        <v>69</v>
      </c>
      <c r="L1467" s="91" t="s">
        <v>70</v>
      </c>
      <c r="M1467" s="87">
        <v>308</v>
      </c>
      <c r="N1467" s="71"/>
      <c r="O1467" s="551" t="s">
        <v>64</v>
      </c>
      <c r="P1467" s="101">
        <v>24</v>
      </c>
      <c r="Q1467" s="101">
        <v>24</v>
      </c>
      <c r="R1467" s="60">
        <v>24</v>
      </c>
      <c r="S1467" s="273">
        <v>24</v>
      </c>
      <c r="T1467" s="101">
        <v>25</v>
      </c>
      <c r="U1467" s="101" t="str">
        <f>RIGHT(H1467,2)</f>
        <v>25</v>
      </c>
      <c r="V1467" s="106">
        <f t="shared" si="514"/>
        <v>24</v>
      </c>
      <c r="W1467" s="106">
        <f t="shared" si="515"/>
        <v>24</v>
      </c>
      <c r="X1467" s="137" t="s">
        <v>675</v>
      </c>
      <c r="Y1467" s="101"/>
      <c r="Z1467" s="101"/>
      <c r="AA1467" s="649">
        <f t="shared" si="516"/>
        <v>4</v>
      </c>
      <c r="AB1467" s="125">
        <f>AA1467*Swiss1</f>
        <v>113.2</v>
      </c>
      <c r="AC1467" s="104">
        <f>PETG48/8</f>
        <v>6.0824999999999996</v>
      </c>
      <c r="AD1467" s="107">
        <f>Table1[[#This Row],[Substrate SF]]*Materials!C$37</f>
        <v>11.2</v>
      </c>
      <c r="AE1467" s="104">
        <f>IF(Table1[[#This Row],[Work Center]]="SwissQ",Materials!G$37,IF(Table1[[#This Row],[Work Center]]="Inca",Materials!G$29,IF(Table1[[#This Row],[Work Center]]="Canon",Materials!G$49,Materials!G$45)))</f>
        <v>20</v>
      </c>
      <c r="AF1467" s="104">
        <f>'Cali Frames'!D$278</f>
        <v>93.42</v>
      </c>
      <c r="AG1467" s="115"/>
      <c r="AH1467" s="112">
        <f t="shared" si="517"/>
        <v>15.4</v>
      </c>
      <c r="AI1467" s="112"/>
      <c r="AJ1467" s="104">
        <f>SUM(AC1467:AH1467)</f>
        <v>146.10249999999999</v>
      </c>
      <c r="AK1467" s="62">
        <f t="shared" si="518"/>
        <v>0.52564123376623384</v>
      </c>
      <c r="AL1467" s="225">
        <f>Table1[[#This Row],[WSP/Dealer]]/Table1[[#This Row],[OD Sq Inch]]</f>
        <v>0.49280000000000002</v>
      </c>
      <c r="AM1467" s="103">
        <f>Table1[[#This Row],[OD Wdth]]*Table1[[#This Row],[OD Hgt]]</f>
        <v>625</v>
      </c>
      <c r="AN1467" s="216">
        <f>Table1[[#This Row],[Min VO]]+Table1[[#This Row],[Max VO]]</f>
        <v>48</v>
      </c>
      <c r="AO1467" s="101"/>
      <c r="AP1467" s="101"/>
      <c r="AQ1467" s="104"/>
      <c r="AR1467" s="104"/>
      <c r="AS1467" s="104"/>
      <c r="AT1467" s="104"/>
      <c r="AU1467" s="830" t="str">
        <f t="shared" si="500"/>
        <v>-</v>
      </c>
    </row>
    <row r="1468" spans="1:47" s="103" customFormat="1" hidden="1" x14ac:dyDescent="0.2">
      <c r="A1468" s="101" t="s">
        <v>110</v>
      </c>
      <c r="B1468" s="1067" t="s">
        <v>250</v>
      </c>
      <c r="C1468" s="100" t="s">
        <v>3486</v>
      </c>
      <c r="D1468" s="168"/>
      <c r="E1468" s="115" t="s">
        <v>3487</v>
      </c>
      <c r="F1468" s="115" t="s">
        <v>789</v>
      </c>
      <c r="G1468" s="303" t="s">
        <v>139</v>
      </c>
      <c r="H1468" s="101" t="s">
        <v>1067</v>
      </c>
      <c r="I1468" s="101" t="s">
        <v>52</v>
      </c>
      <c r="J1468" s="487" t="s">
        <v>53</v>
      </c>
      <c r="K1468" s="101" t="s">
        <v>69</v>
      </c>
      <c r="L1468" s="101" t="s">
        <v>73</v>
      </c>
      <c r="M1468" s="299">
        <v>350</v>
      </c>
      <c r="N1468" s="114"/>
      <c r="O1468" s="101" t="s">
        <v>56</v>
      </c>
      <c r="P1468" s="101">
        <v>24</v>
      </c>
      <c r="Q1468" s="101">
        <v>24</v>
      </c>
      <c r="R1468" s="101">
        <v>24</v>
      </c>
      <c r="S1468" s="101">
        <v>24</v>
      </c>
      <c r="T1468" s="101">
        <v>25</v>
      </c>
      <c r="U1468" s="101">
        <v>25</v>
      </c>
      <c r="V1468" s="608">
        <f t="shared" si="514"/>
        <v>32</v>
      </c>
      <c r="W1468" s="608">
        <f t="shared" si="515"/>
        <v>32</v>
      </c>
      <c r="X1468" s="137">
        <v>40</v>
      </c>
      <c r="Y1468" s="101">
        <v>32</v>
      </c>
      <c r="Z1468" s="101">
        <v>32</v>
      </c>
      <c r="AA1468" s="649">
        <f t="shared" si="516"/>
        <v>7.1111111111111107</v>
      </c>
      <c r="AB1468" s="184">
        <f>AA1468*IncaG</f>
        <v>149.61777777777777</v>
      </c>
      <c r="AC1468" s="104">
        <f>AA1468*Canvas</f>
        <v>4.6933333333333334</v>
      </c>
      <c r="AD1468" s="1066">
        <f>Table1[[#This Row],[Substrate SF]]*IncaC</f>
        <v>11.969422222222223</v>
      </c>
      <c r="AE1468" s="406">
        <f>IF(Table1[[#This Row],[Work Center]]="SwissQ",Materials!G$37,IF(Table1[[#This Row],[Work Center]]="Inca",Materials!G$29,IF(Table1[[#This Row],[Work Center]]="Canon",Materials!G$49,Materials!G$45)))</f>
        <v>8</v>
      </c>
      <c r="AF1468" s="102">
        <f>'Cali Frames'!D421</f>
        <v>83.685000000000002</v>
      </c>
      <c r="AG1468" s="115"/>
      <c r="AH1468" s="405">
        <f t="shared" si="517"/>
        <v>17.5</v>
      </c>
      <c r="AI1468" s="405">
        <f>IF(A1468="Codarus",(M1468*0.13))</f>
        <v>45.5</v>
      </c>
      <c r="AJ1468" s="104">
        <f>SUM(AC1468:AI1468)</f>
        <v>171.34775555555555</v>
      </c>
      <c r="AK1468" s="108">
        <f t="shared" si="518"/>
        <v>0.51043498412698418</v>
      </c>
      <c r="AL1468" s="660">
        <f>Table1[[#This Row],[WSP/Dealer]]/Table1[[#This Row],[OD Sq Inch]]</f>
        <v>0.56000000000000005</v>
      </c>
      <c r="AM1468" s="399">
        <f>Table1[[#This Row],[OD Wdth]]*Table1[[#This Row],[OD Hgt]]</f>
        <v>625</v>
      </c>
      <c r="AN1468" s="400">
        <f>Table1[[#This Row],[Min VO]]+Table1[[#This Row],[Max VO]]</f>
        <v>48</v>
      </c>
      <c r="AO1468" s="115"/>
      <c r="AP1468" s="121">
        <v>700</v>
      </c>
      <c r="AQ1468" s="121">
        <f>(Table1[[#This Row],[Desgnr/Retail P]]*0.05)</f>
        <v>35</v>
      </c>
      <c r="AR1468" s="121">
        <f>IF(A1468="Codarus",(AP1468*0.13))</f>
        <v>91</v>
      </c>
      <c r="AS1468" s="121">
        <f>SUM(Table1[[#This Row],[Substrate $]:[GP FINISH]])+Table1[[#This Row],[Retail Royalty]]+Table1[[#This Row],[Retail$Comm]]</f>
        <v>234.34775555555555</v>
      </c>
      <c r="AT1468" s="830">
        <f>IF(AP1468=0,"-",(AP1468-AS1468)/AP1468)</f>
        <v>0.66521749206349212</v>
      </c>
      <c r="AU1468" s="1359">
        <f t="shared" si="500"/>
        <v>0.98099378594104314</v>
      </c>
    </row>
    <row r="1469" spans="1:47" s="46" customFormat="1" hidden="1" x14ac:dyDescent="0.2">
      <c r="A1469" s="86"/>
      <c r="B1469" s="1061" t="s">
        <v>562</v>
      </c>
      <c r="C1469" s="76" t="s">
        <v>3488</v>
      </c>
      <c r="D1469" s="94" t="s">
        <v>3489</v>
      </c>
      <c r="E1469" s="85" t="s">
        <v>3487</v>
      </c>
      <c r="F1469" s="85" t="s">
        <v>789</v>
      </c>
      <c r="G1469" s="86" t="s">
        <v>139</v>
      </c>
      <c r="H1469" s="86" t="s">
        <v>1067</v>
      </c>
      <c r="I1469" s="86" t="s">
        <v>52</v>
      </c>
      <c r="J1469" s="86" t="s">
        <v>53</v>
      </c>
      <c r="K1469" s="86" t="s">
        <v>69</v>
      </c>
      <c r="L1469" s="86" t="s">
        <v>70</v>
      </c>
      <c r="M1469" s="87">
        <v>308</v>
      </c>
      <c r="N1469" s="71"/>
      <c r="O1469" s="551" t="s">
        <v>56</v>
      </c>
      <c r="P1469" s="101">
        <v>24</v>
      </c>
      <c r="Q1469" s="101">
        <v>24</v>
      </c>
      <c r="R1469" s="60">
        <v>24</v>
      </c>
      <c r="S1469" s="61">
        <v>24</v>
      </c>
      <c r="T1469" s="103">
        <v>25</v>
      </c>
      <c r="U1469" s="103">
        <v>25</v>
      </c>
      <c r="V1469" s="106">
        <f t="shared" si="514"/>
        <v>32</v>
      </c>
      <c r="W1469" s="106">
        <f t="shared" si="515"/>
        <v>32</v>
      </c>
      <c r="X1469" s="157" t="s">
        <v>1070</v>
      </c>
      <c r="Y1469" s="46">
        <v>32</v>
      </c>
      <c r="Z1469" s="46">
        <v>96</v>
      </c>
      <c r="AA1469" s="649">
        <f t="shared" si="516"/>
        <v>7.1111111111111107</v>
      </c>
      <c r="AB1469" s="184">
        <f>AA1469*IncaG</f>
        <v>149.61777777777777</v>
      </c>
      <c r="AC1469" s="104">
        <f>AA1469*Canvas</f>
        <v>4.6933333333333334</v>
      </c>
      <c r="AD1469" s="107">
        <f>AA1469*IncaC</f>
        <v>11.969422222222223</v>
      </c>
      <c r="AE1469" s="104">
        <f>IF(Table1[[#This Row],[Work Center]]="SwissQ",Materials!G$37,IF(Table1[[#This Row],[Work Center]]="Inca",Materials!G$29,IF(Table1[[#This Row],[Work Center]]="Canon",Materials!G$49,Materials!G$45)))</f>
        <v>8</v>
      </c>
      <c r="AF1469" s="104">
        <f>'Cali Frames'!D$278</f>
        <v>93.42</v>
      </c>
      <c r="AG1469" s="115"/>
      <c r="AH1469" s="112">
        <f t="shared" si="517"/>
        <v>15.4</v>
      </c>
      <c r="AI1469" s="112"/>
      <c r="AJ1469" s="107">
        <f>SUM(AC1469:AH1469)</f>
        <v>133.48275555555557</v>
      </c>
      <c r="AK1469" s="62">
        <f t="shared" si="518"/>
        <v>0.56661443001443001</v>
      </c>
      <c r="AL1469" s="225">
        <f>Table1[[#This Row],[WSP/Dealer]]/Table1[[#This Row],[OD Sq Inch]]</f>
        <v>0.49280000000000002</v>
      </c>
      <c r="AM1469" s="218">
        <f>Table1[[#This Row],[OD Wdth]]*Table1[[#This Row],[OD Hgt]]</f>
        <v>625</v>
      </c>
      <c r="AN1469" s="216">
        <f>Table1[[#This Row],[Min VO]]+Table1[[#This Row],[Max VO]]</f>
        <v>48</v>
      </c>
      <c r="AO1469" s="103"/>
      <c r="AP1469" s="101"/>
      <c r="AQ1469" s="104"/>
      <c r="AR1469" s="104"/>
      <c r="AS1469" s="104"/>
      <c r="AT1469" s="104"/>
      <c r="AU1469" s="108" t="str">
        <f t="shared" si="500"/>
        <v>-</v>
      </c>
    </row>
    <row r="1470" spans="1:47" s="46" customFormat="1" x14ac:dyDescent="0.2">
      <c r="A1470" s="145" t="s">
        <v>58</v>
      </c>
      <c r="B1470" s="1061" t="s">
        <v>533</v>
      </c>
      <c r="C1470" s="1337" t="s">
        <v>3490</v>
      </c>
      <c r="D1470" s="94" t="s">
        <v>3491</v>
      </c>
      <c r="E1470" s="146" t="s">
        <v>3492</v>
      </c>
      <c r="F1470" s="147" t="s">
        <v>114</v>
      </c>
      <c r="G1470" s="1338" t="s">
        <v>405</v>
      </c>
      <c r="H1470" s="1338" t="s">
        <v>405</v>
      </c>
      <c r="I1470" s="1338" t="s">
        <v>52</v>
      </c>
      <c r="J1470" s="1338" t="s">
        <v>53</v>
      </c>
      <c r="K1470" s="1338" t="s">
        <v>54</v>
      </c>
      <c r="L1470" s="1338" t="s">
        <v>55</v>
      </c>
      <c r="M1470" s="151">
        <v>750</v>
      </c>
      <c r="N1470" s="639">
        <v>830</v>
      </c>
      <c r="O1470" s="145" t="s">
        <v>64</v>
      </c>
      <c r="P1470" s="145">
        <v>48</v>
      </c>
      <c r="Q1470" s="145">
        <v>48</v>
      </c>
      <c r="R1470" s="145">
        <v>48</v>
      </c>
      <c r="S1470" s="144">
        <v>48</v>
      </c>
      <c r="T1470" s="1777">
        <f>Table1[[#This Row],[VO Wdth]]</f>
        <v>48</v>
      </c>
      <c r="U1470" s="1777">
        <f>Table1[[#This Row],[VO Hgt]]</f>
        <v>48</v>
      </c>
      <c r="V1470" s="106">
        <f t="shared" si="514"/>
        <v>56</v>
      </c>
      <c r="W1470" s="106">
        <f t="shared" si="515"/>
        <v>56</v>
      </c>
      <c r="X1470" s="137" t="s">
        <v>152</v>
      </c>
      <c r="Y1470" s="145"/>
      <c r="Z1470" s="145"/>
      <c r="AA1470" s="722">
        <f t="shared" si="516"/>
        <v>21.777777777777779</v>
      </c>
      <c r="AB1470" s="389">
        <f>AA1470*Swiss1</f>
        <v>616.31111111111113</v>
      </c>
      <c r="AC1470" s="143">
        <f>Table1[[#This Row],[Substrate SF]]*Canvas</f>
        <v>14.373333333333335</v>
      </c>
      <c r="AD1470" s="21">
        <f>Table1[[#This Row],[Substrate SF]]*Materials!C$37</f>
        <v>60.977777777777774</v>
      </c>
      <c r="AE1470" s="104">
        <f>IF(Table1[[#This Row],[Work Center]]="SwissQ",Materials!G$37,IF(Table1[[#This Row],[Work Center]]="Inca",Materials!G$29,IF(Table1[[#This Row],[Work Center]]="Canon",Materials!G$49,Materials!G$45)))</f>
        <v>20</v>
      </c>
      <c r="AF1470" s="143">
        <f>'Cali FPS'!C$117</f>
        <v>119.7</v>
      </c>
      <c r="AG1470" s="115"/>
      <c r="AH1470" s="112">
        <f t="shared" si="517"/>
        <v>37.5</v>
      </c>
      <c r="AI1470" s="112"/>
      <c r="AJ1470" s="143">
        <f>SUM(AC1470:AH1470)</f>
        <v>252.55111111111111</v>
      </c>
      <c r="AK1470" s="62">
        <f t="shared" si="518"/>
        <v>0.66326518518518518</v>
      </c>
      <c r="AL1470" s="225">
        <f>Table1[[#This Row],[WSP/Dealer]]/Table1[[#This Row],[OD Sq Inch]]</f>
        <v>0.32552083333333331</v>
      </c>
      <c r="AM1470" s="218">
        <f>Table1[[#This Row],[OD Wdth]]*Table1[[#This Row],[OD Hgt]]</f>
        <v>2304</v>
      </c>
      <c r="AN1470" s="216">
        <f>Table1[[#This Row],[Min VO]]+Table1[[#This Row],[Max VO]]</f>
        <v>96</v>
      </c>
      <c r="AO1470" s="144"/>
      <c r="AP1470" s="145"/>
      <c r="AQ1470" s="143"/>
      <c r="AR1470" s="143"/>
      <c r="AS1470" s="143"/>
      <c r="AT1470" s="143"/>
      <c r="AU1470" s="1814" t="str">
        <f t="shared" si="500"/>
        <v>-</v>
      </c>
    </row>
    <row r="1471" spans="1:47" s="103" customFormat="1" x14ac:dyDescent="0.2">
      <c r="A1471" s="145" t="s">
        <v>58</v>
      </c>
      <c r="B1471" s="279" t="s">
        <v>533</v>
      </c>
      <c r="C1471" s="1337" t="s">
        <v>3493</v>
      </c>
      <c r="D1471" s="94" t="s">
        <v>3494</v>
      </c>
      <c r="E1471" s="146" t="s">
        <v>3495</v>
      </c>
      <c r="F1471" s="154" t="s">
        <v>114</v>
      </c>
      <c r="G1471" s="145" t="s">
        <v>405</v>
      </c>
      <c r="H1471" s="145" t="s">
        <v>405</v>
      </c>
      <c r="I1471" s="145" t="s">
        <v>52</v>
      </c>
      <c r="J1471" s="145" t="s">
        <v>53</v>
      </c>
      <c r="K1471" s="145" t="s">
        <v>54</v>
      </c>
      <c r="L1471" s="145" t="s">
        <v>55</v>
      </c>
      <c r="M1471" s="151">
        <v>750</v>
      </c>
      <c r="N1471" s="639">
        <v>830</v>
      </c>
      <c r="O1471" s="145" t="s">
        <v>64</v>
      </c>
      <c r="P1471" s="145">
        <v>48</v>
      </c>
      <c r="Q1471" s="145">
        <v>48</v>
      </c>
      <c r="R1471" s="145">
        <v>48</v>
      </c>
      <c r="S1471" s="145">
        <v>48</v>
      </c>
      <c r="T1471" s="698">
        <f>Table1[[#This Row],[VO Wdth]]</f>
        <v>48</v>
      </c>
      <c r="U1471" s="698">
        <f>Table1[[#This Row],[VO Hgt]]</f>
        <v>48</v>
      </c>
      <c r="V1471" s="608">
        <f t="shared" si="514"/>
        <v>56</v>
      </c>
      <c r="W1471" s="608">
        <f t="shared" si="515"/>
        <v>56</v>
      </c>
      <c r="X1471" s="137" t="s">
        <v>152</v>
      </c>
      <c r="Y1471" s="145"/>
      <c r="Z1471" s="145"/>
      <c r="AA1471" s="722">
        <f t="shared" si="516"/>
        <v>21.777777777777779</v>
      </c>
      <c r="AB1471" s="389">
        <f>AA1471*Swiss1</f>
        <v>616.31111111111113</v>
      </c>
      <c r="AC1471" s="143">
        <f>Table1[[#This Row],[Substrate SF]]*Canvas</f>
        <v>14.373333333333335</v>
      </c>
      <c r="AD1471" s="21">
        <f>Table1[[#This Row],[Substrate SF]]*Materials!C$37</f>
        <v>60.977777777777774</v>
      </c>
      <c r="AE1471" s="104">
        <f>IF(Table1[[#This Row],[Work Center]]="SwissQ",Materials!G$37,IF(Table1[[#This Row],[Work Center]]="Inca",Materials!G$29,IF(Table1[[#This Row],[Work Center]]="Canon",Materials!G$49,Materials!G$45)))</f>
        <v>20</v>
      </c>
      <c r="AF1471" s="143">
        <f>'Cali FPS'!C$117</f>
        <v>119.7</v>
      </c>
      <c r="AG1471" s="115"/>
      <c r="AH1471" s="112">
        <f t="shared" si="517"/>
        <v>37.5</v>
      </c>
      <c r="AI1471" s="112"/>
      <c r="AJ1471" s="143">
        <f>SUM(AC1471:AH1471)</f>
        <v>252.55111111111111</v>
      </c>
      <c r="AK1471" s="62">
        <f t="shared" si="518"/>
        <v>0.66326518518518518</v>
      </c>
      <c r="AL1471" s="225">
        <f>Table1[[#This Row],[WSP/Dealer]]/Table1[[#This Row],[OD Sq Inch]]</f>
        <v>0.32552083333333331</v>
      </c>
      <c r="AM1471" s="103">
        <f>Table1[[#This Row],[OD Wdth]]*Table1[[#This Row],[OD Hgt]]</f>
        <v>2304</v>
      </c>
      <c r="AN1471" s="216">
        <f>Table1[[#This Row],[Min VO]]+Table1[[#This Row],[Max VO]]</f>
        <v>96</v>
      </c>
      <c r="AO1471" s="145"/>
      <c r="AP1471" s="145"/>
      <c r="AQ1471" s="143"/>
      <c r="AR1471" s="143"/>
      <c r="AS1471" s="143"/>
      <c r="AT1471" s="143"/>
      <c r="AU1471" s="1371" t="str">
        <f t="shared" si="500"/>
        <v>-</v>
      </c>
    </row>
    <row r="1472" spans="1:47" s="63" customFormat="1" hidden="1" x14ac:dyDescent="0.2">
      <c r="A1472" s="101" t="s">
        <v>110</v>
      </c>
      <c r="B1472" s="1067" t="s">
        <v>250</v>
      </c>
      <c r="C1472" s="1336" t="s">
        <v>3496</v>
      </c>
      <c r="D1472" s="168"/>
      <c r="E1472" s="169" t="s">
        <v>3497</v>
      </c>
      <c r="F1472" s="169" t="s">
        <v>105</v>
      </c>
      <c r="G1472" s="101" t="s">
        <v>350</v>
      </c>
      <c r="H1472" s="101" t="s">
        <v>351</v>
      </c>
      <c r="I1472" s="101" t="s">
        <v>108</v>
      </c>
      <c r="J1472" s="487" t="s">
        <v>53</v>
      </c>
      <c r="K1472" s="101" t="s">
        <v>69</v>
      </c>
      <c r="L1472" s="101" t="s">
        <v>70</v>
      </c>
      <c r="M1472" s="299">
        <v>300</v>
      </c>
      <c r="N1472" s="114"/>
      <c r="O1472" s="101" t="s">
        <v>109</v>
      </c>
      <c r="P1472" s="101">
        <v>12</v>
      </c>
      <c r="Q1472" s="101">
        <v>16</v>
      </c>
      <c r="R1472" s="101">
        <v>12</v>
      </c>
      <c r="S1472" s="101">
        <v>16</v>
      </c>
      <c r="T1472" s="697">
        <v>13</v>
      </c>
      <c r="U1472" s="697">
        <v>17</v>
      </c>
      <c r="V1472" s="608">
        <f t="shared" ref="V1472:V1478" si="519">IF(J1472="Canvas",P1472+BorderGW,P1472)</f>
        <v>20</v>
      </c>
      <c r="W1472" s="608">
        <f t="shared" ref="W1472:W1478" si="520">IF(J1472="Canvas",Q1472+BorderGW,Q1472)</f>
        <v>24</v>
      </c>
      <c r="X1472" s="101">
        <v>40</v>
      </c>
      <c r="Y1472" s="101">
        <v>20</v>
      </c>
      <c r="Z1472" s="101">
        <v>24</v>
      </c>
      <c r="AA1472" s="1011">
        <f>Table1[[#This Row],[Cut Width]]*Table1[[#This Row],[Cut Height]]/144</f>
        <v>3.3333333333333335</v>
      </c>
      <c r="AB1472" s="1015">
        <f>Table1[[#This Row],[Print Wth]]*Table1[[#This Row],[Print Ht]]/144*EPSONM</f>
        <v>15</v>
      </c>
      <c r="AC1472" s="406">
        <f>Table1[[#This Row],[Substrate SF]]*Canvas</f>
        <v>2.2000000000000002</v>
      </c>
      <c r="AD1472" s="405">
        <f>Table1[[#This Row],[Ink g/mL]]*EPSONC</f>
        <v>3.3</v>
      </c>
      <c r="AE1472" s="104">
        <f>IF(Table1[[#This Row],[Work Center]]="SwissQ",Materials!G$37,IF(Table1[[#This Row],[Work Center]]="Inca",Materials!G$29,IF(Table1[[#This Row],[Work Center]]="Canon",Materials!G$49,Materials!G$45)))</f>
        <v>5</v>
      </c>
      <c r="AF1472" s="102">
        <f>'Cali Frames'!D260</f>
        <v>73</v>
      </c>
      <c r="AG1472" s="115"/>
      <c r="AH1472" s="406">
        <f t="shared" si="517"/>
        <v>15</v>
      </c>
      <c r="AI1472" s="406">
        <f>IF(A1472="Codarus",(M1472*0.13))</f>
        <v>39</v>
      </c>
      <c r="AJ1472" s="104">
        <f>SUM(AC1472:AI1472)</f>
        <v>137.5</v>
      </c>
      <c r="AK1472" s="830">
        <f t="shared" si="518"/>
        <v>0.54166666666666663</v>
      </c>
      <c r="AL1472" s="660">
        <f>Table1[[#This Row],[WSP/Dealer]]/Table1[[#This Row],[OD Sq Inch]]</f>
        <v>1.3574660633484164</v>
      </c>
      <c r="AM1472" s="399">
        <f>Table1[[#This Row],[OD Wdth]]*Table1[[#This Row],[OD Hgt]]</f>
        <v>221</v>
      </c>
      <c r="AN1472" s="400">
        <f>Table1[[#This Row],[Min VO]]+Table1[[#This Row],[Max VO]]</f>
        <v>28</v>
      </c>
      <c r="AO1472" s="115"/>
      <c r="AP1472" s="408">
        <v>600</v>
      </c>
      <c r="AQ1472" s="121">
        <f>(Table1[[#This Row],[Desgnr/Retail P]]*0.05)</f>
        <v>30</v>
      </c>
      <c r="AR1472" s="121">
        <f>IF(A1472="Codarus",(AP1472*0.13))</f>
        <v>78</v>
      </c>
      <c r="AS1472" s="121">
        <f>SUM(Table1[[#This Row],[Substrate $]:[GP FINISH]])+Table1[[#This Row],[Retail Royalty]]+Table1[[#This Row],[Retail$Comm]]</f>
        <v>191.5</v>
      </c>
      <c r="AT1472" s="830">
        <f>IF(AP1472=0,"-",(AP1472-AS1472)/AP1472)</f>
        <v>0.68083333333333329</v>
      </c>
      <c r="AU1472" s="1359">
        <f t="shared" si="500"/>
        <v>0.97730555555555554</v>
      </c>
    </row>
    <row r="1473" spans="1:47" s="45" customFormat="1" x14ac:dyDescent="0.2">
      <c r="A1473" s="86" t="s">
        <v>58</v>
      </c>
      <c r="B1473" s="1061" t="s">
        <v>619</v>
      </c>
      <c r="C1473" s="81" t="s">
        <v>3498</v>
      </c>
      <c r="D1473" s="94" t="s">
        <v>3499</v>
      </c>
      <c r="E1473" s="85" t="s">
        <v>3500</v>
      </c>
      <c r="F1473" s="85" t="s">
        <v>3501</v>
      </c>
      <c r="G1473" s="86" t="s">
        <v>3502</v>
      </c>
      <c r="H1473" s="86" t="s">
        <v>3502</v>
      </c>
      <c r="I1473" s="86" t="s">
        <v>52</v>
      </c>
      <c r="J1473" s="86" t="s">
        <v>53</v>
      </c>
      <c r="K1473" s="86" t="s">
        <v>54</v>
      </c>
      <c r="L1473" s="86" t="s">
        <v>55</v>
      </c>
      <c r="M1473" s="87">
        <v>625</v>
      </c>
      <c r="N1473" s="639">
        <v>675</v>
      </c>
      <c r="O1473" s="101" t="s">
        <v>56</v>
      </c>
      <c r="P1473" s="273">
        <v>56</v>
      </c>
      <c r="Q1473" s="273">
        <v>26</v>
      </c>
      <c r="R1473" s="60">
        <v>26</v>
      </c>
      <c r="S1473" s="273">
        <v>56</v>
      </c>
      <c r="T1473" s="273">
        <f>Table1[[#This Row],[VO Wdth]]</f>
        <v>56</v>
      </c>
      <c r="U1473" s="273">
        <f>Table1[[#This Row],[VO Hgt]]</f>
        <v>26</v>
      </c>
      <c r="V1473" s="608">
        <f t="shared" si="519"/>
        <v>64</v>
      </c>
      <c r="W1473" s="608">
        <f t="shared" si="520"/>
        <v>34</v>
      </c>
      <c r="X1473" s="138">
        <v>40</v>
      </c>
      <c r="Y1473" s="60">
        <v>34</v>
      </c>
      <c r="Z1473" s="60">
        <v>64</v>
      </c>
      <c r="AA1473" s="649">
        <f t="shared" ref="AA1473:AA1479" si="521">V1473*W1473/144</f>
        <v>15.111111111111111</v>
      </c>
      <c r="AB1473" s="184">
        <f t="shared" ref="AB1473:AB1479" si="522">AA1473*IncaG</f>
        <v>317.93777777777774</v>
      </c>
      <c r="AC1473" s="104">
        <f>AA1473*Canvas</f>
        <v>9.9733333333333327</v>
      </c>
      <c r="AD1473" s="107">
        <f>AA1473*IncaC</f>
        <v>25.435022222222223</v>
      </c>
      <c r="AE1473" s="104">
        <f>IF(Table1[[#This Row],[Work Center]]="SwissQ",Materials!G$37,IF(Table1[[#This Row],[Work Center]]="Inca",Materials!G$29,IF(Table1[[#This Row],[Work Center]]="Canon",Materials!G$49,Materials!G$45)))</f>
        <v>8</v>
      </c>
      <c r="AF1473" s="69">
        <f>'Cali FPS'!C$43</f>
        <v>106.75</v>
      </c>
      <c r="AG1473" s="115"/>
      <c r="AH1473" s="498">
        <f t="shared" si="517"/>
        <v>31.25</v>
      </c>
      <c r="AI1473" s="498"/>
      <c r="AJ1473" s="104">
        <f t="shared" ref="AJ1473:AJ1479" si="523">SUM(AC1473:AH1473)</f>
        <v>181.40835555555554</v>
      </c>
      <c r="AK1473" s="650">
        <f t="shared" si="518"/>
        <v>0.70974663111111114</v>
      </c>
      <c r="AL1473" s="225">
        <f>Table1[[#This Row],[WSP/Dealer]]/Table1[[#This Row],[OD Sq Inch]]</f>
        <v>0.42925824175824173</v>
      </c>
      <c r="AM1473" s="46">
        <f>Table1[[#This Row],[OD Wdth]]*Table1[[#This Row],[OD Hgt]]</f>
        <v>1456</v>
      </c>
      <c r="AN1473" s="216">
        <f>Table1[[#This Row],[Min VO]]+Table1[[#This Row],[Max VO]]</f>
        <v>82</v>
      </c>
      <c r="AO1473" s="101"/>
      <c r="AP1473" s="101"/>
      <c r="AQ1473" s="104"/>
      <c r="AR1473" s="104"/>
      <c r="AS1473" s="104"/>
      <c r="AT1473" s="104"/>
      <c r="AU1473" s="830" t="str">
        <f t="shared" si="500"/>
        <v>-</v>
      </c>
    </row>
    <row r="1474" spans="1:47" s="170" customFormat="1" x14ac:dyDescent="0.2">
      <c r="A1474" s="101" t="s">
        <v>58</v>
      </c>
      <c r="B1474" s="1067" t="s">
        <v>111</v>
      </c>
      <c r="C1474" s="1203" t="s">
        <v>3503</v>
      </c>
      <c r="D1474" s="168"/>
      <c r="E1474" s="115" t="s">
        <v>3504</v>
      </c>
      <c r="F1474" s="115" t="s">
        <v>1738</v>
      </c>
      <c r="G1474" s="303" t="s">
        <v>115</v>
      </c>
      <c r="H1474" s="303" t="s">
        <v>115</v>
      </c>
      <c r="I1474" s="303" t="s">
        <v>52</v>
      </c>
      <c r="J1474" s="1320" t="s">
        <v>53</v>
      </c>
      <c r="K1474" s="303" t="s">
        <v>54</v>
      </c>
      <c r="L1474" s="303" t="s">
        <v>55</v>
      </c>
      <c r="M1474" s="299">
        <v>750</v>
      </c>
      <c r="N1474" s="114"/>
      <c r="O1474" s="101" t="s">
        <v>56</v>
      </c>
      <c r="P1474" s="697">
        <v>48</v>
      </c>
      <c r="Q1474" s="697">
        <v>48</v>
      </c>
      <c r="R1474" s="101">
        <v>48</v>
      </c>
      <c r="S1474" s="697">
        <v>48</v>
      </c>
      <c r="T1474" s="697">
        <v>48</v>
      </c>
      <c r="U1474" s="697">
        <v>48</v>
      </c>
      <c r="V1474" s="106">
        <f t="shared" si="519"/>
        <v>56</v>
      </c>
      <c r="W1474" s="106">
        <f t="shared" si="520"/>
        <v>56</v>
      </c>
      <c r="X1474" s="101">
        <v>59</v>
      </c>
      <c r="Y1474" s="101">
        <v>56</v>
      </c>
      <c r="Z1474" s="101">
        <v>56</v>
      </c>
      <c r="AA1474" s="649">
        <f t="shared" si="521"/>
        <v>21.777777777777779</v>
      </c>
      <c r="AB1474" s="184">
        <f t="shared" si="522"/>
        <v>458.20444444444445</v>
      </c>
      <c r="AC1474" s="104">
        <f t="shared" ref="AC1474:AC1479" si="524">AA1474*MDF</f>
        <v>21.542986111111116</v>
      </c>
      <c r="AD1474" s="1066">
        <f>Table1[[#This Row],[Substrate SF]]*IncaC</f>
        <v>36.656355555555557</v>
      </c>
      <c r="AE1474" s="104">
        <f>IF(Table1[[#This Row],[Work Center]]="SwissQ",Materials!G$37,IF(Table1[[#This Row],[Work Center]]="Inca",Materials!G$29,IF(Table1[[#This Row],[Work Center]]="Canon",Materials!G$49,Materials!G$45)))</f>
        <v>8</v>
      </c>
      <c r="AF1474" s="102">
        <f>'Cali FPS'!C117</f>
        <v>119.7</v>
      </c>
      <c r="AG1474" s="115"/>
      <c r="AH1474" s="104">
        <f t="shared" si="517"/>
        <v>37.5</v>
      </c>
      <c r="AI1474" s="104"/>
      <c r="AJ1474" s="104">
        <f t="shared" si="523"/>
        <v>223.39934166666666</v>
      </c>
      <c r="AK1474" s="830">
        <f t="shared" si="518"/>
        <v>0.70213421111111107</v>
      </c>
      <c r="AL1474" s="104">
        <f>Table1[[#This Row],[WSP/Dealer]]/Table1[[#This Row],[OD Sq Inch]]</f>
        <v>0.32552083333333331</v>
      </c>
      <c r="AM1474" s="103">
        <f>Table1[[#This Row],[OD Wdth]]*Table1[[#This Row],[OD Hgt]]</f>
        <v>2304</v>
      </c>
      <c r="AN1474" s="101">
        <f>Table1[[#This Row],[Min VO]]+Table1[[#This Row],[Max VO]]</f>
        <v>96</v>
      </c>
      <c r="AO1474" s="115"/>
      <c r="AP1474" s="115"/>
      <c r="AQ1474" s="104"/>
      <c r="AR1474" s="104"/>
      <c r="AS1474" s="104"/>
      <c r="AT1474" s="104"/>
      <c r="AU1474" s="1359" t="str">
        <f t="shared" si="500"/>
        <v>-</v>
      </c>
    </row>
    <row r="1475" spans="1:47" s="399" customFormat="1" x14ac:dyDescent="0.2">
      <c r="A1475" s="68" t="s">
        <v>58</v>
      </c>
      <c r="B1475" s="1072" t="s">
        <v>111</v>
      </c>
      <c r="C1475" s="257" t="s">
        <v>3505</v>
      </c>
      <c r="D1475" s="94"/>
      <c r="E1475" s="84" t="s">
        <v>3504</v>
      </c>
      <c r="F1475" s="84" t="s">
        <v>1738</v>
      </c>
      <c r="G1475" s="68" t="s">
        <v>115</v>
      </c>
      <c r="H1475" s="68" t="s">
        <v>145</v>
      </c>
      <c r="I1475" s="68" t="s">
        <v>52</v>
      </c>
      <c r="J1475" s="140" t="s">
        <v>53</v>
      </c>
      <c r="K1475" s="68" t="s">
        <v>69</v>
      </c>
      <c r="L1475" s="68" t="s">
        <v>70</v>
      </c>
      <c r="M1475" s="141">
        <v>970</v>
      </c>
      <c r="N1475" s="93"/>
      <c r="O1475" s="68" t="s">
        <v>56</v>
      </c>
      <c r="P1475" s="623">
        <v>48</v>
      </c>
      <c r="Q1475" s="623">
        <v>48</v>
      </c>
      <c r="R1475" s="68">
        <v>48</v>
      </c>
      <c r="S1475" s="623">
        <v>48</v>
      </c>
      <c r="T1475" s="623">
        <v>49</v>
      </c>
      <c r="U1475" s="623">
        <v>49</v>
      </c>
      <c r="V1475" s="66">
        <f t="shared" si="519"/>
        <v>56</v>
      </c>
      <c r="W1475" s="66">
        <f t="shared" si="520"/>
        <v>56</v>
      </c>
      <c r="X1475" s="68">
        <v>59</v>
      </c>
      <c r="Y1475" s="68">
        <v>56</v>
      </c>
      <c r="Z1475" s="68">
        <v>56</v>
      </c>
      <c r="AA1475" s="699">
        <f t="shared" si="521"/>
        <v>21.777777777777779</v>
      </c>
      <c r="AB1475" s="297">
        <f t="shared" si="522"/>
        <v>458.20444444444445</v>
      </c>
      <c r="AC1475" s="74">
        <f t="shared" si="524"/>
        <v>21.542986111111116</v>
      </c>
      <c r="AD1475" s="319">
        <f>Table1[[#This Row],[Substrate SF]]*IncaC</f>
        <v>36.656355555555557</v>
      </c>
      <c r="AE1475" s="74">
        <f>IF(Table1[[#This Row],[Work Center]]="SwissQ",Materials!G$37,IF(Table1[[#This Row],[Work Center]]="Inca",Materials!G$29,IF(Table1[[#This Row],[Work Center]]="Canon",Materials!G$49,Materials!G$45)))</f>
        <v>8</v>
      </c>
      <c r="AF1475" s="73">
        <f>'Cali Frames'!D331</f>
        <v>171.26</v>
      </c>
      <c r="AG1475" s="84"/>
      <c r="AH1475" s="74">
        <f t="shared" si="517"/>
        <v>48.5</v>
      </c>
      <c r="AI1475" s="74"/>
      <c r="AJ1475" s="74">
        <f t="shared" si="523"/>
        <v>285.95934166666666</v>
      </c>
      <c r="AK1475" s="1001">
        <f t="shared" si="518"/>
        <v>0.70519655498281786</v>
      </c>
      <c r="AL1475" s="74">
        <f>Table1[[#This Row],[WSP/Dealer]]/Table1[[#This Row],[OD Sq Inch]]</f>
        <v>0.40399833402748853</v>
      </c>
      <c r="AM1475" s="63">
        <f>Table1[[#This Row],[OD Wdth]]*Table1[[#This Row],[OD Hgt]]</f>
        <v>2401</v>
      </c>
      <c r="AN1475" s="68">
        <f>Table1[[#This Row],[Min VO]]+Table1[[#This Row],[Max VO]]</f>
        <v>96</v>
      </c>
      <c r="AO1475" s="119"/>
      <c r="AP1475" s="84"/>
      <c r="AQ1475" s="74"/>
      <c r="AR1475" s="74"/>
      <c r="AS1475" s="74"/>
      <c r="AT1475" s="74"/>
      <c r="AU1475" s="1356" t="str">
        <f t="shared" si="500"/>
        <v>-</v>
      </c>
    </row>
    <row r="1476" spans="1:47" s="103" customFormat="1" x14ac:dyDescent="0.2">
      <c r="A1476" s="68" t="s">
        <v>58</v>
      </c>
      <c r="B1476" s="1072" t="s">
        <v>111</v>
      </c>
      <c r="C1476" s="559" t="s">
        <v>3506</v>
      </c>
      <c r="D1476" s="94"/>
      <c r="E1476" s="84" t="s">
        <v>3504</v>
      </c>
      <c r="F1476" s="84" t="s">
        <v>1738</v>
      </c>
      <c r="G1476" s="282" t="s">
        <v>115</v>
      </c>
      <c r="H1476" s="282" t="s">
        <v>387</v>
      </c>
      <c r="I1476" s="282" t="s">
        <v>52</v>
      </c>
      <c r="J1476" s="808" t="s">
        <v>53</v>
      </c>
      <c r="K1476" s="282" t="s">
        <v>82</v>
      </c>
      <c r="L1476" s="282" t="s">
        <v>83</v>
      </c>
      <c r="M1476" s="93">
        <v>970</v>
      </c>
      <c r="N1476" s="93"/>
      <c r="O1476" s="68" t="s">
        <v>56</v>
      </c>
      <c r="P1476" s="623">
        <v>48</v>
      </c>
      <c r="Q1476" s="623">
        <v>48</v>
      </c>
      <c r="R1476" s="68">
        <v>48</v>
      </c>
      <c r="S1476" s="65">
        <v>48</v>
      </c>
      <c r="T1476" s="623">
        <v>50</v>
      </c>
      <c r="U1476" s="623">
        <v>50</v>
      </c>
      <c r="V1476" s="66">
        <f t="shared" si="519"/>
        <v>56</v>
      </c>
      <c r="W1476" s="66">
        <f t="shared" si="520"/>
        <v>56</v>
      </c>
      <c r="X1476" s="68">
        <v>59</v>
      </c>
      <c r="Y1476" s="68">
        <v>56</v>
      </c>
      <c r="Z1476" s="68">
        <v>56</v>
      </c>
      <c r="AA1476" s="699">
        <f t="shared" si="521"/>
        <v>21.777777777777779</v>
      </c>
      <c r="AB1476" s="297">
        <f t="shared" si="522"/>
        <v>458.20444444444445</v>
      </c>
      <c r="AC1476" s="74">
        <f t="shared" si="524"/>
        <v>21.542986111111116</v>
      </c>
      <c r="AD1476" s="319">
        <f>Table1[[#This Row],[Substrate SF]]*IncaC</f>
        <v>36.656355555555557</v>
      </c>
      <c r="AE1476" s="74">
        <f>IF(Table1[[#This Row],[Work Center]]="SwissQ",Materials!G$37,IF(Table1[[#This Row],[Work Center]]="Inca",Materials!G$29,IF(Table1[[#This Row],[Work Center]]="Canon",Materials!G$49,Materials!G$45)))</f>
        <v>8</v>
      </c>
      <c r="AF1476" s="73">
        <f>'Cali Frames'!D152</f>
        <v>156.16999999999999</v>
      </c>
      <c r="AG1476" s="84"/>
      <c r="AH1476" s="74">
        <f t="shared" si="517"/>
        <v>48.5</v>
      </c>
      <c r="AI1476" s="74"/>
      <c r="AJ1476" s="74">
        <f t="shared" si="523"/>
        <v>270.86934166666663</v>
      </c>
      <c r="AK1476" s="1001">
        <f t="shared" si="518"/>
        <v>0.72075325601374574</v>
      </c>
      <c r="AL1476" s="74">
        <f>Table1[[#This Row],[WSP/Dealer]]/Table1[[#This Row],[OD Sq Inch]]</f>
        <v>0.38800000000000001</v>
      </c>
      <c r="AM1476" s="63">
        <f>Table1[[#This Row],[OD Wdth]]*Table1[[#This Row],[OD Hgt]]</f>
        <v>2500</v>
      </c>
      <c r="AN1476" s="68">
        <f>Table1[[#This Row],[Min VO]]+Table1[[#This Row],[Max VO]]</f>
        <v>96</v>
      </c>
      <c r="AO1476" s="84"/>
      <c r="AP1476" s="84"/>
      <c r="AQ1476" s="74"/>
      <c r="AR1476" s="74"/>
      <c r="AS1476" s="74"/>
      <c r="AT1476" s="74"/>
      <c r="AU1476" s="1357" t="str">
        <f t="shared" si="500"/>
        <v>-</v>
      </c>
    </row>
    <row r="1477" spans="1:47" s="103" customFormat="1" x14ac:dyDescent="0.2">
      <c r="A1477" s="68" t="s">
        <v>58</v>
      </c>
      <c r="B1477" s="1072" t="s">
        <v>111</v>
      </c>
      <c r="C1477" s="257" t="s">
        <v>3507</v>
      </c>
      <c r="D1477" s="94"/>
      <c r="E1477" s="84" t="s">
        <v>3504</v>
      </c>
      <c r="F1477" s="84" t="s">
        <v>1738</v>
      </c>
      <c r="G1477" s="68" t="s">
        <v>115</v>
      </c>
      <c r="H1477" s="68" t="s">
        <v>387</v>
      </c>
      <c r="I1477" s="68" t="s">
        <v>52</v>
      </c>
      <c r="J1477" s="140" t="s">
        <v>53</v>
      </c>
      <c r="K1477" s="68" t="s">
        <v>82</v>
      </c>
      <c r="L1477" s="68" t="s">
        <v>298</v>
      </c>
      <c r="M1477" s="93">
        <v>970</v>
      </c>
      <c r="N1477" s="93"/>
      <c r="O1477" s="68" t="s">
        <v>56</v>
      </c>
      <c r="P1477" s="623">
        <v>48</v>
      </c>
      <c r="Q1477" s="623">
        <v>48</v>
      </c>
      <c r="R1477" s="68">
        <v>48</v>
      </c>
      <c r="S1477" s="623">
        <v>48</v>
      </c>
      <c r="T1477" s="623">
        <v>50</v>
      </c>
      <c r="U1477" s="623">
        <v>50</v>
      </c>
      <c r="V1477" s="917">
        <f t="shared" si="519"/>
        <v>56</v>
      </c>
      <c r="W1477" s="917">
        <f t="shared" si="520"/>
        <v>56</v>
      </c>
      <c r="X1477" s="68">
        <v>59</v>
      </c>
      <c r="Y1477" s="68">
        <v>56</v>
      </c>
      <c r="Z1477" s="68">
        <v>56</v>
      </c>
      <c r="AA1477" s="699">
        <f t="shared" si="521"/>
        <v>21.777777777777779</v>
      </c>
      <c r="AB1477" s="297">
        <f t="shared" si="522"/>
        <v>458.20444444444445</v>
      </c>
      <c r="AC1477" s="74">
        <f t="shared" si="524"/>
        <v>21.542986111111116</v>
      </c>
      <c r="AD1477" s="320">
        <f>Table1[[#This Row],[Substrate SF]]*IncaC</f>
        <v>36.656355555555557</v>
      </c>
      <c r="AE1477" s="74">
        <f>IF(Table1[[#This Row],[Work Center]]="SwissQ",Materials!G$37,IF(Table1[[#This Row],[Work Center]]="Inca",Materials!G$29,IF(Table1[[#This Row],[Work Center]]="Canon",Materials!G$49,Materials!G$45)))</f>
        <v>8</v>
      </c>
      <c r="AF1477" s="73">
        <f>'Cali Frames'!D237</f>
        <v>165.06</v>
      </c>
      <c r="AG1477" s="84"/>
      <c r="AH1477" s="74">
        <f t="shared" si="517"/>
        <v>48.5</v>
      </c>
      <c r="AI1477" s="74"/>
      <c r="AJ1477" s="74">
        <f t="shared" si="523"/>
        <v>279.75934166666667</v>
      </c>
      <c r="AK1477" s="1001">
        <f t="shared" si="518"/>
        <v>0.71158830756013747</v>
      </c>
      <c r="AL1477" s="74">
        <f>Table1[[#This Row],[WSP/Dealer]]/Table1[[#This Row],[OD Sq Inch]]</f>
        <v>0.38800000000000001</v>
      </c>
      <c r="AM1477" s="68">
        <f>Table1[[#This Row],[OD Wdth]]*Table1[[#This Row],[OD Hgt]]</f>
        <v>2500</v>
      </c>
      <c r="AN1477" s="68">
        <f>Table1[[#This Row],[Min VO]]+Table1[[#This Row],[Max VO]]</f>
        <v>96</v>
      </c>
      <c r="AO1477" s="84"/>
      <c r="AP1477" s="84"/>
      <c r="AQ1477" s="74"/>
      <c r="AR1477" s="74"/>
      <c r="AS1477" s="74"/>
      <c r="AT1477" s="74"/>
      <c r="AU1477" s="1357" t="str">
        <f t="shared" si="500"/>
        <v>-</v>
      </c>
    </row>
    <row r="1478" spans="1:47" s="63" customFormat="1" x14ac:dyDescent="0.2">
      <c r="A1478" s="68" t="s">
        <v>58</v>
      </c>
      <c r="B1478" s="1072" t="s">
        <v>111</v>
      </c>
      <c r="C1478" s="257" t="s">
        <v>3508</v>
      </c>
      <c r="D1478" s="94"/>
      <c r="E1478" s="84" t="s">
        <v>3504</v>
      </c>
      <c r="F1478" s="84" t="s">
        <v>1738</v>
      </c>
      <c r="G1478" s="68" t="s">
        <v>115</v>
      </c>
      <c r="H1478" s="68" t="s">
        <v>387</v>
      </c>
      <c r="I1478" s="68" t="s">
        <v>52</v>
      </c>
      <c r="J1478" s="140" t="s">
        <v>53</v>
      </c>
      <c r="K1478" s="68" t="s">
        <v>82</v>
      </c>
      <c r="L1478" s="68" t="s">
        <v>334</v>
      </c>
      <c r="M1478" s="93">
        <v>970</v>
      </c>
      <c r="N1478" s="93"/>
      <c r="O1478" s="68" t="s">
        <v>56</v>
      </c>
      <c r="P1478" s="623">
        <v>48</v>
      </c>
      <c r="Q1478" s="623">
        <v>48</v>
      </c>
      <c r="R1478" s="68">
        <v>48</v>
      </c>
      <c r="S1478" s="65">
        <v>48</v>
      </c>
      <c r="T1478" s="65">
        <v>50</v>
      </c>
      <c r="U1478" s="65">
        <v>50</v>
      </c>
      <c r="V1478" s="66">
        <f t="shared" si="519"/>
        <v>56</v>
      </c>
      <c r="W1478" s="66">
        <f t="shared" si="520"/>
        <v>56</v>
      </c>
      <c r="X1478" s="68">
        <v>59</v>
      </c>
      <c r="Y1478" s="68">
        <v>56</v>
      </c>
      <c r="Z1478" s="68">
        <v>56</v>
      </c>
      <c r="AA1478" s="699">
        <f t="shared" si="521"/>
        <v>21.777777777777779</v>
      </c>
      <c r="AB1478" s="297">
        <f t="shared" si="522"/>
        <v>458.20444444444445</v>
      </c>
      <c r="AC1478" s="74">
        <f t="shared" si="524"/>
        <v>21.542986111111116</v>
      </c>
      <c r="AD1478" s="319">
        <f>Table1[[#This Row],[Substrate SF]]*IncaC</f>
        <v>36.656355555555557</v>
      </c>
      <c r="AE1478" s="74">
        <f>IF(Table1[[#This Row],[Work Center]]="SwissQ",Materials!G$37,IF(Table1[[#This Row],[Work Center]]="Inca",Materials!G$29,IF(Table1[[#This Row],[Work Center]]="Canon",Materials!G$49,Materials!G$45)))</f>
        <v>8</v>
      </c>
      <c r="AF1478" s="73">
        <f>'Cali Frames'!D215</f>
        <v>150.88499999999999</v>
      </c>
      <c r="AG1478" s="84"/>
      <c r="AH1478" s="74">
        <f t="shared" si="517"/>
        <v>48.5</v>
      </c>
      <c r="AI1478" s="74"/>
      <c r="AJ1478" s="74">
        <f t="shared" si="523"/>
        <v>265.58434166666666</v>
      </c>
      <c r="AK1478" s="1001">
        <f t="shared" si="518"/>
        <v>0.72620170962199315</v>
      </c>
      <c r="AL1478" s="74">
        <f>Table1[[#This Row],[WSP/Dealer]]/Table1[[#This Row],[OD Sq Inch]]</f>
        <v>0.38800000000000001</v>
      </c>
      <c r="AM1478" s="63">
        <f>Table1[[#This Row],[OD Wdth]]*Table1[[#This Row],[OD Hgt]]</f>
        <v>2500</v>
      </c>
      <c r="AN1478" s="68">
        <f>Table1[[#This Row],[Min VO]]+Table1[[#This Row],[Max VO]]</f>
        <v>96</v>
      </c>
      <c r="AO1478" s="119"/>
      <c r="AP1478" s="84"/>
      <c r="AQ1478" s="74"/>
      <c r="AR1478" s="74"/>
      <c r="AS1478" s="74"/>
      <c r="AT1478" s="74"/>
      <c r="AU1478" s="1356" t="str">
        <f t="shared" ref="AU1478:AU1541" si="525">IF(AQ1478=0,"-",(AQ1478-AT1478)/AQ1478)</f>
        <v>-</v>
      </c>
    </row>
    <row r="1479" spans="1:47" s="63" customFormat="1" hidden="1" x14ac:dyDescent="0.2">
      <c r="A1479" s="551" t="s">
        <v>140</v>
      </c>
      <c r="B1479" s="1061" t="s">
        <v>141</v>
      </c>
      <c r="C1479" s="1032" t="s">
        <v>3509</v>
      </c>
      <c r="D1479" s="94"/>
      <c r="E1479" s="653" t="s">
        <v>3510</v>
      </c>
      <c r="F1479" s="653" t="s">
        <v>138</v>
      </c>
      <c r="G1479" s="551" t="s">
        <v>139</v>
      </c>
      <c r="H1479" s="551" t="s">
        <v>139</v>
      </c>
      <c r="I1479" s="551" t="s">
        <v>52</v>
      </c>
      <c r="J1479" s="856" t="s">
        <v>280</v>
      </c>
      <c r="K1479" s="551" t="s">
        <v>281</v>
      </c>
      <c r="L1479" s="551" t="s">
        <v>282</v>
      </c>
      <c r="M1479" s="857">
        <v>350</v>
      </c>
      <c r="N1479" s="858">
        <f>Table1[[#This Row],[WSP/Dealer]]/0.35</f>
        <v>1000.0000000000001</v>
      </c>
      <c r="O1479" s="551" t="s">
        <v>56</v>
      </c>
      <c r="P1479" s="551">
        <v>24</v>
      </c>
      <c r="Q1479" s="551">
        <v>24</v>
      </c>
      <c r="R1479" s="551">
        <v>24</v>
      </c>
      <c r="S1479" s="984">
        <v>24</v>
      </c>
      <c r="T1479" s="551">
        <v>24</v>
      </c>
      <c r="U1479" s="984">
        <v>24</v>
      </c>
      <c r="V1479" s="881">
        <v>24</v>
      </c>
      <c r="W1479" s="881">
        <v>24</v>
      </c>
      <c r="X1479" s="311" t="s">
        <v>283</v>
      </c>
      <c r="Y1479" s="551">
        <v>24</v>
      </c>
      <c r="Z1479" s="551">
        <v>24</v>
      </c>
      <c r="AA1479" s="860">
        <f t="shared" si="521"/>
        <v>4</v>
      </c>
      <c r="AB1479" s="861">
        <f t="shared" si="522"/>
        <v>84.16</v>
      </c>
      <c r="AC1479" s="863">
        <f t="shared" si="524"/>
        <v>3.9568750000000006</v>
      </c>
      <c r="AD1479" s="876">
        <f>Table1[[#This Row],[Substrate SF]]*IncaC</f>
        <v>6.7328000000000001</v>
      </c>
      <c r="AE1479" s="863">
        <f>IF(Table1[[#This Row],[Work Center]]="SwissQ",Materials!G$37,IF(Table1[[#This Row],[Work Center]]="Inca",Materials!G$29,IF(Table1[[#This Row],[Work Center]]="Canon",Materials!G$49,Materials!G$45)))</f>
        <v>8</v>
      </c>
      <c r="AF1479" s="71">
        <f>'Cali Frames'!D538</f>
        <v>90.37</v>
      </c>
      <c r="AG1479" s="653"/>
      <c r="AH1479" s="867">
        <f t="shared" si="517"/>
        <v>17.5</v>
      </c>
      <c r="AI1479" s="867"/>
      <c r="AJ1479" s="867">
        <f t="shared" si="523"/>
        <v>126.559675</v>
      </c>
      <c r="AK1479" s="1087">
        <f t="shared" si="518"/>
        <v>0.63840092857142861</v>
      </c>
      <c r="AL1479" s="867">
        <f>Table1[[#This Row],[WSP/Dealer]]/Table1[[#This Row],[OD Sq Inch]]</f>
        <v>0.60763888888888884</v>
      </c>
      <c r="AM1479" s="868">
        <f>Table1[[#This Row],[OD Wdth]]*Table1[[#This Row],[OD Hgt]]</f>
        <v>576</v>
      </c>
      <c r="AN1479" s="869">
        <f>Table1[[#This Row],[Min VO]]+Table1[[#This Row],[Max VO]]</f>
        <v>48</v>
      </c>
      <c r="AO1479" s="653"/>
      <c r="AP1479" s="653"/>
      <c r="AQ1479" s="864"/>
      <c r="AR1479" s="864"/>
      <c r="AS1479" s="864"/>
      <c r="AT1479" s="863"/>
      <c r="AU1479" s="1364" t="str">
        <f t="shared" si="525"/>
        <v>-</v>
      </c>
    </row>
    <row r="1480" spans="1:47" s="63" customFormat="1" x14ac:dyDescent="0.2">
      <c r="A1480" s="68" t="s">
        <v>58</v>
      </c>
      <c r="B1480" s="1072"/>
      <c r="C1480" s="257"/>
      <c r="D1480" s="94"/>
      <c r="E1480" s="84" t="s">
        <v>3511</v>
      </c>
      <c r="F1480" s="84" t="s">
        <v>1738</v>
      </c>
      <c r="G1480" s="68" t="s">
        <v>647</v>
      </c>
      <c r="H1480" s="68" t="s">
        <v>647</v>
      </c>
      <c r="I1480" s="68" t="s">
        <v>52</v>
      </c>
      <c r="J1480" s="140" t="s">
        <v>53</v>
      </c>
      <c r="K1480" s="68" t="s">
        <v>54</v>
      </c>
      <c r="L1480" s="68" t="s">
        <v>55</v>
      </c>
      <c r="M1480" s="93"/>
      <c r="N1480" s="93"/>
      <c r="O1480" s="68" t="s">
        <v>56</v>
      </c>
      <c r="P1480" s="68"/>
      <c r="Q1480" s="68"/>
      <c r="R1480" s="68"/>
      <c r="S1480" s="65"/>
      <c r="T1480" s="68"/>
      <c r="U1480" s="623"/>
      <c r="V1480" s="66"/>
      <c r="W1480" s="66"/>
      <c r="X1480" s="68"/>
      <c r="Y1480" s="68"/>
      <c r="Z1480" s="68"/>
      <c r="AA1480" s="699"/>
      <c r="AB1480" s="297"/>
      <c r="AC1480" s="74"/>
      <c r="AD1480" s="118"/>
      <c r="AE1480" s="126"/>
      <c r="AF1480" s="73"/>
      <c r="AG1480" s="84"/>
      <c r="AH1480" s="118"/>
      <c r="AI1480" s="118"/>
      <c r="AJ1480" s="126"/>
      <c r="AK1480" s="661"/>
      <c r="AL1480" s="126"/>
      <c r="AM1480" s="119"/>
      <c r="AN1480" s="84"/>
      <c r="AO1480" s="119"/>
      <c r="AP1480" s="84"/>
      <c r="AQ1480" s="126"/>
      <c r="AR1480" s="126"/>
      <c r="AS1480" s="126"/>
      <c r="AT1480" s="74"/>
      <c r="AU1480" s="1356" t="str">
        <f t="shared" si="525"/>
        <v>-</v>
      </c>
    </row>
    <row r="1481" spans="1:47" s="103" customFormat="1" hidden="1" x14ac:dyDescent="0.2">
      <c r="A1481" s="101" t="s">
        <v>1287</v>
      </c>
      <c r="B1481" s="1067" t="s">
        <v>801</v>
      </c>
      <c r="C1481" s="719" t="s">
        <v>3512</v>
      </c>
      <c r="D1481" s="94"/>
      <c r="E1481" s="1266" t="s">
        <v>3513</v>
      </c>
      <c r="F1481" s="115" t="s">
        <v>889</v>
      </c>
      <c r="G1481" s="101" t="s">
        <v>519</v>
      </c>
      <c r="H1481" s="101" t="s">
        <v>688</v>
      </c>
      <c r="I1481" s="101" t="s">
        <v>256</v>
      </c>
      <c r="J1481" s="487" t="s">
        <v>257</v>
      </c>
      <c r="K1481" s="101" t="s">
        <v>1444</v>
      </c>
      <c r="L1481" s="101" t="s">
        <v>3514</v>
      </c>
      <c r="M1481" s="114">
        <v>200</v>
      </c>
      <c r="N1481" s="114"/>
      <c r="O1481" s="101" t="s">
        <v>260</v>
      </c>
      <c r="P1481" s="101">
        <v>16</v>
      </c>
      <c r="Q1481" s="101">
        <v>20</v>
      </c>
      <c r="R1481" s="101">
        <v>16</v>
      </c>
      <c r="S1481" s="116">
        <v>20</v>
      </c>
      <c r="T1481" s="101">
        <v>17</v>
      </c>
      <c r="U1481" s="697">
        <v>21</v>
      </c>
      <c r="V1481" s="106">
        <f t="shared" ref="V1481:V1488" si="526">IF(J1481="Canvas",P1481+Border,P1481)</f>
        <v>16</v>
      </c>
      <c r="W1481" s="106">
        <f t="shared" ref="W1481:W1488" si="527">IF(J1481="Canvas",Q1481+Border,Q1481)</f>
        <v>20</v>
      </c>
      <c r="X1481" s="101" t="s">
        <v>257</v>
      </c>
      <c r="Y1481" s="101">
        <v>16</v>
      </c>
      <c r="Z1481" s="101">
        <v>20</v>
      </c>
      <c r="AA1481" s="649">
        <f t="shared" ref="AA1481:AA1505" si="528">V1481*W1481/144</f>
        <v>2.2222222222222223</v>
      </c>
      <c r="AB1481" s="184">
        <f t="shared" ref="AB1481:AB1488" si="529">AA1481*canonML</f>
        <v>10.666666666666666</v>
      </c>
      <c r="AC1481" s="104">
        <f>Table1[[#This Row],[Print Wth]]*paper60</f>
        <v>5.44</v>
      </c>
      <c r="AD1481" s="107">
        <f>Table1[[#This Row],[Ink g/mL]]*CanonC</f>
        <v>2.88</v>
      </c>
      <c r="AE1481" s="104">
        <f>IF(Table1[[#This Row],[Work Center]]="SwissQ",Materials!G$37,IF(Table1[[#This Row],[Work Center]]="Inca",Materials!G$29,IF(Table1[[#This Row],[Work Center]]="Canon",Materials!G$49,Materials!G$45)))</f>
        <v>7</v>
      </c>
      <c r="AF1481" s="102">
        <f>'Cali Frames'!D22</f>
        <v>82.44</v>
      </c>
      <c r="AG1481" s="115"/>
      <c r="AH1481" s="107">
        <f t="shared" ref="AH1481:AH1508" si="530">(M1481*0.05)</f>
        <v>10</v>
      </c>
      <c r="AI1481" s="107"/>
      <c r="AJ1481" s="406">
        <f>SUM(AC1481:AH1481)</f>
        <v>107.75999999999999</v>
      </c>
      <c r="AK1481" s="108">
        <f t="shared" ref="AK1481:AK1512" si="531">(M1481-AJ1481)/M1481</f>
        <v>0.46120000000000005</v>
      </c>
      <c r="AL1481" s="660">
        <f>Table1[[#This Row],[WSP/Dealer]]/Table1[[#This Row],[OD Sq Inch]]</f>
        <v>0.56022408963585435</v>
      </c>
      <c r="AM1481" s="399">
        <f>Table1[[#This Row],[OD Wdth]]*Table1[[#This Row],[OD Hgt]]</f>
        <v>357</v>
      </c>
      <c r="AN1481" s="266">
        <f>Table1[[#This Row],[Min VO]]+Table1[[#This Row],[Max VO]]</f>
        <v>36</v>
      </c>
      <c r="AO1481" s="113"/>
      <c r="AP1481" s="115"/>
      <c r="AQ1481" s="121"/>
      <c r="AR1481" s="121"/>
      <c r="AS1481" s="121"/>
      <c r="AT1481" s="104"/>
      <c r="AU1481" s="1367" t="str">
        <f t="shared" si="525"/>
        <v>-</v>
      </c>
    </row>
    <row r="1482" spans="1:47" s="63" customFormat="1" hidden="1" x14ac:dyDescent="0.2">
      <c r="A1482" s="101" t="s">
        <v>110</v>
      </c>
      <c r="B1482" s="1067" t="s">
        <v>250</v>
      </c>
      <c r="C1482" s="719" t="s">
        <v>3515</v>
      </c>
      <c r="D1482" s="168"/>
      <c r="E1482" s="115" t="s">
        <v>3513</v>
      </c>
      <c r="F1482" s="115" t="s">
        <v>889</v>
      </c>
      <c r="G1482" s="101" t="s">
        <v>519</v>
      </c>
      <c r="H1482" s="101" t="s">
        <v>974</v>
      </c>
      <c r="I1482" s="101" t="s">
        <v>256</v>
      </c>
      <c r="J1482" s="487" t="s">
        <v>257</v>
      </c>
      <c r="K1482" s="101" t="s">
        <v>258</v>
      </c>
      <c r="L1482" s="101" t="s">
        <v>259</v>
      </c>
      <c r="M1482" s="299">
        <v>300</v>
      </c>
      <c r="N1482" s="114"/>
      <c r="O1482" s="101" t="s">
        <v>260</v>
      </c>
      <c r="P1482" s="101">
        <v>16</v>
      </c>
      <c r="Q1482" s="101">
        <v>20</v>
      </c>
      <c r="R1482" s="101">
        <v>16</v>
      </c>
      <c r="S1482" s="697">
        <v>20</v>
      </c>
      <c r="T1482" s="101">
        <v>18</v>
      </c>
      <c r="U1482" s="697">
        <v>22</v>
      </c>
      <c r="V1482" s="106">
        <f t="shared" si="526"/>
        <v>16</v>
      </c>
      <c r="W1482" s="106">
        <f t="shared" si="527"/>
        <v>20</v>
      </c>
      <c r="X1482" s="101" t="s">
        <v>257</v>
      </c>
      <c r="Y1482" s="101">
        <v>18</v>
      </c>
      <c r="Z1482" s="101">
        <v>22</v>
      </c>
      <c r="AA1482" s="649">
        <f t="shared" si="528"/>
        <v>2.2222222222222223</v>
      </c>
      <c r="AB1482" s="184">
        <f t="shared" si="529"/>
        <v>10.666666666666666</v>
      </c>
      <c r="AC1482" s="104">
        <f>Table1[[#This Row],[Print Wth]]*paper60</f>
        <v>5.44</v>
      </c>
      <c r="AD1482" s="107">
        <f>Table1[[#This Row],[Ink g/mL]]*CanonC</f>
        <v>2.88</v>
      </c>
      <c r="AE1482" s="104">
        <f>IF(Table1[[#This Row],[Work Center]]="SwissQ",Materials!G$37,IF(Table1[[#This Row],[Work Center]]="Inca",Materials!G$29,IF(Table1[[#This Row],[Work Center]]="Canon",Materials!G$49,Materials!G$45)))</f>
        <v>7</v>
      </c>
      <c r="AF1482" s="102">
        <f>'Cali Frames'!D22</f>
        <v>82.44</v>
      </c>
      <c r="AG1482" s="115"/>
      <c r="AH1482" s="405">
        <f t="shared" si="530"/>
        <v>15</v>
      </c>
      <c r="AI1482" s="405">
        <f>IF(A1482="Codarus",(M1482*0.13))</f>
        <v>39</v>
      </c>
      <c r="AJ1482" s="104">
        <f>SUM(AC1482:AI1482)</f>
        <v>151.76</v>
      </c>
      <c r="AK1482" s="108">
        <f t="shared" si="531"/>
        <v>0.49413333333333337</v>
      </c>
      <c r="AL1482" s="660">
        <f>Table1[[#This Row],[WSP/Dealer]]/Table1[[#This Row],[OD Sq Inch]]</f>
        <v>0.75757575757575757</v>
      </c>
      <c r="AM1482" s="399">
        <f>Table1[[#This Row],[OD Wdth]]*Table1[[#This Row],[OD Hgt]]</f>
        <v>396</v>
      </c>
      <c r="AN1482" s="400">
        <f>Table1[[#This Row],[Min VO]]+Table1[[#This Row],[Max VO]]</f>
        <v>36</v>
      </c>
      <c r="AO1482" s="115"/>
      <c r="AP1482" s="1388">
        <v>600</v>
      </c>
      <c r="AQ1482" s="121">
        <f>(Table1[[#This Row],[Desgnr/Retail P]]*0.05)</f>
        <v>30</v>
      </c>
      <c r="AR1482" s="121">
        <f>IF(A1482="Codarus",(AP1482*0.13))</f>
        <v>78</v>
      </c>
      <c r="AS1482" s="121">
        <f>SUM(Table1[[#This Row],[Substrate $]:[GP FINISH]])+Table1[[#This Row],[Retail Royalty]]+Table1[[#This Row],[Retail$Comm]]</f>
        <v>205.76</v>
      </c>
      <c r="AT1482" s="830">
        <f>IF(AP1482=0,"-",(AP1482-AS1482)/AP1482)</f>
        <v>0.65706666666666669</v>
      </c>
      <c r="AU1482" s="1359">
        <f t="shared" si="525"/>
        <v>0.97809777777777784</v>
      </c>
    </row>
    <row r="1483" spans="1:47" s="103" customFormat="1" hidden="1" x14ac:dyDescent="0.2">
      <c r="A1483" s="101" t="s">
        <v>1287</v>
      </c>
      <c r="B1483" s="1067" t="s">
        <v>801</v>
      </c>
      <c r="C1483" s="719" t="s">
        <v>3516</v>
      </c>
      <c r="D1483" s="94"/>
      <c r="E1483" s="1266" t="s">
        <v>3517</v>
      </c>
      <c r="F1483" s="115" t="s">
        <v>889</v>
      </c>
      <c r="G1483" s="101" t="s">
        <v>519</v>
      </c>
      <c r="H1483" s="101" t="s">
        <v>688</v>
      </c>
      <c r="I1483" s="101" t="s">
        <v>256</v>
      </c>
      <c r="J1483" s="487" t="s">
        <v>257</v>
      </c>
      <c r="K1483" s="101" t="s">
        <v>1444</v>
      </c>
      <c r="L1483" s="101" t="s">
        <v>3514</v>
      </c>
      <c r="M1483" s="114">
        <v>200</v>
      </c>
      <c r="N1483" s="114"/>
      <c r="O1483" s="101" t="s">
        <v>260</v>
      </c>
      <c r="P1483" s="101">
        <v>16</v>
      </c>
      <c r="Q1483" s="101">
        <v>20</v>
      </c>
      <c r="R1483" s="101">
        <v>16</v>
      </c>
      <c r="S1483" s="697">
        <v>20</v>
      </c>
      <c r="T1483" s="101">
        <v>17</v>
      </c>
      <c r="U1483" s="697">
        <v>21</v>
      </c>
      <c r="V1483" s="106">
        <f t="shared" si="526"/>
        <v>16</v>
      </c>
      <c r="W1483" s="106">
        <f t="shared" si="527"/>
        <v>20</v>
      </c>
      <c r="X1483" s="101" t="s">
        <v>257</v>
      </c>
      <c r="Y1483" s="101">
        <v>16</v>
      </c>
      <c r="Z1483" s="101">
        <v>20</v>
      </c>
      <c r="AA1483" s="649">
        <f t="shared" si="528"/>
        <v>2.2222222222222223</v>
      </c>
      <c r="AB1483" s="184">
        <f t="shared" si="529"/>
        <v>10.666666666666666</v>
      </c>
      <c r="AC1483" s="104">
        <f>Table1[[#This Row],[Print Wth]]*paper60</f>
        <v>5.44</v>
      </c>
      <c r="AD1483" s="107">
        <f>Table1[[#This Row],[Ink g/mL]]*CanonC</f>
        <v>2.88</v>
      </c>
      <c r="AE1483" s="104">
        <f>IF(Table1[[#This Row],[Work Center]]="SwissQ",Materials!G$37,IF(Table1[[#This Row],[Work Center]]="Inca",Materials!G$29,IF(Table1[[#This Row],[Work Center]]="Canon",Materials!G$49,Materials!G$45)))</f>
        <v>7</v>
      </c>
      <c r="AF1483" s="102">
        <f>'Cali Frames'!D22</f>
        <v>82.44</v>
      </c>
      <c r="AG1483" s="115"/>
      <c r="AH1483" s="104">
        <f t="shared" si="530"/>
        <v>10</v>
      </c>
      <c r="AI1483" s="104"/>
      <c r="AJ1483" s="406">
        <f>SUM(AC1483:AH1483)</f>
        <v>107.75999999999999</v>
      </c>
      <c r="AK1483" s="830">
        <f t="shared" si="531"/>
        <v>0.46120000000000005</v>
      </c>
      <c r="AL1483" s="660">
        <f>Table1[[#This Row],[WSP/Dealer]]/Table1[[#This Row],[OD Sq Inch]]</f>
        <v>0.56022408963585435</v>
      </c>
      <c r="AM1483" s="399">
        <f>Table1[[#This Row],[OD Wdth]]*Table1[[#This Row],[OD Hgt]]</f>
        <v>357</v>
      </c>
      <c r="AN1483" s="266">
        <f>Table1[[#This Row],[Min VO]]+Table1[[#This Row],[Max VO]]</f>
        <v>36</v>
      </c>
      <c r="AO1483" s="115"/>
      <c r="AP1483" s="115"/>
      <c r="AQ1483" s="121"/>
      <c r="AR1483" s="121"/>
      <c r="AS1483" s="121"/>
      <c r="AT1483" s="104"/>
      <c r="AU1483" s="1359" t="str">
        <f t="shared" si="525"/>
        <v>-</v>
      </c>
    </row>
    <row r="1484" spans="1:47" s="103" customFormat="1" hidden="1" x14ac:dyDescent="0.2">
      <c r="A1484" s="101" t="s">
        <v>110</v>
      </c>
      <c r="B1484" s="1067" t="s">
        <v>250</v>
      </c>
      <c r="C1484" s="719" t="s">
        <v>3518</v>
      </c>
      <c r="D1484" s="168"/>
      <c r="E1484" s="115" t="s">
        <v>3517</v>
      </c>
      <c r="F1484" s="115" t="s">
        <v>889</v>
      </c>
      <c r="G1484" s="101" t="s">
        <v>519</v>
      </c>
      <c r="H1484" s="101" t="s">
        <v>974</v>
      </c>
      <c r="I1484" s="101" t="s">
        <v>256</v>
      </c>
      <c r="J1484" s="487" t="s">
        <v>257</v>
      </c>
      <c r="K1484" s="101" t="s">
        <v>258</v>
      </c>
      <c r="L1484" s="101" t="s">
        <v>259</v>
      </c>
      <c r="M1484" s="299">
        <v>300</v>
      </c>
      <c r="N1484" s="114"/>
      <c r="O1484" s="101" t="s">
        <v>260</v>
      </c>
      <c r="P1484" s="101">
        <v>16</v>
      </c>
      <c r="Q1484" s="101">
        <v>20</v>
      </c>
      <c r="R1484" s="101">
        <v>16</v>
      </c>
      <c r="S1484" s="116">
        <v>20</v>
      </c>
      <c r="T1484" s="101">
        <v>18</v>
      </c>
      <c r="U1484" s="697">
        <v>22</v>
      </c>
      <c r="V1484" s="608">
        <f t="shared" si="526"/>
        <v>16</v>
      </c>
      <c r="W1484" s="608">
        <f t="shared" si="527"/>
        <v>20</v>
      </c>
      <c r="X1484" s="101" t="s">
        <v>257</v>
      </c>
      <c r="Y1484" s="101">
        <v>18</v>
      </c>
      <c r="Z1484" s="101">
        <v>22</v>
      </c>
      <c r="AA1484" s="649">
        <f t="shared" si="528"/>
        <v>2.2222222222222223</v>
      </c>
      <c r="AB1484" s="184">
        <f t="shared" si="529"/>
        <v>10.666666666666666</v>
      </c>
      <c r="AC1484" s="104">
        <f>Table1[[#This Row],[Print Wth]]*paper60</f>
        <v>5.44</v>
      </c>
      <c r="AD1484" s="107">
        <f>Table1[[#This Row],[Ink g/mL]]*CanonC</f>
        <v>2.88</v>
      </c>
      <c r="AE1484" s="104">
        <f>IF(Table1[[#This Row],[Work Center]]="SwissQ",Materials!G$37,IF(Table1[[#This Row],[Work Center]]="Inca",Materials!G$29,IF(Table1[[#This Row],[Work Center]]="Canon",Materials!G$49,Materials!G$45)))</f>
        <v>7</v>
      </c>
      <c r="AF1484" s="102">
        <f>'Cali Frames'!D22</f>
        <v>82.44</v>
      </c>
      <c r="AG1484" s="115"/>
      <c r="AH1484" s="405">
        <f t="shared" si="530"/>
        <v>15</v>
      </c>
      <c r="AI1484" s="405">
        <f>IF(A1484="Codarus",(M1484*0.13))</f>
        <v>39</v>
      </c>
      <c r="AJ1484" s="104">
        <f>SUM(AC1484:AI1484)</f>
        <v>151.76</v>
      </c>
      <c r="AK1484" s="108">
        <f t="shared" si="531"/>
        <v>0.49413333333333337</v>
      </c>
      <c r="AL1484" s="660">
        <f>Table1[[#This Row],[WSP/Dealer]]/Table1[[#This Row],[OD Sq Inch]]</f>
        <v>0.75757575757575757</v>
      </c>
      <c r="AM1484" s="399">
        <f>Table1[[#This Row],[OD Wdth]]*Table1[[#This Row],[OD Hgt]]</f>
        <v>396</v>
      </c>
      <c r="AN1484" s="400">
        <f>Table1[[#This Row],[Min VO]]+Table1[[#This Row],[Max VO]]</f>
        <v>36</v>
      </c>
      <c r="AO1484" s="113"/>
      <c r="AP1484" s="1388">
        <v>600</v>
      </c>
      <c r="AQ1484" s="121">
        <f>(Table1[[#This Row],[Desgnr/Retail P]]*0.05)</f>
        <v>30</v>
      </c>
      <c r="AR1484" s="121">
        <f>IF(A1484="Codarus",(AP1484*0.13))</f>
        <v>78</v>
      </c>
      <c r="AS1484" s="121">
        <f>SUM(Table1[[#This Row],[Substrate $]:[GP FINISH]])+Table1[[#This Row],[Retail Royalty]]+Table1[[#This Row],[Retail$Comm]]</f>
        <v>205.76</v>
      </c>
      <c r="AT1484" s="830">
        <f>IF(AP1484=0,"-",(AP1484-AS1484)/AP1484)</f>
        <v>0.65706666666666669</v>
      </c>
      <c r="AU1484" s="1367">
        <f t="shared" si="525"/>
        <v>0.97809777777777784</v>
      </c>
    </row>
    <row r="1485" spans="1:47" s="103" customFormat="1" hidden="1" x14ac:dyDescent="0.2">
      <c r="A1485" s="101" t="s">
        <v>110</v>
      </c>
      <c r="B1485" s="1067" t="s">
        <v>250</v>
      </c>
      <c r="C1485" s="719" t="s">
        <v>3519</v>
      </c>
      <c r="D1485" s="168"/>
      <c r="E1485" s="115" t="s">
        <v>3520</v>
      </c>
      <c r="F1485" s="115" t="s">
        <v>889</v>
      </c>
      <c r="G1485" s="101" t="s">
        <v>519</v>
      </c>
      <c r="H1485" s="101" t="s">
        <v>974</v>
      </c>
      <c r="I1485" s="101" t="s">
        <v>256</v>
      </c>
      <c r="J1485" s="487" t="s">
        <v>257</v>
      </c>
      <c r="K1485" s="101" t="s">
        <v>258</v>
      </c>
      <c r="L1485" s="101" t="s">
        <v>259</v>
      </c>
      <c r="M1485" s="299">
        <v>300</v>
      </c>
      <c r="N1485" s="114"/>
      <c r="O1485" s="101" t="s">
        <v>260</v>
      </c>
      <c r="P1485" s="101">
        <v>16</v>
      </c>
      <c r="Q1485" s="101">
        <v>20</v>
      </c>
      <c r="R1485" s="101">
        <v>16</v>
      </c>
      <c r="S1485" s="697">
        <v>20</v>
      </c>
      <c r="T1485" s="101">
        <v>18</v>
      </c>
      <c r="U1485" s="697">
        <v>22</v>
      </c>
      <c r="V1485" s="608">
        <f t="shared" si="526"/>
        <v>16</v>
      </c>
      <c r="W1485" s="608">
        <f t="shared" si="527"/>
        <v>20</v>
      </c>
      <c r="X1485" s="101" t="s">
        <v>257</v>
      </c>
      <c r="Y1485" s="101">
        <v>18</v>
      </c>
      <c r="Z1485" s="101">
        <v>22</v>
      </c>
      <c r="AA1485" s="649">
        <f t="shared" si="528"/>
        <v>2.2222222222222223</v>
      </c>
      <c r="AB1485" s="184">
        <f t="shared" si="529"/>
        <v>10.666666666666666</v>
      </c>
      <c r="AC1485" s="104">
        <f>Table1[[#This Row],[Print Wth]]*paper60</f>
        <v>5.44</v>
      </c>
      <c r="AD1485" s="107">
        <f>Table1[[#This Row],[Ink g/mL]]*CanonC</f>
        <v>2.88</v>
      </c>
      <c r="AE1485" s="104">
        <f>IF(Table1[[#This Row],[Work Center]]="SwissQ",Materials!G$37,IF(Table1[[#This Row],[Work Center]]="Inca",Materials!G$29,IF(Table1[[#This Row],[Work Center]]="Canon",Materials!G$49,Materials!G$45)))</f>
        <v>7</v>
      </c>
      <c r="AF1485" s="102">
        <f>'Cali Frames'!D22</f>
        <v>82.44</v>
      </c>
      <c r="AG1485" s="115"/>
      <c r="AH1485" s="405">
        <f t="shared" si="530"/>
        <v>15</v>
      </c>
      <c r="AI1485" s="405">
        <f>IF(A1485="Codarus",(M1485*0.13))</f>
        <v>39</v>
      </c>
      <c r="AJ1485" s="104">
        <f>SUM(AC1485:AI1485)</f>
        <v>151.76</v>
      </c>
      <c r="AK1485" s="108">
        <f t="shared" si="531"/>
        <v>0.49413333333333337</v>
      </c>
      <c r="AL1485" s="660">
        <f>Table1[[#This Row],[WSP/Dealer]]/Table1[[#This Row],[OD Sq Inch]]</f>
        <v>0.75757575757575757</v>
      </c>
      <c r="AM1485" s="399">
        <f>Table1[[#This Row],[OD Wdth]]*Table1[[#This Row],[OD Hgt]]</f>
        <v>396</v>
      </c>
      <c r="AN1485" s="400">
        <f>Table1[[#This Row],[Min VO]]+Table1[[#This Row],[Max VO]]</f>
        <v>36</v>
      </c>
      <c r="AO1485" s="115"/>
      <c r="AP1485" s="1388">
        <v>600</v>
      </c>
      <c r="AQ1485" s="121">
        <f>(Table1[[#This Row],[Desgnr/Retail P]]*0.05)</f>
        <v>30</v>
      </c>
      <c r="AR1485" s="121">
        <f>IF(A1485="Codarus",(AP1485*0.13))</f>
        <v>78</v>
      </c>
      <c r="AS1485" s="121">
        <f>SUM(Table1[[#This Row],[Substrate $]:[GP FINISH]])+Table1[[#This Row],[Retail Royalty]]+Table1[[#This Row],[Retail$Comm]]</f>
        <v>205.76</v>
      </c>
      <c r="AT1485" s="830">
        <f>IF(AP1485=0,"-",(AP1485-AS1485)/AP1485)</f>
        <v>0.65706666666666669</v>
      </c>
      <c r="AU1485" s="1359">
        <f t="shared" si="525"/>
        <v>0.97809777777777784</v>
      </c>
    </row>
    <row r="1486" spans="1:47" s="103" customFormat="1" hidden="1" x14ac:dyDescent="0.2">
      <c r="A1486" s="101" t="s">
        <v>110</v>
      </c>
      <c r="B1486" s="1067" t="s">
        <v>250</v>
      </c>
      <c r="C1486" s="719" t="s">
        <v>3521</v>
      </c>
      <c r="D1486" s="168"/>
      <c r="E1486" s="115" t="s">
        <v>3522</v>
      </c>
      <c r="F1486" s="115" t="s">
        <v>889</v>
      </c>
      <c r="G1486" s="101" t="s">
        <v>519</v>
      </c>
      <c r="H1486" s="101" t="s">
        <v>974</v>
      </c>
      <c r="I1486" s="101" t="s">
        <v>256</v>
      </c>
      <c r="J1486" s="487" t="s">
        <v>257</v>
      </c>
      <c r="K1486" s="101" t="s">
        <v>258</v>
      </c>
      <c r="L1486" s="101" t="s">
        <v>259</v>
      </c>
      <c r="M1486" s="299">
        <v>300</v>
      </c>
      <c r="N1486" s="114"/>
      <c r="O1486" s="101" t="s">
        <v>260</v>
      </c>
      <c r="P1486" s="101">
        <v>16</v>
      </c>
      <c r="Q1486" s="101">
        <v>20</v>
      </c>
      <c r="R1486" s="101">
        <v>16</v>
      </c>
      <c r="S1486" s="697">
        <v>20</v>
      </c>
      <c r="T1486" s="101">
        <v>18</v>
      </c>
      <c r="U1486" s="697">
        <v>22</v>
      </c>
      <c r="V1486" s="608">
        <f t="shared" si="526"/>
        <v>16</v>
      </c>
      <c r="W1486" s="608">
        <f t="shared" si="527"/>
        <v>20</v>
      </c>
      <c r="X1486" s="101" t="s">
        <v>257</v>
      </c>
      <c r="Y1486" s="101">
        <v>18</v>
      </c>
      <c r="Z1486" s="101">
        <v>22</v>
      </c>
      <c r="AA1486" s="649">
        <f t="shared" si="528"/>
        <v>2.2222222222222223</v>
      </c>
      <c r="AB1486" s="184">
        <f t="shared" si="529"/>
        <v>10.666666666666666</v>
      </c>
      <c r="AC1486" s="104">
        <f>Table1[[#This Row],[Print Wth]]*paper60</f>
        <v>5.44</v>
      </c>
      <c r="AD1486" s="104">
        <f>Table1[[#This Row],[Ink g/mL]]*CanonC</f>
        <v>2.88</v>
      </c>
      <c r="AE1486" s="104">
        <f>IF(Table1[[#This Row],[Work Center]]="SwissQ",Materials!G$37,IF(Table1[[#This Row],[Work Center]]="Inca",Materials!G$29,IF(Table1[[#This Row],[Work Center]]="Canon",Materials!G$49,Materials!G$45)))</f>
        <v>7</v>
      </c>
      <c r="AF1486" s="102">
        <f>'Cali Frames'!D22</f>
        <v>82.44</v>
      </c>
      <c r="AG1486" s="115"/>
      <c r="AH1486" s="405">
        <f t="shared" si="530"/>
        <v>15</v>
      </c>
      <c r="AI1486" s="405">
        <f>IF(A1486="Codarus",(M1486*0.13))</f>
        <v>39</v>
      </c>
      <c r="AJ1486" s="104">
        <f>SUM(AC1486:AI1486)</f>
        <v>151.76</v>
      </c>
      <c r="AK1486" s="108">
        <f t="shared" si="531"/>
        <v>0.49413333333333337</v>
      </c>
      <c r="AL1486" s="660">
        <f>Table1[[#This Row],[WSP/Dealer]]/Table1[[#This Row],[OD Sq Inch]]</f>
        <v>0.75757575757575757</v>
      </c>
      <c r="AM1486" s="400">
        <f>Table1[[#This Row],[OD Wdth]]*Table1[[#This Row],[OD Hgt]]</f>
        <v>396</v>
      </c>
      <c r="AN1486" s="400">
        <f>Table1[[#This Row],[Min VO]]+Table1[[#This Row],[Max VO]]</f>
        <v>36</v>
      </c>
      <c r="AO1486" s="115"/>
      <c r="AP1486" s="1388">
        <v>600</v>
      </c>
      <c r="AQ1486" s="121">
        <f>(Table1[[#This Row],[Desgnr/Retail P]]*0.05)</f>
        <v>30</v>
      </c>
      <c r="AR1486" s="121">
        <f>IF(A1486="Codarus",(AP1486*0.13))</f>
        <v>78</v>
      </c>
      <c r="AS1486" s="121">
        <f>SUM(Table1[[#This Row],[Substrate $]:[GP FINISH]])+Table1[[#This Row],[Retail Royalty]]+Table1[[#This Row],[Retail$Comm]]</f>
        <v>205.76</v>
      </c>
      <c r="AT1486" s="830">
        <f>IF(AP1486=0,"-",(AP1486-AS1486)/AP1486)</f>
        <v>0.65706666666666669</v>
      </c>
      <c r="AU1486" s="1359">
        <f t="shared" si="525"/>
        <v>0.97809777777777784</v>
      </c>
    </row>
    <row r="1487" spans="1:47" s="103" customFormat="1" hidden="1" x14ac:dyDescent="0.2">
      <c r="A1487" s="101" t="s">
        <v>110</v>
      </c>
      <c r="B1487" s="1067" t="s">
        <v>250</v>
      </c>
      <c r="C1487" s="719" t="s">
        <v>3523</v>
      </c>
      <c r="D1487" s="168"/>
      <c r="E1487" s="115" t="s">
        <v>3524</v>
      </c>
      <c r="F1487" s="115" t="s">
        <v>889</v>
      </c>
      <c r="G1487" s="101" t="s">
        <v>519</v>
      </c>
      <c r="H1487" s="101" t="s">
        <v>974</v>
      </c>
      <c r="I1487" s="101" t="s">
        <v>256</v>
      </c>
      <c r="J1487" s="487" t="s">
        <v>257</v>
      </c>
      <c r="K1487" s="101" t="s">
        <v>258</v>
      </c>
      <c r="L1487" s="101" t="s">
        <v>259</v>
      </c>
      <c r="M1487" s="299">
        <v>300</v>
      </c>
      <c r="N1487" s="114"/>
      <c r="O1487" s="101" t="s">
        <v>260</v>
      </c>
      <c r="P1487" s="101">
        <v>16</v>
      </c>
      <c r="Q1487" s="101">
        <v>20</v>
      </c>
      <c r="R1487" s="101">
        <v>16</v>
      </c>
      <c r="S1487" s="116">
        <v>20</v>
      </c>
      <c r="T1487" s="101">
        <v>18</v>
      </c>
      <c r="U1487" s="697">
        <v>22</v>
      </c>
      <c r="V1487" s="106">
        <f t="shared" si="526"/>
        <v>16</v>
      </c>
      <c r="W1487" s="106">
        <f t="shared" si="527"/>
        <v>20</v>
      </c>
      <c r="X1487" s="101" t="s">
        <v>257</v>
      </c>
      <c r="Y1487" s="101">
        <v>18</v>
      </c>
      <c r="Z1487" s="101">
        <v>22</v>
      </c>
      <c r="AA1487" s="649">
        <f t="shared" si="528"/>
        <v>2.2222222222222223</v>
      </c>
      <c r="AB1487" s="184">
        <f t="shared" si="529"/>
        <v>10.666666666666666</v>
      </c>
      <c r="AC1487" s="104">
        <f>Table1[[#This Row],[Print Wth]]*paper60</f>
        <v>5.44</v>
      </c>
      <c r="AD1487" s="107">
        <f>Table1[[#This Row],[Ink g/mL]]*CanonC</f>
        <v>2.88</v>
      </c>
      <c r="AE1487" s="104">
        <f>IF(Table1[[#This Row],[Work Center]]="SwissQ",Materials!G$37,IF(Table1[[#This Row],[Work Center]]="Inca",Materials!G$29,IF(Table1[[#This Row],[Work Center]]="Canon",Materials!G$49,Materials!G$45)))</f>
        <v>7</v>
      </c>
      <c r="AF1487" s="102">
        <f>'Cali Frames'!D22</f>
        <v>82.44</v>
      </c>
      <c r="AG1487" s="115"/>
      <c r="AH1487" s="405">
        <f t="shared" si="530"/>
        <v>15</v>
      </c>
      <c r="AI1487" s="405">
        <f>IF(A1487="Codarus",(M1487*0.13))</f>
        <v>39</v>
      </c>
      <c r="AJ1487" s="104">
        <f>SUM(AC1487:AI1487)</f>
        <v>151.76</v>
      </c>
      <c r="AK1487" s="108">
        <f t="shared" si="531"/>
        <v>0.49413333333333337</v>
      </c>
      <c r="AL1487" s="660">
        <f>Table1[[#This Row],[WSP/Dealer]]/Table1[[#This Row],[OD Sq Inch]]</f>
        <v>0.75757575757575757</v>
      </c>
      <c r="AM1487" s="399">
        <f>Table1[[#This Row],[OD Wdth]]*Table1[[#This Row],[OD Hgt]]</f>
        <v>396</v>
      </c>
      <c r="AN1487" s="400">
        <f>Table1[[#This Row],[Min VO]]+Table1[[#This Row],[Max VO]]</f>
        <v>36</v>
      </c>
      <c r="AO1487" s="113"/>
      <c r="AP1487" s="1388">
        <v>600</v>
      </c>
      <c r="AQ1487" s="121">
        <f>(Table1[[#This Row],[Desgnr/Retail P]]*0.05)</f>
        <v>30</v>
      </c>
      <c r="AR1487" s="121">
        <f>IF(A1487="Codarus",(AP1487*0.13))</f>
        <v>78</v>
      </c>
      <c r="AS1487" s="121">
        <f>SUM(Table1[[#This Row],[Substrate $]:[GP FINISH]])+Table1[[#This Row],[Retail Royalty]]+Table1[[#This Row],[Retail$Comm]]</f>
        <v>205.76</v>
      </c>
      <c r="AT1487" s="830">
        <f>IF(AP1487=0,"-",(AP1487-AS1487)/AP1487)</f>
        <v>0.65706666666666669</v>
      </c>
      <c r="AU1487" s="1367">
        <f t="shared" si="525"/>
        <v>0.97809777777777784</v>
      </c>
    </row>
    <row r="1488" spans="1:47" s="63" customFormat="1" hidden="1" x14ac:dyDescent="0.2">
      <c r="A1488" s="101" t="s">
        <v>110</v>
      </c>
      <c r="B1488" s="1067" t="s">
        <v>250</v>
      </c>
      <c r="C1488" s="719" t="s">
        <v>3525</v>
      </c>
      <c r="D1488" s="168"/>
      <c r="E1488" s="115" t="s">
        <v>3526</v>
      </c>
      <c r="F1488" s="115" t="s">
        <v>889</v>
      </c>
      <c r="G1488" s="101" t="s">
        <v>519</v>
      </c>
      <c r="H1488" s="101" t="s">
        <v>974</v>
      </c>
      <c r="I1488" s="101" t="s">
        <v>256</v>
      </c>
      <c r="J1488" s="487" t="s">
        <v>257</v>
      </c>
      <c r="K1488" s="101" t="s">
        <v>258</v>
      </c>
      <c r="L1488" s="101" t="s">
        <v>259</v>
      </c>
      <c r="M1488" s="299">
        <v>300</v>
      </c>
      <c r="N1488" s="114"/>
      <c r="O1488" s="101" t="s">
        <v>260</v>
      </c>
      <c r="P1488" s="101">
        <v>16</v>
      </c>
      <c r="Q1488" s="101">
        <v>20</v>
      </c>
      <c r="R1488" s="101">
        <v>16</v>
      </c>
      <c r="S1488" s="116">
        <v>20</v>
      </c>
      <c r="T1488" s="101">
        <v>18</v>
      </c>
      <c r="U1488" s="697">
        <v>22</v>
      </c>
      <c r="V1488" s="608">
        <f t="shared" si="526"/>
        <v>16</v>
      </c>
      <c r="W1488" s="608">
        <f t="shared" si="527"/>
        <v>20</v>
      </c>
      <c r="X1488" s="101" t="s">
        <v>257</v>
      </c>
      <c r="Y1488" s="101">
        <v>18</v>
      </c>
      <c r="Z1488" s="101">
        <v>22</v>
      </c>
      <c r="AA1488" s="649">
        <f t="shared" si="528"/>
        <v>2.2222222222222223</v>
      </c>
      <c r="AB1488" s="184">
        <f t="shared" si="529"/>
        <v>10.666666666666666</v>
      </c>
      <c r="AC1488" s="104">
        <f>Table1[[#This Row],[Print Wth]]*paper60</f>
        <v>5.44</v>
      </c>
      <c r="AD1488" s="107">
        <f>Table1[[#This Row],[Ink g/mL]]*CanonC</f>
        <v>2.88</v>
      </c>
      <c r="AE1488" s="104">
        <f>IF(Table1[[#This Row],[Work Center]]="SwissQ",Materials!G$37,IF(Table1[[#This Row],[Work Center]]="Inca",Materials!G$29,IF(Table1[[#This Row],[Work Center]]="Canon",Materials!G$49,Materials!G$45)))</f>
        <v>7</v>
      </c>
      <c r="AF1488" s="102">
        <f>'Cali Frames'!D22</f>
        <v>82.44</v>
      </c>
      <c r="AG1488" s="115"/>
      <c r="AH1488" s="406">
        <f t="shared" si="530"/>
        <v>15</v>
      </c>
      <c r="AI1488" s="406">
        <f>IF(A1488="Codarus",(M1488*0.13))</f>
        <v>39</v>
      </c>
      <c r="AJ1488" s="104">
        <f>SUM(AC1488:AI1488)</f>
        <v>151.76</v>
      </c>
      <c r="AK1488" s="830">
        <f t="shared" si="531"/>
        <v>0.49413333333333337</v>
      </c>
      <c r="AL1488" s="660">
        <f>Table1[[#This Row],[WSP/Dealer]]/Table1[[#This Row],[OD Sq Inch]]</f>
        <v>0.75757575757575757</v>
      </c>
      <c r="AM1488" s="399">
        <f>Table1[[#This Row],[OD Wdth]]*Table1[[#This Row],[OD Hgt]]</f>
        <v>396</v>
      </c>
      <c r="AN1488" s="400">
        <f>Table1[[#This Row],[Min VO]]+Table1[[#This Row],[Max VO]]</f>
        <v>36</v>
      </c>
      <c r="AO1488" s="113"/>
      <c r="AP1488" s="1388">
        <v>600</v>
      </c>
      <c r="AQ1488" s="121">
        <f>(Table1[[#This Row],[Desgnr/Retail P]]*0.05)</f>
        <v>30</v>
      </c>
      <c r="AR1488" s="121">
        <f>IF(A1488="Codarus",(AP1488*0.13))</f>
        <v>78</v>
      </c>
      <c r="AS1488" s="121">
        <f>SUM(Table1[[#This Row],[Substrate $]:[GP FINISH]])+Table1[[#This Row],[Retail Royalty]]+Table1[[#This Row],[Retail$Comm]]</f>
        <v>205.76</v>
      </c>
      <c r="AT1488" s="830">
        <f>IF(AP1488=0,"-",(AP1488-AS1488)/AP1488)</f>
        <v>0.65706666666666669</v>
      </c>
      <c r="AU1488" s="1359">
        <f t="shared" si="525"/>
        <v>0.97809777777777784</v>
      </c>
    </row>
    <row r="1489" spans="1:47" s="173" customFormat="1" hidden="1" x14ac:dyDescent="0.2">
      <c r="A1489" s="374" t="s">
        <v>187</v>
      </c>
      <c r="B1489" s="1061" t="s">
        <v>261</v>
      </c>
      <c r="C1489" s="317" t="s">
        <v>3527</v>
      </c>
      <c r="D1489" s="94"/>
      <c r="E1489" s="375" t="s">
        <v>3528</v>
      </c>
      <c r="F1489" s="375" t="s">
        <v>585</v>
      </c>
      <c r="G1489" s="457" t="s">
        <v>2923</v>
      </c>
      <c r="H1489" s="457" t="s">
        <v>2923</v>
      </c>
      <c r="I1489" s="457" t="s">
        <v>52</v>
      </c>
      <c r="J1489" s="1685" t="s">
        <v>280</v>
      </c>
      <c r="K1489" s="457" t="s">
        <v>281</v>
      </c>
      <c r="L1489" s="457" t="s">
        <v>282</v>
      </c>
      <c r="M1489" s="318">
        <v>1980</v>
      </c>
      <c r="N1489" s="71"/>
      <c r="O1489" s="274" t="s">
        <v>64</v>
      </c>
      <c r="P1489" s="274">
        <v>28</v>
      </c>
      <c r="Q1489" s="274">
        <v>36</v>
      </c>
      <c r="R1489" s="274">
        <v>28</v>
      </c>
      <c r="S1489" s="274">
        <v>36</v>
      </c>
      <c r="T1489" s="274">
        <v>28</v>
      </c>
      <c r="U1489" s="274">
        <v>36</v>
      </c>
      <c r="V1489" s="277">
        <v>28</v>
      </c>
      <c r="W1489" s="277">
        <v>36</v>
      </c>
      <c r="X1489" s="343" t="s">
        <v>283</v>
      </c>
      <c r="Y1489" s="274"/>
      <c r="Z1489" s="274"/>
      <c r="AA1489" s="727">
        <f t="shared" si="528"/>
        <v>7</v>
      </c>
      <c r="AB1489" s="341">
        <f>AA1489*Swiss1</f>
        <v>198.1</v>
      </c>
      <c r="AC1489" s="278">
        <f>MDFSHEET*0.5</f>
        <v>12.175000000000001</v>
      </c>
      <c r="AD1489" s="263">
        <f>Table1[[#This Row],[Substrate SF]]*Materials!C$37</f>
        <v>19.599999999999998</v>
      </c>
      <c r="AE1489" s="104">
        <f>IF(Table1[[#This Row],[Work Center]]="SwissQ",Materials!G$37,IF(Table1[[#This Row],[Work Center]]="Inca",Materials!G$29,IF(Table1[[#This Row],[Work Center]]="Canon",Materials!G$49,Materials!G$45)))</f>
        <v>20</v>
      </c>
      <c r="AF1489" s="321">
        <f>'Cali Frames'!D540</f>
        <v>104.7375</v>
      </c>
      <c r="AG1489" s="320"/>
      <c r="AH1489" s="498">
        <f t="shared" si="530"/>
        <v>99</v>
      </c>
      <c r="AI1489" s="498"/>
      <c r="AJ1489" s="278">
        <f t="shared" ref="AJ1489:AJ1504" si="532">SUM(AC1489:AH1489)</f>
        <v>255.51249999999999</v>
      </c>
      <c r="AK1489" s="650">
        <f t="shared" si="531"/>
        <v>0.87095328282828277</v>
      </c>
      <c r="AL1489" s="225">
        <f>Table1[[#This Row],[WSP/Dealer]]/Table1[[#This Row],[OD Sq Inch]]</f>
        <v>1.9642857142857142</v>
      </c>
      <c r="AM1489" s="170">
        <f>Table1[[#This Row],[OD Wdth]]*Table1[[#This Row],[OD Hgt]]</f>
        <v>1008</v>
      </c>
      <c r="AN1489" s="238">
        <f>Table1[[#This Row],[Min VO]]+Table1[[#This Row],[Max VO]]</f>
        <v>64</v>
      </c>
      <c r="AO1489" s="275"/>
      <c r="AP1489" s="275"/>
      <c r="AQ1489" s="320"/>
      <c r="AR1489" s="320"/>
      <c r="AS1489" s="320"/>
      <c r="AT1489" s="278"/>
      <c r="AU1489" s="1368" t="str">
        <f t="shared" si="525"/>
        <v>-</v>
      </c>
    </row>
    <row r="1490" spans="1:47" s="170" customFormat="1" x14ac:dyDescent="0.2">
      <c r="A1490" s="180" t="s">
        <v>58</v>
      </c>
      <c r="B1490" s="1061" t="s">
        <v>587</v>
      </c>
      <c r="C1490" s="281" t="s">
        <v>3529</v>
      </c>
      <c r="D1490" s="94"/>
      <c r="E1490" s="291" t="s">
        <v>3528</v>
      </c>
      <c r="F1490" s="291" t="s">
        <v>585</v>
      </c>
      <c r="G1490" s="180" t="s">
        <v>2923</v>
      </c>
      <c r="H1490" s="180" t="s">
        <v>2923</v>
      </c>
      <c r="I1490" s="180" t="s">
        <v>52</v>
      </c>
      <c r="J1490" s="310" t="s">
        <v>280</v>
      </c>
      <c r="K1490" s="180" t="s">
        <v>281</v>
      </c>
      <c r="L1490" s="180" t="s">
        <v>282</v>
      </c>
      <c r="M1490" s="292">
        <v>575</v>
      </c>
      <c r="N1490" s="639">
        <v>575</v>
      </c>
      <c r="O1490" s="180" t="s">
        <v>64</v>
      </c>
      <c r="P1490" s="180">
        <v>28</v>
      </c>
      <c r="Q1490" s="180">
        <v>36</v>
      </c>
      <c r="R1490" s="180">
        <v>28</v>
      </c>
      <c r="S1490" s="173">
        <v>36</v>
      </c>
      <c r="T1490" s="173">
        <v>28</v>
      </c>
      <c r="U1490" s="173">
        <v>36</v>
      </c>
      <c r="V1490" s="174">
        <v>28</v>
      </c>
      <c r="W1490" s="174">
        <v>36</v>
      </c>
      <c r="X1490" s="289" t="s">
        <v>283</v>
      </c>
      <c r="Y1490" s="180"/>
      <c r="Z1490" s="180"/>
      <c r="AA1490" s="678">
        <f t="shared" si="528"/>
        <v>7</v>
      </c>
      <c r="AB1490" s="329">
        <f>AA1490*Swiss1</f>
        <v>198.1</v>
      </c>
      <c r="AC1490" s="176">
        <f>MDFSHEET*0.5</f>
        <v>12.175000000000001</v>
      </c>
      <c r="AD1490" s="175">
        <f>Table1[[#This Row],[Substrate SF]]*Materials!C$37</f>
        <v>19.599999999999998</v>
      </c>
      <c r="AE1490" s="104">
        <f>IF(Table1[[#This Row],[Work Center]]="SwissQ",Materials!G$37,IF(Table1[[#This Row],[Work Center]]="Inca",Materials!G$29,IF(Table1[[#This Row],[Work Center]]="Canon",Materials!G$49,Materials!G$45)))</f>
        <v>20</v>
      </c>
      <c r="AF1490" s="290">
        <f>'Cali Frames'!D540</f>
        <v>104.7375</v>
      </c>
      <c r="AG1490" s="296"/>
      <c r="AH1490" s="498">
        <f t="shared" si="530"/>
        <v>28.75</v>
      </c>
      <c r="AI1490" s="498"/>
      <c r="AJ1490" s="176">
        <f t="shared" si="532"/>
        <v>185.26249999999999</v>
      </c>
      <c r="AK1490" s="650">
        <f t="shared" si="531"/>
        <v>0.67780434782608701</v>
      </c>
      <c r="AL1490" s="225">
        <f>Table1[[#This Row],[WSP/Dealer]]/Table1[[#This Row],[OD Sq Inch]]</f>
        <v>0.57043650793650791</v>
      </c>
      <c r="AM1490" s="173">
        <f>Table1[[#This Row],[OD Wdth]]*Table1[[#This Row],[OD Hgt]]</f>
        <v>1008</v>
      </c>
      <c r="AN1490" s="216">
        <f>Table1[[#This Row],[Min VO]]+Table1[[#This Row],[Max VO]]</f>
        <v>64</v>
      </c>
      <c r="AO1490" s="286"/>
      <c r="AP1490" s="284"/>
      <c r="AQ1490" s="296"/>
      <c r="AR1490" s="296"/>
      <c r="AS1490" s="296"/>
      <c r="AT1490" s="176"/>
      <c r="AU1490" s="1362" t="str">
        <f t="shared" si="525"/>
        <v>-</v>
      </c>
    </row>
    <row r="1491" spans="1:47" s="399" customFormat="1" hidden="1" x14ac:dyDescent="0.2">
      <c r="A1491" s="374" t="s">
        <v>187</v>
      </c>
      <c r="B1491" s="1061" t="s">
        <v>261</v>
      </c>
      <c r="C1491" s="436" t="s">
        <v>3530</v>
      </c>
      <c r="D1491" s="94"/>
      <c r="E1491" s="436" t="s">
        <v>3531</v>
      </c>
      <c r="F1491" s="375" t="s">
        <v>585</v>
      </c>
      <c r="G1491" s="274" t="s">
        <v>2923</v>
      </c>
      <c r="H1491" s="274" t="s">
        <v>2923</v>
      </c>
      <c r="I1491" s="274" t="s">
        <v>108</v>
      </c>
      <c r="J1491" s="68" t="s">
        <v>197</v>
      </c>
      <c r="K1491" s="274" t="s">
        <v>198</v>
      </c>
      <c r="L1491" s="274" t="s">
        <v>199</v>
      </c>
      <c r="M1491" s="455">
        <v>60</v>
      </c>
      <c r="N1491" s="71"/>
      <c r="O1491" s="274" t="s">
        <v>64</v>
      </c>
      <c r="P1491" s="274">
        <v>28</v>
      </c>
      <c r="Q1491" s="274">
        <v>36</v>
      </c>
      <c r="R1491" s="274">
        <v>28</v>
      </c>
      <c r="S1491" s="274">
        <v>36</v>
      </c>
      <c r="T1491" s="274">
        <v>28</v>
      </c>
      <c r="U1491" s="274">
        <v>36</v>
      </c>
      <c r="V1491" s="686">
        <f>Table1[[#This Row],[VO Wdth]]+Materials!$C$7</f>
        <v>30</v>
      </c>
      <c r="W1491" s="686">
        <f>Table1[[#This Row],[VO Hgt]]+Materials!$C$7</f>
        <v>38</v>
      </c>
      <c r="X1491" s="343" t="s">
        <v>197</v>
      </c>
      <c r="Y1491" s="68"/>
      <c r="Z1491" s="68"/>
      <c r="AA1491" s="699">
        <f t="shared" si="528"/>
        <v>7.916666666666667</v>
      </c>
      <c r="AB1491" s="341">
        <f>AA1491*SWISSRML</f>
        <v>15.833333333333334</v>
      </c>
      <c r="AC1491" s="74">
        <f>Table1[[#This Row],[Substrate SF]]*POster</f>
        <v>5.8900000000000006</v>
      </c>
      <c r="AD1491" s="278">
        <f>Table1[[#This Row],[Substrate SF]]*SWISSRC</f>
        <v>1.7416666666666667</v>
      </c>
      <c r="AE149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491" s="73">
        <v>0</v>
      </c>
      <c r="AG1491" s="126">
        <f>Materials!D$76</f>
        <v>10.82</v>
      </c>
      <c r="AH1491" s="112">
        <f t="shared" si="530"/>
        <v>3</v>
      </c>
      <c r="AI1491" s="112"/>
      <c r="AJ1491" s="278">
        <f t="shared" si="532"/>
        <v>31.451666666666668</v>
      </c>
      <c r="AK1491" s="62">
        <f t="shared" si="531"/>
        <v>0.47580555555555554</v>
      </c>
      <c r="AL1491" s="225">
        <f>Table1[[#This Row],[WSP/Dealer]]/Table1[[#This Row],[OD Sq Inch]]</f>
        <v>5.9523809523809521E-2</v>
      </c>
      <c r="AM1491" s="274">
        <f>Table1[[#This Row],[OD Wdth]]*Table1[[#This Row],[OD Hgt]]</f>
        <v>1008</v>
      </c>
      <c r="AN1491" s="84"/>
      <c r="AO1491" s="84"/>
      <c r="AP1491" s="84"/>
      <c r="AQ1491" s="126"/>
      <c r="AR1491" s="126"/>
      <c r="AS1491" s="126"/>
      <c r="AT1491" s="74"/>
      <c r="AU1491" s="1357" t="str">
        <f t="shared" si="525"/>
        <v>-</v>
      </c>
    </row>
    <row r="1492" spans="1:47" s="399" customFormat="1" x14ac:dyDescent="0.2">
      <c r="A1492" s="86" t="s">
        <v>58</v>
      </c>
      <c r="B1492" s="1061" t="s">
        <v>1457</v>
      </c>
      <c r="C1492" s="77" t="s">
        <v>3532</v>
      </c>
      <c r="D1492" s="94" t="s">
        <v>3533</v>
      </c>
      <c r="E1492" s="85" t="s">
        <v>3534</v>
      </c>
      <c r="F1492" s="85" t="s">
        <v>289</v>
      </c>
      <c r="G1492" s="86" t="s">
        <v>51</v>
      </c>
      <c r="H1492" s="86" t="s">
        <v>51</v>
      </c>
      <c r="I1492" s="86" t="s">
        <v>52</v>
      </c>
      <c r="J1492" s="86" t="s">
        <v>53</v>
      </c>
      <c r="K1492" s="86" t="s">
        <v>54</v>
      </c>
      <c r="L1492" s="86" t="s">
        <v>55</v>
      </c>
      <c r="M1492" s="87">
        <v>560</v>
      </c>
      <c r="N1492" s="639">
        <v>560</v>
      </c>
      <c r="O1492" s="101" t="s">
        <v>56</v>
      </c>
      <c r="P1492" s="273">
        <v>30</v>
      </c>
      <c r="Q1492" s="273">
        <v>40</v>
      </c>
      <c r="R1492" s="60">
        <v>30</v>
      </c>
      <c r="S1492" s="273">
        <v>40</v>
      </c>
      <c r="T1492" s="273">
        <f>Table1[[#This Row],[VO Wdth]]</f>
        <v>30</v>
      </c>
      <c r="U1492" s="273">
        <f>Table1[[#This Row],[VO Hgt]]</f>
        <v>40</v>
      </c>
      <c r="V1492" s="608">
        <f t="shared" ref="V1492:V1498" si="533">IF(J1492="Canvas",P1492+BorderGW,P1492)</f>
        <v>38</v>
      </c>
      <c r="W1492" s="608">
        <f t="shared" ref="W1492:W1498" si="534">IF(J1492="Canvas",Q1492+BorderGW,Q1492)</f>
        <v>48</v>
      </c>
      <c r="X1492" s="157" t="s">
        <v>57</v>
      </c>
      <c r="Y1492" s="60">
        <v>38</v>
      </c>
      <c r="Z1492" s="60">
        <v>96</v>
      </c>
      <c r="AA1492" s="649">
        <f t="shared" si="528"/>
        <v>12.666666666666666</v>
      </c>
      <c r="AB1492" s="184">
        <f t="shared" ref="AB1492:AB1498" si="535">AA1492*IncaG</f>
        <v>266.50666666666666</v>
      </c>
      <c r="AC1492" s="104">
        <f t="shared" ref="AC1492:AC1502" si="536">AA1492*Canvas</f>
        <v>8.36</v>
      </c>
      <c r="AD1492" s="104">
        <f t="shared" ref="AD1492:AD1498" si="537">AA1492*IncaC</f>
        <v>21.320533333333334</v>
      </c>
      <c r="AE1492" s="104">
        <f>IF(Table1[[#This Row],[Work Center]]="SwissQ",Materials!G$37,IF(Table1[[#This Row],[Work Center]]="Inca",Materials!G$29,IF(Table1[[#This Row],[Work Center]]="Canon",Materials!G$49,Materials!G$45)))</f>
        <v>8</v>
      </c>
      <c r="AF1492" s="69">
        <f>'Cali FPS'!C$48</f>
        <v>76.3</v>
      </c>
      <c r="AG1492" s="115"/>
      <c r="AH1492" s="112">
        <f t="shared" si="530"/>
        <v>28</v>
      </c>
      <c r="AI1492" s="112"/>
      <c r="AJ1492" s="104">
        <f t="shared" si="532"/>
        <v>141.98053333333331</v>
      </c>
      <c r="AK1492" s="62">
        <f t="shared" si="531"/>
        <v>0.74646333333333337</v>
      </c>
      <c r="AL1492" s="225">
        <f>Table1[[#This Row],[WSP/Dealer]]/Table1[[#This Row],[OD Sq Inch]]</f>
        <v>0.46666666666666667</v>
      </c>
      <c r="AM1492" s="101">
        <f>Table1[[#This Row],[OD Wdth]]*Table1[[#This Row],[OD Hgt]]</f>
        <v>1200</v>
      </c>
      <c r="AN1492" s="216">
        <f>Table1[[#This Row],[Min VO]]+Table1[[#This Row],[Max VO]]</f>
        <v>70</v>
      </c>
      <c r="AO1492" s="101"/>
      <c r="AP1492" s="101"/>
      <c r="AQ1492" s="104"/>
      <c r="AR1492" s="104"/>
      <c r="AS1492" s="104"/>
      <c r="AT1492" s="104"/>
      <c r="AU1492" s="830" t="str">
        <f t="shared" si="525"/>
        <v>-</v>
      </c>
    </row>
    <row r="1493" spans="1:47" s="63" customFormat="1" x14ac:dyDescent="0.2">
      <c r="A1493" s="86" t="s">
        <v>58</v>
      </c>
      <c r="B1493" s="1061" t="s">
        <v>1457</v>
      </c>
      <c r="C1493" s="77" t="s">
        <v>3535</v>
      </c>
      <c r="D1493" s="94" t="s">
        <v>3533</v>
      </c>
      <c r="E1493" s="85" t="s">
        <v>3536</v>
      </c>
      <c r="F1493" s="85" t="s">
        <v>289</v>
      </c>
      <c r="G1493" s="86" t="s">
        <v>51</v>
      </c>
      <c r="H1493" s="86" t="s">
        <v>51</v>
      </c>
      <c r="I1493" s="86" t="s">
        <v>52</v>
      </c>
      <c r="J1493" s="86" t="s">
        <v>53</v>
      </c>
      <c r="K1493" s="86" t="s">
        <v>54</v>
      </c>
      <c r="L1493" s="86" t="s">
        <v>55</v>
      </c>
      <c r="M1493" s="87">
        <v>560</v>
      </c>
      <c r="N1493" s="639">
        <v>560</v>
      </c>
      <c r="O1493" s="101" t="s">
        <v>56</v>
      </c>
      <c r="P1493" s="273">
        <v>30</v>
      </c>
      <c r="Q1493" s="273">
        <v>40</v>
      </c>
      <c r="R1493" s="60">
        <v>30</v>
      </c>
      <c r="S1493" s="273">
        <v>40</v>
      </c>
      <c r="T1493" s="273">
        <f>Table1[[#This Row],[VO Wdth]]</f>
        <v>30</v>
      </c>
      <c r="U1493" s="273">
        <f>Table1[[#This Row],[VO Hgt]]</f>
        <v>40</v>
      </c>
      <c r="V1493" s="608">
        <f t="shared" si="533"/>
        <v>38</v>
      </c>
      <c r="W1493" s="608">
        <f t="shared" si="534"/>
        <v>48</v>
      </c>
      <c r="X1493" s="157" t="s">
        <v>57</v>
      </c>
      <c r="Y1493" s="60">
        <v>38</v>
      </c>
      <c r="Z1493" s="60">
        <v>96</v>
      </c>
      <c r="AA1493" s="649">
        <f t="shared" si="528"/>
        <v>12.666666666666666</v>
      </c>
      <c r="AB1493" s="184">
        <f t="shared" si="535"/>
        <v>266.50666666666666</v>
      </c>
      <c r="AC1493" s="104">
        <f t="shared" si="536"/>
        <v>8.36</v>
      </c>
      <c r="AD1493" s="104">
        <f t="shared" si="537"/>
        <v>21.320533333333334</v>
      </c>
      <c r="AE1493" s="104">
        <f>IF(Table1[[#This Row],[Work Center]]="SwissQ",Materials!G$37,IF(Table1[[#This Row],[Work Center]]="Inca",Materials!G$29,IF(Table1[[#This Row],[Work Center]]="Canon",Materials!G$49,Materials!G$45)))</f>
        <v>8</v>
      </c>
      <c r="AF1493" s="69">
        <f>'Cali FPS'!C$48</f>
        <v>76.3</v>
      </c>
      <c r="AG1493" s="115"/>
      <c r="AH1493" s="112">
        <f t="shared" si="530"/>
        <v>28</v>
      </c>
      <c r="AI1493" s="112"/>
      <c r="AJ1493" s="104">
        <f t="shared" si="532"/>
        <v>141.98053333333331</v>
      </c>
      <c r="AK1493" s="62">
        <f t="shared" si="531"/>
        <v>0.74646333333333337</v>
      </c>
      <c r="AL1493" s="225">
        <f>Table1[[#This Row],[WSP/Dealer]]/Table1[[#This Row],[OD Sq Inch]]</f>
        <v>0.46666666666666667</v>
      </c>
      <c r="AM1493" s="101">
        <f>Table1[[#This Row],[OD Wdth]]*Table1[[#This Row],[OD Hgt]]</f>
        <v>1200</v>
      </c>
      <c r="AN1493" s="216">
        <f>Table1[[#This Row],[Min VO]]+Table1[[#This Row],[Max VO]]</f>
        <v>70</v>
      </c>
      <c r="AO1493" s="101"/>
      <c r="AP1493" s="101"/>
      <c r="AQ1493" s="104"/>
      <c r="AR1493" s="104"/>
      <c r="AS1493" s="104"/>
      <c r="AT1493" s="104"/>
      <c r="AU1493" s="830" t="str">
        <f t="shared" si="525"/>
        <v>-</v>
      </c>
    </row>
    <row r="1494" spans="1:47" s="103" customFormat="1" x14ac:dyDescent="0.2">
      <c r="A1494" s="86" t="s">
        <v>58</v>
      </c>
      <c r="B1494" s="1061" t="s">
        <v>1457</v>
      </c>
      <c r="C1494" s="183" t="s">
        <v>3537</v>
      </c>
      <c r="D1494" s="94" t="s">
        <v>3538</v>
      </c>
      <c r="E1494" s="85" t="s">
        <v>3539</v>
      </c>
      <c r="F1494" s="85" t="s">
        <v>289</v>
      </c>
      <c r="G1494" s="91" t="s">
        <v>51</v>
      </c>
      <c r="H1494" s="91" t="s">
        <v>51</v>
      </c>
      <c r="I1494" s="91" t="s">
        <v>52</v>
      </c>
      <c r="J1494" s="91" t="s">
        <v>53</v>
      </c>
      <c r="K1494" s="91" t="s">
        <v>54</v>
      </c>
      <c r="L1494" s="91" t="s">
        <v>55</v>
      </c>
      <c r="M1494" s="87">
        <v>560</v>
      </c>
      <c r="N1494" s="639">
        <v>560</v>
      </c>
      <c r="O1494" s="101" t="s">
        <v>56</v>
      </c>
      <c r="P1494" s="273">
        <v>30</v>
      </c>
      <c r="Q1494" s="273">
        <v>40</v>
      </c>
      <c r="R1494" s="60">
        <v>30</v>
      </c>
      <c r="S1494" s="273">
        <v>40</v>
      </c>
      <c r="T1494" s="273">
        <f>Table1[[#This Row],[VO Wdth]]</f>
        <v>30</v>
      </c>
      <c r="U1494" s="273">
        <f>Table1[[#This Row],[VO Hgt]]</f>
        <v>40</v>
      </c>
      <c r="V1494" s="608">
        <f t="shared" si="533"/>
        <v>38</v>
      </c>
      <c r="W1494" s="608">
        <f t="shared" si="534"/>
        <v>48</v>
      </c>
      <c r="X1494" s="157" t="s">
        <v>57</v>
      </c>
      <c r="Y1494" s="60">
        <v>38</v>
      </c>
      <c r="Z1494" s="60">
        <v>96</v>
      </c>
      <c r="AA1494" s="649">
        <f t="shared" si="528"/>
        <v>12.666666666666666</v>
      </c>
      <c r="AB1494" s="184">
        <f t="shared" si="535"/>
        <v>266.50666666666666</v>
      </c>
      <c r="AC1494" s="104">
        <f t="shared" si="536"/>
        <v>8.36</v>
      </c>
      <c r="AD1494" s="104">
        <f t="shared" si="537"/>
        <v>21.320533333333334</v>
      </c>
      <c r="AE1494" s="104">
        <f>IF(Table1[[#This Row],[Work Center]]="SwissQ",Materials!G$37,IF(Table1[[#This Row],[Work Center]]="Inca",Materials!G$29,IF(Table1[[#This Row],[Work Center]]="Canon",Materials!G$49,Materials!G$45)))</f>
        <v>8</v>
      </c>
      <c r="AF1494" s="69">
        <f>'Cali FPS'!C$48</f>
        <v>76.3</v>
      </c>
      <c r="AG1494" s="115"/>
      <c r="AH1494" s="498">
        <f t="shared" si="530"/>
        <v>28</v>
      </c>
      <c r="AI1494" s="498"/>
      <c r="AJ1494" s="104">
        <f t="shared" si="532"/>
        <v>141.98053333333331</v>
      </c>
      <c r="AK1494" s="650">
        <f t="shared" si="531"/>
        <v>0.74646333333333337</v>
      </c>
      <c r="AL1494" s="225">
        <f>Table1[[#This Row],[WSP/Dealer]]/Table1[[#This Row],[OD Sq Inch]]</f>
        <v>0.46666666666666667</v>
      </c>
      <c r="AM1494" s="216">
        <f>Table1[[#This Row],[OD Wdth]]*Table1[[#This Row],[OD Hgt]]</f>
        <v>1200</v>
      </c>
      <c r="AN1494" s="216">
        <f>Table1[[#This Row],[Min VO]]+Table1[[#This Row],[Max VO]]</f>
        <v>70</v>
      </c>
      <c r="AO1494" s="101"/>
      <c r="AP1494" s="101"/>
      <c r="AQ1494" s="104"/>
      <c r="AR1494" s="104"/>
      <c r="AS1494" s="104"/>
      <c r="AT1494" s="104"/>
      <c r="AU1494" s="830" t="str">
        <f t="shared" si="525"/>
        <v>-</v>
      </c>
    </row>
    <row r="1495" spans="1:47" s="46" customFormat="1" x14ac:dyDescent="0.2">
      <c r="A1495" s="86" t="s">
        <v>58</v>
      </c>
      <c r="B1495" s="1061" t="s">
        <v>1457</v>
      </c>
      <c r="C1495" s="77" t="s">
        <v>3540</v>
      </c>
      <c r="D1495" s="94" t="s">
        <v>3541</v>
      </c>
      <c r="E1495" s="85" t="s">
        <v>3542</v>
      </c>
      <c r="F1495" s="85" t="s">
        <v>289</v>
      </c>
      <c r="G1495" s="91" t="s">
        <v>370</v>
      </c>
      <c r="H1495" s="91" t="s">
        <v>370</v>
      </c>
      <c r="I1495" s="86" t="s">
        <v>52</v>
      </c>
      <c r="J1495" s="86" t="s">
        <v>53</v>
      </c>
      <c r="K1495" s="86" t="s">
        <v>54</v>
      </c>
      <c r="L1495" s="86" t="s">
        <v>55</v>
      </c>
      <c r="M1495" s="87">
        <v>560</v>
      </c>
      <c r="N1495" s="639">
        <v>560</v>
      </c>
      <c r="O1495" s="101" t="s">
        <v>56</v>
      </c>
      <c r="P1495" s="61">
        <v>40</v>
      </c>
      <c r="Q1495" s="61">
        <v>30</v>
      </c>
      <c r="R1495" s="60">
        <v>30</v>
      </c>
      <c r="S1495" s="61">
        <v>40</v>
      </c>
      <c r="T1495" s="61">
        <f>Table1[[#This Row],[VO Wdth]]</f>
        <v>40</v>
      </c>
      <c r="U1495" s="61">
        <f>Table1[[#This Row],[VO Hgt]]</f>
        <v>30</v>
      </c>
      <c r="V1495" s="608">
        <f t="shared" si="533"/>
        <v>48</v>
      </c>
      <c r="W1495" s="608">
        <f t="shared" si="534"/>
        <v>38</v>
      </c>
      <c r="X1495" s="157" t="s">
        <v>57</v>
      </c>
      <c r="Y1495" s="60">
        <v>38</v>
      </c>
      <c r="Z1495" s="60">
        <v>96</v>
      </c>
      <c r="AA1495" s="649">
        <f t="shared" si="528"/>
        <v>12.666666666666666</v>
      </c>
      <c r="AB1495" s="184">
        <f t="shared" si="535"/>
        <v>266.50666666666666</v>
      </c>
      <c r="AC1495" s="104">
        <f t="shared" si="536"/>
        <v>8.36</v>
      </c>
      <c r="AD1495" s="104">
        <f t="shared" si="537"/>
        <v>21.320533333333334</v>
      </c>
      <c r="AE1495" s="104">
        <f>IF(Table1[[#This Row],[Work Center]]="SwissQ",Materials!G$37,IF(Table1[[#This Row],[Work Center]]="Inca",Materials!G$29,IF(Table1[[#This Row],[Work Center]]="Canon",Materials!G$49,Materials!G$45)))</f>
        <v>8</v>
      </c>
      <c r="AF1495" s="69">
        <f>'Cali FPS'!C$48</f>
        <v>76.3</v>
      </c>
      <c r="AG1495" s="115"/>
      <c r="AH1495" s="112">
        <f t="shared" si="530"/>
        <v>28</v>
      </c>
      <c r="AI1495" s="112"/>
      <c r="AJ1495" s="104">
        <f t="shared" si="532"/>
        <v>141.98053333333331</v>
      </c>
      <c r="AK1495" s="62">
        <f t="shared" si="531"/>
        <v>0.74646333333333337</v>
      </c>
      <c r="AL1495" s="225">
        <f>Table1[[#This Row],[WSP/Dealer]]/Table1[[#This Row],[OD Sq Inch]]</f>
        <v>0.46666666666666667</v>
      </c>
      <c r="AM1495" s="216">
        <f>Table1[[#This Row],[OD Wdth]]*Table1[[#This Row],[OD Hgt]]</f>
        <v>1200</v>
      </c>
      <c r="AN1495" s="216">
        <f>Table1[[#This Row],[Min VO]]+Table1[[#This Row],[Max VO]]</f>
        <v>70</v>
      </c>
      <c r="AO1495" s="103"/>
      <c r="AP1495" s="101"/>
      <c r="AQ1495" s="104"/>
      <c r="AR1495" s="104"/>
      <c r="AS1495" s="104"/>
      <c r="AT1495" s="104"/>
      <c r="AU1495" s="108" t="str">
        <f t="shared" si="525"/>
        <v>-</v>
      </c>
    </row>
    <row r="1496" spans="1:47" s="46" customFormat="1" x14ac:dyDescent="0.2">
      <c r="A1496" s="60" t="s">
        <v>58</v>
      </c>
      <c r="B1496" s="1073" t="s">
        <v>1457</v>
      </c>
      <c r="C1496" s="79" t="s">
        <v>3543</v>
      </c>
      <c r="D1496" s="79" t="s">
        <v>3544</v>
      </c>
      <c r="E1496" s="83" t="s">
        <v>3545</v>
      </c>
      <c r="F1496" s="83" t="s">
        <v>289</v>
      </c>
      <c r="G1496" s="60" t="s">
        <v>1566</v>
      </c>
      <c r="H1496" s="60" t="s">
        <v>1566</v>
      </c>
      <c r="I1496" s="60" t="s">
        <v>52</v>
      </c>
      <c r="J1496" s="60" t="s">
        <v>53</v>
      </c>
      <c r="K1496" s="60" t="s">
        <v>54</v>
      </c>
      <c r="L1496" s="60" t="s">
        <v>55</v>
      </c>
      <c r="M1496" s="124">
        <v>250</v>
      </c>
      <c r="N1496" s="656">
        <v>260</v>
      </c>
      <c r="O1496" s="60" t="s">
        <v>56</v>
      </c>
      <c r="P1496" s="61">
        <v>19</v>
      </c>
      <c r="Q1496" s="61">
        <v>24</v>
      </c>
      <c r="R1496" s="60">
        <v>19</v>
      </c>
      <c r="S1496" s="61">
        <v>24</v>
      </c>
      <c r="T1496" s="61">
        <f>Table1[[#This Row],[VO Wdth]]</f>
        <v>19</v>
      </c>
      <c r="U1496" s="61">
        <f>Table1[[#This Row],[VO Hgt]]</f>
        <v>24</v>
      </c>
      <c r="V1496" s="47">
        <f t="shared" si="533"/>
        <v>27</v>
      </c>
      <c r="W1496" s="47">
        <f t="shared" si="534"/>
        <v>32</v>
      </c>
      <c r="X1496" s="157" t="s">
        <v>1070</v>
      </c>
      <c r="Y1496" s="60">
        <v>32</v>
      </c>
      <c r="Z1496" s="60">
        <f>Table1[[#This Row],[Print Wth]]*3</f>
        <v>81</v>
      </c>
      <c r="AA1496" s="717">
        <f t="shared" si="528"/>
        <v>6</v>
      </c>
      <c r="AB1496" s="125">
        <f t="shared" si="535"/>
        <v>126.24</v>
      </c>
      <c r="AC1496" s="69">
        <f t="shared" si="536"/>
        <v>3.96</v>
      </c>
      <c r="AD1496" s="48">
        <f t="shared" si="537"/>
        <v>10.0992</v>
      </c>
      <c r="AE1496" s="69">
        <f>IF(Table1[[#This Row],[Work Center]]="SwissQ",Materials!G$37,IF(Table1[[#This Row],[Work Center]]="Inca",Materials!G$29,IF(Table1[[#This Row],[Work Center]]="Canon",Materials!G$49,Materials!G$45)))</f>
        <v>8</v>
      </c>
      <c r="AF1496" s="69">
        <f>'Cali FPS'!C$25</f>
        <v>58.012499999999996</v>
      </c>
      <c r="AG1496" s="83"/>
      <c r="AH1496" s="48">
        <f t="shared" si="530"/>
        <v>12.5</v>
      </c>
      <c r="AI1496" s="48"/>
      <c r="AJ1496" s="69">
        <f t="shared" si="532"/>
        <v>92.571699999999993</v>
      </c>
      <c r="AK1496" s="62">
        <f t="shared" si="531"/>
        <v>0.62971320000000008</v>
      </c>
      <c r="AL1496" s="225">
        <f>Table1[[#This Row],[WSP/Dealer]]/Table1[[#This Row],[OD Sq Inch]]</f>
        <v>0.54824561403508776</v>
      </c>
      <c r="AM1496" s="46">
        <f>Table1[[#This Row],[OD Wdth]]*Table1[[#This Row],[OD Hgt]]</f>
        <v>456</v>
      </c>
      <c r="AN1496" s="216">
        <f>Table1[[#This Row],[Min VO]]+Table1[[#This Row],[Max VO]]</f>
        <v>43</v>
      </c>
      <c r="AP1496" s="60"/>
      <c r="AQ1496" s="69"/>
      <c r="AR1496" s="69"/>
      <c r="AS1496" s="69"/>
      <c r="AT1496" s="69"/>
      <c r="AU1496" s="62" t="str">
        <f t="shared" si="525"/>
        <v>-</v>
      </c>
    </row>
    <row r="1497" spans="1:47" s="103" customFormat="1" x14ac:dyDescent="0.2">
      <c r="A1497" s="60" t="s">
        <v>58</v>
      </c>
      <c r="B1497" s="1073" t="s">
        <v>1457</v>
      </c>
      <c r="C1497" s="1335" t="s">
        <v>3546</v>
      </c>
      <c r="D1497" s="79" t="s">
        <v>3547</v>
      </c>
      <c r="E1497" s="83" t="s">
        <v>3548</v>
      </c>
      <c r="F1497" s="83" t="s">
        <v>289</v>
      </c>
      <c r="G1497" s="92" t="s">
        <v>1566</v>
      </c>
      <c r="H1497" s="92" t="s">
        <v>1566</v>
      </c>
      <c r="I1497" s="92" t="s">
        <v>52</v>
      </c>
      <c r="J1497" s="92" t="s">
        <v>53</v>
      </c>
      <c r="K1497" s="92" t="s">
        <v>54</v>
      </c>
      <c r="L1497" s="92" t="s">
        <v>55</v>
      </c>
      <c r="M1497" s="124">
        <v>250</v>
      </c>
      <c r="N1497" s="656">
        <v>260</v>
      </c>
      <c r="O1497" s="60" t="s">
        <v>56</v>
      </c>
      <c r="P1497" s="273">
        <v>19</v>
      </c>
      <c r="Q1497" s="273">
        <v>24</v>
      </c>
      <c r="R1497" s="60">
        <v>19</v>
      </c>
      <c r="S1497" s="273">
        <v>24</v>
      </c>
      <c r="T1497" s="273">
        <f>Table1[[#This Row],[VO Wdth]]</f>
        <v>19</v>
      </c>
      <c r="U1497" s="273">
        <f>Table1[[#This Row],[VO Hgt]]</f>
        <v>24</v>
      </c>
      <c r="V1497" s="946">
        <f t="shared" si="533"/>
        <v>27</v>
      </c>
      <c r="W1497" s="946">
        <f t="shared" si="534"/>
        <v>32</v>
      </c>
      <c r="X1497" s="157" t="s">
        <v>1070</v>
      </c>
      <c r="Y1497" s="60">
        <v>32</v>
      </c>
      <c r="Z1497" s="60">
        <f>Table1[[#This Row],[Print Wth]]*3</f>
        <v>81</v>
      </c>
      <c r="AA1497" s="717">
        <f t="shared" si="528"/>
        <v>6</v>
      </c>
      <c r="AB1497" s="125">
        <f t="shared" si="535"/>
        <v>126.24</v>
      </c>
      <c r="AC1497" s="69">
        <f t="shared" si="536"/>
        <v>3.96</v>
      </c>
      <c r="AD1497" s="69">
        <f t="shared" si="537"/>
        <v>10.0992</v>
      </c>
      <c r="AE1497" s="69">
        <f>IF(Table1[[#This Row],[Work Center]]="SwissQ",Materials!G$37,IF(Table1[[#This Row],[Work Center]]="Inca",Materials!G$29,IF(Table1[[#This Row],[Work Center]]="Canon",Materials!G$49,Materials!G$45)))</f>
        <v>8</v>
      </c>
      <c r="AF1497" s="69">
        <f>'Cali FPS'!C$25</f>
        <v>58.012499999999996</v>
      </c>
      <c r="AG1497" s="83"/>
      <c r="AH1497" s="48">
        <f t="shared" si="530"/>
        <v>12.5</v>
      </c>
      <c r="AI1497" s="48"/>
      <c r="AJ1497" s="69">
        <f t="shared" si="532"/>
        <v>92.571699999999993</v>
      </c>
      <c r="AK1497" s="62">
        <f t="shared" si="531"/>
        <v>0.62971320000000008</v>
      </c>
      <c r="AL1497" s="225">
        <f>Table1[[#This Row],[WSP/Dealer]]/Table1[[#This Row],[OD Sq Inch]]</f>
        <v>0.54824561403508776</v>
      </c>
      <c r="AM1497" s="216">
        <f>Table1[[#This Row],[OD Wdth]]*Table1[[#This Row],[OD Hgt]]</f>
        <v>456</v>
      </c>
      <c r="AN1497" s="216">
        <f>Table1[[#This Row],[Min VO]]+Table1[[#This Row],[Max VO]]</f>
        <v>43</v>
      </c>
      <c r="AO1497" s="60"/>
      <c r="AP1497" s="60"/>
      <c r="AQ1497" s="69"/>
      <c r="AR1497" s="69"/>
      <c r="AS1497" s="69"/>
      <c r="AT1497" s="69"/>
      <c r="AU1497" s="650" t="str">
        <f t="shared" si="525"/>
        <v>-</v>
      </c>
    </row>
    <row r="1498" spans="1:47" s="103" customFormat="1" x14ac:dyDescent="0.2">
      <c r="A1498" s="86" t="s">
        <v>58</v>
      </c>
      <c r="B1498" s="1061" t="s">
        <v>1457</v>
      </c>
      <c r="C1498" s="77" t="s">
        <v>3549</v>
      </c>
      <c r="D1498" s="94" t="s">
        <v>3550</v>
      </c>
      <c r="E1498" s="85" t="s">
        <v>3551</v>
      </c>
      <c r="F1498" s="85" t="s">
        <v>289</v>
      </c>
      <c r="G1498" s="86" t="s">
        <v>1566</v>
      </c>
      <c r="H1498" s="86" t="s">
        <v>1566</v>
      </c>
      <c r="I1498" s="86" t="s">
        <v>52</v>
      </c>
      <c r="J1498" s="86" t="s">
        <v>53</v>
      </c>
      <c r="K1498" s="86" t="s">
        <v>54</v>
      </c>
      <c r="L1498" s="86" t="s">
        <v>55</v>
      </c>
      <c r="M1498" s="87">
        <v>250</v>
      </c>
      <c r="N1498" s="639">
        <v>260</v>
      </c>
      <c r="O1498" s="101" t="s">
        <v>56</v>
      </c>
      <c r="P1498" s="273">
        <v>19</v>
      </c>
      <c r="Q1498" s="273">
        <v>24</v>
      </c>
      <c r="R1498" s="60">
        <v>19</v>
      </c>
      <c r="S1498" s="273">
        <v>24</v>
      </c>
      <c r="T1498" s="273">
        <f>Table1[[#This Row],[VO Wdth]]</f>
        <v>19</v>
      </c>
      <c r="U1498" s="273">
        <f>Table1[[#This Row],[VO Hgt]]</f>
        <v>24</v>
      </c>
      <c r="V1498" s="608">
        <f t="shared" si="533"/>
        <v>27</v>
      </c>
      <c r="W1498" s="608">
        <f t="shared" si="534"/>
        <v>32</v>
      </c>
      <c r="X1498" s="157" t="s">
        <v>1070</v>
      </c>
      <c r="Y1498" s="60">
        <v>32</v>
      </c>
      <c r="Z1498" s="60">
        <f>Table1[[#This Row],[Print Wth]]*3</f>
        <v>81</v>
      </c>
      <c r="AA1498" s="649">
        <f t="shared" si="528"/>
        <v>6</v>
      </c>
      <c r="AB1498" s="184">
        <f t="shared" si="535"/>
        <v>126.24</v>
      </c>
      <c r="AC1498" s="104">
        <f t="shared" si="536"/>
        <v>3.96</v>
      </c>
      <c r="AD1498" s="104">
        <f t="shared" si="537"/>
        <v>10.0992</v>
      </c>
      <c r="AE1498" s="104">
        <f>IF(Table1[[#This Row],[Work Center]]="SwissQ",Materials!G$37,IF(Table1[[#This Row],[Work Center]]="Inca",Materials!G$29,IF(Table1[[#This Row],[Work Center]]="Canon",Materials!G$49,Materials!G$45)))</f>
        <v>8</v>
      </c>
      <c r="AF1498" s="69">
        <f>'Cali FPS'!C$25</f>
        <v>58.012499999999996</v>
      </c>
      <c r="AG1498" s="115"/>
      <c r="AH1498" s="112">
        <f t="shared" si="530"/>
        <v>12.5</v>
      </c>
      <c r="AI1498" s="112"/>
      <c r="AJ1498" s="104">
        <f t="shared" si="532"/>
        <v>92.571699999999993</v>
      </c>
      <c r="AK1498" s="62">
        <f t="shared" si="531"/>
        <v>0.62971320000000008</v>
      </c>
      <c r="AL1498" s="225">
        <f>Table1[[#This Row],[WSP/Dealer]]/Table1[[#This Row],[OD Sq Inch]]</f>
        <v>0.54824561403508776</v>
      </c>
      <c r="AM1498" s="60">
        <f>Table1[[#This Row],[OD Wdth]]*Table1[[#This Row],[OD Hgt]]</f>
        <v>456</v>
      </c>
      <c r="AN1498" s="216">
        <f>Table1[[#This Row],[Min VO]]+Table1[[#This Row],[Max VO]]</f>
        <v>43</v>
      </c>
      <c r="AO1498" s="101"/>
      <c r="AP1498" s="101"/>
      <c r="AQ1498" s="104"/>
      <c r="AR1498" s="104"/>
      <c r="AS1498" s="104"/>
      <c r="AT1498" s="104"/>
      <c r="AU1498" s="830" t="str">
        <f t="shared" si="525"/>
        <v>-</v>
      </c>
    </row>
    <row r="1499" spans="1:47" s="173" customFormat="1" hidden="1" x14ac:dyDescent="0.2">
      <c r="A1499" s="470" t="s">
        <v>318</v>
      </c>
      <c r="B1499" s="1061" t="s">
        <v>96</v>
      </c>
      <c r="C1499" s="79" t="s">
        <v>3552</v>
      </c>
      <c r="D1499" s="94">
        <v>195007</v>
      </c>
      <c r="E1499" s="83" t="s">
        <v>3553</v>
      </c>
      <c r="F1499" s="83" t="s">
        <v>571</v>
      </c>
      <c r="G1499" s="60" t="s">
        <v>572</v>
      </c>
      <c r="H1499" s="60" t="s">
        <v>573</v>
      </c>
      <c r="I1499" s="60" t="s">
        <v>574</v>
      </c>
      <c r="J1499" s="60" t="s">
        <v>53</v>
      </c>
      <c r="K1499" s="60" t="s">
        <v>69</v>
      </c>
      <c r="L1499" s="60" t="s">
        <v>70</v>
      </c>
      <c r="M1499" s="544">
        <v>460</v>
      </c>
      <c r="N1499" s="786">
        <v>1050</v>
      </c>
      <c r="O1499" s="145" t="s">
        <v>575</v>
      </c>
      <c r="P1499" s="60">
        <v>60</v>
      </c>
      <c r="Q1499" s="60">
        <v>40</v>
      </c>
      <c r="R1499" s="60">
        <v>40</v>
      </c>
      <c r="S1499" s="60">
        <v>60</v>
      </c>
      <c r="T1499" s="60">
        <v>61</v>
      </c>
      <c r="U1499" s="60">
        <v>41</v>
      </c>
      <c r="V1499" s="947">
        <f>IF(J1499="Canvas",P1499+Border,P1499)</f>
        <v>68</v>
      </c>
      <c r="W1499" s="947">
        <f>IF(J1499="Canvas",Q1499+Border,Q1499)</f>
        <v>48</v>
      </c>
      <c r="X1499" s="138"/>
      <c r="Y1499" s="60">
        <v>68</v>
      </c>
      <c r="Z1499" s="60">
        <v>48</v>
      </c>
      <c r="AA1499" s="678">
        <f t="shared" si="528"/>
        <v>22.666666666666668</v>
      </c>
      <c r="AB1499" s="329">
        <f>Table1[[#This Row],[Substrate SF]]*SWISSMLR*3</f>
        <v>136</v>
      </c>
      <c r="AC1499" s="176">
        <f t="shared" si="536"/>
        <v>14.96</v>
      </c>
      <c r="AD1499" s="175">
        <f>Table1[[#This Row],[Substrate SF]]*SWISSCR*3</f>
        <v>14.96</v>
      </c>
      <c r="AE1499" s="69">
        <f>Materials!I$41</f>
        <v>8</v>
      </c>
      <c r="AF1499" s="72">
        <f>'Cali Frames'!D315</f>
        <v>164.9025</v>
      </c>
      <c r="AG1499" s="540"/>
      <c r="AH1499" s="112">
        <f t="shared" si="530"/>
        <v>23</v>
      </c>
      <c r="AI1499" s="112"/>
      <c r="AJ1499" s="176">
        <f t="shared" si="532"/>
        <v>225.82249999999999</v>
      </c>
      <c r="AK1499" s="62">
        <f t="shared" si="531"/>
        <v>0.50908152173913046</v>
      </c>
      <c r="AL1499" s="225">
        <f>Table1[[#This Row],[WSP/Dealer]]/Table1[[#This Row],[OD Sq Inch]]</f>
        <v>0.1839264294282287</v>
      </c>
      <c r="AM1499" s="173">
        <f>Table1[[#This Row],[OD Wdth]]*Table1[[#This Row],[OD Hgt]]</f>
        <v>2501</v>
      </c>
      <c r="AN1499" s="180" t="str">
        <f>Table1[[#This Row],[Color]]</f>
        <v>BF</v>
      </c>
      <c r="AO1499" s="83" t="str">
        <f>Table1[[#This Row],[Print Type]]</f>
        <v>Reductive+</v>
      </c>
      <c r="AP1499" s="83"/>
      <c r="AQ1499" s="540"/>
      <c r="AR1499" s="540"/>
      <c r="AS1499" s="540"/>
      <c r="AT1499" s="69"/>
      <c r="AU1499" s="1361" t="str">
        <f t="shared" si="525"/>
        <v>-</v>
      </c>
    </row>
    <row r="1500" spans="1:47" s="868" customFormat="1" x14ac:dyDescent="0.2">
      <c r="A1500" s="60" t="s">
        <v>58</v>
      </c>
      <c r="B1500" s="1061" t="s">
        <v>96</v>
      </c>
      <c r="C1500" s="79" t="s">
        <v>3554</v>
      </c>
      <c r="D1500" s="94"/>
      <c r="E1500" s="83" t="s">
        <v>3555</v>
      </c>
      <c r="F1500" s="83" t="s">
        <v>650</v>
      </c>
      <c r="G1500" s="60" t="s">
        <v>637</v>
      </c>
      <c r="H1500" s="60" t="s">
        <v>637</v>
      </c>
      <c r="I1500" s="60" t="s">
        <v>52</v>
      </c>
      <c r="J1500" s="59" t="s">
        <v>53</v>
      </c>
      <c r="K1500" s="60" t="s">
        <v>54</v>
      </c>
      <c r="L1500" s="60" t="s">
        <v>55</v>
      </c>
      <c r="M1500" s="179">
        <v>950</v>
      </c>
      <c r="N1500" s="656">
        <v>950</v>
      </c>
      <c r="O1500" s="60" t="s">
        <v>64</v>
      </c>
      <c r="P1500" s="60">
        <v>60</v>
      </c>
      <c r="Q1500" s="60">
        <v>48</v>
      </c>
      <c r="R1500" s="60">
        <v>48</v>
      </c>
      <c r="S1500" s="46">
        <v>60</v>
      </c>
      <c r="T1500" s="46">
        <v>60</v>
      </c>
      <c r="U1500" s="46">
        <v>48</v>
      </c>
      <c r="V1500" s="47">
        <f>IF(J1500="Canvas",P1500+Materials!C$5,P1500)</f>
        <v>67</v>
      </c>
      <c r="W1500" s="47">
        <f>IF(J1500="Canvas",Q1500+Materials!C$5,Q1500)</f>
        <v>55</v>
      </c>
      <c r="X1500" s="138"/>
      <c r="Y1500" s="60">
        <v>67</v>
      </c>
      <c r="Z1500" s="60">
        <v>55</v>
      </c>
      <c r="AA1500" s="717">
        <f t="shared" si="528"/>
        <v>25.590277777777779</v>
      </c>
      <c r="AB1500" s="125">
        <f>AA1500*Swiss1</f>
        <v>724.2048611111112</v>
      </c>
      <c r="AC1500" s="69">
        <f t="shared" si="536"/>
        <v>16.889583333333334</v>
      </c>
      <c r="AD1500" s="48">
        <f>Table1[[#This Row],[Substrate SF]]*Materials!C$37</f>
        <v>71.652777777777771</v>
      </c>
      <c r="AE1500" s="69">
        <f>IF(Table1[[#This Row],[Work Center]]="SwissQ",Materials!G$37,IF(Table1[[#This Row],[Work Center]]="Inca",Materials!G$29,IF(Table1[[#This Row],[Work Center]]="Canon",Materials!G$49,Materials!G$45)))</f>
        <v>20</v>
      </c>
      <c r="AF1500" s="72">
        <f>'Cali FPS'!C121</f>
        <v>188.18</v>
      </c>
      <c r="AG1500" s="540"/>
      <c r="AH1500" s="69">
        <f t="shared" si="530"/>
        <v>47.5</v>
      </c>
      <c r="AI1500" s="69"/>
      <c r="AJ1500" s="175">
        <f t="shared" si="532"/>
        <v>344.22236111111113</v>
      </c>
      <c r="AK1500" s="650">
        <f t="shared" si="531"/>
        <v>0.63766067251461989</v>
      </c>
      <c r="AL1500" s="225">
        <f>Table1[[#This Row],[WSP/Dealer]]/Table1[[#This Row],[OD Sq Inch]]</f>
        <v>0.3298611111111111</v>
      </c>
      <c r="AM1500" s="173">
        <f>Table1[[#This Row],[OD Wdth]]*Table1[[#This Row],[OD Hgt]]</f>
        <v>2880</v>
      </c>
      <c r="AN1500" s="180">
        <f>Table1[[#This Row],[Min VO]]+Table1[[#This Row],[Max VO]]</f>
        <v>108</v>
      </c>
      <c r="AO1500" s="83"/>
      <c r="AP1500" s="83"/>
      <c r="AQ1500" s="540"/>
      <c r="AR1500" s="540"/>
      <c r="AS1500" s="540"/>
      <c r="AT1500" s="69"/>
      <c r="AU1500" s="1361" t="str">
        <f t="shared" si="525"/>
        <v>-</v>
      </c>
    </row>
    <row r="1501" spans="1:47" s="103" customFormat="1" x14ac:dyDescent="0.2">
      <c r="A1501" s="86" t="s">
        <v>58</v>
      </c>
      <c r="B1501" s="1061" t="s">
        <v>406</v>
      </c>
      <c r="C1501" s="122" t="s">
        <v>3556</v>
      </c>
      <c r="D1501" s="94" t="s">
        <v>3557</v>
      </c>
      <c r="E1501" s="85" t="s">
        <v>3558</v>
      </c>
      <c r="F1501" s="85" t="s">
        <v>99</v>
      </c>
      <c r="G1501" s="91" t="s">
        <v>115</v>
      </c>
      <c r="H1501" s="91" t="s">
        <v>115</v>
      </c>
      <c r="I1501" s="91" t="s">
        <v>52</v>
      </c>
      <c r="J1501" s="91" t="s">
        <v>53</v>
      </c>
      <c r="K1501" s="91" t="s">
        <v>54</v>
      </c>
      <c r="L1501" s="91" t="s">
        <v>55</v>
      </c>
      <c r="M1501" s="87">
        <v>720.5</v>
      </c>
      <c r="N1501" s="639">
        <v>830</v>
      </c>
      <c r="O1501" s="68" t="s">
        <v>64</v>
      </c>
      <c r="P1501" s="101">
        <v>48</v>
      </c>
      <c r="Q1501" s="101">
        <v>48</v>
      </c>
      <c r="R1501" s="60">
        <v>48</v>
      </c>
      <c r="S1501" s="273">
        <v>48</v>
      </c>
      <c r="T1501" s="273">
        <f>Table1[[#This Row],[VO Wdth]]</f>
        <v>48</v>
      </c>
      <c r="U1501" s="273">
        <f>Table1[[#This Row],[VO Hgt]]</f>
        <v>48</v>
      </c>
      <c r="V1501" s="106">
        <f>IF(J1501="Canvas",P1501+BorderGW,P1501)</f>
        <v>56</v>
      </c>
      <c r="W1501" s="106">
        <f>IF(J1501="Canvas",Q1501+BorderGW,Q1501)</f>
        <v>56</v>
      </c>
      <c r="X1501" s="189" t="s">
        <v>2722</v>
      </c>
      <c r="Y1501" s="68"/>
      <c r="Z1501" s="68"/>
      <c r="AA1501" s="649">
        <f t="shared" si="528"/>
        <v>21.777777777777779</v>
      </c>
      <c r="AB1501" s="125">
        <f>AA1501*Swiss1</f>
        <v>616.31111111111113</v>
      </c>
      <c r="AC1501" s="104">
        <f t="shared" si="536"/>
        <v>14.373333333333335</v>
      </c>
      <c r="AD1501" s="107">
        <f>Table1[[#This Row],[Substrate SF]]*Materials!C$37</f>
        <v>60.977777777777774</v>
      </c>
      <c r="AE1501" s="104">
        <f>IF(Table1[[#This Row],[Work Center]]="SwissQ",Materials!G$37,IF(Table1[[#This Row],[Work Center]]="Inca",Materials!G$29,IF(Table1[[#This Row],[Work Center]]="Canon",Materials!G$49,Materials!G$45)))</f>
        <v>20</v>
      </c>
      <c r="AF1501" s="104">
        <f>'Cali FPS'!C$117</f>
        <v>119.7</v>
      </c>
      <c r="AG1501" s="115"/>
      <c r="AH1501" s="112">
        <f t="shared" si="530"/>
        <v>36.024999999999999</v>
      </c>
      <c r="AI1501" s="112"/>
      <c r="AJ1501" s="104">
        <f t="shared" si="532"/>
        <v>251.07611111111112</v>
      </c>
      <c r="AK1501" s="62">
        <f t="shared" si="531"/>
        <v>0.65152517541830512</v>
      </c>
      <c r="AL1501" s="225">
        <f>Table1[[#This Row],[WSP/Dealer]]/Table1[[#This Row],[OD Sq Inch]]</f>
        <v>0.3127170138888889</v>
      </c>
      <c r="AM1501" s="46">
        <f>Table1[[#This Row],[OD Wdth]]*Table1[[#This Row],[OD Hgt]]</f>
        <v>2304</v>
      </c>
      <c r="AN1501" s="216">
        <f>Table1[[#This Row],[Min VO]]+Table1[[#This Row],[Max VO]]</f>
        <v>96</v>
      </c>
      <c r="AO1501" s="101"/>
      <c r="AP1501" s="101"/>
      <c r="AQ1501" s="104"/>
      <c r="AR1501" s="104"/>
      <c r="AS1501" s="104"/>
      <c r="AT1501" s="104"/>
      <c r="AU1501" s="830" t="str">
        <f t="shared" si="525"/>
        <v>-</v>
      </c>
    </row>
    <row r="1502" spans="1:47" s="103" customFormat="1" hidden="1" x14ac:dyDescent="0.2">
      <c r="A1502" s="551" t="s">
        <v>272</v>
      </c>
      <c r="B1502" s="1061" t="s">
        <v>141</v>
      </c>
      <c r="C1502" s="805" t="s">
        <v>3559</v>
      </c>
      <c r="D1502" s="94"/>
      <c r="E1502" s="653" t="s">
        <v>3560</v>
      </c>
      <c r="F1502" s="653" t="s">
        <v>99</v>
      </c>
      <c r="G1502" s="551" t="s">
        <v>139</v>
      </c>
      <c r="H1502" s="551" t="s">
        <v>139</v>
      </c>
      <c r="I1502" s="551" t="s">
        <v>52</v>
      </c>
      <c r="J1502" s="856" t="s">
        <v>53</v>
      </c>
      <c r="K1502" s="551" t="s">
        <v>54</v>
      </c>
      <c r="L1502" s="551" t="s">
        <v>55</v>
      </c>
      <c r="M1502" s="896">
        <v>215</v>
      </c>
      <c r="N1502" s="896"/>
      <c r="O1502" s="551" t="s">
        <v>64</v>
      </c>
      <c r="P1502" s="551">
        <v>24</v>
      </c>
      <c r="Q1502" s="551">
        <v>24</v>
      </c>
      <c r="R1502" s="551">
        <v>24</v>
      </c>
      <c r="S1502" s="984">
        <v>24</v>
      </c>
      <c r="T1502" s="984">
        <v>24</v>
      </c>
      <c r="U1502" s="984">
        <v>24</v>
      </c>
      <c r="V1502" s="859">
        <f>IF(J1502="Canvas",P1502+BorderGW,P1502)</f>
        <v>32</v>
      </c>
      <c r="W1502" s="859">
        <f>IF(J1502="Canvas",Q1502+BorderGW,Q1502)</f>
        <v>32</v>
      </c>
      <c r="X1502" s="311">
        <v>40</v>
      </c>
      <c r="Y1502" s="551">
        <v>32</v>
      </c>
      <c r="Z1502" s="551">
        <v>32</v>
      </c>
      <c r="AA1502" s="860">
        <f t="shared" si="528"/>
        <v>7.1111111111111107</v>
      </c>
      <c r="AB1502" s="861">
        <f>AA1502*Swiss1</f>
        <v>201.24444444444444</v>
      </c>
      <c r="AC1502" s="863">
        <f t="shared" si="536"/>
        <v>4.6933333333333334</v>
      </c>
      <c r="AD1502" s="862">
        <f>Table1[[#This Row],[Substrate SF]]*Materials!C$37</f>
        <v>19.911111111111108</v>
      </c>
      <c r="AE1502" s="863">
        <f>IF(Table1[[#This Row],[Work Center]]="SwissQ",Materials!G$37,IF(Table1[[#This Row],[Work Center]]="Inca",Materials!G$29,IF(Table1[[#This Row],[Work Center]]="Canon",Materials!G$49,Materials!G$45)))</f>
        <v>20</v>
      </c>
      <c r="AF1502" s="71">
        <f>'Cali FPS'!C32</f>
        <v>63.47</v>
      </c>
      <c r="AG1502" s="653"/>
      <c r="AH1502" s="862">
        <f t="shared" si="530"/>
        <v>10.75</v>
      </c>
      <c r="AI1502" s="862"/>
      <c r="AJ1502" s="862">
        <f t="shared" si="532"/>
        <v>118.82444444444444</v>
      </c>
      <c r="AK1502" s="894">
        <f t="shared" si="531"/>
        <v>0.44732816537467701</v>
      </c>
      <c r="AL1502" s="895">
        <f>Table1[[#This Row],[WSP/Dealer]]/Table1[[#This Row],[OD Sq Inch]]</f>
        <v>0.3732638888888889</v>
      </c>
      <c r="AM1502" s="45">
        <f>Table1[[#This Row],[OD Wdth]]*Table1[[#This Row],[OD Hgt]]</f>
        <v>576</v>
      </c>
      <c r="AN1502" s="779">
        <f>Table1[[#This Row],[Min VO]]+Table1[[#This Row],[Max VO]]</f>
        <v>48</v>
      </c>
      <c r="AO1502" s="653"/>
      <c r="AP1502" s="653"/>
      <c r="AQ1502" s="864"/>
      <c r="AR1502" s="864"/>
      <c r="AS1502" s="864"/>
      <c r="AT1502" s="863"/>
      <c r="AU1502" s="1364" t="str">
        <f t="shared" si="525"/>
        <v>-</v>
      </c>
    </row>
    <row r="1503" spans="1:47" s="103" customFormat="1" x14ac:dyDescent="0.2">
      <c r="A1503" s="86" t="s">
        <v>58</v>
      </c>
      <c r="B1503" s="279" t="s">
        <v>406</v>
      </c>
      <c r="C1503" s="100" t="s">
        <v>3561</v>
      </c>
      <c r="D1503" s="94" t="s">
        <v>3562</v>
      </c>
      <c r="E1503" s="85" t="s">
        <v>3563</v>
      </c>
      <c r="F1503" s="85" t="s">
        <v>1981</v>
      </c>
      <c r="G1503" s="86" t="s">
        <v>519</v>
      </c>
      <c r="H1503" s="86" t="s">
        <v>2698</v>
      </c>
      <c r="I1503" s="86" t="s">
        <v>52</v>
      </c>
      <c r="J1503" s="86" t="s">
        <v>280</v>
      </c>
      <c r="K1503" s="86" t="s">
        <v>2072</v>
      </c>
      <c r="L1503" s="86" t="s">
        <v>2073</v>
      </c>
      <c r="M1503" s="87">
        <v>660</v>
      </c>
      <c r="N1503" s="639">
        <v>660</v>
      </c>
      <c r="O1503" s="145" t="s">
        <v>575</v>
      </c>
      <c r="P1503" s="101">
        <v>16</v>
      </c>
      <c r="Q1503" s="101">
        <v>20</v>
      </c>
      <c r="R1503" s="60">
        <v>16</v>
      </c>
      <c r="S1503" s="273">
        <v>20</v>
      </c>
      <c r="T1503" s="103">
        <v>18</v>
      </c>
      <c r="U1503" s="103" t="str">
        <f>RIGHT(H1503,2)</f>
        <v>15</v>
      </c>
      <c r="V1503" s="106">
        <f>IF(J1503="Canvas",P1503+Border,P1503)</f>
        <v>16</v>
      </c>
      <c r="W1503" s="106">
        <f>IF(J1503="Canvas",Q1503+Border,Q1503)</f>
        <v>20</v>
      </c>
      <c r="X1503" s="137" t="s">
        <v>2471</v>
      </c>
      <c r="Y1503" s="101"/>
      <c r="Z1503" s="101"/>
      <c r="AA1503" s="649">
        <f t="shared" si="528"/>
        <v>2.2222222222222223</v>
      </c>
      <c r="AB1503" s="125">
        <f>AA1503*Swiss1</f>
        <v>62.888888888888893</v>
      </c>
      <c r="AC1503" s="104">
        <f>PETG60/18</f>
        <v>3.24</v>
      </c>
      <c r="AD1503" s="107">
        <f>AA1503*SWISSC1</f>
        <v>6.2222222222222223</v>
      </c>
      <c r="AE1503" s="104">
        <f>IF(Table1[[#This Row],[Work Center]]="SwissQ",Materials!G$37,IF(Table1[[#This Row],[Work Center]]="Inca",Materials!G$29,IF(Table1[[#This Row],[Work Center]]="Canon",Materials!G$49,Materials!G$45)))</f>
        <v>5</v>
      </c>
      <c r="AF1503" s="104">
        <f>'Cali Frames'!D$175</f>
        <v>221.64</v>
      </c>
      <c r="AG1503" s="115"/>
      <c r="AH1503" s="112">
        <f t="shared" si="530"/>
        <v>33</v>
      </c>
      <c r="AI1503" s="112"/>
      <c r="AJ1503" s="104">
        <f t="shared" si="532"/>
        <v>269.10222222222222</v>
      </c>
      <c r="AK1503" s="62">
        <f t="shared" si="531"/>
        <v>0.59226936026936028</v>
      </c>
      <c r="AL1503" s="225">
        <f>Table1[[#This Row],[WSP/Dealer]]/Table1[[#This Row],[OD Sq Inch]]</f>
        <v>2.4444444444444446</v>
      </c>
      <c r="AM1503" s="97">
        <f>Table1[[#This Row],[OD Wdth]]*Table1[[#This Row],[OD Hgt]]</f>
        <v>270</v>
      </c>
      <c r="AN1503" s="216">
        <f>Table1[[#This Row],[Min VO]]+Table1[[#This Row],[Max VO]]</f>
        <v>36</v>
      </c>
      <c r="AO1503" s="101"/>
      <c r="AP1503" s="101"/>
      <c r="AQ1503" s="104"/>
      <c r="AR1503" s="104"/>
      <c r="AS1503" s="104"/>
      <c r="AT1503" s="104"/>
      <c r="AU1503" s="830" t="str">
        <f t="shared" si="525"/>
        <v>-</v>
      </c>
    </row>
    <row r="1504" spans="1:47" s="103" customFormat="1" hidden="1" x14ac:dyDescent="0.2">
      <c r="A1504" s="101" t="s">
        <v>996</v>
      </c>
      <c r="B1504" s="1322" t="s">
        <v>96</v>
      </c>
      <c r="C1504" s="100" t="s">
        <v>3564</v>
      </c>
      <c r="D1504" s="168"/>
      <c r="E1504" s="115" t="s">
        <v>3565</v>
      </c>
      <c r="F1504" s="115" t="s">
        <v>1981</v>
      </c>
      <c r="G1504" s="101" t="s">
        <v>643</v>
      </c>
      <c r="H1504" s="101" t="s">
        <v>813</v>
      </c>
      <c r="I1504" s="101" t="s">
        <v>108</v>
      </c>
      <c r="J1504" s="101" t="s">
        <v>280</v>
      </c>
      <c r="K1504" s="101" t="s">
        <v>814</v>
      </c>
      <c r="L1504" s="101" t="s">
        <v>815</v>
      </c>
      <c r="M1504" s="299">
        <v>425</v>
      </c>
      <c r="N1504" s="114"/>
      <c r="O1504" s="101" t="s">
        <v>575</v>
      </c>
      <c r="P1504" s="101">
        <v>20</v>
      </c>
      <c r="Q1504" s="101">
        <v>20</v>
      </c>
      <c r="R1504" s="101">
        <v>16</v>
      </c>
      <c r="S1504" s="697">
        <v>20</v>
      </c>
      <c r="T1504" s="101">
        <v>23</v>
      </c>
      <c r="U1504" s="101">
        <v>19</v>
      </c>
      <c r="V1504" s="608">
        <v>20</v>
      </c>
      <c r="W1504" s="608">
        <v>16</v>
      </c>
      <c r="X1504" s="1010" t="s">
        <v>283</v>
      </c>
      <c r="Y1504" s="101">
        <v>20.25</v>
      </c>
      <c r="Z1504" s="101">
        <v>16.25</v>
      </c>
      <c r="AA1504" s="649">
        <f t="shared" si="528"/>
        <v>2.2222222222222223</v>
      </c>
      <c r="AB1504" s="633">
        <f>AA1504*SWISSMLR*3</f>
        <v>13.333333333333334</v>
      </c>
      <c r="AC1504" s="104">
        <f>MDFSHEET/10</f>
        <v>2.4350000000000001</v>
      </c>
      <c r="AD1504" s="405">
        <f>Table1[[#This Row],[Substrate SF]]*SWISSCR*3</f>
        <v>1.4666666666666668</v>
      </c>
      <c r="AE1504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504" s="102">
        <f>'Cali Frames'!D193</f>
        <v>126.35</v>
      </c>
      <c r="AG1504" s="115"/>
      <c r="AH1504" s="104">
        <f t="shared" si="530"/>
        <v>21.25</v>
      </c>
      <c r="AI1504" s="104"/>
      <c r="AJ1504" s="406">
        <f t="shared" si="532"/>
        <v>159.50166666666667</v>
      </c>
      <c r="AK1504" s="830">
        <f t="shared" si="531"/>
        <v>0.62470196078431373</v>
      </c>
      <c r="AL1504" s="660">
        <f>Table1[[#This Row],[WSP/Dealer]]/Table1[[#This Row],[OD Sq Inch]]</f>
        <v>0.97254004576659037</v>
      </c>
      <c r="AM1504" s="399">
        <f>Table1[[#This Row],[OD Wdth]]*Table1[[#This Row],[OD Hgt]]</f>
        <v>437</v>
      </c>
      <c r="AN1504" s="400">
        <f>Table1[[#This Row],[Min VO]]+Table1[[#This Row],[Max VO]]</f>
        <v>36</v>
      </c>
      <c r="AO1504" s="115" t="str">
        <f>Table1[[#This Row],[Print Type]]</f>
        <v>Reductive</v>
      </c>
      <c r="AP1504" s="115"/>
      <c r="AQ1504" s="121"/>
      <c r="AR1504" s="121"/>
      <c r="AS1504" s="121"/>
      <c r="AT1504" s="104"/>
      <c r="AU1504" s="1359" t="str">
        <f t="shared" si="525"/>
        <v>-</v>
      </c>
    </row>
    <row r="1505" spans="1:47" s="63" customFormat="1" hidden="1" x14ac:dyDescent="0.2">
      <c r="A1505" s="101" t="s">
        <v>110</v>
      </c>
      <c r="B1505" s="1064" t="s">
        <v>250</v>
      </c>
      <c r="C1505" s="100" t="s">
        <v>3566</v>
      </c>
      <c r="D1505" s="168"/>
      <c r="E1505" s="115" t="s">
        <v>3565</v>
      </c>
      <c r="F1505" s="115" t="s">
        <v>1981</v>
      </c>
      <c r="G1505" s="101" t="s">
        <v>643</v>
      </c>
      <c r="H1505" s="101" t="s">
        <v>806</v>
      </c>
      <c r="I1505" s="101" t="s">
        <v>52</v>
      </c>
      <c r="J1505" s="487" t="s">
        <v>53</v>
      </c>
      <c r="K1505" s="101" t="s">
        <v>69</v>
      </c>
      <c r="L1505" s="101" t="s">
        <v>73</v>
      </c>
      <c r="M1505" s="114">
        <v>375</v>
      </c>
      <c r="N1505" s="114"/>
      <c r="O1505" s="101" t="s">
        <v>64</v>
      </c>
      <c r="P1505" s="101">
        <v>16</v>
      </c>
      <c r="Q1505" s="101">
        <v>20</v>
      </c>
      <c r="R1505" s="101">
        <v>16</v>
      </c>
      <c r="S1505" s="697">
        <v>20</v>
      </c>
      <c r="T1505" s="101">
        <v>17</v>
      </c>
      <c r="U1505" s="101">
        <v>21</v>
      </c>
      <c r="V1505" s="106">
        <f>IF(J1505="Canvas",P1505+BorderGW,P1505)</f>
        <v>24</v>
      </c>
      <c r="W1505" s="106">
        <f>IF(J1505="Canvas",Q1505+BorderGW,Q1505)</f>
        <v>28</v>
      </c>
      <c r="X1505" s="101">
        <v>40</v>
      </c>
      <c r="Y1505" s="608">
        <v>24</v>
      </c>
      <c r="Z1505" s="608">
        <v>28</v>
      </c>
      <c r="AA1505" s="649">
        <f t="shared" si="528"/>
        <v>4.666666666666667</v>
      </c>
      <c r="AB1505" s="184">
        <f>AA1505*Swiss1</f>
        <v>132.06666666666669</v>
      </c>
      <c r="AC1505" s="104">
        <f>AA1505*Canvas</f>
        <v>3.0800000000000005</v>
      </c>
      <c r="AD1505" s="107">
        <f>AA1505*Materials!C$37</f>
        <v>13.066666666666666</v>
      </c>
      <c r="AE1505" s="104">
        <f>IF(Table1[[#This Row],[Work Center]]="SwissQ",Materials!G$37,IF(Table1[[#This Row],[Work Center]]="Inca",Materials!G$29,IF(Table1[[#This Row],[Work Center]]="Canon",Materials!G$49,Materials!G$45)))</f>
        <v>20</v>
      </c>
      <c r="AF1505" s="102">
        <f>'Cali Frames'!D414</f>
        <v>89.83</v>
      </c>
      <c r="AG1505" s="115"/>
      <c r="AH1505" s="406">
        <f t="shared" si="530"/>
        <v>18.75</v>
      </c>
      <c r="AI1505" s="406">
        <f>IF(A1505="Codarus",(M1505*0.13))</f>
        <v>48.75</v>
      </c>
      <c r="AJ1505" s="104">
        <f>SUM(AC1505:AI1505)</f>
        <v>193.47666666666666</v>
      </c>
      <c r="AK1505" s="830">
        <f t="shared" si="531"/>
        <v>0.48406222222222223</v>
      </c>
      <c r="AL1505" s="660">
        <f>Table1[[#This Row],[WSP/Dealer]]/Table1[[#This Row],[OD Sq Inch]]</f>
        <v>1.0504201680672269</v>
      </c>
      <c r="AM1505" s="399">
        <f>Table1[[#This Row],[OD Wdth]]*Table1[[#This Row],[OD Hgt]]</f>
        <v>357</v>
      </c>
      <c r="AN1505" s="400">
        <f>Table1[[#This Row],[Min VO]]+Table1[[#This Row],[Max VO]]</f>
        <v>36</v>
      </c>
      <c r="AO1505" s="115"/>
      <c r="AP1505" s="121">
        <v>750</v>
      </c>
      <c r="AQ1505" s="121">
        <f>(Table1[[#This Row],[Desgnr/Retail P]]*0.05)</f>
        <v>37.5</v>
      </c>
      <c r="AR1505" s="121">
        <f>IF(A1505="Codarus",(AP1505*0.13))</f>
        <v>97.5</v>
      </c>
      <c r="AS1505" s="121">
        <f>SUM(Table1[[#This Row],[Substrate $]:[GP FINISH]])+Table1[[#This Row],[Retail Royalty]]+Table1[[#This Row],[Retail$Comm]]</f>
        <v>260.97666666666669</v>
      </c>
      <c r="AT1505" s="830">
        <f>IF(AP1505=0,"-",(AP1505-AS1505)/AP1505)</f>
        <v>0.65203111111111112</v>
      </c>
      <c r="AU1505" s="1359">
        <f t="shared" si="525"/>
        <v>0.98261250370370368</v>
      </c>
    </row>
    <row r="1506" spans="1:47" s="103" customFormat="1" hidden="1" x14ac:dyDescent="0.2">
      <c r="A1506" s="68" t="s">
        <v>101</v>
      </c>
      <c r="B1506" s="1061" t="s">
        <v>102</v>
      </c>
      <c r="C1506" s="80" t="s">
        <v>3567</v>
      </c>
      <c r="D1506" s="94"/>
      <c r="E1506" s="84" t="s">
        <v>3565</v>
      </c>
      <c r="F1506" s="84" t="s">
        <v>1981</v>
      </c>
      <c r="G1506" s="282" t="s">
        <v>643</v>
      </c>
      <c r="H1506" s="282" t="s">
        <v>813</v>
      </c>
      <c r="I1506" s="282" t="s">
        <v>52</v>
      </c>
      <c r="J1506" s="282" t="s">
        <v>280</v>
      </c>
      <c r="K1506" s="282" t="s">
        <v>814</v>
      </c>
      <c r="L1506" s="282" t="s">
        <v>815</v>
      </c>
      <c r="M1506" s="141">
        <v>275</v>
      </c>
      <c r="N1506" s="831">
        <v>660</v>
      </c>
      <c r="O1506" s="166" t="s">
        <v>575</v>
      </c>
      <c r="P1506" s="68">
        <v>16</v>
      </c>
      <c r="Q1506" s="68">
        <v>20</v>
      </c>
      <c r="R1506" s="68">
        <v>16</v>
      </c>
      <c r="S1506" s="623">
        <v>20</v>
      </c>
      <c r="T1506" s="68">
        <v>18</v>
      </c>
      <c r="U1506" s="68" t="str">
        <f>RIGHT(H1506,2)</f>
        <v>19</v>
      </c>
      <c r="V1506" s="66">
        <f>IF(J1506="Canvas",P1506+Border,P1506)</f>
        <v>16</v>
      </c>
      <c r="W1506" s="66">
        <f>IF(J1506="Canvas",Q1506+Border,Q1506)</f>
        <v>20</v>
      </c>
      <c r="X1506" s="189" t="s">
        <v>283</v>
      </c>
      <c r="Y1506" s="686">
        <f>Table1[[#This Row],[Print Wth]]</f>
        <v>16</v>
      </c>
      <c r="Z1506" s="686">
        <f>Table1[[#This Row],[Print Ht]]</f>
        <v>20</v>
      </c>
      <c r="AA1506" s="1027">
        <f>Table1[[#This Row],[Cut Width]]*Table1[[#This Row],[Cut Height]]/144</f>
        <v>2.2222222222222223</v>
      </c>
      <c r="AB1506" s="297">
        <f>AA1506*Swiss1</f>
        <v>62.888888888888893</v>
      </c>
      <c r="AC1506" s="74">
        <f>MDFSHEET/10</f>
        <v>2.4350000000000001</v>
      </c>
      <c r="AD1506" s="67">
        <f>AA1506*SWISSC1</f>
        <v>6.2222222222222223</v>
      </c>
      <c r="AE1506" s="74">
        <v>20</v>
      </c>
      <c r="AF1506" s="74">
        <f>'Cali Frames'!D$193</f>
        <v>126.35</v>
      </c>
      <c r="AG1506" s="84"/>
      <c r="AH1506" s="67">
        <f t="shared" si="530"/>
        <v>13.75</v>
      </c>
      <c r="AI1506" s="67"/>
      <c r="AJ1506" s="74">
        <f>SUM(AC1506:AH1506)</f>
        <v>168.75722222222223</v>
      </c>
      <c r="AK1506" s="661">
        <f t="shared" si="531"/>
        <v>0.3863373737373737</v>
      </c>
      <c r="AL1506" s="240">
        <f>Table1[[#This Row],[WSP/Dealer]]/Table1[[#This Row],[OD Sq Inch]]</f>
        <v>0.80409356725146197</v>
      </c>
      <c r="AM1506" s="63">
        <f>Table1[[#This Row],[OD Wdth]]*Table1[[#This Row],[OD Hgt]]</f>
        <v>342</v>
      </c>
      <c r="AN1506" s="238">
        <f>Table1[[#This Row],[Min VO]]+Table1[[#This Row],[Max VO]]</f>
        <v>36</v>
      </c>
      <c r="AO1506" s="68"/>
      <c r="AP1506" s="68"/>
      <c r="AQ1506" s="74"/>
      <c r="AR1506" s="74"/>
      <c r="AS1506" s="74"/>
      <c r="AT1506" s="74"/>
      <c r="AU1506" s="1001" t="str">
        <f t="shared" si="525"/>
        <v>-</v>
      </c>
    </row>
    <row r="1507" spans="1:47" s="63" customFormat="1" x14ac:dyDescent="0.2">
      <c r="A1507" s="86" t="s">
        <v>58</v>
      </c>
      <c r="B1507" s="1061" t="s">
        <v>366</v>
      </c>
      <c r="C1507" s="122" t="s">
        <v>3568</v>
      </c>
      <c r="D1507" s="94" t="s">
        <v>3569</v>
      </c>
      <c r="E1507" s="85" t="s">
        <v>3570</v>
      </c>
      <c r="F1507" s="85" t="s">
        <v>138</v>
      </c>
      <c r="G1507" s="86" t="s">
        <v>1938</v>
      </c>
      <c r="H1507" s="86" t="s">
        <v>1938</v>
      </c>
      <c r="I1507" s="86" t="s">
        <v>52</v>
      </c>
      <c r="J1507" s="86" t="s">
        <v>283</v>
      </c>
      <c r="K1507" s="86" t="s">
        <v>281</v>
      </c>
      <c r="L1507" s="86" t="s">
        <v>282</v>
      </c>
      <c r="M1507" s="87">
        <v>275</v>
      </c>
      <c r="N1507" s="639">
        <v>300</v>
      </c>
      <c r="O1507" s="551" t="s">
        <v>56</v>
      </c>
      <c r="P1507" s="101">
        <v>18</v>
      </c>
      <c r="Q1507" s="101">
        <v>18</v>
      </c>
      <c r="R1507" s="60">
        <v>18</v>
      </c>
      <c r="S1507" s="273">
        <v>18</v>
      </c>
      <c r="T1507" s="101">
        <v>18</v>
      </c>
      <c r="U1507" s="101" t="str">
        <f>RIGHT(H1507,2)</f>
        <v>18</v>
      </c>
      <c r="V1507" s="106">
        <f>IF(J1507="Canvas",P1507+Border,P1507)</f>
        <v>18</v>
      </c>
      <c r="W1507" s="106">
        <f>IF(J1507="Canvas",Q1507+Border,Q1507)</f>
        <v>18</v>
      </c>
      <c r="X1507" s="137" t="s">
        <v>283</v>
      </c>
      <c r="Y1507" s="101"/>
      <c r="Z1507" s="101"/>
      <c r="AA1507" s="649">
        <f>V1507*W1507/144</f>
        <v>2.25</v>
      </c>
      <c r="AB1507" s="184">
        <f>AA1507*IncaG</f>
        <v>47.339999999999996</v>
      </c>
      <c r="AC1507" s="104">
        <f>MDFSHEET/10</f>
        <v>2.4350000000000001</v>
      </c>
      <c r="AD1507" s="107">
        <f>AA1507*IncaC</f>
        <v>3.7871999999999999</v>
      </c>
      <c r="AE1507" s="104">
        <f>IF(Table1[[#This Row],[Work Center]]="SwissQ",Materials!G$37,IF(Table1[[#This Row],[Work Center]]="Inca",Materials!G$29,IF(Table1[[#This Row],[Work Center]]="Canon",Materials!G$49,Materials!G$45)))</f>
        <v>8</v>
      </c>
      <c r="AF1507" s="104">
        <f>'Cali Frames'!D$536</f>
        <v>87.535000000000011</v>
      </c>
      <c r="AG1507" s="115"/>
      <c r="AH1507" s="498">
        <f t="shared" si="530"/>
        <v>13.75</v>
      </c>
      <c r="AI1507" s="498"/>
      <c r="AJ1507" s="104">
        <f>SUM(AC1507:AH1507)</f>
        <v>115.50720000000001</v>
      </c>
      <c r="AK1507" s="650">
        <f t="shared" si="531"/>
        <v>0.57997381818181815</v>
      </c>
      <c r="AL1507" s="225">
        <f>Table1[[#This Row],[WSP/Dealer]]/Table1[[#This Row],[OD Sq Inch]]</f>
        <v>0.84876543209876543</v>
      </c>
      <c r="AM1507" s="97">
        <f>Table1[[#This Row],[OD Wdth]]*Table1[[#This Row],[OD Hgt]]</f>
        <v>324</v>
      </c>
      <c r="AN1507" s="216">
        <f>Table1[[#This Row],[Min VO]]+Table1[[#This Row],[Max VO]]</f>
        <v>36</v>
      </c>
      <c r="AO1507" s="101"/>
      <c r="AP1507" s="101"/>
      <c r="AQ1507" s="104"/>
      <c r="AR1507" s="104"/>
      <c r="AS1507" s="104"/>
      <c r="AT1507" s="104"/>
      <c r="AU1507" s="830" t="str">
        <f t="shared" si="525"/>
        <v>-</v>
      </c>
    </row>
    <row r="1508" spans="1:47" s="45" customFormat="1" hidden="1" x14ac:dyDescent="0.2">
      <c r="A1508" s="551" t="s">
        <v>140</v>
      </c>
      <c r="B1508" s="279" t="s">
        <v>141</v>
      </c>
      <c r="C1508" s="1110" t="s">
        <v>3571</v>
      </c>
      <c r="D1508" s="94"/>
      <c r="E1508" s="653" t="s">
        <v>3572</v>
      </c>
      <c r="F1508" s="653" t="s">
        <v>138</v>
      </c>
      <c r="G1508" s="551" t="s">
        <v>139</v>
      </c>
      <c r="H1508" s="551" t="s">
        <v>139</v>
      </c>
      <c r="I1508" s="551" t="s">
        <v>52</v>
      </c>
      <c r="J1508" s="856" t="s">
        <v>280</v>
      </c>
      <c r="K1508" s="551" t="s">
        <v>281</v>
      </c>
      <c r="L1508" s="551" t="s">
        <v>282</v>
      </c>
      <c r="M1508" s="857">
        <v>350</v>
      </c>
      <c r="N1508" s="858">
        <f>Table1[[#This Row],[WSP/Dealer]]/0.35</f>
        <v>1000.0000000000001</v>
      </c>
      <c r="O1508" s="551" t="s">
        <v>56</v>
      </c>
      <c r="P1508" s="551">
        <v>24</v>
      </c>
      <c r="Q1508" s="551">
        <v>24</v>
      </c>
      <c r="R1508" s="551">
        <v>24</v>
      </c>
      <c r="S1508" s="984">
        <v>24</v>
      </c>
      <c r="T1508" s="551">
        <v>24</v>
      </c>
      <c r="U1508" s="984">
        <v>24</v>
      </c>
      <c r="V1508" s="881">
        <v>24</v>
      </c>
      <c r="W1508" s="881">
        <v>24</v>
      </c>
      <c r="X1508" s="311" t="s">
        <v>283</v>
      </c>
      <c r="Y1508" s="551">
        <v>24</v>
      </c>
      <c r="Z1508" s="551">
        <v>24</v>
      </c>
      <c r="AA1508" s="860">
        <f>V1508*W1508/144</f>
        <v>4</v>
      </c>
      <c r="AB1508" s="861">
        <f>AA1508*IncaG</f>
        <v>84.16</v>
      </c>
      <c r="AC1508" s="863">
        <f>AA1508*MDF</f>
        <v>3.9568750000000006</v>
      </c>
      <c r="AD1508" s="876">
        <f>Table1[[#This Row],[Substrate SF]]*IncaC</f>
        <v>6.7328000000000001</v>
      </c>
      <c r="AE1508" s="863">
        <f>IF(Table1[[#This Row],[Work Center]]="SwissQ",Materials!G$37,IF(Table1[[#This Row],[Work Center]]="Inca",Materials!G$29,IF(Table1[[#This Row],[Work Center]]="Canon",Materials!G$49,Materials!G$45)))</f>
        <v>8</v>
      </c>
      <c r="AF1508" s="71">
        <f>'Cali Frames'!D538</f>
        <v>90.37</v>
      </c>
      <c r="AG1508" s="653"/>
      <c r="AH1508" s="867">
        <f t="shared" si="530"/>
        <v>17.5</v>
      </c>
      <c r="AI1508" s="867"/>
      <c r="AJ1508" s="867">
        <f>SUM(AC1508:AH1508)</f>
        <v>126.559675</v>
      </c>
      <c r="AK1508" s="1087">
        <f t="shared" si="531"/>
        <v>0.63840092857142861</v>
      </c>
      <c r="AL1508" s="867">
        <f>Table1[[#This Row],[WSP/Dealer]]/Table1[[#This Row],[OD Sq Inch]]</f>
        <v>0.60763888888888884</v>
      </c>
      <c r="AM1508" s="868">
        <f>Table1[[#This Row],[OD Wdth]]*Table1[[#This Row],[OD Hgt]]</f>
        <v>576</v>
      </c>
      <c r="AN1508" s="869">
        <f>Table1[[#This Row],[Min VO]]+Table1[[#This Row],[Max VO]]</f>
        <v>48</v>
      </c>
      <c r="AO1508" s="653"/>
      <c r="AP1508" s="653"/>
      <c r="AQ1508" s="864"/>
      <c r="AR1508" s="864"/>
      <c r="AS1508" s="864"/>
      <c r="AT1508" s="863"/>
      <c r="AU1508" s="1364" t="str">
        <f t="shared" si="525"/>
        <v>-</v>
      </c>
    </row>
    <row r="1509" spans="1:47" s="63" customFormat="1" hidden="1" x14ac:dyDescent="0.2">
      <c r="A1509" s="68" t="s">
        <v>644</v>
      </c>
      <c r="B1509" s="279" t="s">
        <v>96</v>
      </c>
      <c r="C1509" s="82" t="s">
        <v>3573</v>
      </c>
      <c r="D1509" s="94"/>
      <c r="E1509" s="84" t="s">
        <v>3574</v>
      </c>
      <c r="F1509" s="84" t="s">
        <v>105</v>
      </c>
      <c r="G1509" s="68" t="s">
        <v>643</v>
      </c>
      <c r="H1509" s="68" t="s">
        <v>643</v>
      </c>
      <c r="I1509" s="68" t="s">
        <v>108</v>
      </c>
      <c r="J1509" s="140" t="s">
        <v>53</v>
      </c>
      <c r="K1509" s="68" t="s">
        <v>54</v>
      </c>
      <c r="L1509" s="68" t="s">
        <v>55</v>
      </c>
      <c r="M1509" s="141">
        <v>225</v>
      </c>
      <c r="N1509" s="93"/>
      <c r="O1509" s="274" t="s">
        <v>109</v>
      </c>
      <c r="P1509" s="68">
        <v>20</v>
      </c>
      <c r="Q1509" s="68">
        <v>16</v>
      </c>
      <c r="R1509" s="68">
        <v>16</v>
      </c>
      <c r="S1509" s="623">
        <v>20</v>
      </c>
      <c r="T1509" s="68">
        <v>20</v>
      </c>
      <c r="U1509" s="68">
        <v>16</v>
      </c>
      <c r="V1509" s="686">
        <f>IF(J1509="Canvas",P1509+BorderL,P1509)</f>
        <v>31</v>
      </c>
      <c r="W1509" s="686">
        <f>IF(J1509="Canvas",Q1509+BorderL,Q1509)</f>
        <v>27</v>
      </c>
      <c r="X1509" s="189">
        <v>40</v>
      </c>
      <c r="Y1509" s="68">
        <v>31</v>
      </c>
      <c r="Z1509" s="68">
        <v>27</v>
      </c>
      <c r="AA1509" s="727">
        <f>V1509*W1509/144</f>
        <v>5.8125</v>
      </c>
      <c r="AB1509" s="341">
        <f>AA1509*EPSONM</f>
        <v>26.15625</v>
      </c>
      <c r="AC1509" s="278">
        <f>AA1509*Canvas</f>
        <v>3.8362500000000002</v>
      </c>
      <c r="AD1509" s="263">
        <f>Table1[[#This Row],[Ink g/mL]]*EPSONC</f>
        <v>5.7543750000000005</v>
      </c>
      <c r="AE1509" s="278">
        <f>IF(Table1[[#This Row],[Work Center]]="SwissQ",Materials!G$37,IF(Table1[[#This Row],[Work Center]]="Inca",Materials!G$29,IF(Table1[[#This Row],[Work Center]]="Canon",Materials!G$49,Materials!G$45)))</f>
        <v>5</v>
      </c>
      <c r="AF1509" s="73">
        <f>'Cali FPS'!C18</f>
        <v>61.15</v>
      </c>
      <c r="AG1509" s="84"/>
      <c r="AH1509" s="74">
        <v>0</v>
      </c>
      <c r="AI1509" s="74"/>
      <c r="AJ1509" s="278">
        <f>SUM(AC1509:AH1509)</f>
        <v>75.740624999999994</v>
      </c>
      <c r="AK1509" s="1001">
        <f t="shared" si="531"/>
        <v>0.66337500000000005</v>
      </c>
      <c r="AL1509" s="240">
        <f>Table1[[#This Row],[WSP/Dealer]]/Table1[[#This Row],[OD Sq Inch]]</f>
        <v>0.703125</v>
      </c>
      <c r="AM1509" s="170">
        <f>Table1[[#This Row],[OD Wdth]]*Table1[[#This Row],[OD Hgt]]</f>
        <v>320</v>
      </c>
      <c r="AN1509" s="274">
        <f>Table1[[#This Row],[Min VO]]+Table1[[#This Row],[Max VO]]</f>
        <v>36</v>
      </c>
      <c r="AO1509" s="84"/>
      <c r="AP1509" s="84"/>
      <c r="AQ1509" s="126"/>
      <c r="AR1509" s="126"/>
      <c r="AS1509" s="126"/>
      <c r="AT1509" s="74"/>
      <c r="AU1509" s="1357" t="str">
        <f t="shared" si="525"/>
        <v>-</v>
      </c>
    </row>
    <row r="1510" spans="1:47" s="103" customFormat="1" hidden="1" x14ac:dyDescent="0.2">
      <c r="A1510" s="101" t="s">
        <v>110</v>
      </c>
      <c r="B1510" s="1067" t="s">
        <v>250</v>
      </c>
      <c r="C1510" s="122" t="s">
        <v>3575</v>
      </c>
      <c r="D1510" s="168"/>
      <c r="E1510" s="115" t="s">
        <v>3574</v>
      </c>
      <c r="F1510" s="115" t="s">
        <v>105</v>
      </c>
      <c r="G1510" s="101" t="s">
        <v>643</v>
      </c>
      <c r="H1510" s="101" t="s">
        <v>806</v>
      </c>
      <c r="I1510" s="101" t="s">
        <v>574</v>
      </c>
      <c r="J1510" s="487" t="s">
        <v>53</v>
      </c>
      <c r="K1510" s="101" t="s">
        <v>69</v>
      </c>
      <c r="L1510" s="101" t="s">
        <v>70</v>
      </c>
      <c r="M1510" s="114">
        <v>375</v>
      </c>
      <c r="N1510" s="114"/>
      <c r="O1510" s="101" t="s">
        <v>575</v>
      </c>
      <c r="P1510" s="400">
        <v>20</v>
      </c>
      <c r="Q1510" s="400">
        <v>16</v>
      </c>
      <c r="R1510" s="400">
        <v>16</v>
      </c>
      <c r="S1510" s="1244">
        <v>20</v>
      </c>
      <c r="T1510" s="400">
        <v>21</v>
      </c>
      <c r="U1510" s="400">
        <v>17</v>
      </c>
      <c r="V1510" s="608">
        <f>IF(J1510="Canvas",P1510+Border,P1510)</f>
        <v>28</v>
      </c>
      <c r="W1510" s="608">
        <f>IF(J1510="Canvas",Q1510+Border,Q1510)</f>
        <v>24</v>
      </c>
      <c r="X1510" s="101">
        <v>40</v>
      </c>
      <c r="Y1510" s="101">
        <v>28</v>
      </c>
      <c r="Z1510" s="101">
        <v>24</v>
      </c>
      <c r="AA1510" s="649">
        <f>V1510*W1510/144</f>
        <v>4.666666666666667</v>
      </c>
      <c r="AB1510" s="1015">
        <f>AA1510*SWISSMLR*3</f>
        <v>28</v>
      </c>
      <c r="AC1510" s="104">
        <f>MDFSHEET/10</f>
        <v>2.4350000000000001</v>
      </c>
      <c r="AD1510" s="406">
        <f>Table1[[#This Row],[Substrate SF]]*SWISSCR*3</f>
        <v>3.0800000000000005</v>
      </c>
      <c r="AE1510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510" s="102">
        <f>'Cali Frames'!D267</f>
        <v>82.757499999999993</v>
      </c>
      <c r="AG1510" s="115"/>
      <c r="AH1510" s="406">
        <f>(M1510*0.05)</f>
        <v>18.75</v>
      </c>
      <c r="AI1510" s="406">
        <f>IF(A1510="Codarus",(M1510*0.13))</f>
        <v>48.75</v>
      </c>
      <c r="AJ1510" s="104">
        <f>SUM(AC1510:AI1510)</f>
        <v>163.77249999999998</v>
      </c>
      <c r="AK1510" s="830">
        <f t="shared" si="531"/>
        <v>0.5632733333333334</v>
      </c>
      <c r="AL1510" s="660">
        <f>Table1[[#This Row],[WSP/Dealer]]/Table1[[#This Row],[OD Sq Inch]]</f>
        <v>1.0504201680672269</v>
      </c>
      <c r="AM1510" s="400">
        <f>Table1[[#This Row],[OD Wdth]]*Table1[[#This Row],[OD Hgt]]</f>
        <v>357</v>
      </c>
      <c r="AN1510" s="400">
        <f>Table1[[#This Row],[Min VO]]+Table1[[#This Row],[Max VO]]</f>
        <v>36</v>
      </c>
      <c r="AO1510" s="115"/>
      <c r="AP1510" s="121">
        <v>750</v>
      </c>
      <c r="AQ1510" s="121">
        <f>(Table1[[#This Row],[Desgnr/Retail P]]*0.05)</f>
        <v>37.5</v>
      </c>
      <c r="AR1510" s="121">
        <f>IF(A1510="Codarus",(AP1510*0.13))</f>
        <v>97.5</v>
      </c>
      <c r="AS1510" s="121">
        <f>SUM(Table1[[#This Row],[Substrate $]:[GP FINISH]])+Table1[[#This Row],[Retail Royalty]]+Table1[[#This Row],[Retail$Comm]]</f>
        <v>231.27249999999998</v>
      </c>
      <c r="AT1510" s="830">
        <f>IF(AP1510=0,"-",(AP1510-AS1510)/AP1510)</f>
        <v>0.69163666666666657</v>
      </c>
      <c r="AU1510" s="1359">
        <f t="shared" si="525"/>
        <v>0.98155635555555554</v>
      </c>
    </row>
    <row r="1511" spans="1:47" s="103" customFormat="1" hidden="1" x14ac:dyDescent="0.2">
      <c r="A1511" s="101" t="s">
        <v>996</v>
      </c>
      <c r="B1511" s="1322" t="s">
        <v>96</v>
      </c>
      <c r="C1511" s="122" t="s">
        <v>3576</v>
      </c>
      <c r="D1511" s="168"/>
      <c r="E1511" s="115" t="s">
        <v>3574</v>
      </c>
      <c r="F1511" s="115" t="s">
        <v>105</v>
      </c>
      <c r="G1511" s="303" t="s">
        <v>643</v>
      </c>
      <c r="H1511" s="303" t="s">
        <v>806</v>
      </c>
      <c r="I1511" s="303" t="s">
        <v>108</v>
      </c>
      <c r="J1511" s="1320" t="s">
        <v>280</v>
      </c>
      <c r="K1511" s="303" t="s">
        <v>69</v>
      </c>
      <c r="L1511" s="303" t="s">
        <v>315</v>
      </c>
      <c r="M1511" s="299">
        <v>425</v>
      </c>
      <c r="N1511" s="114"/>
      <c r="O1511" s="101" t="s">
        <v>575</v>
      </c>
      <c r="P1511" s="400">
        <v>20</v>
      </c>
      <c r="Q1511" s="400">
        <v>16</v>
      </c>
      <c r="R1511" s="400">
        <v>16</v>
      </c>
      <c r="S1511" s="1244">
        <v>20</v>
      </c>
      <c r="T1511" s="400">
        <v>21</v>
      </c>
      <c r="U1511" s="400">
        <v>17</v>
      </c>
      <c r="V1511" s="404">
        <v>20</v>
      </c>
      <c r="W1511" s="404">
        <v>16</v>
      </c>
      <c r="X1511" s="1010" t="s">
        <v>283</v>
      </c>
      <c r="Y1511" s="101">
        <v>20</v>
      </c>
      <c r="Z1511" s="101">
        <v>16</v>
      </c>
      <c r="AA1511" s="649">
        <f>V1511*W1511/144</f>
        <v>2.2222222222222223</v>
      </c>
      <c r="AB1511" s="1015">
        <f>AA1511*SWISSMLR*3</f>
        <v>13.333333333333334</v>
      </c>
      <c r="AC1511" s="104">
        <f>MDFSHEET/10</f>
        <v>2.4350000000000001</v>
      </c>
      <c r="AD1511" s="405">
        <f>Table1[[#This Row],[Substrate SF]]*SWISSCR*3</f>
        <v>1.4666666666666668</v>
      </c>
      <c r="AE1511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511" s="102">
        <f>'Cali Frames'!D504</f>
        <v>83.25</v>
      </c>
      <c r="AG1511" s="115"/>
      <c r="AH1511" s="104">
        <v>0</v>
      </c>
      <c r="AI1511" s="104"/>
      <c r="AJ1511" s="406">
        <f t="shared" ref="AJ1511:AJ1530" si="538">SUM(AC1511:AH1511)</f>
        <v>95.151666666666671</v>
      </c>
      <c r="AK1511" s="830">
        <f t="shared" si="531"/>
        <v>0.77611372549019608</v>
      </c>
      <c r="AL1511" s="660">
        <f>Table1[[#This Row],[WSP/Dealer]]/Table1[[#This Row],[OD Sq Inch]]</f>
        <v>1.1904761904761905</v>
      </c>
      <c r="AM1511" s="399">
        <f>Table1[[#This Row],[OD Wdth]]*Table1[[#This Row],[OD Hgt]]</f>
        <v>357</v>
      </c>
      <c r="AN1511" s="400" t="str">
        <f>Table1[[#This Row],[Color]]</f>
        <v>WF</v>
      </c>
      <c r="AO1511" s="115" t="str">
        <f>Table1[[#This Row],[Print Type]]</f>
        <v>Reductive</v>
      </c>
      <c r="AP1511" s="115"/>
      <c r="AQ1511" s="121"/>
      <c r="AR1511" s="121"/>
      <c r="AS1511" s="121"/>
      <c r="AT1511" s="104"/>
      <c r="AU1511" s="1359" t="str">
        <f t="shared" si="525"/>
        <v>-</v>
      </c>
    </row>
    <row r="1512" spans="1:47" s="103" customFormat="1" hidden="1" x14ac:dyDescent="0.2">
      <c r="A1512" s="68" t="s">
        <v>101</v>
      </c>
      <c r="B1512" s="279" t="s">
        <v>102</v>
      </c>
      <c r="C1512" s="82" t="s">
        <v>3576</v>
      </c>
      <c r="D1512" s="94"/>
      <c r="E1512" s="84" t="s">
        <v>3574</v>
      </c>
      <c r="F1512" s="84" t="s">
        <v>105</v>
      </c>
      <c r="G1512" s="282" t="s">
        <v>643</v>
      </c>
      <c r="H1512" s="282" t="s">
        <v>806</v>
      </c>
      <c r="I1512" s="68" t="s">
        <v>108</v>
      </c>
      <c r="J1512" s="808" t="s">
        <v>53</v>
      </c>
      <c r="K1512" s="282" t="s">
        <v>69</v>
      </c>
      <c r="L1512" s="282" t="s">
        <v>315</v>
      </c>
      <c r="M1512" s="141">
        <v>191</v>
      </c>
      <c r="N1512" s="93"/>
      <c r="O1512" s="274" t="s">
        <v>64</v>
      </c>
      <c r="P1512" s="68">
        <v>20</v>
      </c>
      <c r="Q1512" s="68">
        <v>16</v>
      </c>
      <c r="R1512" s="68">
        <v>16</v>
      </c>
      <c r="S1512" s="623">
        <v>20</v>
      </c>
      <c r="T1512" s="68">
        <v>20</v>
      </c>
      <c r="U1512" s="68">
        <v>16</v>
      </c>
      <c r="V1512" s="917">
        <f>IF(J1512="Canvas",P1512+BorderGW,P1512)</f>
        <v>28</v>
      </c>
      <c r="W1512" s="917">
        <f>IF(J1512="Canvas",Q1512+BorderGW,Q1512)</f>
        <v>24</v>
      </c>
      <c r="X1512" s="189">
        <v>40</v>
      </c>
      <c r="Y1512" s="917">
        <f>Table1[[#This Row],[Print Wth]]</f>
        <v>28</v>
      </c>
      <c r="Z1512" s="917">
        <f>Table1[[#This Row],[Print Ht]]</f>
        <v>24</v>
      </c>
      <c r="AA1512" s="727">
        <f>Table1[[#This Row],[Cut Width]]*Table1[[#This Row],[Cut Height]]/144</f>
        <v>4.666666666666667</v>
      </c>
      <c r="AB1512" s="341">
        <f>(Table1[[#This Row],[Print Wth]]*Table1[[#This Row],[Print Ht]])/144*SWISSMLR</f>
        <v>9.3333333333333339</v>
      </c>
      <c r="AC1512" s="278">
        <f>Table1[[#This Row],[Substrate SF]]*Canvas</f>
        <v>3.0800000000000005</v>
      </c>
      <c r="AD1512" s="263">
        <f>Table1[[#This Row],[Substrate SF]]*SWISSCR</f>
        <v>1.0266666666666668</v>
      </c>
      <c r="AE1512" s="74">
        <f>Materials!I$41</f>
        <v>8</v>
      </c>
      <c r="AF1512" s="73">
        <f>'Cali Frames'!D504</f>
        <v>83.25</v>
      </c>
      <c r="AG1512" s="84"/>
      <c r="AH1512" s="74">
        <v>0</v>
      </c>
      <c r="AI1512" s="74"/>
      <c r="AJ1512" s="278">
        <f t="shared" si="538"/>
        <v>95.356666666666669</v>
      </c>
      <c r="AK1512" s="1001">
        <f t="shared" si="531"/>
        <v>0.50075043630017446</v>
      </c>
      <c r="AL1512" s="240">
        <f>Table1[[#This Row],[WSP/Dealer]]/Table1[[#This Row],[OD Sq Inch]]</f>
        <v>0.59687500000000004</v>
      </c>
      <c r="AM1512" s="274">
        <f>Table1[[#This Row],[OD Wdth]]*Table1[[#This Row],[OD Hgt]]</f>
        <v>320</v>
      </c>
      <c r="AN1512" s="274">
        <f>Table1[[#This Row],[Min VO]]+Table1[[#This Row],[Max VO]]</f>
        <v>36</v>
      </c>
      <c r="AO1512" s="84"/>
      <c r="AP1512" s="84"/>
      <c r="AQ1512" s="126"/>
      <c r="AR1512" s="126"/>
      <c r="AS1512" s="126"/>
      <c r="AT1512" s="74"/>
      <c r="AU1512" s="1357" t="str">
        <f t="shared" si="525"/>
        <v>-</v>
      </c>
    </row>
    <row r="1513" spans="1:47" s="103" customFormat="1" x14ac:dyDescent="0.2">
      <c r="A1513" s="551" t="s">
        <v>58</v>
      </c>
      <c r="B1513" s="1107" t="s">
        <v>1190</v>
      </c>
      <c r="C1513" s="1110" t="s">
        <v>3577</v>
      </c>
      <c r="D1513" s="77"/>
      <c r="E1513" s="653" t="s">
        <v>3578</v>
      </c>
      <c r="F1513" s="653" t="s">
        <v>50</v>
      </c>
      <c r="G1513" s="885" t="s">
        <v>132</v>
      </c>
      <c r="H1513" s="885" t="s">
        <v>132</v>
      </c>
      <c r="I1513" s="551" t="s">
        <v>52</v>
      </c>
      <c r="J1513" s="1686" t="s">
        <v>53</v>
      </c>
      <c r="K1513" s="885" t="s">
        <v>54</v>
      </c>
      <c r="L1513" s="885" t="s">
        <v>55</v>
      </c>
      <c r="M1513" s="896">
        <v>650</v>
      </c>
      <c r="N1513" s="896"/>
      <c r="O1513" s="551" t="s">
        <v>56</v>
      </c>
      <c r="P1513" s="551">
        <v>36</v>
      </c>
      <c r="Q1513" s="551">
        <v>48</v>
      </c>
      <c r="R1513" s="551">
        <v>36</v>
      </c>
      <c r="S1513" s="984">
        <v>48</v>
      </c>
      <c r="T1513" s="551">
        <v>36</v>
      </c>
      <c r="U1513" s="551">
        <v>48</v>
      </c>
      <c r="V1513" s="66">
        <f>IF(J1513="Canvas",P1513+Border,P1513)</f>
        <v>44</v>
      </c>
      <c r="W1513" s="66">
        <f>IF(J1513="Canvas",Q1513+Border,Q1513)</f>
        <v>56</v>
      </c>
      <c r="X1513" s="551">
        <v>59</v>
      </c>
      <c r="Y1513" s="551">
        <v>44</v>
      </c>
      <c r="Z1513" s="551">
        <v>56</v>
      </c>
      <c r="AA1513" s="860">
        <f t="shared" ref="AA1513:AA1530" si="539">V1513*W1513/144</f>
        <v>17.111111111111111</v>
      </c>
      <c r="AB1513" s="861">
        <f>AA1513*IncaG</f>
        <v>360.01777777777778</v>
      </c>
      <c r="AC1513" s="863">
        <f>AA1513*MDF</f>
        <v>16.926631944444445</v>
      </c>
      <c r="AD1513" s="876">
        <f>Table1[[#This Row],[Substrate SF]]*IncaC</f>
        <v>28.801422222222222</v>
      </c>
      <c r="AE1513" s="863">
        <f>IF(Table1[[#This Row],[Work Center]]="SwissQ",Materials!G$37,IF(Table1[[#This Row],[Work Center]]="Inca",Materials!G$29,IF(Table1[[#This Row],[Work Center]]="Canon",Materials!G$49,Materials!G$45)))</f>
        <v>8</v>
      </c>
      <c r="AF1513" s="71">
        <f>'Cali FPS'!C71</f>
        <v>114.31</v>
      </c>
      <c r="AG1513" s="653"/>
      <c r="AH1513" s="498">
        <f t="shared" ref="AH1513:AH1529" si="540">(M1513*0.05)</f>
        <v>32.5</v>
      </c>
      <c r="AI1513" s="498"/>
      <c r="AJ1513" s="104">
        <f t="shared" si="538"/>
        <v>200.53805416666665</v>
      </c>
      <c r="AK1513" s="650">
        <f t="shared" ref="AK1513:AK1544" si="541">(M1513-AJ1513)/M1513</f>
        <v>0.69147991666666664</v>
      </c>
      <c r="AL1513" s="225">
        <f>Table1[[#This Row],[WSP/Dealer]]/Table1[[#This Row],[OD Sq Inch]]</f>
        <v>0.37615740740740738</v>
      </c>
      <c r="AM1513" s="103">
        <f>Table1[[#This Row],[OD Wdth]]*Table1[[#This Row],[OD Hgt]]</f>
        <v>1728</v>
      </c>
      <c r="AN1513" s="216">
        <f>Table1[[#This Row],[Min VO]]+Table1[[#This Row],[Max VO]]</f>
        <v>84</v>
      </c>
      <c r="AO1513" s="653"/>
      <c r="AP1513" s="653"/>
      <c r="AQ1513" s="864"/>
      <c r="AR1513" s="864"/>
      <c r="AS1513" s="864"/>
      <c r="AT1513" s="863"/>
      <c r="AU1513" s="1364" t="str">
        <f t="shared" si="525"/>
        <v>-</v>
      </c>
    </row>
    <row r="1514" spans="1:47" s="103" customFormat="1" x14ac:dyDescent="0.2">
      <c r="A1514" s="68" t="s">
        <v>58</v>
      </c>
      <c r="B1514" s="1152" t="s">
        <v>1190</v>
      </c>
      <c r="C1514" s="82" t="s">
        <v>3579</v>
      </c>
      <c r="D1514" s="94"/>
      <c r="E1514" s="84" t="s">
        <v>3578</v>
      </c>
      <c r="F1514" s="84" t="s">
        <v>50</v>
      </c>
      <c r="G1514" s="282" t="s">
        <v>132</v>
      </c>
      <c r="H1514" s="282" t="s">
        <v>133</v>
      </c>
      <c r="I1514" s="282" t="s">
        <v>52</v>
      </c>
      <c r="J1514" s="808" t="s">
        <v>53</v>
      </c>
      <c r="K1514" s="282" t="s">
        <v>69</v>
      </c>
      <c r="L1514" s="282" t="s">
        <v>76</v>
      </c>
      <c r="M1514" s="141">
        <v>700</v>
      </c>
      <c r="N1514" s="93"/>
      <c r="O1514" s="68" t="s">
        <v>56</v>
      </c>
      <c r="P1514" s="68">
        <v>36</v>
      </c>
      <c r="Q1514" s="68">
        <v>48</v>
      </c>
      <c r="R1514" s="68">
        <v>36</v>
      </c>
      <c r="S1514" s="623">
        <v>48</v>
      </c>
      <c r="T1514" s="68">
        <v>37</v>
      </c>
      <c r="U1514" s="68">
        <v>49</v>
      </c>
      <c r="V1514" s="66">
        <f>IF(J1514="Canvas",P1514+Border,P1514)</f>
        <v>44</v>
      </c>
      <c r="W1514" s="66">
        <f>IF(J1514="Canvas",Q1514+Border,Q1514)</f>
        <v>56</v>
      </c>
      <c r="X1514" s="551">
        <v>59</v>
      </c>
      <c r="Y1514" s="68">
        <v>44</v>
      </c>
      <c r="Z1514" s="68">
        <v>56</v>
      </c>
      <c r="AA1514" s="699">
        <f t="shared" si="539"/>
        <v>17.111111111111111</v>
      </c>
      <c r="AB1514" s="297">
        <f>AA1514*IncaG</f>
        <v>360.01777777777778</v>
      </c>
      <c r="AC1514" s="74">
        <f>AA1514*MDF</f>
        <v>16.926631944444445</v>
      </c>
      <c r="AD1514" s="319">
        <f>Table1[[#This Row],[Substrate SF]]*IncaC</f>
        <v>28.801422222222222</v>
      </c>
      <c r="AE1514" s="74">
        <f>IF(Table1[[#This Row],[Work Center]]="SwissQ",Materials!G$37,IF(Table1[[#This Row],[Work Center]]="Inca",Materials!G$29,IF(Table1[[#This Row],[Work Center]]="Canon",Materials!G$49,Materials!G$45)))</f>
        <v>8</v>
      </c>
      <c r="AF1514" s="73">
        <f>'Cali Frames'!D371</f>
        <v>160</v>
      </c>
      <c r="AG1514" s="84"/>
      <c r="AH1514" s="263">
        <f t="shared" si="540"/>
        <v>35</v>
      </c>
      <c r="AI1514" s="263"/>
      <c r="AJ1514" s="278">
        <f t="shared" si="538"/>
        <v>248.72805416666665</v>
      </c>
      <c r="AK1514" s="688">
        <f t="shared" si="541"/>
        <v>0.64467420833333333</v>
      </c>
      <c r="AL1514" s="278">
        <f>Table1[[#This Row],[WSP/Dealer]]/Table1[[#This Row],[OD Sq Inch]]</f>
        <v>0.38610038610038611</v>
      </c>
      <c r="AM1514" s="170">
        <f>Table1[[#This Row],[OD Wdth]]*Table1[[#This Row],[OD Hgt]]</f>
        <v>1813</v>
      </c>
      <c r="AN1514" s="274">
        <f>Table1[[#This Row],[Min VO]]+Table1[[#This Row],[Max VO]]</f>
        <v>84</v>
      </c>
      <c r="AO1514" s="84"/>
      <c r="AP1514" s="84"/>
      <c r="AQ1514" s="126"/>
      <c r="AR1514" s="126"/>
      <c r="AS1514" s="126"/>
      <c r="AT1514" s="74"/>
      <c r="AU1514" s="1357" t="str">
        <f t="shared" si="525"/>
        <v>-</v>
      </c>
    </row>
    <row r="1515" spans="1:47" s="46" customFormat="1" x14ac:dyDescent="0.2">
      <c r="A1515" s="68" t="s">
        <v>58</v>
      </c>
      <c r="B1515" s="1152" t="s">
        <v>1190</v>
      </c>
      <c r="C1515" s="82" t="s">
        <v>3580</v>
      </c>
      <c r="D1515" s="94"/>
      <c r="E1515" s="84" t="s">
        <v>3578</v>
      </c>
      <c r="F1515" s="84" t="s">
        <v>50</v>
      </c>
      <c r="G1515" s="282" t="s">
        <v>132</v>
      </c>
      <c r="H1515" s="282" t="s">
        <v>133</v>
      </c>
      <c r="I1515" s="282" t="s">
        <v>52</v>
      </c>
      <c r="J1515" s="140" t="s">
        <v>53</v>
      </c>
      <c r="K1515" s="68" t="s">
        <v>69</v>
      </c>
      <c r="L1515" s="68" t="s">
        <v>70</v>
      </c>
      <c r="M1515" s="141">
        <v>750</v>
      </c>
      <c r="N1515" s="93"/>
      <c r="O1515" s="68" t="s">
        <v>56</v>
      </c>
      <c r="P1515" s="68">
        <v>36</v>
      </c>
      <c r="Q1515" s="68">
        <v>48</v>
      </c>
      <c r="R1515" s="68">
        <v>36</v>
      </c>
      <c r="S1515" s="623">
        <v>48</v>
      </c>
      <c r="T1515" s="68">
        <v>37</v>
      </c>
      <c r="U1515" s="68">
        <v>49</v>
      </c>
      <c r="V1515" s="917">
        <f>IF(J1515="Canvas",P1515+Border,P1515)</f>
        <v>44</v>
      </c>
      <c r="W1515" s="917">
        <f>IF(J1515="Canvas",Q1515+Border,Q1515)</f>
        <v>56</v>
      </c>
      <c r="X1515" s="551">
        <v>59</v>
      </c>
      <c r="Y1515" s="68">
        <v>44</v>
      </c>
      <c r="Z1515" s="68">
        <v>56</v>
      </c>
      <c r="AA1515" s="699">
        <f t="shared" si="539"/>
        <v>17.111111111111111</v>
      </c>
      <c r="AB1515" s="297">
        <f>AA1515*IncaG</f>
        <v>360.01777777777778</v>
      </c>
      <c r="AC1515" s="74">
        <f>AA1515*MDF</f>
        <v>16.926631944444445</v>
      </c>
      <c r="AD1515" s="319">
        <f>Table1[[#This Row],[Substrate SF]]*IncaC</f>
        <v>28.801422222222222</v>
      </c>
      <c r="AE1515" s="74">
        <f>IF(Table1[[#This Row],[Work Center]]="SwissQ",Materials!G$37,IF(Table1[[#This Row],[Work Center]]="Inca",Materials!G$29,IF(Table1[[#This Row],[Work Center]]="Canon",Materials!G$49,Materials!G$45)))</f>
        <v>8</v>
      </c>
      <c r="AF1515" s="73">
        <f>'Cali Frames'!D300</f>
        <v>164.8</v>
      </c>
      <c r="AG1515" s="84"/>
      <c r="AH1515" s="263">
        <f t="shared" si="540"/>
        <v>37.5</v>
      </c>
      <c r="AI1515" s="263"/>
      <c r="AJ1515" s="278">
        <f t="shared" si="538"/>
        <v>256.02805416666666</v>
      </c>
      <c r="AK1515" s="688">
        <f t="shared" si="541"/>
        <v>0.65862926111111109</v>
      </c>
      <c r="AL1515" s="278">
        <f>Table1[[#This Row],[WSP/Dealer]]/Table1[[#This Row],[OD Sq Inch]]</f>
        <v>0.41367898510755652</v>
      </c>
      <c r="AM1515" s="170">
        <f>Table1[[#This Row],[OD Wdth]]*Table1[[#This Row],[OD Hgt]]</f>
        <v>1813</v>
      </c>
      <c r="AN1515" s="274">
        <f>Table1[[#This Row],[Min VO]]+Table1[[#This Row],[Max VO]]</f>
        <v>84</v>
      </c>
      <c r="AO1515" s="84"/>
      <c r="AP1515" s="84"/>
      <c r="AQ1515" s="126"/>
      <c r="AR1515" s="126"/>
      <c r="AS1515" s="126"/>
      <c r="AT1515" s="74"/>
      <c r="AU1515" s="1357" t="str">
        <f t="shared" si="525"/>
        <v>-</v>
      </c>
    </row>
    <row r="1516" spans="1:47" s="46" customFormat="1" x14ac:dyDescent="0.2">
      <c r="A1516" s="68" t="s">
        <v>58</v>
      </c>
      <c r="B1516" s="1072" t="s">
        <v>1190</v>
      </c>
      <c r="C1516" s="82" t="s">
        <v>3581</v>
      </c>
      <c r="D1516" s="94"/>
      <c r="E1516" s="84" t="s">
        <v>3578</v>
      </c>
      <c r="F1516" s="84" t="s">
        <v>50</v>
      </c>
      <c r="G1516" s="282" t="s">
        <v>132</v>
      </c>
      <c r="H1516" s="282" t="s">
        <v>133</v>
      </c>
      <c r="I1516" s="282" t="s">
        <v>52</v>
      </c>
      <c r="J1516" s="140" t="s">
        <v>53</v>
      </c>
      <c r="K1516" s="68" t="s">
        <v>69</v>
      </c>
      <c r="L1516" s="68" t="s">
        <v>73</v>
      </c>
      <c r="M1516" s="141">
        <v>750</v>
      </c>
      <c r="N1516" s="93"/>
      <c r="O1516" s="68" t="s">
        <v>56</v>
      </c>
      <c r="P1516" s="68">
        <v>36</v>
      </c>
      <c r="Q1516" s="68">
        <v>48</v>
      </c>
      <c r="R1516" s="68">
        <v>36</v>
      </c>
      <c r="S1516" s="623">
        <v>48</v>
      </c>
      <c r="T1516" s="68">
        <v>37</v>
      </c>
      <c r="U1516" s="68">
        <v>49</v>
      </c>
      <c r="V1516" s="66">
        <f>IF(J1516="Canvas",P1516+Border,P1516)</f>
        <v>44</v>
      </c>
      <c r="W1516" s="66">
        <f>IF(J1516="Canvas",Q1516+Border,Q1516)</f>
        <v>56</v>
      </c>
      <c r="X1516" s="551">
        <v>59</v>
      </c>
      <c r="Y1516" s="68">
        <v>44</v>
      </c>
      <c r="Z1516" s="68">
        <v>56</v>
      </c>
      <c r="AA1516" s="699">
        <f t="shared" si="539"/>
        <v>17.111111111111111</v>
      </c>
      <c r="AB1516" s="297">
        <f>AA1516*IncaG</f>
        <v>360.01777777777778</v>
      </c>
      <c r="AC1516" s="67">
        <f>AA1516*MDF</f>
        <v>16.926631944444445</v>
      </c>
      <c r="AD1516" s="319">
        <f>Table1[[#This Row],[Substrate SF]]*IncaC</f>
        <v>28.801422222222222</v>
      </c>
      <c r="AE1516" s="74">
        <f>IF(Table1[[#This Row],[Work Center]]="SwissQ",Materials!G$37,IF(Table1[[#This Row],[Work Center]]="Inca",Materials!G$29,IF(Table1[[#This Row],[Work Center]]="Canon",Materials!G$49,Materials!G$45)))</f>
        <v>8</v>
      </c>
      <c r="AF1516" s="73">
        <f>'Cali Frames'!D436</f>
        <v>145.70500000000001</v>
      </c>
      <c r="AG1516" s="84"/>
      <c r="AH1516" s="278">
        <f t="shared" si="540"/>
        <v>37.5</v>
      </c>
      <c r="AI1516" s="278"/>
      <c r="AJ1516" s="278">
        <f t="shared" si="538"/>
        <v>236.93305416666669</v>
      </c>
      <c r="AK1516" s="1192">
        <f t="shared" si="541"/>
        <v>0.68408926111111112</v>
      </c>
      <c r="AL1516" s="278">
        <f>Table1[[#This Row],[WSP/Dealer]]/Table1[[#This Row],[OD Sq Inch]]</f>
        <v>0.41367898510755652</v>
      </c>
      <c r="AM1516" s="170">
        <f>Table1[[#This Row],[OD Wdth]]*Table1[[#This Row],[OD Hgt]]</f>
        <v>1813</v>
      </c>
      <c r="AN1516" s="274">
        <f>Table1[[#This Row],[Min VO]]+Table1[[#This Row],[Max VO]]</f>
        <v>84</v>
      </c>
      <c r="AO1516" s="84"/>
      <c r="AP1516" s="84"/>
      <c r="AQ1516" s="126"/>
      <c r="AR1516" s="126"/>
      <c r="AS1516" s="126"/>
      <c r="AT1516" s="74"/>
      <c r="AU1516" s="1357" t="str">
        <f t="shared" si="525"/>
        <v>-</v>
      </c>
    </row>
    <row r="1517" spans="1:47" s="63" customFormat="1" hidden="1" x14ac:dyDescent="0.2">
      <c r="A1517" s="86"/>
      <c r="B1517" s="170"/>
      <c r="C1517" s="77" t="s">
        <v>3582</v>
      </c>
      <c r="D1517" s="94"/>
      <c r="E1517" s="85" t="s">
        <v>3583</v>
      </c>
      <c r="F1517" s="85" t="s">
        <v>289</v>
      </c>
      <c r="G1517" s="86" t="s">
        <v>3584</v>
      </c>
      <c r="H1517" s="86" t="s">
        <v>3584</v>
      </c>
      <c r="I1517" s="86" t="s">
        <v>52</v>
      </c>
      <c r="J1517" s="86" t="s">
        <v>53</v>
      </c>
      <c r="K1517" s="86" t="s">
        <v>54</v>
      </c>
      <c r="L1517" s="86" t="s">
        <v>55</v>
      </c>
      <c r="M1517" s="87">
        <v>1800</v>
      </c>
      <c r="N1517" s="71"/>
      <c r="O1517" s="101" t="s">
        <v>64</v>
      </c>
      <c r="P1517" s="273">
        <v>72</v>
      </c>
      <c r="Q1517" s="273">
        <v>90</v>
      </c>
      <c r="R1517" s="60">
        <v>72</v>
      </c>
      <c r="S1517" s="273">
        <v>90</v>
      </c>
      <c r="T1517" s="273">
        <v>72</v>
      </c>
      <c r="U1517" s="273">
        <v>90</v>
      </c>
      <c r="V1517" s="106">
        <f>IF(J1517="Canvas",P1517+BorderL,P1517)</f>
        <v>83</v>
      </c>
      <c r="W1517" s="106">
        <f>IF(J1517="Canvas",Q1517+BorderL,Q1517)</f>
        <v>101</v>
      </c>
      <c r="X1517" s="137" t="s">
        <v>1462</v>
      </c>
      <c r="Y1517" s="101"/>
      <c r="Z1517" s="101"/>
      <c r="AA1517" s="649">
        <f t="shared" si="539"/>
        <v>58.215277777777779</v>
      </c>
      <c r="AB1517" s="125">
        <f>AA1517*Swiss1</f>
        <v>1647.4923611111112</v>
      </c>
      <c r="AC1517" s="104">
        <f t="shared" ref="AC1517:AC1529" si="542">AA1517*Canvas</f>
        <v>38.422083333333333</v>
      </c>
      <c r="AD1517" s="107">
        <f>AA1517*Materials!C$37</f>
        <v>163.00277777777777</v>
      </c>
      <c r="AE1517" s="104">
        <f>IF(Table1[[#This Row],[Work Center]]="SwissQ",Materials!G$37,IF(Table1[[#This Row],[Work Center]]="Inca",Materials!G$29,IF(Table1[[#This Row],[Work Center]]="Canon",Materials!G$49,Materials!G$45)))</f>
        <v>20</v>
      </c>
      <c r="AF1517" s="69">
        <f>'Cali FPS'!C$48</f>
        <v>76.3</v>
      </c>
      <c r="AG1517" s="115"/>
      <c r="AH1517" s="498">
        <f t="shared" si="540"/>
        <v>90</v>
      </c>
      <c r="AI1517" s="498"/>
      <c r="AJ1517" s="104">
        <f t="shared" si="538"/>
        <v>387.72486111111112</v>
      </c>
      <c r="AK1517" s="650">
        <f t="shared" si="541"/>
        <v>0.78459729938271605</v>
      </c>
      <c r="AL1517" s="225">
        <f>Table1[[#This Row],[WSP/Dealer]]/Table1[[#This Row],[OD Sq Inch]]</f>
        <v>0.27777777777777779</v>
      </c>
      <c r="AM1517" s="103">
        <f>Table1[[#This Row],[OD Wdth]]*Table1[[#This Row],[OD Hgt]]</f>
        <v>6480</v>
      </c>
      <c r="AN1517" s="216">
        <f>Table1[[#This Row],[Min VO]]+Table1[[#This Row],[Max VO]]</f>
        <v>162</v>
      </c>
      <c r="AO1517" s="101"/>
      <c r="AP1517" s="101"/>
      <c r="AQ1517" s="104"/>
      <c r="AR1517" s="104"/>
      <c r="AS1517" s="104"/>
      <c r="AT1517" s="104"/>
      <c r="AU1517" s="830" t="str">
        <f t="shared" si="525"/>
        <v>-</v>
      </c>
    </row>
    <row r="1518" spans="1:47" s="63" customFormat="1" hidden="1" x14ac:dyDescent="0.2">
      <c r="A1518" s="86"/>
      <c r="B1518" s="170"/>
      <c r="C1518" s="77" t="s">
        <v>3585</v>
      </c>
      <c r="D1518" s="94"/>
      <c r="E1518" s="85" t="s">
        <v>3586</v>
      </c>
      <c r="F1518" s="85" t="s">
        <v>289</v>
      </c>
      <c r="G1518" s="86" t="s">
        <v>3584</v>
      </c>
      <c r="H1518" s="86" t="s">
        <v>3584</v>
      </c>
      <c r="I1518" s="86" t="s">
        <v>52</v>
      </c>
      <c r="J1518" s="86" t="s">
        <v>53</v>
      </c>
      <c r="K1518" s="86" t="s">
        <v>54</v>
      </c>
      <c r="L1518" s="86" t="s">
        <v>55</v>
      </c>
      <c r="M1518" s="87">
        <v>1800</v>
      </c>
      <c r="N1518" s="71"/>
      <c r="O1518" s="101" t="s">
        <v>64</v>
      </c>
      <c r="P1518" s="273">
        <v>72</v>
      </c>
      <c r="Q1518" s="273">
        <v>90</v>
      </c>
      <c r="R1518" s="60">
        <v>72</v>
      </c>
      <c r="S1518" s="273">
        <v>90</v>
      </c>
      <c r="T1518" s="273">
        <v>72</v>
      </c>
      <c r="U1518" s="273">
        <v>90</v>
      </c>
      <c r="V1518" s="608">
        <f>IF(J1518="Canvas",P1518+BorderL,P1518)</f>
        <v>83</v>
      </c>
      <c r="W1518" s="608">
        <f>IF(J1518="Canvas",Q1518+BorderL,Q1518)</f>
        <v>101</v>
      </c>
      <c r="X1518" s="137" t="s">
        <v>1462</v>
      </c>
      <c r="Y1518" s="101"/>
      <c r="Z1518" s="101"/>
      <c r="AA1518" s="649">
        <f t="shared" si="539"/>
        <v>58.215277777777779</v>
      </c>
      <c r="AB1518" s="125">
        <f>AA1518*Swiss1</f>
        <v>1647.4923611111112</v>
      </c>
      <c r="AC1518" s="104">
        <f t="shared" si="542"/>
        <v>38.422083333333333</v>
      </c>
      <c r="AD1518" s="107">
        <f>AA1518*Materials!C$37</f>
        <v>163.00277777777777</v>
      </c>
      <c r="AE1518" s="104">
        <f>IF(Table1[[#This Row],[Work Center]]="SwissQ",Materials!G$37,IF(Table1[[#This Row],[Work Center]]="Inca",Materials!G$29,IF(Table1[[#This Row],[Work Center]]="Canon",Materials!G$49,Materials!G$45)))</f>
        <v>20</v>
      </c>
      <c r="AF1518" s="69">
        <f>'Cali FPS'!C$48</f>
        <v>76.3</v>
      </c>
      <c r="AG1518" s="115"/>
      <c r="AH1518" s="112">
        <f t="shared" si="540"/>
        <v>90</v>
      </c>
      <c r="AI1518" s="112"/>
      <c r="AJ1518" s="104">
        <f t="shared" si="538"/>
        <v>387.72486111111112</v>
      </c>
      <c r="AK1518" s="62">
        <f t="shared" si="541"/>
        <v>0.78459729938271605</v>
      </c>
      <c r="AL1518" s="225">
        <f>Table1[[#This Row],[WSP/Dealer]]/Table1[[#This Row],[OD Sq Inch]]</f>
        <v>0.27777777777777779</v>
      </c>
      <c r="AM1518" s="103">
        <f>Table1[[#This Row],[OD Wdth]]*Table1[[#This Row],[OD Hgt]]</f>
        <v>6480</v>
      </c>
      <c r="AN1518" s="216">
        <f>Table1[[#This Row],[Min VO]]+Table1[[#This Row],[Max VO]]</f>
        <v>162</v>
      </c>
      <c r="AO1518" s="101"/>
      <c r="AP1518" s="101"/>
      <c r="AQ1518" s="104"/>
      <c r="AR1518" s="104"/>
      <c r="AS1518" s="104"/>
      <c r="AT1518" s="104"/>
      <c r="AU1518" s="830" t="str">
        <f t="shared" si="525"/>
        <v>-</v>
      </c>
    </row>
    <row r="1519" spans="1:47" s="63" customFormat="1" hidden="1" x14ac:dyDescent="0.2">
      <c r="A1519" s="86"/>
      <c r="B1519" s="170"/>
      <c r="C1519" s="77" t="s">
        <v>3587</v>
      </c>
      <c r="D1519" s="94"/>
      <c r="E1519" s="85" t="s">
        <v>3588</v>
      </c>
      <c r="F1519" s="85" t="s">
        <v>289</v>
      </c>
      <c r="G1519" s="86" t="s">
        <v>3584</v>
      </c>
      <c r="H1519" s="86" t="s">
        <v>3584</v>
      </c>
      <c r="I1519" s="86" t="s">
        <v>52</v>
      </c>
      <c r="J1519" s="86" t="s">
        <v>53</v>
      </c>
      <c r="K1519" s="86" t="s">
        <v>54</v>
      </c>
      <c r="L1519" s="86" t="s">
        <v>55</v>
      </c>
      <c r="M1519" s="87">
        <v>1800</v>
      </c>
      <c r="N1519" s="71"/>
      <c r="O1519" s="101" t="s">
        <v>64</v>
      </c>
      <c r="P1519" s="273">
        <v>72</v>
      </c>
      <c r="Q1519" s="273">
        <v>90</v>
      </c>
      <c r="R1519" s="60">
        <v>72</v>
      </c>
      <c r="S1519" s="273">
        <v>90</v>
      </c>
      <c r="T1519" s="273">
        <v>72</v>
      </c>
      <c r="U1519" s="273">
        <v>90</v>
      </c>
      <c r="V1519" s="106">
        <f>IF(J1519="Canvas",P1519+BorderL,P1519)</f>
        <v>83</v>
      </c>
      <c r="W1519" s="106">
        <f>IF(J1519="Canvas",Q1519+BorderL,Q1519)</f>
        <v>101</v>
      </c>
      <c r="X1519" s="137" t="s">
        <v>1462</v>
      </c>
      <c r="Y1519" s="101"/>
      <c r="Z1519" s="101"/>
      <c r="AA1519" s="649">
        <f t="shared" si="539"/>
        <v>58.215277777777779</v>
      </c>
      <c r="AB1519" s="125">
        <f>AA1519*Swiss1</f>
        <v>1647.4923611111112</v>
      </c>
      <c r="AC1519" s="104">
        <f t="shared" si="542"/>
        <v>38.422083333333333</v>
      </c>
      <c r="AD1519" s="107">
        <f>AA1519*Materials!C$37</f>
        <v>163.00277777777777</v>
      </c>
      <c r="AE1519" s="104">
        <f>IF(Table1[[#This Row],[Work Center]]="SwissQ",Materials!G$37,IF(Table1[[#This Row],[Work Center]]="Inca",Materials!G$29,IF(Table1[[#This Row],[Work Center]]="Canon",Materials!G$49,Materials!G$45)))</f>
        <v>20</v>
      </c>
      <c r="AF1519" s="69">
        <f>'Cali FPS'!C$48</f>
        <v>76.3</v>
      </c>
      <c r="AG1519" s="115"/>
      <c r="AH1519" s="498">
        <f t="shared" si="540"/>
        <v>90</v>
      </c>
      <c r="AI1519" s="498"/>
      <c r="AJ1519" s="104">
        <f t="shared" si="538"/>
        <v>387.72486111111112</v>
      </c>
      <c r="AK1519" s="650">
        <f t="shared" si="541"/>
        <v>0.78459729938271605</v>
      </c>
      <c r="AL1519" s="225">
        <f>Table1[[#This Row],[WSP/Dealer]]/Table1[[#This Row],[OD Sq Inch]]</f>
        <v>0.27777777777777779</v>
      </c>
      <c r="AM1519" s="218">
        <f>Table1[[#This Row],[OD Wdth]]*Table1[[#This Row],[OD Hgt]]</f>
        <v>6480</v>
      </c>
      <c r="AN1519" s="216">
        <f>Table1[[#This Row],[Min VO]]+Table1[[#This Row],[Max VO]]</f>
        <v>162</v>
      </c>
      <c r="AO1519" s="101"/>
      <c r="AP1519" s="101"/>
      <c r="AQ1519" s="104"/>
      <c r="AR1519" s="104"/>
      <c r="AS1519" s="104"/>
      <c r="AT1519" s="104"/>
      <c r="AU1519" s="830" t="str">
        <f t="shared" si="525"/>
        <v>-</v>
      </c>
    </row>
    <row r="1520" spans="1:47" s="63" customFormat="1" x14ac:dyDescent="0.2">
      <c r="A1520" s="180" t="s">
        <v>58</v>
      </c>
      <c r="B1520" s="279" t="s">
        <v>1457</v>
      </c>
      <c r="C1520" s="281" t="s">
        <v>3589</v>
      </c>
      <c r="D1520" s="94" t="s">
        <v>3590</v>
      </c>
      <c r="E1520" s="284" t="s">
        <v>3591</v>
      </c>
      <c r="F1520" s="284" t="s">
        <v>289</v>
      </c>
      <c r="G1520" s="180" t="s">
        <v>3592</v>
      </c>
      <c r="H1520" s="180" t="s">
        <v>3592</v>
      </c>
      <c r="I1520" s="180" t="s">
        <v>52</v>
      </c>
      <c r="J1520" s="180" t="s">
        <v>53</v>
      </c>
      <c r="K1520" s="180" t="s">
        <v>54</v>
      </c>
      <c r="L1520" s="180" t="s">
        <v>55</v>
      </c>
      <c r="M1520" s="285">
        <v>990</v>
      </c>
      <c r="N1520" s="639">
        <v>1100</v>
      </c>
      <c r="O1520" s="180" t="s">
        <v>64</v>
      </c>
      <c r="P1520" s="813">
        <v>51</v>
      </c>
      <c r="Q1520" s="813">
        <v>64</v>
      </c>
      <c r="R1520" s="180">
        <v>51</v>
      </c>
      <c r="S1520" s="813">
        <v>64</v>
      </c>
      <c r="T1520" s="813">
        <f>Table1[[#This Row],[VO Wdth]]</f>
        <v>51</v>
      </c>
      <c r="U1520" s="813">
        <f>Table1[[#This Row],[VO Hgt]]</f>
        <v>64</v>
      </c>
      <c r="V1520" s="947">
        <f t="shared" ref="V1520:V1530" si="543">IF(J1520="Canvas",P1520+BorderGW,P1520)</f>
        <v>59</v>
      </c>
      <c r="W1520" s="947">
        <f t="shared" ref="W1520:W1530" si="544">IF(J1520="Canvas",Q1520+BorderGW,Q1520)</f>
        <v>72</v>
      </c>
      <c r="X1520" s="289">
        <v>59</v>
      </c>
      <c r="Y1520" s="180"/>
      <c r="Z1520" s="180"/>
      <c r="AA1520" s="678">
        <f t="shared" si="539"/>
        <v>29.5</v>
      </c>
      <c r="AB1520" s="125">
        <f>AA1520*Swiss1</f>
        <v>834.85</v>
      </c>
      <c r="AC1520" s="176">
        <f t="shared" si="542"/>
        <v>19.470000000000002</v>
      </c>
      <c r="AD1520" s="48">
        <f>AA1520*Materials!C$37</f>
        <v>82.6</v>
      </c>
      <c r="AE1520" s="104">
        <f>IF(Table1[[#This Row],[Work Center]]="SwissQ",Materials!G$37,IF(Table1[[#This Row],[Work Center]]="Inca",Materials!G$29,IF(Table1[[#This Row],[Work Center]]="Canon",Materials!G$49,Materials!G$45)))</f>
        <v>20</v>
      </c>
      <c r="AF1520" s="176">
        <f>'Cali FPS'!C$135</f>
        <v>177.32749999999999</v>
      </c>
      <c r="AG1520" s="284"/>
      <c r="AH1520" s="498">
        <f t="shared" si="540"/>
        <v>49.5</v>
      </c>
      <c r="AI1520" s="498"/>
      <c r="AJ1520" s="175">
        <f t="shared" si="538"/>
        <v>348.89749999999998</v>
      </c>
      <c r="AK1520" s="650">
        <f t="shared" si="541"/>
        <v>0.64757828282828278</v>
      </c>
      <c r="AL1520" s="225">
        <f>Table1[[#This Row],[WSP/Dealer]]/Table1[[#This Row],[OD Sq Inch]]</f>
        <v>0.30330882352941174</v>
      </c>
      <c r="AM1520" s="173">
        <f>Table1[[#This Row],[OD Wdth]]*Table1[[#This Row],[OD Hgt]]</f>
        <v>3264</v>
      </c>
      <c r="AN1520" s="180">
        <f>Table1[[#This Row],[Min VO]]+Table1[[#This Row],[Max VO]]</f>
        <v>115</v>
      </c>
      <c r="AO1520" s="180"/>
      <c r="AP1520" s="180"/>
      <c r="AQ1520" s="176"/>
      <c r="AR1520" s="176"/>
      <c r="AS1520" s="176"/>
      <c r="AT1520" s="176"/>
      <c r="AU1520" s="1201" t="str">
        <f t="shared" si="525"/>
        <v>-</v>
      </c>
    </row>
    <row r="1521" spans="1:47" s="46" customFormat="1" x14ac:dyDescent="0.2">
      <c r="A1521" s="180" t="s">
        <v>58</v>
      </c>
      <c r="B1521" s="1061" t="s">
        <v>1457</v>
      </c>
      <c r="C1521" s="281" t="s">
        <v>3593</v>
      </c>
      <c r="D1521" s="94" t="s">
        <v>3594</v>
      </c>
      <c r="E1521" s="284" t="s">
        <v>3595</v>
      </c>
      <c r="F1521" s="284" t="s">
        <v>289</v>
      </c>
      <c r="G1521" s="180" t="s">
        <v>3592</v>
      </c>
      <c r="H1521" s="180" t="s">
        <v>3592</v>
      </c>
      <c r="I1521" s="180" t="s">
        <v>52</v>
      </c>
      <c r="J1521" s="180" t="s">
        <v>53</v>
      </c>
      <c r="K1521" s="180" t="s">
        <v>54</v>
      </c>
      <c r="L1521" s="180" t="s">
        <v>55</v>
      </c>
      <c r="M1521" s="285">
        <v>990</v>
      </c>
      <c r="N1521" s="639">
        <v>1100</v>
      </c>
      <c r="O1521" s="180" t="s">
        <v>64</v>
      </c>
      <c r="P1521" s="813">
        <v>51</v>
      </c>
      <c r="Q1521" s="813">
        <v>64</v>
      </c>
      <c r="R1521" s="180">
        <v>51</v>
      </c>
      <c r="S1521" s="813">
        <v>64</v>
      </c>
      <c r="T1521" s="813">
        <f>Table1[[#This Row],[VO Wdth]]</f>
        <v>51</v>
      </c>
      <c r="U1521" s="813">
        <f>Table1[[#This Row],[VO Hgt]]</f>
        <v>64</v>
      </c>
      <c r="V1521" s="174">
        <f t="shared" si="543"/>
        <v>59</v>
      </c>
      <c r="W1521" s="174">
        <f t="shared" si="544"/>
        <v>72</v>
      </c>
      <c r="X1521" s="289">
        <v>59</v>
      </c>
      <c r="Y1521" s="180"/>
      <c r="Z1521" s="180"/>
      <c r="AA1521" s="678">
        <f t="shared" si="539"/>
        <v>29.5</v>
      </c>
      <c r="AB1521" s="125">
        <f>AA1521*Swiss1</f>
        <v>834.85</v>
      </c>
      <c r="AC1521" s="176">
        <f t="shared" si="542"/>
        <v>19.470000000000002</v>
      </c>
      <c r="AD1521" s="48">
        <f>AA1521*Materials!C$37</f>
        <v>82.6</v>
      </c>
      <c r="AE1521" s="104">
        <f>IF(Table1[[#This Row],[Work Center]]="SwissQ",Materials!G$37,IF(Table1[[#This Row],[Work Center]]="Inca",Materials!G$29,IF(Table1[[#This Row],[Work Center]]="Canon",Materials!G$49,Materials!G$45)))</f>
        <v>20</v>
      </c>
      <c r="AF1521" s="176">
        <f>'Cali FPS'!C$135</f>
        <v>177.32749999999999</v>
      </c>
      <c r="AG1521" s="284"/>
      <c r="AH1521" s="498">
        <f t="shared" si="540"/>
        <v>49.5</v>
      </c>
      <c r="AI1521" s="498"/>
      <c r="AJ1521" s="176">
        <f t="shared" si="538"/>
        <v>348.89749999999998</v>
      </c>
      <c r="AK1521" s="650">
        <f t="shared" si="541"/>
        <v>0.64757828282828278</v>
      </c>
      <c r="AL1521" s="225">
        <f>Table1[[#This Row],[WSP/Dealer]]/Table1[[#This Row],[OD Sq Inch]]</f>
        <v>0.30330882352941174</v>
      </c>
      <c r="AM1521" s="173">
        <f>Table1[[#This Row],[OD Wdth]]*Table1[[#This Row],[OD Hgt]]</f>
        <v>3264</v>
      </c>
      <c r="AN1521" s="180">
        <f>Table1[[#This Row],[Min VO]]+Table1[[#This Row],[Max VO]]</f>
        <v>115</v>
      </c>
      <c r="AO1521" s="180"/>
      <c r="AP1521" s="180"/>
      <c r="AQ1521" s="176"/>
      <c r="AR1521" s="176"/>
      <c r="AS1521" s="176"/>
      <c r="AT1521" s="176"/>
      <c r="AU1521" s="1201" t="str">
        <f t="shared" si="525"/>
        <v>-</v>
      </c>
    </row>
    <row r="1522" spans="1:47" s="46" customFormat="1" x14ac:dyDescent="0.2">
      <c r="A1522" s="86" t="s">
        <v>58</v>
      </c>
      <c r="B1522" s="279" t="s">
        <v>3596</v>
      </c>
      <c r="C1522" s="183" t="s">
        <v>3597</v>
      </c>
      <c r="D1522" s="94" t="s">
        <v>3598</v>
      </c>
      <c r="E1522" s="85" t="s">
        <v>3599</v>
      </c>
      <c r="F1522" s="85" t="s">
        <v>289</v>
      </c>
      <c r="G1522" s="91" t="s">
        <v>647</v>
      </c>
      <c r="H1522" s="91" t="s">
        <v>647</v>
      </c>
      <c r="I1522" s="91" t="s">
        <v>52</v>
      </c>
      <c r="J1522" s="91" t="s">
        <v>53</v>
      </c>
      <c r="K1522" s="91" t="s">
        <v>54</v>
      </c>
      <c r="L1522" s="91" t="s">
        <v>55</v>
      </c>
      <c r="M1522" s="87">
        <v>250</v>
      </c>
      <c r="N1522" s="639">
        <v>270</v>
      </c>
      <c r="O1522" s="101" t="s">
        <v>56</v>
      </c>
      <c r="P1522" s="273">
        <v>20</v>
      </c>
      <c r="Q1522" s="273">
        <v>24</v>
      </c>
      <c r="R1522" s="60">
        <v>20</v>
      </c>
      <c r="S1522" s="273">
        <v>24</v>
      </c>
      <c r="T1522" s="273">
        <f>Table1[[#This Row],[VO Wdth]]</f>
        <v>20</v>
      </c>
      <c r="U1522" s="273">
        <f>Table1[[#This Row],[VO Hgt]]</f>
        <v>24</v>
      </c>
      <c r="V1522" s="608">
        <f t="shared" si="543"/>
        <v>28</v>
      </c>
      <c r="W1522" s="608">
        <f t="shared" si="544"/>
        <v>32</v>
      </c>
      <c r="X1522" s="157" t="s">
        <v>1070</v>
      </c>
      <c r="Y1522" s="60">
        <v>32</v>
      </c>
      <c r="Z1522" s="60">
        <f>Table1[[#This Row],[Print Wth]]*3</f>
        <v>84</v>
      </c>
      <c r="AA1522" s="649">
        <f t="shared" si="539"/>
        <v>6.2222222222222223</v>
      </c>
      <c r="AB1522" s="184">
        <f t="shared" ref="AB1522:AB1529" si="545">AA1522*IncaG</f>
        <v>130.91555555555556</v>
      </c>
      <c r="AC1522" s="104">
        <f t="shared" si="542"/>
        <v>4.1066666666666674</v>
      </c>
      <c r="AD1522" s="107">
        <f t="shared" ref="AD1522:AD1529" si="546">AA1522*IncaC</f>
        <v>10.473244444444445</v>
      </c>
      <c r="AE1522" s="104">
        <f>IF(Table1[[#This Row],[Work Center]]="SwissQ",Materials!G$37,IF(Table1[[#This Row],[Work Center]]="Inca",Materials!G$29,IF(Table1[[#This Row],[Work Center]]="Canon",Materials!G$49,Materials!G$45)))</f>
        <v>8</v>
      </c>
      <c r="AF1522" s="69">
        <f>'Cali FPS'!C$26</f>
        <v>62.16</v>
      </c>
      <c r="AG1522" s="115"/>
      <c r="AH1522" s="498">
        <f t="shared" si="540"/>
        <v>12.5</v>
      </c>
      <c r="AI1522" s="498"/>
      <c r="AJ1522" s="104">
        <f t="shared" si="538"/>
        <v>97.239911111111113</v>
      </c>
      <c r="AK1522" s="650">
        <f t="shared" si="541"/>
        <v>0.61104035555555558</v>
      </c>
      <c r="AL1522" s="225">
        <f>Table1[[#This Row],[WSP/Dealer]]/Table1[[#This Row],[OD Sq Inch]]</f>
        <v>0.52083333333333337</v>
      </c>
      <c r="AM1522" s="218">
        <f>Table1[[#This Row],[OD Wdth]]*Table1[[#This Row],[OD Hgt]]</f>
        <v>480</v>
      </c>
      <c r="AN1522" s="216">
        <f>Table1[[#This Row],[Min VO]]+Table1[[#This Row],[Max VO]]</f>
        <v>44</v>
      </c>
      <c r="AO1522" s="101"/>
      <c r="AP1522" s="101"/>
      <c r="AQ1522" s="104"/>
      <c r="AR1522" s="104"/>
      <c r="AS1522" s="104"/>
      <c r="AT1522" s="104"/>
      <c r="AU1522" s="830" t="str">
        <f t="shared" si="525"/>
        <v>-</v>
      </c>
    </row>
    <row r="1523" spans="1:47" s="103" customFormat="1" x14ac:dyDescent="0.2">
      <c r="A1523" s="86" t="s">
        <v>58</v>
      </c>
      <c r="B1523" s="1061" t="s">
        <v>3596</v>
      </c>
      <c r="C1523" s="183" t="s">
        <v>3600</v>
      </c>
      <c r="D1523" s="94" t="s">
        <v>3601</v>
      </c>
      <c r="E1523" s="85" t="s">
        <v>3602</v>
      </c>
      <c r="F1523" s="85" t="s">
        <v>289</v>
      </c>
      <c r="G1523" s="91" t="s">
        <v>647</v>
      </c>
      <c r="H1523" s="91" t="s">
        <v>647</v>
      </c>
      <c r="I1523" s="86" t="s">
        <v>52</v>
      </c>
      <c r="J1523" s="91" t="s">
        <v>53</v>
      </c>
      <c r="K1523" s="86" t="s">
        <v>54</v>
      </c>
      <c r="L1523" s="86" t="s">
        <v>55</v>
      </c>
      <c r="M1523" s="87">
        <v>250</v>
      </c>
      <c r="N1523" s="639">
        <v>270</v>
      </c>
      <c r="O1523" s="101" t="s">
        <v>56</v>
      </c>
      <c r="P1523" s="273">
        <v>20</v>
      </c>
      <c r="Q1523" s="273">
        <v>24</v>
      </c>
      <c r="R1523" s="60">
        <v>20</v>
      </c>
      <c r="S1523" s="273">
        <v>24</v>
      </c>
      <c r="T1523" s="273">
        <f>Table1[[#This Row],[VO Wdth]]</f>
        <v>20</v>
      </c>
      <c r="U1523" s="273">
        <f>Table1[[#This Row],[VO Hgt]]</f>
        <v>24</v>
      </c>
      <c r="V1523" s="608">
        <f t="shared" si="543"/>
        <v>28</v>
      </c>
      <c r="W1523" s="608">
        <f t="shared" si="544"/>
        <v>32</v>
      </c>
      <c r="X1523" s="157" t="s">
        <v>1070</v>
      </c>
      <c r="Y1523" s="60">
        <v>32</v>
      </c>
      <c r="Z1523" s="60">
        <f>Table1[[#This Row],[Print Wth]]*3</f>
        <v>84</v>
      </c>
      <c r="AA1523" s="649">
        <f t="shared" si="539"/>
        <v>6.2222222222222223</v>
      </c>
      <c r="AB1523" s="184">
        <f t="shared" si="545"/>
        <v>130.91555555555556</v>
      </c>
      <c r="AC1523" s="104">
        <f t="shared" si="542"/>
        <v>4.1066666666666674</v>
      </c>
      <c r="AD1523" s="107">
        <f t="shared" si="546"/>
        <v>10.473244444444445</v>
      </c>
      <c r="AE1523" s="104">
        <f>IF(Table1[[#This Row],[Work Center]]="SwissQ",Materials!G$37,IF(Table1[[#This Row],[Work Center]]="Inca",Materials!G$29,IF(Table1[[#This Row],[Work Center]]="Canon",Materials!G$49,Materials!G$45)))</f>
        <v>8</v>
      </c>
      <c r="AF1523" s="69">
        <f>'Cali FPS'!C$26</f>
        <v>62.16</v>
      </c>
      <c r="AG1523" s="115"/>
      <c r="AH1523" s="498">
        <f t="shared" si="540"/>
        <v>12.5</v>
      </c>
      <c r="AI1523" s="498"/>
      <c r="AJ1523" s="104">
        <f t="shared" si="538"/>
        <v>97.239911111111113</v>
      </c>
      <c r="AK1523" s="650">
        <f t="shared" si="541"/>
        <v>0.61104035555555558</v>
      </c>
      <c r="AL1523" s="225">
        <f>Table1[[#This Row],[WSP/Dealer]]/Table1[[#This Row],[OD Sq Inch]]</f>
        <v>0.52083333333333337</v>
      </c>
      <c r="AM1523" s="103">
        <f>Table1[[#This Row],[OD Wdth]]*Table1[[#This Row],[OD Hgt]]</f>
        <v>480</v>
      </c>
      <c r="AN1523" s="216">
        <f>Table1[[#This Row],[Min VO]]+Table1[[#This Row],[Max VO]]</f>
        <v>44</v>
      </c>
      <c r="AO1523" s="101"/>
      <c r="AP1523" s="101"/>
      <c r="AQ1523" s="104"/>
      <c r="AR1523" s="104"/>
      <c r="AS1523" s="104"/>
      <c r="AT1523" s="104"/>
      <c r="AU1523" s="830" t="str">
        <f t="shared" si="525"/>
        <v>-</v>
      </c>
    </row>
    <row r="1524" spans="1:47" s="103" customFormat="1" x14ac:dyDescent="0.2">
      <c r="A1524" s="86" t="s">
        <v>58</v>
      </c>
      <c r="B1524" s="1061" t="s">
        <v>146</v>
      </c>
      <c r="C1524" s="80" t="s">
        <v>3603</v>
      </c>
      <c r="D1524" s="94" t="s">
        <v>3604</v>
      </c>
      <c r="E1524" s="85" t="s">
        <v>3605</v>
      </c>
      <c r="F1524" s="85" t="s">
        <v>1738</v>
      </c>
      <c r="G1524" s="91" t="s">
        <v>925</v>
      </c>
      <c r="H1524" s="91" t="s">
        <v>449</v>
      </c>
      <c r="I1524" s="91" t="s">
        <v>52</v>
      </c>
      <c r="J1524" s="86" t="s">
        <v>53</v>
      </c>
      <c r="K1524" s="86" t="s">
        <v>54</v>
      </c>
      <c r="L1524" s="86" t="s">
        <v>55</v>
      </c>
      <c r="M1524" s="87">
        <v>580</v>
      </c>
      <c r="N1524" s="639">
        <v>580</v>
      </c>
      <c r="O1524" s="60" t="s">
        <v>2328</v>
      </c>
      <c r="P1524" s="273">
        <v>36</v>
      </c>
      <c r="Q1524" s="273">
        <v>36</v>
      </c>
      <c r="R1524" s="60">
        <v>36</v>
      </c>
      <c r="S1524" s="273">
        <v>36</v>
      </c>
      <c r="T1524" s="273">
        <f>Table1[[#This Row],[VO Wdth]]</f>
        <v>36</v>
      </c>
      <c r="U1524" s="273">
        <f>Table1[[#This Row],[VO Hgt]]</f>
        <v>36</v>
      </c>
      <c r="V1524" s="47">
        <f t="shared" si="543"/>
        <v>44</v>
      </c>
      <c r="W1524" s="47">
        <f t="shared" si="544"/>
        <v>44</v>
      </c>
      <c r="X1524" s="138">
        <v>53</v>
      </c>
      <c r="Y1524" s="60"/>
      <c r="Z1524" s="60"/>
      <c r="AA1524" s="717">
        <f t="shared" si="539"/>
        <v>13.444444444444445</v>
      </c>
      <c r="AB1524" s="125">
        <f t="shared" si="545"/>
        <v>282.87111111111108</v>
      </c>
      <c r="AC1524" s="69">
        <f t="shared" si="542"/>
        <v>8.8733333333333331</v>
      </c>
      <c r="AD1524" s="48">
        <f t="shared" si="546"/>
        <v>22.629688888888889</v>
      </c>
      <c r="AE1524" s="104">
        <f>IF(Table1[[#This Row],[Work Center]]="SwissQ",Materials!G$37,IF(Table1[[#This Row],[Work Center]]="Inca",Materials!G$29,IF(Table1[[#This Row],[Work Center]]="Canon",Materials!G$49,Materials!G$45)))</f>
        <v>8</v>
      </c>
      <c r="AF1524" s="72">
        <f>'Cali FPS'!C67</f>
        <v>83.46</v>
      </c>
      <c r="AG1524" s="115"/>
      <c r="AH1524" s="112">
        <f t="shared" si="540"/>
        <v>29</v>
      </c>
      <c r="AI1524" s="112"/>
      <c r="AJ1524" s="69">
        <f t="shared" si="538"/>
        <v>151.96302222222221</v>
      </c>
      <c r="AK1524" s="62">
        <f t="shared" si="541"/>
        <v>0.73799478927203066</v>
      </c>
      <c r="AL1524" s="225">
        <f>Table1[[#This Row],[WSP/Dealer]]/Table1[[#This Row],[OD Sq Inch]]</f>
        <v>0.44753086419753085</v>
      </c>
      <c r="AM1524" s="218">
        <f>Table1[[#This Row],[OD Wdth]]*Table1[[#This Row],[OD Hgt]]</f>
        <v>1296</v>
      </c>
      <c r="AN1524" s="216">
        <f>Table1[[#This Row],[Min VO]]+Table1[[#This Row],[Max VO]]</f>
        <v>72</v>
      </c>
      <c r="AO1524" s="101"/>
      <c r="AP1524" s="101"/>
      <c r="AQ1524" s="104"/>
      <c r="AR1524" s="104"/>
      <c r="AS1524" s="104"/>
      <c r="AT1524" s="104"/>
      <c r="AU1524" s="830" t="str">
        <f t="shared" si="525"/>
        <v>-</v>
      </c>
    </row>
    <row r="1525" spans="1:47" s="46" customFormat="1" x14ac:dyDescent="0.2">
      <c r="A1525" s="86" t="s">
        <v>58</v>
      </c>
      <c r="B1525" s="1061" t="s">
        <v>146</v>
      </c>
      <c r="C1525" s="75" t="s">
        <v>3606</v>
      </c>
      <c r="D1525" s="94" t="s">
        <v>3607</v>
      </c>
      <c r="E1525" s="85" t="s">
        <v>3605</v>
      </c>
      <c r="F1525" s="85" t="s">
        <v>1738</v>
      </c>
      <c r="G1525" s="86" t="s">
        <v>925</v>
      </c>
      <c r="H1525" s="86" t="s">
        <v>1619</v>
      </c>
      <c r="I1525" s="86" t="s">
        <v>52</v>
      </c>
      <c r="J1525" s="86" t="s">
        <v>53</v>
      </c>
      <c r="K1525" s="86" t="s">
        <v>69</v>
      </c>
      <c r="L1525" s="86" t="s">
        <v>70</v>
      </c>
      <c r="M1525" s="87">
        <f>580+90</f>
        <v>670</v>
      </c>
      <c r="N1525" s="639">
        <v>700</v>
      </c>
      <c r="O1525" s="60" t="s">
        <v>2328</v>
      </c>
      <c r="P1525" s="273">
        <v>36</v>
      </c>
      <c r="Q1525" s="273">
        <v>36</v>
      </c>
      <c r="R1525" s="60">
        <v>36</v>
      </c>
      <c r="S1525" s="273">
        <v>36</v>
      </c>
      <c r="T1525" s="60">
        <f>P1525</f>
        <v>36</v>
      </c>
      <c r="U1525" s="273" t="str">
        <f>RIGHT(Table1[[#This Row],[OD]],2)</f>
        <v>37</v>
      </c>
      <c r="V1525" s="946">
        <f t="shared" si="543"/>
        <v>44</v>
      </c>
      <c r="W1525" s="946">
        <f t="shared" si="544"/>
        <v>44</v>
      </c>
      <c r="X1525" s="138">
        <v>53</v>
      </c>
      <c r="Y1525" s="60"/>
      <c r="Z1525" s="60"/>
      <c r="AA1525" s="717">
        <f t="shared" si="539"/>
        <v>13.444444444444445</v>
      </c>
      <c r="AB1525" s="125">
        <f t="shared" si="545"/>
        <v>282.87111111111108</v>
      </c>
      <c r="AC1525" s="69">
        <f t="shared" si="542"/>
        <v>8.8733333333333331</v>
      </c>
      <c r="AD1525" s="48">
        <f t="shared" si="546"/>
        <v>22.629688888888889</v>
      </c>
      <c r="AE1525" s="104">
        <f>IF(Table1[[#This Row],[Work Center]]="SwissQ",Materials!G$37,IF(Table1[[#This Row],[Work Center]]="Inca",Materials!G$29,IF(Table1[[#This Row],[Work Center]]="Canon",Materials!G$49,Materials!G$45)))</f>
        <v>8</v>
      </c>
      <c r="AF1525" s="69"/>
      <c r="AG1525" s="115"/>
      <c r="AH1525" s="112">
        <f t="shared" si="540"/>
        <v>33.5</v>
      </c>
      <c r="AI1525" s="112"/>
      <c r="AJ1525" s="69">
        <f t="shared" si="538"/>
        <v>73.003022222222228</v>
      </c>
      <c r="AK1525" s="62">
        <f t="shared" si="541"/>
        <v>0.89104026533996694</v>
      </c>
      <c r="AL1525" s="225">
        <f>Table1[[#This Row],[WSP/Dealer]]/Table1[[#This Row],[OD Sq Inch]]</f>
        <v>0.50300300300300305</v>
      </c>
      <c r="AM1525" s="216">
        <f>Table1[[#This Row],[OD Wdth]]*Table1[[#This Row],[OD Hgt]]</f>
        <v>1332</v>
      </c>
      <c r="AN1525" s="216">
        <f>Table1[[#This Row],[Min VO]]+Table1[[#This Row],[Max VO]]</f>
        <v>72</v>
      </c>
      <c r="AO1525" s="101"/>
      <c r="AP1525" s="101"/>
      <c r="AQ1525" s="104"/>
      <c r="AR1525" s="104"/>
      <c r="AS1525" s="104"/>
      <c r="AT1525" s="104"/>
      <c r="AU1525" s="830" t="str">
        <f t="shared" si="525"/>
        <v>-</v>
      </c>
    </row>
    <row r="1526" spans="1:47" s="103" customFormat="1" x14ac:dyDescent="0.2">
      <c r="A1526" s="86" t="s">
        <v>58</v>
      </c>
      <c r="B1526" s="1061" t="s">
        <v>146</v>
      </c>
      <c r="C1526" s="75" t="s">
        <v>3608</v>
      </c>
      <c r="D1526" s="94" t="s">
        <v>3609</v>
      </c>
      <c r="E1526" s="85" t="s">
        <v>3605</v>
      </c>
      <c r="F1526" s="85" t="s">
        <v>1738</v>
      </c>
      <c r="G1526" s="91" t="s">
        <v>925</v>
      </c>
      <c r="H1526" s="91" t="s">
        <v>1619</v>
      </c>
      <c r="I1526" s="91" t="s">
        <v>52</v>
      </c>
      <c r="J1526" s="91" t="s">
        <v>53</v>
      </c>
      <c r="K1526" s="91" t="s">
        <v>69</v>
      </c>
      <c r="L1526" s="91" t="s">
        <v>73</v>
      </c>
      <c r="M1526" s="87">
        <f>580+135</f>
        <v>715</v>
      </c>
      <c r="N1526" s="639">
        <v>715</v>
      </c>
      <c r="O1526" s="60" t="s">
        <v>2328</v>
      </c>
      <c r="P1526" s="273">
        <v>36</v>
      </c>
      <c r="Q1526" s="273">
        <v>36</v>
      </c>
      <c r="R1526" s="60">
        <v>36</v>
      </c>
      <c r="S1526" s="273">
        <v>36</v>
      </c>
      <c r="T1526" s="60">
        <v>37</v>
      </c>
      <c r="U1526" s="273" t="str">
        <f>RIGHT(Table1[[#This Row],[OD]],2)</f>
        <v>37</v>
      </c>
      <c r="V1526" s="946">
        <f t="shared" si="543"/>
        <v>44</v>
      </c>
      <c r="W1526" s="946">
        <f t="shared" si="544"/>
        <v>44</v>
      </c>
      <c r="X1526" s="138">
        <v>53</v>
      </c>
      <c r="Y1526" s="60"/>
      <c r="Z1526" s="60"/>
      <c r="AA1526" s="717">
        <f t="shared" si="539"/>
        <v>13.444444444444445</v>
      </c>
      <c r="AB1526" s="125">
        <f t="shared" si="545"/>
        <v>282.87111111111108</v>
      </c>
      <c r="AC1526" s="69">
        <f t="shared" si="542"/>
        <v>8.8733333333333331</v>
      </c>
      <c r="AD1526" s="48">
        <f t="shared" si="546"/>
        <v>22.629688888888889</v>
      </c>
      <c r="AE1526" s="104">
        <f>IF(Table1[[#This Row],[Work Center]]="SwissQ",Materials!G$37,IF(Table1[[#This Row],[Work Center]]="Inca",Materials!G$29,IF(Table1[[#This Row],[Work Center]]="Canon",Materials!G$49,Materials!G$45)))</f>
        <v>8</v>
      </c>
      <c r="AF1526" s="69"/>
      <c r="AG1526" s="115"/>
      <c r="AH1526" s="498">
        <f t="shared" si="540"/>
        <v>35.75</v>
      </c>
      <c r="AI1526" s="498"/>
      <c r="AJ1526" s="69">
        <f t="shared" si="538"/>
        <v>75.253022222222228</v>
      </c>
      <c r="AK1526" s="650">
        <f t="shared" si="541"/>
        <v>0.89475101787101796</v>
      </c>
      <c r="AL1526" s="225">
        <f>Table1[[#This Row],[WSP/Dealer]]/Table1[[#This Row],[OD Sq Inch]]</f>
        <v>0.52227903579254931</v>
      </c>
      <c r="AM1526" s="46">
        <f>Table1[[#This Row],[OD Wdth]]*Table1[[#This Row],[OD Hgt]]</f>
        <v>1369</v>
      </c>
      <c r="AN1526" s="216">
        <f>Table1[[#This Row],[Min VO]]+Table1[[#This Row],[Max VO]]</f>
        <v>72</v>
      </c>
      <c r="AO1526" s="101"/>
      <c r="AP1526" s="101"/>
      <c r="AQ1526" s="104"/>
      <c r="AR1526" s="104"/>
      <c r="AS1526" s="104"/>
      <c r="AT1526" s="104"/>
      <c r="AU1526" s="830" t="str">
        <f t="shared" si="525"/>
        <v>-</v>
      </c>
    </row>
    <row r="1527" spans="1:47" s="170" customFormat="1" x14ac:dyDescent="0.2">
      <c r="A1527" s="86" t="s">
        <v>58</v>
      </c>
      <c r="B1527" s="1061" t="s">
        <v>450</v>
      </c>
      <c r="C1527" s="75" t="s">
        <v>3610</v>
      </c>
      <c r="D1527" s="94" t="s">
        <v>3611</v>
      </c>
      <c r="E1527" s="85" t="s">
        <v>3612</v>
      </c>
      <c r="F1527" s="85" t="s">
        <v>1738</v>
      </c>
      <c r="G1527" s="86" t="s">
        <v>115</v>
      </c>
      <c r="H1527" s="86" t="s">
        <v>115</v>
      </c>
      <c r="I1527" s="86" t="s">
        <v>52</v>
      </c>
      <c r="J1527" s="86" t="s">
        <v>53</v>
      </c>
      <c r="K1527" s="86" t="s">
        <v>54</v>
      </c>
      <c r="L1527" s="86" t="s">
        <v>55</v>
      </c>
      <c r="M1527" s="87">
        <v>750</v>
      </c>
      <c r="N1527" s="639">
        <v>830</v>
      </c>
      <c r="O1527" s="101" t="s">
        <v>56</v>
      </c>
      <c r="P1527" s="273">
        <v>48</v>
      </c>
      <c r="Q1527" s="273">
        <v>48</v>
      </c>
      <c r="R1527" s="60">
        <v>48</v>
      </c>
      <c r="S1527" s="273">
        <v>48</v>
      </c>
      <c r="T1527" s="273">
        <f>Table1[[#This Row],[VO Wdth]]</f>
        <v>48</v>
      </c>
      <c r="U1527" s="273">
        <f>Table1[[#This Row],[VO Hgt]]</f>
        <v>48</v>
      </c>
      <c r="V1527" s="106">
        <f t="shared" si="543"/>
        <v>56</v>
      </c>
      <c r="W1527" s="106">
        <f t="shared" si="544"/>
        <v>56</v>
      </c>
      <c r="X1527" s="137">
        <v>59</v>
      </c>
      <c r="Y1527" s="101"/>
      <c r="Z1527" s="101"/>
      <c r="AA1527" s="649">
        <f t="shared" si="539"/>
        <v>21.777777777777779</v>
      </c>
      <c r="AB1527" s="184">
        <f t="shared" si="545"/>
        <v>458.20444444444445</v>
      </c>
      <c r="AC1527" s="104">
        <f t="shared" si="542"/>
        <v>14.373333333333335</v>
      </c>
      <c r="AD1527" s="107">
        <f t="shared" si="546"/>
        <v>36.656355555555557</v>
      </c>
      <c r="AE1527" s="104">
        <f>IF(Table1[[#This Row],[Work Center]]="SwissQ",Materials!G$37,IF(Table1[[#This Row],[Work Center]]="Inca",Materials!G$29,IF(Table1[[#This Row],[Work Center]]="Canon",Materials!G$49,Materials!G$45)))</f>
        <v>8</v>
      </c>
      <c r="AF1527" s="104">
        <f>'Cali FPS'!C$117</f>
        <v>119.7</v>
      </c>
      <c r="AG1527" s="115"/>
      <c r="AH1527" s="498">
        <f t="shared" si="540"/>
        <v>37.5</v>
      </c>
      <c r="AI1527" s="498"/>
      <c r="AJ1527" s="104">
        <f t="shared" si="538"/>
        <v>216.22968888888889</v>
      </c>
      <c r="AK1527" s="650">
        <f t="shared" si="541"/>
        <v>0.71169374814814823</v>
      </c>
      <c r="AL1527" s="225">
        <f>Table1[[#This Row],[WSP/Dealer]]/Table1[[#This Row],[OD Sq Inch]]</f>
        <v>0.32552083333333331</v>
      </c>
      <c r="AM1527" s="103">
        <f>Table1[[#This Row],[OD Wdth]]*Table1[[#This Row],[OD Hgt]]</f>
        <v>2304</v>
      </c>
      <c r="AN1527" s="216">
        <f>Table1[[#This Row],[Min VO]]+Table1[[#This Row],[Max VO]]</f>
        <v>96</v>
      </c>
      <c r="AO1527" s="101"/>
      <c r="AP1527" s="101"/>
      <c r="AQ1527" s="104"/>
      <c r="AR1527" s="104"/>
      <c r="AS1527" s="104"/>
      <c r="AT1527" s="104"/>
      <c r="AU1527" s="830" t="str">
        <f t="shared" si="525"/>
        <v>-</v>
      </c>
    </row>
    <row r="1528" spans="1:47" s="103" customFormat="1" x14ac:dyDescent="0.2">
      <c r="A1528" s="86" t="s">
        <v>58</v>
      </c>
      <c r="B1528" s="279" t="s">
        <v>159</v>
      </c>
      <c r="C1528" s="81" t="s">
        <v>3613</v>
      </c>
      <c r="D1528" s="94" t="s">
        <v>3614</v>
      </c>
      <c r="E1528" s="85" t="s">
        <v>3612</v>
      </c>
      <c r="F1528" s="85" t="s">
        <v>1738</v>
      </c>
      <c r="G1528" s="91" t="s">
        <v>115</v>
      </c>
      <c r="H1528" s="91" t="s">
        <v>145</v>
      </c>
      <c r="I1528" s="91" t="s">
        <v>52</v>
      </c>
      <c r="J1528" s="91" t="s">
        <v>53</v>
      </c>
      <c r="K1528" s="91" t="s">
        <v>69</v>
      </c>
      <c r="L1528" s="91" t="s">
        <v>70</v>
      </c>
      <c r="M1528" s="87">
        <f>750+140</f>
        <v>890</v>
      </c>
      <c r="N1528" s="639">
        <v>970</v>
      </c>
      <c r="O1528" s="60" t="s">
        <v>2328</v>
      </c>
      <c r="P1528" s="273">
        <v>48</v>
      </c>
      <c r="Q1528" s="273">
        <v>48</v>
      </c>
      <c r="R1528" s="60">
        <v>48</v>
      </c>
      <c r="S1528" s="273">
        <v>48</v>
      </c>
      <c r="T1528" s="60">
        <v>49</v>
      </c>
      <c r="U1528" s="273" t="str">
        <f>RIGHT(Table1[[#This Row],[OD]],2)</f>
        <v>49</v>
      </c>
      <c r="V1528" s="946">
        <f t="shared" si="543"/>
        <v>56</v>
      </c>
      <c r="W1528" s="946">
        <f t="shared" si="544"/>
        <v>56</v>
      </c>
      <c r="X1528" s="138">
        <v>59</v>
      </c>
      <c r="Y1528" s="60"/>
      <c r="Z1528" s="60"/>
      <c r="AA1528" s="717">
        <f t="shared" si="539"/>
        <v>21.777777777777779</v>
      </c>
      <c r="AB1528" s="125">
        <f t="shared" si="545"/>
        <v>458.20444444444445</v>
      </c>
      <c r="AC1528" s="69">
        <f t="shared" si="542"/>
        <v>14.373333333333335</v>
      </c>
      <c r="AD1528" s="48">
        <f t="shared" si="546"/>
        <v>36.656355555555557</v>
      </c>
      <c r="AE1528" s="104">
        <f>IF(Table1[[#This Row],[Work Center]]="SwissQ",Materials!G$37,IF(Table1[[#This Row],[Work Center]]="Inca",Materials!G$29,IF(Table1[[#This Row],[Work Center]]="Canon",Materials!G$49,Materials!G$45)))</f>
        <v>8</v>
      </c>
      <c r="AF1528" s="69"/>
      <c r="AG1528" s="115"/>
      <c r="AH1528" s="498">
        <f t="shared" si="540"/>
        <v>44.5</v>
      </c>
      <c r="AI1528" s="498"/>
      <c r="AJ1528" s="69">
        <f t="shared" si="538"/>
        <v>103.5296888888889</v>
      </c>
      <c r="AK1528" s="650">
        <f t="shared" si="541"/>
        <v>0.88367450686641691</v>
      </c>
      <c r="AL1528" s="225">
        <f>Table1[[#This Row],[WSP/Dealer]]/Table1[[#This Row],[OD Sq Inch]]</f>
        <v>0.37067888379841735</v>
      </c>
      <c r="AM1528" s="218">
        <f>Table1[[#This Row],[OD Wdth]]*Table1[[#This Row],[OD Hgt]]</f>
        <v>2401</v>
      </c>
      <c r="AN1528" s="216">
        <f>Table1[[#This Row],[Min VO]]+Table1[[#This Row],[Max VO]]</f>
        <v>96</v>
      </c>
      <c r="AO1528" s="101"/>
      <c r="AP1528" s="101"/>
      <c r="AQ1528" s="104"/>
      <c r="AR1528" s="104"/>
      <c r="AS1528" s="104"/>
      <c r="AT1528" s="104"/>
      <c r="AU1528" s="830" t="str">
        <f t="shared" si="525"/>
        <v>-</v>
      </c>
    </row>
    <row r="1529" spans="1:47" s="46" customFormat="1" x14ac:dyDescent="0.2">
      <c r="A1529" s="86" t="s">
        <v>58</v>
      </c>
      <c r="B1529" s="279" t="s">
        <v>159</v>
      </c>
      <c r="C1529" s="75" t="s">
        <v>3615</v>
      </c>
      <c r="D1529" s="94" t="s">
        <v>3616</v>
      </c>
      <c r="E1529" s="85" t="s">
        <v>3612</v>
      </c>
      <c r="F1529" s="85" t="s">
        <v>1738</v>
      </c>
      <c r="G1529" s="86" t="s">
        <v>115</v>
      </c>
      <c r="H1529" s="86" t="s">
        <v>145</v>
      </c>
      <c r="I1529" s="86" t="s">
        <v>52</v>
      </c>
      <c r="J1529" s="86" t="s">
        <v>53</v>
      </c>
      <c r="K1529" s="86" t="s">
        <v>69</v>
      </c>
      <c r="L1529" s="86" t="s">
        <v>73</v>
      </c>
      <c r="M1529" s="87">
        <f>750+200</f>
        <v>950</v>
      </c>
      <c r="N1529" s="639">
        <v>970</v>
      </c>
      <c r="O1529" s="60" t="s">
        <v>2328</v>
      </c>
      <c r="P1529" s="273">
        <v>48</v>
      </c>
      <c r="Q1529" s="273">
        <v>48</v>
      </c>
      <c r="R1529" s="60">
        <v>48</v>
      </c>
      <c r="S1529" s="273">
        <v>48</v>
      </c>
      <c r="T1529" s="60">
        <v>49</v>
      </c>
      <c r="U1529" s="273" t="str">
        <f>RIGHT(Table1[[#This Row],[OD]],2)</f>
        <v>49</v>
      </c>
      <c r="V1529" s="946">
        <f t="shared" si="543"/>
        <v>56</v>
      </c>
      <c r="W1529" s="946">
        <f t="shared" si="544"/>
        <v>56</v>
      </c>
      <c r="X1529" s="138">
        <v>59</v>
      </c>
      <c r="Y1529" s="60"/>
      <c r="Z1529" s="60"/>
      <c r="AA1529" s="717">
        <f t="shared" si="539"/>
        <v>21.777777777777779</v>
      </c>
      <c r="AB1529" s="125">
        <f t="shared" si="545"/>
        <v>458.20444444444445</v>
      </c>
      <c r="AC1529" s="69">
        <f t="shared" si="542"/>
        <v>14.373333333333335</v>
      </c>
      <c r="AD1529" s="69">
        <f t="shared" si="546"/>
        <v>36.656355555555557</v>
      </c>
      <c r="AE1529" s="104">
        <f>IF(Table1[[#This Row],[Work Center]]="SwissQ",Materials!G$37,IF(Table1[[#This Row],[Work Center]]="Inca",Materials!G$29,IF(Table1[[#This Row],[Work Center]]="Canon",Materials!G$49,Materials!G$45)))</f>
        <v>8</v>
      </c>
      <c r="AF1529" s="69"/>
      <c r="AG1529" s="115"/>
      <c r="AH1529" s="498">
        <f t="shared" si="540"/>
        <v>47.5</v>
      </c>
      <c r="AI1529" s="498"/>
      <c r="AJ1529" s="69">
        <f t="shared" si="538"/>
        <v>106.5296888888889</v>
      </c>
      <c r="AK1529" s="650">
        <f t="shared" si="541"/>
        <v>0.88786348538011695</v>
      </c>
      <c r="AL1529" s="225">
        <f>Table1[[#This Row],[WSP/Dealer]]/Table1[[#This Row],[OD Sq Inch]]</f>
        <v>0.39566847147022072</v>
      </c>
      <c r="AM1529" s="103">
        <f>Table1[[#This Row],[OD Wdth]]*Table1[[#This Row],[OD Hgt]]</f>
        <v>2401</v>
      </c>
      <c r="AN1529" s="216">
        <f>Table1[[#This Row],[Min VO]]+Table1[[#This Row],[Max VO]]</f>
        <v>96</v>
      </c>
      <c r="AO1529" s="101"/>
      <c r="AP1529" s="101"/>
      <c r="AQ1529" s="104"/>
      <c r="AR1529" s="104"/>
      <c r="AS1529" s="104"/>
      <c r="AT1529" s="104"/>
      <c r="AU1529" s="830" t="str">
        <f t="shared" si="525"/>
        <v>-</v>
      </c>
    </row>
    <row r="1530" spans="1:47" s="103" customFormat="1" hidden="1" x14ac:dyDescent="0.2">
      <c r="A1530" s="60" t="s">
        <v>318</v>
      </c>
      <c r="B1530" s="1071" t="s">
        <v>305</v>
      </c>
      <c r="C1530" s="75" t="s">
        <v>3617</v>
      </c>
      <c r="D1530" s="79"/>
      <c r="E1530" s="83" t="s">
        <v>3618</v>
      </c>
      <c r="F1530" s="83" t="s">
        <v>105</v>
      </c>
      <c r="G1530" s="60" t="s">
        <v>504</v>
      </c>
      <c r="H1530" s="60" t="s">
        <v>505</v>
      </c>
      <c r="I1530" s="60" t="s">
        <v>256</v>
      </c>
      <c r="J1530" s="59" t="s">
        <v>257</v>
      </c>
      <c r="K1530" s="60" t="s">
        <v>258</v>
      </c>
      <c r="L1530" s="60" t="s">
        <v>259</v>
      </c>
      <c r="M1530" s="124">
        <v>190</v>
      </c>
      <c r="N1530" s="124"/>
      <c r="O1530" s="60" t="s">
        <v>260</v>
      </c>
      <c r="P1530" s="273">
        <v>10</v>
      </c>
      <c r="Q1530" s="273">
        <v>12</v>
      </c>
      <c r="R1530" s="60">
        <v>10</v>
      </c>
      <c r="S1530" s="273">
        <v>12</v>
      </c>
      <c r="T1530" s="60">
        <v>12</v>
      </c>
      <c r="U1530" s="273">
        <v>14</v>
      </c>
      <c r="V1530" s="946">
        <f t="shared" si="543"/>
        <v>10</v>
      </c>
      <c r="W1530" s="946">
        <f t="shared" si="544"/>
        <v>12</v>
      </c>
      <c r="X1530" s="60" t="s">
        <v>257</v>
      </c>
      <c r="Y1530" s="60">
        <v>10</v>
      </c>
      <c r="Z1530" s="60">
        <v>12</v>
      </c>
      <c r="AA1530" s="678">
        <f t="shared" si="539"/>
        <v>0.83333333333333337</v>
      </c>
      <c r="AB1530" s="125">
        <f>AA1530*canonML</f>
        <v>4</v>
      </c>
      <c r="AC1530" s="69">
        <f>Table1[[#This Row],[Substrate SF]]*Paper</f>
        <v>1.1274999999999999</v>
      </c>
      <c r="AD1530" s="48">
        <f>Table1[[#This Row],[Ink g/mL]]*CanonC</f>
        <v>1.08</v>
      </c>
      <c r="AE1530" s="69">
        <f>IF(Table1[[#This Row],[Work Center]]="SwissQ",Materials!G$37,IF(Table1[[#This Row],[Work Center]]="Inca",Materials!G$29,IF(Table1[[#This Row],[Work Center]]="Canon",Materials!G$49,Materials!G$45)))</f>
        <v>7</v>
      </c>
      <c r="AF1530" s="72">
        <f>'Cali Frames'!D108</f>
        <v>70.81</v>
      </c>
      <c r="AG1530" s="83"/>
      <c r="AH1530" s="176">
        <v>0</v>
      </c>
      <c r="AI1530" s="176"/>
      <c r="AJ1530" s="176">
        <f t="shared" si="538"/>
        <v>80.017499999999998</v>
      </c>
      <c r="AK1530" s="1201">
        <f t="shared" si="541"/>
        <v>0.57885526315789471</v>
      </c>
      <c r="AL1530" s="176">
        <f>Table1[[#This Row],[WSP/Dealer]]/Table1[[#This Row],[OD Sq Inch]]</f>
        <v>1.1309523809523809</v>
      </c>
      <c r="AM1530" s="173">
        <f>Table1[[#This Row],[OD Wdth]]*Table1[[#This Row],[OD Hgt]]</f>
        <v>168</v>
      </c>
      <c r="AN1530" s="180">
        <f>Table1[[#This Row],[Min VO]]+Table1[[#This Row],[Max VO]]</f>
        <v>22</v>
      </c>
      <c r="AO1530" s="83"/>
      <c r="AP1530" s="83"/>
      <c r="AQ1530" s="69">
        <f>(Table1[[#This Row],[Desgnr/Retail P]]*0.05)</f>
        <v>0</v>
      </c>
      <c r="AR1530" s="69" t="b">
        <f>IF(A1530="Codarus",(AP1530*0.13))</f>
        <v>0</v>
      </c>
      <c r="AS1530" s="69" t="e" cm="1">
        <f t="array" ref="AS1530">SUM(AC1530:AG1530+AQ+AR)</f>
        <v>#NAME?</v>
      </c>
      <c r="AT1530" s="69" t="e">
        <f>(AP1530-AS1530)/AP1530</f>
        <v>#NAME?</v>
      </c>
      <c r="AU1530" s="1361" t="str">
        <f t="shared" si="525"/>
        <v>-</v>
      </c>
    </row>
    <row r="1531" spans="1:47" s="63" customFormat="1" hidden="1" x14ac:dyDescent="0.2">
      <c r="A1531" s="101" t="s">
        <v>110</v>
      </c>
      <c r="B1531" s="1064" t="s">
        <v>102</v>
      </c>
      <c r="C1531" s="1203" t="s">
        <v>3619</v>
      </c>
      <c r="D1531" s="168"/>
      <c r="E1531" s="115" t="s">
        <v>3620</v>
      </c>
      <c r="F1531" s="115" t="s">
        <v>614</v>
      </c>
      <c r="G1531" s="303" t="s">
        <v>572</v>
      </c>
      <c r="H1531" s="101" t="s">
        <v>572</v>
      </c>
      <c r="I1531" s="303" t="s">
        <v>52</v>
      </c>
      <c r="J1531" s="1320" t="s">
        <v>53</v>
      </c>
      <c r="K1531" s="303" t="s">
        <v>54</v>
      </c>
      <c r="L1531" s="303" t="s">
        <v>55</v>
      </c>
      <c r="M1531" s="114"/>
      <c r="N1531" s="114"/>
      <c r="O1531" s="101"/>
      <c r="P1531" s="697"/>
      <c r="Q1531" s="697"/>
      <c r="R1531" s="101"/>
      <c r="S1531" s="697"/>
      <c r="T1531" s="101"/>
      <c r="U1531" s="697"/>
      <c r="V1531" s="608"/>
      <c r="W1531" s="608"/>
      <c r="X1531" s="101"/>
      <c r="Y1531" s="101"/>
      <c r="Z1531" s="101"/>
      <c r="AA1531" s="649"/>
      <c r="AB1531" s="184"/>
      <c r="AC1531" s="104"/>
      <c r="AD1531" s="121"/>
      <c r="AE1531" s="121"/>
      <c r="AF1531" s="102"/>
      <c r="AG1531" s="115"/>
      <c r="AH1531" s="121"/>
      <c r="AI1531" s="121"/>
      <c r="AJ1531" s="121"/>
      <c r="AK1531" s="830"/>
      <c r="AL1531" s="121"/>
      <c r="AM1531" s="115"/>
      <c r="AN1531" s="115"/>
      <c r="AO1531" s="115"/>
      <c r="AP1531" s="115"/>
      <c r="AQ1531" s="104">
        <f>(Table1[[#This Row],[Desgnr/Retail P]]*0.05)</f>
        <v>0</v>
      </c>
      <c r="AR1531" s="121">
        <f>IF(A1531="Codarus",(AP1531*0.13))</f>
        <v>0</v>
      </c>
      <c r="AS1531" s="121">
        <f>SUM(Table1[[#This Row],[Substrate $]:[GP FINISH]])+Table1[[#This Row],[Retail Royalty]]+Table1[[#This Row],[Retail$Comm]]</f>
        <v>0</v>
      </c>
      <c r="AT1531" s="830" t="str">
        <f>IF(AP1531=0,"-",(AP1531-AS1531)/AP1531)</f>
        <v>-</v>
      </c>
      <c r="AU1531" s="1359" t="str">
        <f t="shared" si="525"/>
        <v>-</v>
      </c>
    </row>
    <row r="1532" spans="1:47" s="63" customFormat="1" hidden="1" x14ac:dyDescent="0.2">
      <c r="A1532" s="470" t="s">
        <v>318</v>
      </c>
      <c r="B1532" s="279" t="s">
        <v>96</v>
      </c>
      <c r="C1532" s="75" t="s">
        <v>3621</v>
      </c>
      <c r="D1532" s="94"/>
      <c r="E1532" s="83" t="s">
        <v>3622</v>
      </c>
      <c r="F1532" s="83" t="s">
        <v>105</v>
      </c>
      <c r="G1532" s="60" t="s">
        <v>519</v>
      </c>
      <c r="H1532" s="60" t="s">
        <v>974</v>
      </c>
      <c r="I1532" s="60" t="s">
        <v>256</v>
      </c>
      <c r="J1532" s="59" t="s">
        <v>257</v>
      </c>
      <c r="K1532" s="60" t="s">
        <v>1444</v>
      </c>
      <c r="L1532" s="60" t="s">
        <v>259</v>
      </c>
      <c r="M1532" s="543">
        <v>200</v>
      </c>
      <c r="N1532" s="786">
        <v>500</v>
      </c>
      <c r="O1532" s="180" t="s">
        <v>260</v>
      </c>
      <c r="P1532" s="180">
        <v>16</v>
      </c>
      <c r="Q1532" s="180">
        <v>20</v>
      </c>
      <c r="R1532" s="180">
        <v>16</v>
      </c>
      <c r="S1532" s="180">
        <v>20</v>
      </c>
      <c r="T1532" s="180">
        <v>18</v>
      </c>
      <c r="U1532" s="180">
        <v>22</v>
      </c>
      <c r="V1532" s="946">
        <f>IF(J1532="Canvas",P1532+Border,P1532)</f>
        <v>16</v>
      </c>
      <c r="W1532" s="946">
        <f>IF(J1532="Canvas",Q1532+Border,Q1532)</f>
        <v>20</v>
      </c>
      <c r="X1532" s="289">
        <v>40</v>
      </c>
      <c r="Y1532" s="180">
        <v>16</v>
      </c>
      <c r="Z1532" s="180">
        <v>20</v>
      </c>
      <c r="AA1532" s="678">
        <f t="shared" ref="AA1532:AA1545" si="547">V1532*W1532/144</f>
        <v>2.2222222222222223</v>
      </c>
      <c r="AB1532" s="125">
        <f>AA1532*canonML</f>
        <v>10.666666666666666</v>
      </c>
      <c r="AC1532" s="69">
        <f>Table1[[#This Row],[Substrate SF]]*Paper</f>
        <v>3.0066666666666668</v>
      </c>
      <c r="AD1532" s="69">
        <f>Table1[[#This Row],[Ink g/mL]]*CanonC</f>
        <v>2.88</v>
      </c>
      <c r="AE1532" s="69">
        <f>IF(Table1[[#This Row],[Work Center]]="SwissQ",Materials!G$37,IF(Table1[[#This Row],[Work Center]]="Inca",Materials!G$29,IF(Table1[[#This Row],[Work Center]]="Canon",Materials!G$49,Materials!G$45)))</f>
        <v>7</v>
      </c>
      <c r="AF1532" s="290">
        <f>'Cali Frames'!D22</f>
        <v>82.44</v>
      </c>
      <c r="AG1532" s="296"/>
      <c r="AH1532" s="498">
        <v>0</v>
      </c>
      <c r="AI1532" s="498"/>
      <c r="AJ1532" s="176">
        <f>SUM(AC1532:AH1532)</f>
        <v>95.326666666666668</v>
      </c>
      <c r="AK1532" s="650">
        <f t="shared" ref="AK1532:AK1563" si="548">(M1532-AJ1532)/M1532</f>
        <v>0.52336666666666665</v>
      </c>
      <c r="AL1532" s="225">
        <f>Table1[[#This Row],[WSP/Dealer]]/Table1[[#This Row],[OD Sq Inch]]</f>
        <v>0.50505050505050508</v>
      </c>
      <c r="AM1532" s="180">
        <f>Table1[[#This Row],[OD Wdth]]*Table1[[#This Row],[OD Hgt]]</f>
        <v>396</v>
      </c>
      <c r="AN1532" s="180" t="str">
        <f>Table1[[#This Row],[Color]]</f>
        <v>BA</v>
      </c>
      <c r="AO1532" s="83" t="str">
        <f>Table1[[#This Row],[Print Type]]</f>
        <v>Work on Paper</v>
      </c>
      <c r="AP1532" s="121"/>
      <c r="AQ1532" s="121"/>
      <c r="AR1532" s="121"/>
      <c r="AS1532" s="121"/>
      <c r="AT1532" s="104"/>
      <c r="AU1532" s="1361" t="str">
        <f t="shared" si="525"/>
        <v>-</v>
      </c>
    </row>
    <row r="1533" spans="1:47" s="63" customFormat="1" hidden="1" x14ac:dyDescent="0.2">
      <c r="A1533" s="101"/>
      <c r="B1533" s="279"/>
      <c r="C1533" s="77" t="s">
        <v>3623</v>
      </c>
      <c r="D1533" s="94"/>
      <c r="E1533" s="115" t="s">
        <v>3624</v>
      </c>
      <c r="F1533" s="115" t="s">
        <v>3625</v>
      </c>
      <c r="G1533" s="101" t="s">
        <v>3626</v>
      </c>
      <c r="H1533" s="101"/>
      <c r="I1533" s="60" t="s">
        <v>108</v>
      </c>
      <c r="J1533" s="59" t="s">
        <v>257</v>
      </c>
      <c r="K1533" s="101" t="s">
        <v>258</v>
      </c>
      <c r="L1533" s="101" t="s">
        <v>259</v>
      </c>
      <c r="M1533" s="299">
        <v>375</v>
      </c>
      <c r="N1533" s="71"/>
      <c r="O1533" s="101" t="s">
        <v>260</v>
      </c>
      <c r="P1533" s="60">
        <v>17</v>
      </c>
      <c r="Q1533" s="60">
        <v>27</v>
      </c>
      <c r="R1533" s="60">
        <v>17</v>
      </c>
      <c r="S1533" s="60">
        <v>27</v>
      </c>
      <c r="T1533" s="101">
        <v>19</v>
      </c>
      <c r="U1533" s="101">
        <v>29</v>
      </c>
      <c r="V1533" s="946">
        <f>Table1[[#This Row],[VO Wdth]]+Materials!$C$50</f>
        <v>19</v>
      </c>
      <c r="W1533" s="946">
        <f>Table1[[#This Row],[VO Hgt]]+Materials!$C$50</f>
        <v>29</v>
      </c>
      <c r="X1533" s="137" t="s">
        <v>257</v>
      </c>
      <c r="Y1533" s="101"/>
      <c r="Z1533" s="101"/>
      <c r="AA1533" s="717">
        <f t="shared" si="547"/>
        <v>3.8263888888888888</v>
      </c>
      <c r="AB1533" s="125">
        <f>AA1533*canonML</f>
        <v>18.366666666666667</v>
      </c>
      <c r="AC1533" s="69">
        <f>Table1[[#This Row],[Print Wth]]*paper60</f>
        <v>6.4600000000000009</v>
      </c>
      <c r="AD1533" s="69">
        <f>Table1[[#This Row],[Ink g/mL]]*CanonC</f>
        <v>4.9590000000000005</v>
      </c>
      <c r="AE1533" s="104">
        <f>IF(Table1[[#This Row],[Work Center]]="SwissQ",Materials!G$37,IF(Table1[[#This Row],[Work Center]]="Inca",Materials!G$29,IF(Table1[[#This Row],[Work Center]]="Canon",Materials!G$49,Materials!G$45)))</f>
        <v>7</v>
      </c>
      <c r="AF1533" s="102">
        <f>'Cali Frames'!D25</f>
        <v>84.7</v>
      </c>
      <c r="AG1533" s="121"/>
      <c r="AH1533" s="498">
        <f t="shared" ref="AH1533:AH1545" si="549">(M1533*0.05)</f>
        <v>18.75</v>
      </c>
      <c r="AI1533" s="498"/>
      <c r="AJ1533" s="104">
        <f>SUM(AC1533:AH1533)</f>
        <v>121.869</v>
      </c>
      <c r="AK1533" s="650">
        <f t="shared" si="548"/>
        <v>0.67501599999999995</v>
      </c>
      <c r="AL1533" s="225" t="e">
        <f>Table1[[#This Row],[WSP/Dealer]]/Table1[[#This Row],[OD Sq Inch]]</f>
        <v>#DIV/0!</v>
      </c>
      <c r="AM1533" s="115"/>
      <c r="AN1533" s="216">
        <f>Table1[[#This Row],[Min VO]]+Table1[[#This Row],[Max VO]]</f>
        <v>44</v>
      </c>
      <c r="AO1533" s="115"/>
      <c r="AP1533" s="115"/>
      <c r="AQ1533" s="121"/>
      <c r="AR1533" s="121"/>
      <c r="AS1533" s="121"/>
      <c r="AT1533" s="104"/>
      <c r="AU1533" s="1359" t="str">
        <f t="shared" si="525"/>
        <v>-</v>
      </c>
    </row>
    <row r="1534" spans="1:47" s="63" customFormat="1" hidden="1" x14ac:dyDescent="0.2">
      <c r="A1534" s="101"/>
      <c r="B1534" s="279"/>
      <c r="C1534" s="183" t="s">
        <v>3627</v>
      </c>
      <c r="D1534" s="94"/>
      <c r="E1534" s="115" t="s">
        <v>3624</v>
      </c>
      <c r="F1534" s="115" t="s">
        <v>3625</v>
      </c>
      <c r="G1534" s="101" t="s">
        <v>3626</v>
      </c>
      <c r="H1534" s="101"/>
      <c r="I1534" s="92" t="s">
        <v>108</v>
      </c>
      <c r="J1534" s="797" t="s">
        <v>257</v>
      </c>
      <c r="K1534" s="303" t="s">
        <v>258</v>
      </c>
      <c r="L1534" s="303" t="s">
        <v>269</v>
      </c>
      <c r="M1534" s="299">
        <v>400</v>
      </c>
      <c r="N1534" s="71"/>
      <c r="O1534" s="101" t="s">
        <v>260</v>
      </c>
      <c r="P1534" s="60">
        <v>17</v>
      </c>
      <c r="Q1534" s="60">
        <v>27</v>
      </c>
      <c r="R1534" s="60">
        <v>17</v>
      </c>
      <c r="S1534" s="60">
        <v>27</v>
      </c>
      <c r="T1534" s="101">
        <v>19</v>
      </c>
      <c r="U1534" s="101">
        <v>29</v>
      </c>
      <c r="V1534" s="946">
        <f>Table1[[#This Row],[VO Wdth]]+Materials!$C$50</f>
        <v>19</v>
      </c>
      <c r="W1534" s="946">
        <f>Table1[[#This Row],[VO Hgt]]+Materials!$C$50</f>
        <v>29</v>
      </c>
      <c r="X1534" s="137" t="s">
        <v>257</v>
      </c>
      <c r="Y1534" s="101"/>
      <c r="Z1534" s="101"/>
      <c r="AA1534" s="717">
        <f t="shared" si="547"/>
        <v>3.8263888888888888</v>
      </c>
      <c r="AB1534" s="125">
        <f>AA1534*canonML</f>
        <v>18.366666666666667</v>
      </c>
      <c r="AC1534" s="69">
        <f>Table1[[#This Row],[Print Wth]]*paper60</f>
        <v>6.4600000000000009</v>
      </c>
      <c r="AD1534" s="48">
        <f>Table1[[#This Row],[Ink g/mL]]*CanonC</f>
        <v>4.9590000000000005</v>
      </c>
      <c r="AE1534" s="104">
        <f>IF(Table1[[#This Row],[Work Center]]="SwissQ",Materials!G$37,IF(Table1[[#This Row],[Work Center]]="Inca",Materials!G$29,IF(Table1[[#This Row],[Work Center]]="Canon",Materials!G$49,Materials!G$45)))</f>
        <v>7</v>
      </c>
      <c r="AF1534" s="102">
        <f>'Cali Frames'!D62</f>
        <v>99.592500000000001</v>
      </c>
      <c r="AG1534" s="121"/>
      <c r="AH1534" s="498">
        <f t="shared" si="549"/>
        <v>20</v>
      </c>
      <c r="AI1534" s="498"/>
      <c r="AJ1534" s="104">
        <f>SUM(AC1534:AH1534)</f>
        <v>138.01150000000001</v>
      </c>
      <c r="AK1534" s="650">
        <f t="shared" si="548"/>
        <v>0.65497125</v>
      </c>
      <c r="AL1534" s="225" t="e">
        <f>Table1[[#This Row],[WSP/Dealer]]/Table1[[#This Row],[OD Sq Inch]]</f>
        <v>#DIV/0!</v>
      </c>
      <c r="AM1534" s="113"/>
      <c r="AN1534" s="216">
        <f>Table1[[#This Row],[Min VO]]+Table1[[#This Row],[Max VO]]</f>
        <v>44</v>
      </c>
      <c r="AO1534" s="115"/>
      <c r="AP1534" s="115"/>
      <c r="AQ1534" s="121"/>
      <c r="AR1534" s="121"/>
      <c r="AS1534" s="121"/>
      <c r="AT1534" s="104"/>
      <c r="AU1534" s="1359" t="str">
        <f t="shared" si="525"/>
        <v>-</v>
      </c>
    </row>
    <row r="1535" spans="1:47" s="63" customFormat="1" hidden="1" x14ac:dyDescent="0.2">
      <c r="A1535" s="101"/>
      <c r="B1535" s="1061"/>
      <c r="C1535" s="77" t="s">
        <v>3628</v>
      </c>
      <c r="D1535" s="94"/>
      <c r="E1535" s="115" t="s">
        <v>3624</v>
      </c>
      <c r="F1535" s="115" t="s">
        <v>3625</v>
      </c>
      <c r="G1535" s="101" t="s">
        <v>3626</v>
      </c>
      <c r="H1535" s="101"/>
      <c r="I1535" s="60" t="s">
        <v>108</v>
      </c>
      <c r="J1535" s="59" t="s">
        <v>257</v>
      </c>
      <c r="K1535" s="68" t="s">
        <v>258</v>
      </c>
      <c r="L1535" s="68" t="s">
        <v>269</v>
      </c>
      <c r="M1535" s="299">
        <v>600</v>
      </c>
      <c r="N1535" s="71"/>
      <c r="O1535" s="101" t="s">
        <v>260</v>
      </c>
      <c r="P1535" s="60">
        <v>17</v>
      </c>
      <c r="Q1535" s="60">
        <v>27</v>
      </c>
      <c r="R1535" s="60">
        <v>17</v>
      </c>
      <c r="S1535" s="60">
        <v>27</v>
      </c>
      <c r="T1535" s="101">
        <v>19</v>
      </c>
      <c r="U1535" s="101">
        <v>29</v>
      </c>
      <c r="V1535" s="47">
        <f>Table1[[#This Row],[VO Wdth]]+Materials!$C$50</f>
        <v>19</v>
      </c>
      <c r="W1535" s="47">
        <f>Table1[[#This Row],[VO Hgt]]+Materials!$C$50</f>
        <v>29</v>
      </c>
      <c r="X1535" s="137" t="s">
        <v>257</v>
      </c>
      <c r="Y1535" s="101"/>
      <c r="Z1535" s="101"/>
      <c r="AA1535" s="717">
        <f t="shared" si="547"/>
        <v>3.8263888888888888</v>
      </c>
      <c r="AB1535" s="125">
        <f>AA1535*canonML</f>
        <v>18.366666666666667</v>
      </c>
      <c r="AC1535" s="69">
        <f>Table1[[#This Row],[Print Wth]]*paper60</f>
        <v>6.4600000000000009</v>
      </c>
      <c r="AD1535" s="48">
        <f>Table1[[#This Row],[Ink g/mL]]*CanonC</f>
        <v>4.9590000000000005</v>
      </c>
      <c r="AE1535" s="104">
        <f>IF(Table1[[#This Row],[Work Center]]="SwissQ",Materials!G$37,IF(Table1[[#This Row],[Work Center]]="Inca",Materials!G$29,IF(Table1[[#This Row],[Work Center]]="Canon",Materials!G$49,Materials!G$45)))</f>
        <v>7</v>
      </c>
      <c r="AF1535" s="102">
        <f>'Cali Frames'!D601</f>
        <v>148.26</v>
      </c>
      <c r="AG1535" s="121"/>
      <c r="AH1535" s="112">
        <f t="shared" si="549"/>
        <v>30</v>
      </c>
      <c r="AI1535" s="112"/>
      <c r="AJ1535" s="107">
        <f>SUM(AC1535:AH1535)</f>
        <v>196.679</v>
      </c>
      <c r="AK1535" s="62">
        <f t="shared" si="548"/>
        <v>0.6722016666666667</v>
      </c>
      <c r="AL1535" s="225" t="e">
        <f>Table1[[#This Row],[WSP/Dealer]]/Table1[[#This Row],[OD Sq Inch]]</f>
        <v>#DIV/0!</v>
      </c>
      <c r="AM1535" s="113"/>
      <c r="AN1535" s="216">
        <f>Table1[[#This Row],[Min VO]]+Table1[[#This Row],[Max VO]]</f>
        <v>44</v>
      </c>
      <c r="AO1535" s="115"/>
      <c r="AP1535" s="115"/>
      <c r="AQ1535" s="121"/>
      <c r="AR1535" s="121"/>
      <c r="AS1535" s="121"/>
      <c r="AT1535" s="104"/>
      <c r="AU1535" s="1359" t="str">
        <f t="shared" si="525"/>
        <v>-</v>
      </c>
    </row>
    <row r="1536" spans="1:47" s="103" customFormat="1" x14ac:dyDescent="0.2">
      <c r="A1536" s="86" t="s">
        <v>58</v>
      </c>
      <c r="B1536" s="279" t="s">
        <v>88</v>
      </c>
      <c r="C1536" s="76" t="s">
        <v>3629</v>
      </c>
      <c r="D1536" s="94" t="s">
        <v>3630</v>
      </c>
      <c r="E1536" s="85" t="s">
        <v>3631</v>
      </c>
      <c r="F1536" s="85" t="s">
        <v>634</v>
      </c>
      <c r="G1536" s="86" t="s">
        <v>466</v>
      </c>
      <c r="H1536" s="86" t="s">
        <v>2692</v>
      </c>
      <c r="I1536" s="86" t="s">
        <v>52</v>
      </c>
      <c r="J1536" s="86" t="s">
        <v>53</v>
      </c>
      <c r="K1536" s="86" t="s">
        <v>82</v>
      </c>
      <c r="L1536" s="86" t="s">
        <v>83</v>
      </c>
      <c r="M1536" s="87">
        <v>682</v>
      </c>
      <c r="N1536" s="639">
        <v>950</v>
      </c>
      <c r="O1536" s="551" t="s">
        <v>56</v>
      </c>
      <c r="P1536" s="101">
        <v>50</v>
      </c>
      <c r="Q1536" s="101">
        <v>38</v>
      </c>
      <c r="R1536" s="60">
        <v>38</v>
      </c>
      <c r="S1536" s="273">
        <v>50</v>
      </c>
      <c r="T1536" s="101">
        <v>52</v>
      </c>
      <c r="U1536" s="101" t="str">
        <f>RIGHT(H1536,2)</f>
        <v>40</v>
      </c>
      <c r="V1536" s="106">
        <f>IF(J1536="Canvas",P1536+Border,P1536)</f>
        <v>58</v>
      </c>
      <c r="W1536" s="106">
        <f>IF(J1536="Canvas",Q1536+Border,Q1536)</f>
        <v>46</v>
      </c>
      <c r="X1536" s="311">
        <v>122</v>
      </c>
      <c r="Y1536" s="551"/>
      <c r="Z1536" s="551"/>
      <c r="AA1536" s="649">
        <f t="shared" si="547"/>
        <v>18.527777777777779</v>
      </c>
      <c r="AB1536" s="184">
        <f t="shared" ref="AB1536:AB1545" si="550">AA1536*IncaG</f>
        <v>389.82444444444445</v>
      </c>
      <c r="AC1536" s="104">
        <f t="shared" ref="AC1536:AC1545" si="551">AA1536*Canvas</f>
        <v>12.228333333333335</v>
      </c>
      <c r="AD1536" s="107">
        <f t="shared" ref="AD1536:AD1542" si="552">AA1536*IncaC</f>
        <v>31.185955555555559</v>
      </c>
      <c r="AE1536" s="104">
        <f>IF(Table1[[#This Row],[Work Center]]="SwissQ",Materials!G$37,IF(Table1[[#This Row],[Work Center]]="Inca",Materials!G$29,IF(Table1[[#This Row],[Work Center]]="Canon",Materials!G$49,Materials!G$45)))</f>
        <v>8</v>
      </c>
      <c r="AF1536" s="104">
        <f>'Cali Frames'!D$137</f>
        <v>152.63499999999999</v>
      </c>
      <c r="AG1536" s="115"/>
      <c r="AH1536" s="498">
        <f t="shared" si="549"/>
        <v>34.1</v>
      </c>
      <c r="AI1536" s="498"/>
      <c r="AJ1536" s="104">
        <f>SUM(AC1536:AH1536)</f>
        <v>238.14928888888889</v>
      </c>
      <c r="AK1536" s="650">
        <f t="shared" si="548"/>
        <v>0.65080749429781681</v>
      </c>
      <c r="AL1536" s="225">
        <f>Table1[[#This Row],[WSP/Dealer]]/Table1[[#This Row],[OD Sq Inch]]</f>
        <v>0.32788461538461539</v>
      </c>
      <c r="AM1536" s="103">
        <f>Table1[[#This Row],[OD Wdth]]*Table1[[#This Row],[OD Hgt]]</f>
        <v>2080</v>
      </c>
      <c r="AN1536" s="216">
        <f>Table1[[#This Row],[Min VO]]+Table1[[#This Row],[Max VO]]</f>
        <v>88</v>
      </c>
      <c r="AO1536" s="101"/>
      <c r="AP1536" s="101"/>
      <c r="AQ1536" s="104"/>
      <c r="AR1536" s="104"/>
      <c r="AS1536" s="104"/>
      <c r="AT1536" s="104"/>
      <c r="AU1536" s="830" t="str">
        <f t="shared" si="525"/>
        <v>-</v>
      </c>
    </row>
    <row r="1537" spans="1:47" s="399" customFormat="1" hidden="1" x14ac:dyDescent="0.2">
      <c r="A1537" s="101" t="s">
        <v>110</v>
      </c>
      <c r="B1537" s="1062" t="s">
        <v>134</v>
      </c>
      <c r="C1537" s="122" t="s">
        <v>3632</v>
      </c>
      <c r="D1537" s="168"/>
      <c r="E1537" s="115" t="s">
        <v>3633</v>
      </c>
      <c r="F1537" s="115" t="s">
        <v>634</v>
      </c>
      <c r="G1537" s="303" t="s">
        <v>731</v>
      </c>
      <c r="H1537" s="101" t="s">
        <v>731</v>
      </c>
      <c r="I1537" s="303" t="s">
        <v>108</v>
      </c>
      <c r="J1537" s="1320" t="s">
        <v>53</v>
      </c>
      <c r="K1537" s="303" t="s">
        <v>54</v>
      </c>
      <c r="L1537" s="303" t="s">
        <v>55</v>
      </c>
      <c r="M1537" s="299">
        <v>225</v>
      </c>
      <c r="N1537" s="114"/>
      <c r="O1537" s="101" t="s">
        <v>56</v>
      </c>
      <c r="P1537" s="103">
        <v>30</v>
      </c>
      <c r="Q1537" s="103">
        <v>20</v>
      </c>
      <c r="R1537" s="101">
        <v>20</v>
      </c>
      <c r="S1537" s="116">
        <v>30</v>
      </c>
      <c r="T1537" s="103">
        <v>30</v>
      </c>
      <c r="U1537" s="103">
        <v>20</v>
      </c>
      <c r="V1537" s="106">
        <f>IF(J1537="Canvas",P1537+Border,P1537)</f>
        <v>38</v>
      </c>
      <c r="W1537" s="106">
        <f>IF(J1537="Canvas",Q1537+Border,Q1537)</f>
        <v>28</v>
      </c>
      <c r="X1537" s="137">
        <v>40</v>
      </c>
      <c r="Y1537" s="101">
        <v>41</v>
      </c>
      <c r="Z1537" s="101">
        <v>31</v>
      </c>
      <c r="AA1537" s="724">
        <f t="shared" si="547"/>
        <v>7.3888888888888893</v>
      </c>
      <c r="AB1537" s="184">
        <f t="shared" si="550"/>
        <v>155.46222222222224</v>
      </c>
      <c r="AC1537" s="406">
        <f t="shared" si="551"/>
        <v>4.8766666666666669</v>
      </c>
      <c r="AD1537" s="107">
        <f t="shared" si="552"/>
        <v>12.436977777777779</v>
      </c>
      <c r="AE1537" s="406">
        <f>IF(Table1[[#This Row],[Work Center]]="SwissQ",Materials!G$37,IF(Table1[[#This Row],[Work Center]]="Inca",Materials!G$29,IF(Table1[[#This Row],[Work Center]]="Canon",Materials!G$49,Materials!G$45)))</f>
        <v>8</v>
      </c>
      <c r="AF1537" s="102">
        <f>'Cali FPS'!C28</f>
        <v>62.93</v>
      </c>
      <c r="AG1537" s="115"/>
      <c r="AH1537" s="107">
        <f t="shared" si="549"/>
        <v>11.25</v>
      </c>
      <c r="AI1537" s="405">
        <f>IF(A1537="Codarus",(M1537*0.13))</f>
        <v>29.25</v>
      </c>
      <c r="AJ1537" s="104">
        <f>SUM(AC1537:AI1537)</f>
        <v>128.74364444444444</v>
      </c>
      <c r="AK1537" s="108">
        <f t="shared" si="548"/>
        <v>0.42780602469135803</v>
      </c>
      <c r="AL1537" s="660">
        <f>Table1[[#This Row],[WSP/Dealer]]/Table1[[#This Row],[OD Sq Inch]]</f>
        <v>0.375</v>
      </c>
      <c r="AM1537" s="399">
        <f>Table1[[#This Row],[OD Wdth]]*Table1[[#This Row],[OD Hgt]]</f>
        <v>600</v>
      </c>
      <c r="AN1537" s="400">
        <f>Table1[[#This Row],[Min VO]]+Table1[[#This Row],[Max VO]]</f>
        <v>50</v>
      </c>
      <c r="AO1537" s="113"/>
      <c r="AP1537" s="121">
        <v>450</v>
      </c>
      <c r="AQ1537" s="121">
        <f>(Table1[[#This Row],[Desgnr/Retail P]]*0.05)</f>
        <v>22.5</v>
      </c>
      <c r="AR1537" s="121">
        <f>IF(A1537="Codarus",(AP1537*0.13))</f>
        <v>58.5</v>
      </c>
      <c r="AS1537" s="121">
        <f>SUM(Table1[[#This Row],[Substrate $]:[GP FINISH]])+Table1[[#This Row],[Retail Royalty]]+Table1[[#This Row],[Retail$Comm]]</f>
        <v>169.24364444444444</v>
      </c>
      <c r="AT1537" s="830">
        <f>IF(AP1537=0,"-",(AP1537-AS1537)/AP1537)</f>
        <v>0.62390301234567902</v>
      </c>
      <c r="AU1537" s="1367">
        <f t="shared" si="525"/>
        <v>0.97227097722908096</v>
      </c>
    </row>
    <row r="1538" spans="1:47" s="173" customFormat="1" hidden="1" x14ac:dyDescent="0.2">
      <c r="A1538" s="101" t="s">
        <v>110</v>
      </c>
      <c r="B1538" s="1109" t="s">
        <v>3634</v>
      </c>
      <c r="C1538" s="100" t="s">
        <v>3635</v>
      </c>
      <c r="D1538" s="168"/>
      <c r="E1538" s="115" t="s">
        <v>3636</v>
      </c>
      <c r="F1538" s="115" t="s">
        <v>634</v>
      </c>
      <c r="G1538" s="101" t="s">
        <v>466</v>
      </c>
      <c r="H1538" s="101" t="s">
        <v>466</v>
      </c>
      <c r="I1538" s="101" t="s">
        <v>52</v>
      </c>
      <c r="J1538" s="487" t="s">
        <v>53</v>
      </c>
      <c r="K1538" s="101" t="s">
        <v>54</v>
      </c>
      <c r="L1538" s="92" t="s">
        <v>55</v>
      </c>
      <c r="M1538" s="299">
        <v>500</v>
      </c>
      <c r="N1538" s="114"/>
      <c r="O1538" s="101" t="s">
        <v>56</v>
      </c>
      <c r="P1538" s="101">
        <v>50</v>
      </c>
      <c r="Q1538" s="101">
        <v>38</v>
      </c>
      <c r="R1538" s="101">
        <v>38</v>
      </c>
      <c r="S1538" s="697">
        <v>50</v>
      </c>
      <c r="T1538" s="101">
        <v>50</v>
      </c>
      <c r="U1538" s="101">
        <v>38</v>
      </c>
      <c r="V1538" s="106">
        <f>IF(J1538="Canvas",P1538+Border,P1538)</f>
        <v>58</v>
      </c>
      <c r="W1538" s="106">
        <f>IF(J1538="Canvas",Q1538+Border,Q1538)</f>
        <v>46</v>
      </c>
      <c r="X1538" s="101">
        <v>59</v>
      </c>
      <c r="Y1538" s="101">
        <v>58</v>
      </c>
      <c r="Z1538" s="101">
        <v>46</v>
      </c>
      <c r="AA1538" s="649">
        <f t="shared" si="547"/>
        <v>18.527777777777779</v>
      </c>
      <c r="AB1538" s="184">
        <f t="shared" si="550"/>
        <v>389.82444444444445</v>
      </c>
      <c r="AC1538" s="104">
        <f t="shared" si="551"/>
        <v>12.228333333333335</v>
      </c>
      <c r="AD1538" s="107">
        <f t="shared" si="552"/>
        <v>31.185955555555559</v>
      </c>
      <c r="AE1538" s="104">
        <f>IF(Table1[[#This Row],[Work Center]]="SwissQ",Materials!G$37,IF(Table1[[#This Row],[Work Center]]="Inca",Materials!G$29,IF(Table1[[#This Row],[Work Center]]="Canon",Materials!G$49,Materials!G$45)))</f>
        <v>8</v>
      </c>
      <c r="AF1538" s="102">
        <f>'Cali FPS'!C79</f>
        <v>107.45</v>
      </c>
      <c r="AG1538" s="115"/>
      <c r="AH1538" s="104">
        <f t="shared" si="549"/>
        <v>25</v>
      </c>
      <c r="AI1538" s="406">
        <f>IF(A1538="Codarus",(M1538*0.13))</f>
        <v>65</v>
      </c>
      <c r="AJ1538" s="104">
        <f>SUM(AC1538:AH1538)</f>
        <v>183.86428888888889</v>
      </c>
      <c r="AK1538" s="830">
        <f t="shared" si="548"/>
        <v>0.63227142222222221</v>
      </c>
      <c r="AL1538" s="660">
        <f>Table1[[#This Row],[WSP/Dealer]]/Table1[[#This Row],[OD Sq Inch]]</f>
        <v>0.26315789473684209</v>
      </c>
      <c r="AM1538" s="103">
        <f>Table1[[#This Row],[OD Wdth]]*Table1[[#This Row],[OD Hgt]]</f>
        <v>1900</v>
      </c>
      <c r="AN1538" s="266">
        <f>Table1[[#This Row],[Min VO]]+Table1[[#This Row],[Max VO]]</f>
        <v>88</v>
      </c>
      <c r="AO1538" s="115"/>
      <c r="AP1538" s="121">
        <v>1000</v>
      </c>
      <c r="AQ1538" s="104">
        <f>(Table1[[#This Row],[Desgnr/Retail P]]*0.05)</f>
        <v>50</v>
      </c>
      <c r="AR1538" s="121">
        <f>IF(A1538="Codarus",(AP1538*0.13))</f>
        <v>130</v>
      </c>
      <c r="AS1538" s="121">
        <f>SUM(Table1[[#This Row],[Substrate $]:[GP FINISH]])+Table1[[#This Row],[Retail Royalty]]+Table1[[#This Row],[Retail$Comm]]</f>
        <v>338.86428888888889</v>
      </c>
      <c r="AT1538" s="830">
        <f>IF(AP1538=0,"-",(AP1538-AS1538)/AP1538)</f>
        <v>0.66113571111111102</v>
      </c>
      <c r="AU1538" s="1359">
        <f t="shared" si="525"/>
        <v>0.9867772857777779</v>
      </c>
    </row>
    <row r="1539" spans="1:47" s="173" customFormat="1" x14ac:dyDescent="0.2">
      <c r="A1539" s="60" t="s">
        <v>58</v>
      </c>
      <c r="B1539" s="1071" t="s">
        <v>305</v>
      </c>
      <c r="C1539" s="76" t="s">
        <v>3637</v>
      </c>
      <c r="D1539" s="79"/>
      <c r="E1539" s="83" t="s">
        <v>3638</v>
      </c>
      <c r="F1539" s="83" t="s">
        <v>1197</v>
      </c>
      <c r="G1539" s="60" t="s">
        <v>3248</v>
      </c>
      <c r="H1539" s="60" t="s">
        <v>3248</v>
      </c>
      <c r="I1539" s="60" t="s">
        <v>52</v>
      </c>
      <c r="J1539" s="59" t="s">
        <v>53</v>
      </c>
      <c r="K1539" s="60" t="s">
        <v>54</v>
      </c>
      <c r="L1539" s="92" t="s">
        <v>55</v>
      </c>
      <c r="M1539" s="124">
        <v>650</v>
      </c>
      <c r="N1539" s="124"/>
      <c r="O1539" s="60" t="s">
        <v>56</v>
      </c>
      <c r="P1539" s="273">
        <v>36</v>
      </c>
      <c r="Q1539" s="273">
        <v>60</v>
      </c>
      <c r="R1539" s="60">
        <v>36</v>
      </c>
      <c r="S1539" s="273">
        <v>60</v>
      </c>
      <c r="T1539" s="273">
        <v>36</v>
      </c>
      <c r="U1539" s="273">
        <v>60</v>
      </c>
      <c r="V1539" s="47">
        <f>IF(J1539="Canvas",P1539+BorderGW,P1539)</f>
        <v>44</v>
      </c>
      <c r="W1539" s="47">
        <f>IF(J1539="Canvas",Q1539+BorderGW,Q1539)</f>
        <v>68</v>
      </c>
      <c r="X1539" s="138">
        <v>69</v>
      </c>
      <c r="Y1539" s="947">
        <f>Table1[[#This Row],[Print Wth]]</f>
        <v>44</v>
      </c>
      <c r="Z1539" s="947">
        <f>Table1[[#This Row],[Print Ht]]</f>
        <v>68</v>
      </c>
      <c r="AA1539" s="717">
        <f t="shared" si="547"/>
        <v>20.777777777777779</v>
      </c>
      <c r="AB1539" s="125">
        <f t="shared" si="550"/>
        <v>437.16444444444443</v>
      </c>
      <c r="AC1539" s="69">
        <f t="shared" si="551"/>
        <v>13.713333333333335</v>
      </c>
      <c r="AD1539" s="48">
        <f t="shared" si="552"/>
        <v>34.973155555555557</v>
      </c>
      <c r="AE1539" s="69">
        <f>IF(Table1[[#This Row],[Work Center]]="SwissQ",Materials!G$37,IF(Table1[[#This Row],[Work Center]]="Inca",Materials!G$29,IF(Table1[[#This Row],[Work Center]]="Canon",Materials!G$49,Materials!G$45)))</f>
        <v>8</v>
      </c>
      <c r="AF1539" s="72">
        <f>'Cali FPS'!C75</f>
        <v>116.11</v>
      </c>
      <c r="AG1539" s="83"/>
      <c r="AH1539" s="175">
        <f t="shared" si="549"/>
        <v>32.5</v>
      </c>
      <c r="AI1539" s="448"/>
      <c r="AJ1539" s="69">
        <f t="shared" ref="AJ1539:AJ1545" si="553">SUM(AC1539:AI1539)</f>
        <v>205.29648888888889</v>
      </c>
      <c r="AK1539" s="62">
        <f t="shared" si="548"/>
        <v>0.68415924786324778</v>
      </c>
      <c r="AL1539" s="225">
        <f>Table1[[#This Row],[WSP/Dealer]]/Table1[[#This Row],[OD Sq Inch]]</f>
        <v>0.30092592592592593</v>
      </c>
      <c r="AM1539" s="173">
        <f>Table1[[#This Row],[OD Wdth]]*Table1[[#This Row],[OD Hgt]]</f>
        <v>2160</v>
      </c>
      <c r="AN1539" s="180">
        <f>Table1[[#This Row],[Min VO]]+Table1[[#This Row],[Max VO]]</f>
        <v>96</v>
      </c>
      <c r="AO1539" s="83"/>
      <c r="AP1539" s="83"/>
      <c r="AQ1539" s="540"/>
      <c r="AR1539" s="540"/>
      <c r="AS1539" s="1318"/>
      <c r="AT1539" s="1239"/>
      <c r="AU1539" s="1361" t="str">
        <f t="shared" si="525"/>
        <v>-</v>
      </c>
    </row>
    <row r="1540" spans="1:47" s="46" customFormat="1" x14ac:dyDescent="0.2">
      <c r="A1540" s="60" t="s">
        <v>58</v>
      </c>
      <c r="B1540" s="1071" t="s">
        <v>305</v>
      </c>
      <c r="C1540" s="76" t="s">
        <v>3639</v>
      </c>
      <c r="D1540" s="79"/>
      <c r="E1540" s="83" t="s">
        <v>3640</v>
      </c>
      <c r="F1540" s="83" t="s">
        <v>1197</v>
      </c>
      <c r="G1540" s="60" t="s">
        <v>3248</v>
      </c>
      <c r="H1540" s="60" t="s">
        <v>3248</v>
      </c>
      <c r="I1540" s="60" t="s">
        <v>52</v>
      </c>
      <c r="J1540" s="59" t="s">
        <v>53</v>
      </c>
      <c r="K1540" s="60" t="s">
        <v>54</v>
      </c>
      <c r="L1540" s="92" t="s">
        <v>55</v>
      </c>
      <c r="M1540" s="124">
        <v>650</v>
      </c>
      <c r="N1540" s="124"/>
      <c r="O1540" s="60" t="s">
        <v>56</v>
      </c>
      <c r="P1540" s="61">
        <v>36</v>
      </c>
      <c r="Q1540" s="61">
        <v>60</v>
      </c>
      <c r="R1540" s="60">
        <v>36</v>
      </c>
      <c r="S1540" s="61">
        <v>60</v>
      </c>
      <c r="T1540" s="273">
        <v>36</v>
      </c>
      <c r="U1540" s="273">
        <v>60</v>
      </c>
      <c r="V1540" s="47">
        <f>IF(J1540="Canvas",P1540+BorderGW,P1540)</f>
        <v>44</v>
      </c>
      <c r="W1540" s="47">
        <f>IF(J1540="Canvas",Q1540+BorderGW,Q1540)</f>
        <v>68</v>
      </c>
      <c r="X1540" s="138">
        <v>69</v>
      </c>
      <c r="Y1540" s="947">
        <f>Table1[[#This Row],[Print Wth]]</f>
        <v>44</v>
      </c>
      <c r="Z1540" s="947">
        <f>Table1[[#This Row],[Print Ht]]</f>
        <v>68</v>
      </c>
      <c r="AA1540" s="717">
        <f t="shared" si="547"/>
        <v>20.777777777777779</v>
      </c>
      <c r="AB1540" s="125">
        <f t="shared" si="550"/>
        <v>437.16444444444443</v>
      </c>
      <c r="AC1540" s="48">
        <f t="shared" si="551"/>
        <v>13.713333333333335</v>
      </c>
      <c r="AD1540" s="48">
        <f t="shared" si="552"/>
        <v>34.973155555555557</v>
      </c>
      <c r="AE1540" s="69">
        <f>IF(Table1[[#This Row],[Work Center]]="SwissQ",Materials!G$37,IF(Table1[[#This Row],[Work Center]]="Inca",Materials!G$29,IF(Table1[[#This Row],[Work Center]]="Canon",Materials!G$49,Materials!G$45)))</f>
        <v>8</v>
      </c>
      <c r="AF1540" s="72">
        <f>'Cali FPS'!C75</f>
        <v>116.11</v>
      </c>
      <c r="AG1540" s="83"/>
      <c r="AH1540" s="175">
        <f t="shared" si="549"/>
        <v>32.5</v>
      </c>
      <c r="AI1540" s="448"/>
      <c r="AJ1540" s="69">
        <f t="shared" si="553"/>
        <v>205.29648888888889</v>
      </c>
      <c r="AK1540" s="62">
        <f t="shared" si="548"/>
        <v>0.68415924786324778</v>
      </c>
      <c r="AL1540" s="225">
        <f>Table1[[#This Row],[WSP/Dealer]]/Table1[[#This Row],[OD Sq Inch]]</f>
        <v>0.30092592592592593</v>
      </c>
      <c r="AM1540" s="173">
        <f>Table1[[#This Row],[OD Wdth]]*Table1[[#This Row],[OD Hgt]]</f>
        <v>2160</v>
      </c>
      <c r="AN1540" s="180">
        <f>Table1[[#This Row],[Min VO]]+Table1[[#This Row],[Max VO]]</f>
        <v>96</v>
      </c>
      <c r="AO1540" s="95"/>
      <c r="AP1540" s="83"/>
      <c r="AQ1540" s="540"/>
      <c r="AR1540" s="540"/>
      <c r="AS1540" s="1318"/>
      <c r="AT1540" s="1239"/>
      <c r="AU1540" s="1355" t="str">
        <f t="shared" si="525"/>
        <v>-</v>
      </c>
    </row>
    <row r="1541" spans="1:47" s="46" customFormat="1" x14ac:dyDescent="0.2">
      <c r="A1541" s="60" t="s">
        <v>58</v>
      </c>
      <c r="B1541" s="1071" t="s">
        <v>305</v>
      </c>
      <c r="C1541" s="76" t="s">
        <v>3641</v>
      </c>
      <c r="D1541" s="79"/>
      <c r="E1541" s="83" t="s">
        <v>3642</v>
      </c>
      <c r="F1541" s="83" t="s">
        <v>1197</v>
      </c>
      <c r="G1541" s="60" t="s">
        <v>3248</v>
      </c>
      <c r="H1541" s="60" t="s">
        <v>3248</v>
      </c>
      <c r="I1541" s="60" t="s">
        <v>52</v>
      </c>
      <c r="J1541" s="59" t="s">
        <v>53</v>
      </c>
      <c r="K1541" s="60" t="s">
        <v>54</v>
      </c>
      <c r="L1541" s="92" t="s">
        <v>55</v>
      </c>
      <c r="M1541" s="124">
        <v>650</v>
      </c>
      <c r="N1541" s="124"/>
      <c r="O1541" s="60" t="s">
        <v>56</v>
      </c>
      <c r="P1541" s="273">
        <v>36</v>
      </c>
      <c r="Q1541" s="273">
        <v>60</v>
      </c>
      <c r="R1541" s="60">
        <v>36</v>
      </c>
      <c r="S1541" s="273">
        <v>60</v>
      </c>
      <c r="T1541" s="273">
        <v>36</v>
      </c>
      <c r="U1541" s="273">
        <v>60</v>
      </c>
      <c r="V1541" s="946">
        <f>IF(J1541="Canvas",P1541+BorderGW,P1541)</f>
        <v>44</v>
      </c>
      <c r="W1541" s="946">
        <f>IF(J1541="Canvas",Q1541+BorderGW,Q1541)</f>
        <v>68</v>
      </c>
      <c r="X1541" s="138">
        <v>69</v>
      </c>
      <c r="Y1541" s="947">
        <f>Table1[[#This Row],[Print Wth]]</f>
        <v>44</v>
      </c>
      <c r="Z1541" s="947">
        <f>Table1[[#This Row],[Print Ht]]</f>
        <v>68</v>
      </c>
      <c r="AA1541" s="717">
        <f t="shared" si="547"/>
        <v>20.777777777777779</v>
      </c>
      <c r="AB1541" s="125">
        <f t="shared" si="550"/>
        <v>437.16444444444443</v>
      </c>
      <c r="AC1541" s="69">
        <f t="shared" si="551"/>
        <v>13.713333333333335</v>
      </c>
      <c r="AD1541" s="69">
        <f t="shared" si="552"/>
        <v>34.973155555555557</v>
      </c>
      <c r="AE1541" s="69">
        <f>IF(Table1[[#This Row],[Work Center]]="SwissQ",Materials!G$37,IF(Table1[[#This Row],[Work Center]]="Inca",Materials!G$29,IF(Table1[[#This Row],[Work Center]]="Canon",Materials!G$49,Materials!G$45)))</f>
        <v>8</v>
      </c>
      <c r="AF1541" s="72">
        <f>'Cali FPS'!C75</f>
        <v>116.11</v>
      </c>
      <c r="AG1541" s="83"/>
      <c r="AH1541" s="175">
        <f t="shared" si="549"/>
        <v>32.5</v>
      </c>
      <c r="AI1541" s="448"/>
      <c r="AJ1541" s="69">
        <f t="shared" si="553"/>
        <v>205.29648888888889</v>
      </c>
      <c r="AK1541" s="62">
        <f t="shared" si="548"/>
        <v>0.68415924786324778</v>
      </c>
      <c r="AL1541" s="225">
        <f>Table1[[#This Row],[WSP/Dealer]]/Table1[[#This Row],[OD Sq Inch]]</f>
        <v>0.30092592592592593</v>
      </c>
      <c r="AM1541" s="180">
        <f>Table1[[#This Row],[OD Wdth]]*Table1[[#This Row],[OD Hgt]]</f>
        <v>2160</v>
      </c>
      <c r="AN1541" s="180">
        <f>Table1[[#This Row],[Min VO]]+Table1[[#This Row],[Max VO]]</f>
        <v>96</v>
      </c>
      <c r="AO1541" s="83"/>
      <c r="AP1541" s="83"/>
      <c r="AQ1541" s="540"/>
      <c r="AR1541" s="540"/>
      <c r="AS1541" s="1318"/>
      <c r="AT1541" s="1239"/>
      <c r="AU1541" s="1361" t="str">
        <f t="shared" si="525"/>
        <v>-</v>
      </c>
    </row>
    <row r="1542" spans="1:47" s="63" customFormat="1" x14ac:dyDescent="0.2">
      <c r="A1542" s="60" t="s">
        <v>58</v>
      </c>
      <c r="B1542" s="1071" t="s">
        <v>305</v>
      </c>
      <c r="C1542" s="76" t="s">
        <v>3643</v>
      </c>
      <c r="D1542" s="79"/>
      <c r="E1542" s="83" t="s">
        <v>3644</v>
      </c>
      <c r="F1542" s="83" t="s">
        <v>1197</v>
      </c>
      <c r="G1542" s="60" t="s">
        <v>3248</v>
      </c>
      <c r="H1542" s="60" t="s">
        <v>3248</v>
      </c>
      <c r="I1542" s="60" t="s">
        <v>52</v>
      </c>
      <c r="J1542" s="59" t="s">
        <v>53</v>
      </c>
      <c r="K1542" s="60" t="s">
        <v>54</v>
      </c>
      <c r="L1542" s="60" t="s">
        <v>55</v>
      </c>
      <c r="M1542" s="124">
        <v>650</v>
      </c>
      <c r="N1542" s="124"/>
      <c r="O1542" s="60" t="s">
        <v>56</v>
      </c>
      <c r="P1542" s="273">
        <v>36</v>
      </c>
      <c r="Q1542" s="273">
        <v>60</v>
      </c>
      <c r="R1542" s="60">
        <v>36</v>
      </c>
      <c r="S1542" s="273">
        <v>60</v>
      </c>
      <c r="T1542" s="273">
        <v>36</v>
      </c>
      <c r="U1542" s="273">
        <v>60</v>
      </c>
      <c r="V1542" s="946">
        <f>IF(J1542="Canvas",P1542+BorderGW,P1542)</f>
        <v>44</v>
      </c>
      <c r="W1542" s="946">
        <f>IF(J1542="Canvas",Q1542+BorderGW,Q1542)</f>
        <v>68</v>
      </c>
      <c r="X1542" s="138">
        <v>69</v>
      </c>
      <c r="Y1542" s="947">
        <f>Table1[[#This Row],[Print Wth]]</f>
        <v>44</v>
      </c>
      <c r="Z1542" s="947">
        <f>Table1[[#This Row],[Print Ht]]</f>
        <v>68</v>
      </c>
      <c r="AA1542" s="717">
        <f t="shared" si="547"/>
        <v>20.777777777777779</v>
      </c>
      <c r="AB1542" s="125">
        <f t="shared" si="550"/>
        <v>437.16444444444443</v>
      </c>
      <c r="AC1542" s="69">
        <f t="shared" si="551"/>
        <v>13.713333333333335</v>
      </c>
      <c r="AD1542" s="69">
        <f t="shared" si="552"/>
        <v>34.973155555555557</v>
      </c>
      <c r="AE1542" s="69">
        <f>IF(Table1[[#This Row],[Work Center]]="SwissQ",Materials!G$37,IF(Table1[[#This Row],[Work Center]]="Inca",Materials!G$29,IF(Table1[[#This Row],[Work Center]]="Canon",Materials!G$49,Materials!G$45)))</f>
        <v>8</v>
      </c>
      <c r="AF1542" s="72">
        <f>'Cali FPS'!C75</f>
        <v>116.11</v>
      </c>
      <c r="AG1542" s="83"/>
      <c r="AH1542" s="175">
        <f t="shared" si="549"/>
        <v>32.5</v>
      </c>
      <c r="AI1542" s="448"/>
      <c r="AJ1542" s="69">
        <f t="shared" si="553"/>
        <v>205.29648888888889</v>
      </c>
      <c r="AK1542" s="62">
        <f t="shared" si="548"/>
        <v>0.68415924786324778</v>
      </c>
      <c r="AL1542" s="225">
        <f>Table1[[#This Row],[WSP/Dealer]]/Table1[[#This Row],[OD Sq Inch]]</f>
        <v>0.30092592592592593</v>
      </c>
      <c r="AM1542" s="173">
        <f>Table1[[#This Row],[OD Wdth]]*Table1[[#This Row],[OD Hgt]]</f>
        <v>2160</v>
      </c>
      <c r="AN1542" s="180">
        <f>Table1[[#This Row],[Min VO]]+Table1[[#This Row],[Max VO]]</f>
        <v>96</v>
      </c>
      <c r="AO1542" s="83"/>
      <c r="AP1542" s="83"/>
      <c r="AQ1542" s="540"/>
      <c r="AR1542" s="540"/>
      <c r="AS1542" s="1318"/>
      <c r="AT1542" s="1239"/>
      <c r="AU1542" s="1361" t="str">
        <f t="shared" ref="AU1542:AU1605" si="554">IF(AQ1542=0,"-",(AQ1542-AT1542)/AQ1542)</f>
        <v>-</v>
      </c>
    </row>
    <row r="1543" spans="1:47" s="63" customFormat="1" x14ac:dyDescent="0.2">
      <c r="A1543" s="60" t="s">
        <v>58</v>
      </c>
      <c r="B1543" s="1071" t="s">
        <v>1190</v>
      </c>
      <c r="C1543" s="76" t="s">
        <v>3645</v>
      </c>
      <c r="D1543" s="79"/>
      <c r="E1543" s="83" t="s">
        <v>3646</v>
      </c>
      <c r="F1543" s="83" t="s">
        <v>144</v>
      </c>
      <c r="G1543" s="60" t="s">
        <v>1493</v>
      </c>
      <c r="H1543" s="60" t="s">
        <v>1493</v>
      </c>
      <c r="I1543" s="60" t="s">
        <v>52</v>
      </c>
      <c r="J1543" s="59" t="s">
        <v>53</v>
      </c>
      <c r="K1543" s="60" t="s">
        <v>54</v>
      </c>
      <c r="L1543" s="60" t="s">
        <v>55</v>
      </c>
      <c r="M1543" s="179">
        <v>1200</v>
      </c>
      <c r="N1543" s="124"/>
      <c r="O1543" s="60" t="s">
        <v>56</v>
      </c>
      <c r="P1543" s="60">
        <v>70</v>
      </c>
      <c r="Q1543" s="60">
        <v>56</v>
      </c>
      <c r="R1543" s="60">
        <v>56</v>
      </c>
      <c r="S1543" s="273">
        <v>70</v>
      </c>
      <c r="T1543" s="60">
        <v>70</v>
      </c>
      <c r="U1543" s="60">
        <v>56</v>
      </c>
      <c r="V1543" s="946">
        <f t="shared" ref="V1543:V1549" si="555">IF(J1543="Canvas",P1543+Border,P1543)</f>
        <v>78</v>
      </c>
      <c r="W1543" s="946">
        <f t="shared" ref="W1543:W1549" si="556">IF(J1543="Canvas",Q1543+Border,Q1543)</f>
        <v>64</v>
      </c>
      <c r="X1543" s="60">
        <v>82</v>
      </c>
      <c r="Y1543" s="60">
        <v>78</v>
      </c>
      <c r="Z1543" s="60">
        <v>64</v>
      </c>
      <c r="AA1543" s="717">
        <f t="shared" si="547"/>
        <v>34.666666666666664</v>
      </c>
      <c r="AB1543" s="125">
        <f t="shared" si="550"/>
        <v>729.38666666666654</v>
      </c>
      <c r="AC1543" s="69">
        <f t="shared" si="551"/>
        <v>22.88</v>
      </c>
      <c r="AD1543" s="296">
        <f>Table1[[#This Row],[Substrate SF]]*IncaC</f>
        <v>58.35093333333333</v>
      </c>
      <c r="AE1543" s="176">
        <f>IF(Table1[[#This Row],[Work Center]]="SwissQ",Materials!G$37,IF(Table1[[#This Row],[Work Center]]="Inca",Materials!G$29,IF(Table1[[#This Row],[Work Center]]="Canon",Materials!G$49,Materials!G$45)))</f>
        <v>8</v>
      </c>
      <c r="AF1543" s="72">
        <f>'Cali FPS'!C149</f>
        <v>231.14000000000001</v>
      </c>
      <c r="AG1543" s="83"/>
      <c r="AH1543" s="175">
        <f t="shared" si="549"/>
        <v>60</v>
      </c>
      <c r="AI1543" s="448"/>
      <c r="AJ1543" s="69">
        <f t="shared" si="553"/>
        <v>380.37093333333337</v>
      </c>
      <c r="AK1543" s="62">
        <f t="shared" si="548"/>
        <v>0.68302422222222214</v>
      </c>
      <c r="AL1543" s="225">
        <f>Table1[[#This Row],[WSP/Dealer]]/Table1[[#This Row],[OD Sq Inch]]</f>
        <v>0.30612244897959184</v>
      </c>
      <c r="AM1543" s="173">
        <f>Table1[[#This Row],[OD Wdth]]*Table1[[#This Row],[OD Hgt]]</f>
        <v>3920</v>
      </c>
      <c r="AN1543" s="180">
        <f>Table1[[#This Row],[Min VO]]+Table1[[#This Row],[Max VO]]</f>
        <v>126</v>
      </c>
      <c r="AO1543" s="83"/>
      <c r="AP1543" s="83"/>
      <c r="AQ1543" s="540"/>
      <c r="AR1543" s="540"/>
      <c r="AS1543" s="1318"/>
      <c r="AT1543" s="1239"/>
      <c r="AU1543" s="1361" t="str">
        <f t="shared" si="554"/>
        <v>-</v>
      </c>
    </row>
    <row r="1544" spans="1:47" s="63" customFormat="1" x14ac:dyDescent="0.2">
      <c r="A1544" s="68" t="s">
        <v>58</v>
      </c>
      <c r="B1544" s="1152" t="s">
        <v>310</v>
      </c>
      <c r="C1544" s="78" t="s">
        <v>3647</v>
      </c>
      <c r="D1544" s="94"/>
      <c r="E1544" s="84" t="s">
        <v>3646</v>
      </c>
      <c r="F1544" s="84" t="s">
        <v>144</v>
      </c>
      <c r="G1544" s="68" t="s">
        <v>1493</v>
      </c>
      <c r="H1544" s="68" t="s">
        <v>2206</v>
      </c>
      <c r="I1544" s="68" t="s">
        <v>52</v>
      </c>
      <c r="J1544" s="140" t="s">
        <v>53</v>
      </c>
      <c r="K1544" s="68" t="s">
        <v>82</v>
      </c>
      <c r="L1544" s="68" t="s">
        <v>298</v>
      </c>
      <c r="M1544" s="93">
        <v>1400</v>
      </c>
      <c r="N1544" s="93"/>
      <c r="O1544" s="68" t="s">
        <v>56</v>
      </c>
      <c r="P1544" s="68">
        <v>70</v>
      </c>
      <c r="Q1544" s="68">
        <v>56</v>
      </c>
      <c r="R1544" s="68">
        <v>56</v>
      </c>
      <c r="S1544" s="623">
        <v>70</v>
      </c>
      <c r="T1544" s="68">
        <v>72</v>
      </c>
      <c r="U1544" s="68">
        <v>58</v>
      </c>
      <c r="V1544" s="917">
        <f t="shared" si="555"/>
        <v>78</v>
      </c>
      <c r="W1544" s="917">
        <f t="shared" si="556"/>
        <v>64</v>
      </c>
      <c r="X1544" s="68">
        <v>82</v>
      </c>
      <c r="Y1544" s="68">
        <v>78</v>
      </c>
      <c r="Z1544" s="68">
        <v>64</v>
      </c>
      <c r="AA1544" s="699">
        <f t="shared" si="547"/>
        <v>34.666666666666664</v>
      </c>
      <c r="AB1544" s="297">
        <f t="shared" si="550"/>
        <v>729.38666666666654</v>
      </c>
      <c r="AC1544" s="74">
        <f t="shared" si="551"/>
        <v>22.88</v>
      </c>
      <c r="AD1544" s="320">
        <f>Table1[[#This Row],[Substrate SF]]*IncaC</f>
        <v>58.35093333333333</v>
      </c>
      <c r="AE1544" s="278">
        <f>IF(Table1[[#This Row],[Work Center]]="SwissQ",Materials!G$37,IF(Table1[[#This Row],[Work Center]]="Inca",Materials!G$29,IF(Table1[[#This Row],[Work Center]]="Canon",Materials!G$49,Materials!G$45)))</f>
        <v>8</v>
      </c>
      <c r="AF1544" s="73">
        <f>'Cali Frames'!D241</f>
        <v>329</v>
      </c>
      <c r="AG1544" s="84"/>
      <c r="AH1544" s="278">
        <f t="shared" si="549"/>
        <v>70</v>
      </c>
      <c r="AI1544" s="126"/>
      <c r="AJ1544" s="74">
        <f t="shared" si="553"/>
        <v>488.23093333333333</v>
      </c>
      <c r="AK1544" s="1001">
        <f t="shared" si="548"/>
        <v>0.65126361904761909</v>
      </c>
      <c r="AL1544" s="240">
        <f>Table1[[#This Row],[WSP/Dealer]]/Table1[[#This Row],[OD Sq Inch]]</f>
        <v>0.33524904214559387</v>
      </c>
      <c r="AM1544" s="170">
        <f>Table1[[#This Row],[OD Wdth]]*Table1[[#This Row],[OD Hgt]]</f>
        <v>4176</v>
      </c>
      <c r="AN1544" s="274">
        <f>Table1[[#This Row],[Min VO]]+Table1[[#This Row],[Max VO]]</f>
        <v>126</v>
      </c>
      <c r="AO1544" s="84"/>
      <c r="AP1544" s="84"/>
      <c r="AQ1544" s="126">
        <f>(Table1[[#This Row],[Desgnr/Retail P]]*0.05)</f>
        <v>0</v>
      </c>
      <c r="AR1544" s="126" t="b">
        <f>IF(A1544="Codarus",(AP1544*0.13))</f>
        <v>0</v>
      </c>
      <c r="AS1544" s="1158" t="e" cm="1">
        <f t="array" ref="AS1544">SUM(AC1544:AG1544+AQ+AR)</f>
        <v>#NAME?</v>
      </c>
      <c r="AT1544" s="1187" t="e">
        <f>(AP1544-AS1544)/AP1544</f>
        <v>#NAME?</v>
      </c>
      <c r="AU1544" s="1357" t="str">
        <f t="shared" si="554"/>
        <v>-</v>
      </c>
    </row>
    <row r="1545" spans="1:47" s="63" customFormat="1" x14ac:dyDescent="0.2">
      <c r="A1545" s="68" t="s">
        <v>58</v>
      </c>
      <c r="B1545" s="1152" t="s">
        <v>310</v>
      </c>
      <c r="C1545" s="78" t="s">
        <v>3648</v>
      </c>
      <c r="D1545" s="94"/>
      <c r="E1545" s="84" t="s">
        <v>3646</v>
      </c>
      <c r="F1545" s="84" t="s">
        <v>144</v>
      </c>
      <c r="G1545" s="68" t="s">
        <v>1493</v>
      </c>
      <c r="H1545" s="68" t="s">
        <v>2206</v>
      </c>
      <c r="I1545" s="68" t="s">
        <v>52</v>
      </c>
      <c r="J1545" s="140" t="s">
        <v>53</v>
      </c>
      <c r="K1545" s="68" t="s">
        <v>82</v>
      </c>
      <c r="L1545" s="68" t="s">
        <v>83</v>
      </c>
      <c r="M1545" s="93">
        <v>1400</v>
      </c>
      <c r="N1545" s="93"/>
      <c r="O1545" s="68" t="s">
        <v>56</v>
      </c>
      <c r="P1545" s="68">
        <v>70</v>
      </c>
      <c r="Q1545" s="68">
        <v>56</v>
      </c>
      <c r="R1545" s="68">
        <v>56</v>
      </c>
      <c r="S1545" s="623">
        <v>70</v>
      </c>
      <c r="T1545" s="68">
        <v>72</v>
      </c>
      <c r="U1545" s="68">
        <v>58</v>
      </c>
      <c r="V1545" s="917">
        <f t="shared" si="555"/>
        <v>78</v>
      </c>
      <c r="W1545" s="917">
        <f t="shared" si="556"/>
        <v>64</v>
      </c>
      <c r="X1545" s="68">
        <v>82</v>
      </c>
      <c r="Y1545" s="68">
        <v>78</v>
      </c>
      <c r="Z1545" s="68">
        <v>64</v>
      </c>
      <c r="AA1545" s="699">
        <f t="shared" si="547"/>
        <v>34.666666666666664</v>
      </c>
      <c r="AB1545" s="297">
        <f t="shared" si="550"/>
        <v>729.38666666666654</v>
      </c>
      <c r="AC1545" s="74">
        <f t="shared" si="551"/>
        <v>22.88</v>
      </c>
      <c r="AD1545" s="320">
        <f>Table1[[#This Row],[Substrate SF]]*IncaC</f>
        <v>58.35093333333333</v>
      </c>
      <c r="AE1545" s="278">
        <f>IF(Table1[[#This Row],[Work Center]]="SwissQ",Materials!G$37,IF(Table1[[#This Row],[Work Center]]="Inca",Materials!G$29,IF(Table1[[#This Row],[Work Center]]="Canon",Materials!G$49,Materials!G$45)))</f>
        <v>8</v>
      </c>
      <c r="AF1545" s="73">
        <f>'Cali Frames'!D165</f>
        <v>350</v>
      </c>
      <c r="AG1545" s="84"/>
      <c r="AH1545" s="278">
        <f t="shared" si="549"/>
        <v>70</v>
      </c>
      <c r="AI1545" s="126"/>
      <c r="AJ1545" s="74">
        <f t="shared" si="553"/>
        <v>509.23093333333333</v>
      </c>
      <c r="AK1545" s="1001">
        <f t="shared" si="548"/>
        <v>0.63626361904761908</v>
      </c>
      <c r="AL1545" s="240">
        <f>Table1[[#This Row],[WSP/Dealer]]/Table1[[#This Row],[OD Sq Inch]]</f>
        <v>0.33524904214559387</v>
      </c>
      <c r="AM1545" s="170">
        <f>Table1[[#This Row],[OD Wdth]]*Table1[[#This Row],[OD Hgt]]</f>
        <v>4176</v>
      </c>
      <c r="AN1545" s="274">
        <f>Table1[[#This Row],[Min VO]]+Table1[[#This Row],[Max VO]]</f>
        <v>126</v>
      </c>
      <c r="AO1545" s="84"/>
      <c r="AP1545" s="84"/>
      <c r="AQ1545" s="126">
        <f>(Table1[[#This Row],[Desgnr/Retail P]]*0.05)</f>
        <v>0</v>
      </c>
      <c r="AR1545" s="126" t="b">
        <f>IF(A1545="Codarus",(AP1545*0.13))</f>
        <v>0</v>
      </c>
      <c r="AS1545" s="1158" t="e" cm="1">
        <f t="array" ref="AS1545">SUM(AC1545:AG1545+AQ+AR)</f>
        <v>#NAME?</v>
      </c>
      <c r="AT1545" s="1187" t="e">
        <f>(AP1545-AS1545)/AP1545</f>
        <v>#NAME?</v>
      </c>
      <c r="AU1545" s="1357" t="str">
        <f t="shared" si="554"/>
        <v>-</v>
      </c>
    </row>
    <row r="1546" spans="1:47" s="103" customFormat="1" hidden="1" x14ac:dyDescent="0.2">
      <c r="A1546" s="101" t="s">
        <v>101</v>
      </c>
      <c r="B1546" s="1064" t="s">
        <v>102</v>
      </c>
      <c r="C1546" s="100" t="s">
        <v>3649</v>
      </c>
      <c r="D1546" s="168"/>
      <c r="E1546" s="115" t="s">
        <v>3650</v>
      </c>
      <c r="F1546" s="115" t="s">
        <v>105</v>
      </c>
      <c r="G1546" s="101" t="s">
        <v>3651</v>
      </c>
      <c r="H1546" s="101" t="s">
        <v>3652</v>
      </c>
      <c r="I1546" s="101" t="s">
        <v>108</v>
      </c>
      <c r="J1546" s="487" t="s">
        <v>53</v>
      </c>
      <c r="K1546" s="101" t="s">
        <v>69</v>
      </c>
      <c r="L1546" s="101" t="s">
        <v>315</v>
      </c>
      <c r="M1546" s="141">
        <v>206</v>
      </c>
      <c r="N1546" s="114"/>
      <c r="O1546" s="101" t="s">
        <v>109</v>
      </c>
      <c r="P1546" s="101">
        <v>24</v>
      </c>
      <c r="Q1546" s="101">
        <v>16</v>
      </c>
      <c r="R1546" s="101">
        <v>16</v>
      </c>
      <c r="S1546" s="697">
        <v>24</v>
      </c>
      <c r="T1546" s="101">
        <v>25</v>
      </c>
      <c r="U1546" s="101">
        <v>17</v>
      </c>
      <c r="V1546" s="608">
        <f t="shared" si="555"/>
        <v>32</v>
      </c>
      <c r="W1546" s="608">
        <f t="shared" si="556"/>
        <v>24</v>
      </c>
      <c r="X1546" s="101">
        <v>40</v>
      </c>
      <c r="Y1546" s="686">
        <f>Table1[[#This Row],[Print Wth]]</f>
        <v>32</v>
      </c>
      <c r="Z1546" s="686">
        <f>Table1[[#This Row],[Print Ht]]</f>
        <v>24</v>
      </c>
      <c r="AA1546" s="1027">
        <f>Table1[[#This Row],[Cut Width]]*Table1[[#This Row],[Cut Height]]/144</f>
        <v>5.333333333333333</v>
      </c>
      <c r="AB1546" s="1130">
        <f>Table1[[#This Row],[Print Wth]]*Table1[[#This Row],[Print Ht]]/144*EPSONM</f>
        <v>24</v>
      </c>
      <c r="AC1546" s="278">
        <f>Table1[[#This Row],[Substrate SF]]*Canvas</f>
        <v>3.52</v>
      </c>
      <c r="AD1546" s="278">
        <f>Table1[[#This Row],[Ink g/mL]]*EPSONC</f>
        <v>5.28</v>
      </c>
      <c r="AE1546" s="104">
        <f>IF(Table1[[#This Row],[Work Center]]="SwissQ",Materials!G$37,IF(Table1[[#This Row],[Work Center]]="Inca",Materials!G$29,IF(Table1[[#This Row],[Work Center]]="Canon",Materials!G$49,Materials!G$45)))</f>
        <v>5</v>
      </c>
      <c r="AF1546" s="102">
        <f>'Cali Frames'!D506</f>
        <v>88.78</v>
      </c>
      <c r="AG1546" s="115"/>
      <c r="AH1546" s="406">
        <v>0</v>
      </c>
      <c r="AI1546" s="406"/>
      <c r="AJ1546" s="406">
        <f>SUM(AC1546:AH1546)</f>
        <v>102.58</v>
      </c>
      <c r="AK1546" s="1065">
        <f t="shared" si="548"/>
        <v>0.50203883495145629</v>
      </c>
      <c r="AL1546" s="406">
        <f>Table1[[#This Row],[WSP/Dealer]]/Table1[[#This Row],[OD Sq Inch]]</f>
        <v>0.48470588235294115</v>
      </c>
      <c r="AM1546" s="399">
        <f>Table1[[#This Row],[OD Wdth]]*Table1[[#This Row],[OD Hgt]]</f>
        <v>425</v>
      </c>
      <c r="AN1546" s="400">
        <f>Table1[[#This Row],[Min VO]]+Table1[[#This Row],[Max VO]]</f>
        <v>40</v>
      </c>
      <c r="AO1546" s="115"/>
      <c r="AP1546" s="115"/>
      <c r="AQ1546" s="121"/>
      <c r="AR1546" s="121"/>
      <c r="AS1546" s="1144"/>
      <c r="AT1546" s="1193"/>
      <c r="AU1546" s="1359" t="str">
        <f t="shared" si="554"/>
        <v>-</v>
      </c>
    </row>
    <row r="1547" spans="1:47" s="103" customFormat="1" hidden="1" x14ac:dyDescent="0.2">
      <c r="A1547" s="101" t="s">
        <v>996</v>
      </c>
      <c r="B1547" s="1322" t="s">
        <v>96</v>
      </c>
      <c r="C1547" s="100" t="s">
        <v>3653</v>
      </c>
      <c r="D1547" s="168"/>
      <c r="E1547" s="115" t="s">
        <v>3654</v>
      </c>
      <c r="F1547" s="115" t="s">
        <v>634</v>
      </c>
      <c r="G1547" s="101" t="s">
        <v>2353</v>
      </c>
      <c r="H1547" s="101" t="s">
        <v>2354</v>
      </c>
      <c r="I1547" s="101" t="s">
        <v>108</v>
      </c>
      <c r="J1547" s="487" t="s">
        <v>53</v>
      </c>
      <c r="K1547" s="101" t="s">
        <v>69</v>
      </c>
      <c r="L1547" s="101" t="s">
        <v>73</v>
      </c>
      <c r="M1547" s="299">
        <v>300</v>
      </c>
      <c r="N1547" s="102"/>
      <c r="O1547" s="485" t="s">
        <v>109</v>
      </c>
      <c r="P1547" s="101">
        <v>16</v>
      </c>
      <c r="Q1547" s="101">
        <v>12</v>
      </c>
      <c r="R1547" s="101">
        <v>12</v>
      </c>
      <c r="S1547" s="697">
        <v>16</v>
      </c>
      <c r="T1547" s="101">
        <v>17</v>
      </c>
      <c r="U1547" s="101">
        <v>13</v>
      </c>
      <c r="V1547" s="608">
        <f t="shared" si="555"/>
        <v>24</v>
      </c>
      <c r="W1547" s="608">
        <f t="shared" si="556"/>
        <v>20</v>
      </c>
      <c r="X1547" s="1010" t="s">
        <v>3655</v>
      </c>
      <c r="Y1547" s="101">
        <v>24</v>
      </c>
      <c r="Z1547" s="101">
        <v>20</v>
      </c>
      <c r="AA1547" s="724">
        <f>V1547*W1547/144</f>
        <v>3.3333333333333335</v>
      </c>
      <c r="AB1547" s="633">
        <f>AA1547*EPSONM</f>
        <v>15</v>
      </c>
      <c r="AC1547" s="406">
        <f>AA1547*Canvas</f>
        <v>2.2000000000000002</v>
      </c>
      <c r="AD1547" s="406">
        <f>Table1[[#This Row],[Ink g/mL]]*EPSONC</f>
        <v>3.3</v>
      </c>
      <c r="AE1547" s="406">
        <f>IF(Table1[[#This Row],[Work Center]]="SwissQ",Materials!G$37,IF(Table1[[#This Row],[Work Center]]="Inca",Materials!G$29,IF(Table1[[#This Row],[Work Center]]="Canon",Materials!G$49,Materials!G$45)))</f>
        <v>5</v>
      </c>
      <c r="AF1547" s="102">
        <f>'Cali Frames'!D412</f>
        <v>75.634999999999991</v>
      </c>
      <c r="AG1547" s="115"/>
      <c r="AH1547" s="104">
        <f>(M1547*0.05)</f>
        <v>15</v>
      </c>
      <c r="AI1547" s="104"/>
      <c r="AJ1547" s="104">
        <f>SUM(AC1547:AH1547)</f>
        <v>101.13499999999999</v>
      </c>
      <c r="AK1547" s="830">
        <f t="shared" si="548"/>
        <v>0.66288333333333338</v>
      </c>
      <c r="AL1547" s="660">
        <f>Table1[[#This Row],[WSP/Dealer]]/Table1[[#This Row],[OD Sq Inch]]</f>
        <v>1.3574660633484164</v>
      </c>
      <c r="AM1547" s="229">
        <f>Table1[[#This Row],[OD Wdth]]*Table1[[#This Row],[OD Hgt]]</f>
        <v>221</v>
      </c>
      <c r="AN1547" s="266">
        <f>Table1[[#This Row],[Min VO]]+Table1[[#This Row],[Max VO]]</f>
        <v>28</v>
      </c>
      <c r="AO1547" s="115"/>
      <c r="AP1547" s="1383"/>
      <c r="AQ1547" s="121"/>
      <c r="AR1547" s="121"/>
      <c r="AS1547" s="121"/>
      <c r="AT1547" s="104"/>
      <c r="AU1547" s="1359" t="str">
        <f t="shared" si="554"/>
        <v>-</v>
      </c>
    </row>
    <row r="1548" spans="1:47" s="103" customFormat="1" hidden="1" x14ac:dyDescent="0.2">
      <c r="A1548" s="101" t="s">
        <v>110</v>
      </c>
      <c r="B1548" s="1062" t="s">
        <v>134</v>
      </c>
      <c r="C1548" s="100" t="s">
        <v>3635</v>
      </c>
      <c r="D1548" s="168"/>
      <c r="E1548" s="115" t="s">
        <v>3654</v>
      </c>
      <c r="F1548" s="115" t="s">
        <v>634</v>
      </c>
      <c r="G1548" s="101" t="s">
        <v>2353</v>
      </c>
      <c r="H1548" s="101" t="s">
        <v>2353</v>
      </c>
      <c r="I1548" s="101" t="s">
        <v>108</v>
      </c>
      <c r="J1548" s="487" t="s">
        <v>53</v>
      </c>
      <c r="K1548" s="101" t="s">
        <v>54</v>
      </c>
      <c r="L1548" s="101" t="s">
        <v>55</v>
      </c>
      <c r="M1548" s="299">
        <v>200</v>
      </c>
      <c r="N1548" s="114"/>
      <c r="O1548" s="101" t="s">
        <v>56</v>
      </c>
      <c r="P1548" s="101">
        <v>16</v>
      </c>
      <c r="Q1548" s="101">
        <v>12</v>
      </c>
      <c r="R1548" s="101">
        <v>12</v>
      </c>
      <c r="S1548" s="697">
        <v>16</v>
      </c>
      <c r="T1548" s="101">
        <v>16</v>
      </c>
      <c r="U1548" s="101">
        <v>12</v>
      </c>
      <c r="V1548" s="608">
        <f t="shared" si="555"/>
        <v>24</v>
      </c>
      <c r="W1548" s="608">
        <f t="shared" si="556"/>
        <v>20</v>
      </c>
      <c r="X1548" s="137">
        <v>40</v>
      </c>
      <c r="Y1548" s="101">
        <v>24</v>
      </c>
      <c r="Z1548" s="101">
        <v>20</v>
      </c>
      <c r="AA1548" s="649">
        <f>V1548*W1548/144</f>
        <v>3.3333333333333335</v>
      </c>
      <c r="AB1548" s="184">
        <f>AA1548*IncaG</f>
        <v>70.13333333333334</v>
      </c>
      <c r="AC1548" s="104">
        <f>AA1548*Canvas</f>
        <v>2.2000000000000002</v>
      </c>
      <c r="AD1548" s="1000">
        <f>Table1[[#This Row],[Substrate SF]]*IncaCR</f>
        <v>0.26666666666666666</v>
      </c>
      <c r="AE1548" s="406">
        <f>IF(Table1[[#This Row],[Work Center]]="SwissQ",Materials!G$37,IF(Table1[[#This Row],[Work Center]]="Inca",Materials!G$29,IF(Table1[[#This Row],[Work Center]]="Canon",Materials!G$49,Materials!G$45)))</f>
        <v>8</v>
      </c>
      <c r="AF1548" s="102">
        <f>'Cali FPS'!C12</f>
        <v>59</v>
      </c>
      <c r="AG1548" s="115"/>
      <c r="AH1548" s="406">
        <f>(M1548*0.05)</f>
        <v>10</v>
      </c>
      <c r="AI1548" s="406">
        <f>IF(A1548="Codarus",(M1548*0.13))</f>
        <v>26</v>
      </c>
      <c r="AJ1548" s="104">
        <f>SUM(AC1548:AI1548)</f>
        <v>105.46666666666667</v>
      </c>
      <c r="AK1548" s="830">
        <f t="shared" si="548"/>
        <v>0.47266666666666668</v>
      </c>
      <c r="AL1548" s="660">
        <f>Table1[[#This Row],[WSP/Dealer]]/Table1[[#This Row],[OD Sq Inch]]</f>
        <v>1.0416666666666667</v>
      </c>
      <c r="AM1548" s="399">
        <f>Table1[[#This Row],[OD Wdth]]*Table1[[#This Row],[OD Hgt]]</f>
        <v>192</v>
      </c>
      <c r="AN1548" s="400">
        <f>Table1[[#This Row],[Min VO]]+Table1[[#This Row],[Max VO]]</f>
        <v>28</v>
      </c>
      <c r="AO1548" s="115"/>
      <c r="AP1548" s="1383">
        <v>400</v>
      </c>
      <c r="AQ1548" s="121">
        <f>(Table1[[#This Row],[Desgnr/Retail P]]*0.05)</f>
        <v>20</v>
      </c>
      <c r="AR1548" s="121">
        <f>IF(A1548="Codarus",(AP1548*0.13))</f>
        <v>52</v>
      </c>
      <c r="AS1548" s="121">
        <f>SUM(Table1[[#This Row],[Substrate $]:[GP FINISH]])+Table1[[#This Row],[Retail Royalty]]+Table1[[#This Row],[Retail$Comm]]</f>
        <v>141.46666666666667</v>
      </c>
      <c r="AT1548" s="830">
        <f>IF(AP1548=0,"-",(AP1548-AS1548)/AP1548)</f>
        <v>0.6463333333333332</v>
      </c>
      <c r="AU1548" s="1359">
        <f t="shared" si="554"/>
        <v>0.96768333333333323</v>
      </c>
    </row>
    <row r="1549" spans="1:47" s="63" customFormat="1" hidden="1" x14ac:dyDescent="0.2">
      <c r="A1549" s="68" t="s">
        <v>101</v>
      </c>
      <c r="B1549" s="1072" t="s">
        <v>102</v>
      </c>
      <c r="C1549" s="78" t="s">
        <v>3656</v>
      </c>
      <c r="D1549" s="94"/>
      <c r="E1549" s="84" t="s">
        <v>3657</v>
      </c>
      <c r="F1549" s="84" t="s">
        <v>105</v>
      </c>
      <c r="G1549" s="68" t="s">
        <v>810</v>
      </c>
      <c r="H1549" s="68" t="s">
        <v>810</v>
      </c>
      <c r="I1549" s="68" t="s">
        <v>108</v>
      </c>
      <c r="J1549" s="140" t="s">
        <v>53</v>
      </c>
      <c r="K1549" s="68" t="s">
        <v>119</v>
      </c>
      <c r="L1549" s="68" t="s">
        <v>120</v>
      </c>
      <c r="M1549" s="141">
        <v>188</v>
      </c>
      <c r="N1549" s="93"/>
      <c r="O1549" s="68" t="s">
        <v>109</v>
      </c>
      <c r="P1549" s="68">
        <v>22</v>
      </c>
      <c r="Q1549" s="68">
        <v>18</v>
      </c>
      <c r="R1549" s="68">
        <v>18</v>
      </c>
      <c r="S1549" s="623">
        <v>22</v>
      </c>
      <c r="T1549" s="68">
        <v>22</v>
      </c>
      <c r="U1549" s="68">
        <v>18</v>
      </c>
      <c r="V1549" s="917">
        <f t="shared" si="555"/>
        <v>30</v>
      </c>
      <c r="W1549" s="917">
        <f t="shared" si="556"/>
        <v>26</v>
      </c>
      <c r="X1549" s="68">
        <v>40</v>
      </c>
      <c r="Y1549" s="686">
        <f>Table1[[#This Row],[Print Wth]]</f>
        <v>30</v>
      </c>
      <c r="Z1549" s="686">
        <f>Table1[[#This Row],[Print Ht]]</f>
        <v>26</v>
      </c>
      <c r="AA1549" s="1027">
        <f>Table1[[#This Row],[Cut Width]]*Table1[[#This Row],[Cut Height]]/144</f>
        <v>5.416666666666667</v>
      </c>
      <c r="AB1549" s="1130">
        <f>Table1[[#This Row],[Print Wth]]*Table1[[#This Row],[Print Ht]]/144*EPSONM</f>
        <v>24.375</v>
      </c>
      <c r="AC1549" s="278">
        <f>Table1[[#This Row],[Substrate SF]]*Canvas</f>
        <v>3.5750000000000002</v>
      </c>
      <c r="AD1549" s="278">
        <f>Table1[[#This Row],[Ink g/mL]]*EPSONC</f>
        <v>5.3624999999999998</v>
      </c>
      <c r="AE1549" s="74">
        <f>IF(Table1[[#This Row],[Work Center]]="SwissQ",Materials!G$37,IF(Table1[[#This Row],[Work Center]]="Inca",Materials!G$29,IF(Table1[[#This Row],[Work Center]]="Canon",Materials!G$49,Materials!G$45)))</f>
        <v>5</v>
      </c>
      <c r="AF1549" s="73">
        <f>'Cali FPS'!C188</f>
        <v>79.75</v>
      </c>
      <c r="AG1549" s="84"/>
      <c r="AH1549" s="67">
        <v>0</v>
      </c>
      <c r="AI1549" s="67"/>
      <c r="AJ1549" s="278">
        <f>SUM(AC1549:AH1549)</f>
        <v>93.6875</v>
      </c>
      <c r="AK1549" s="661">
        <f t="shared" si="548"/>
        <v>0.50166223404255317</v>
      </c>
      <c r="AL1549" s="240">
        <f>Table1[[#This Row],[WSP/Dealer]]/Table1[[#This Row],[OD Sq Inch]]</f>
        <v>0.47474747474747475</v>
      </c>
      <c r="AM1549" s="274">
        <f>Table1[[#This Row],[OD Wdth]]*Table1[[#This Row],[OD Hgt]]</f>
        <v>396</v>
      </c>
      <c r="AN1549" s="274">
        <f>Table1[[#This Row],[Min VO]]+Table1[[#This Row],[Max VO]]</f>
        <v>40</v>
      </c>
      <c r="AO1549" s="84"/>
      <c r="AP1549" s="1185"/>
      <c r="AQ1549" s="126"/>
      <c r="AR1549" s="126"/>
      <c r="AS1549" s="1158"/>
      <c r="AT1549" s="1187"/>
      <c r="AU1549" s="1357" t="str">
        <f t="shared" si="554"/>
        <v>-</v>
      </c>
    </row>
    <row r="1550" spans="1:47" s="63" customFormat="1" hidden="1" x14ac:dyDescent="0.2">
      <c r="A1550" s="68" t="s">
        <v>101</v>
      </c>
      <c r="B1550" s="1152" t="s">
        <v>102</v>
      </c>
      <c r="C1550" s="78" t="s">
        <v>3658</v>
      </c>
      <c r="D1550" s="94"/>
      <c r="E1550" s="84" t="s">
        <v>3659</v>
      </c>
      <c r="F1550" s="84" t="s">
        <v>105</v>
      </c>
      <c r="G1550" s="68" t="s">
        <v>118</v>
      </c>
      <c r="H1550" s="68" t="s">
        <v>3660</v>
      </c>
      <c r="I1550" s="68" t="s">
        <v>108</v>
      </c>
      <c r="J1550" s="140" t="s">
        <v>53</v>
      </c>
      <c r="K1550" s="68" t="s">
        <v>814</v>
      </c>
      <c r="L1550" s="68" t="s">
        <v>815</v>
      </c>
      <c r="M1550" s="141">
        <v>257</v>
      </c>
      <c r="N1550" s="93"/>
      <c r="O1550" s="68" t="s">
        <v>109</v>
      </c>
      <c r="P1550" s="68">
        <v>9</v>
      </c>
      <c r="Q1550" s="68">
        <v>12</v>
      </c>
      <c r="R1550" s="68">
        <v>9</v>
      </c>
      <c r="S1550" s="623">
        <v>12</v>
      </c>
      <c r="T1550" s="68">
        <v>12</v>
      </c>
      <c r="U1550" s="68">
        <v>15</v>
      </c>
      <c r="V1550" s="66">
        <f>IF(J1550="Canvas",P1550+BorderGW,P1550)</f>
        <v>17</v>
      </c>
      <c r="W1550" s="66">
        <f>IF(J1550="Canvas",Q1550+BorderGW,Q1550)</f>
        <v>20</v>
      </c>
      <c r="X1550" s="68">
        <v>40</v>
      </c>
      <c r="Y1550" s="686">
        <f>Table1[[#This Row],[Print Wth]]</f>
        <v>17</v>
      </c>
      <c r="Z1550" s="686">
        <f>Table1[[#This Row],[Print Ht]]</f>
        <v>20</v>
      </c>
      <c r="AA1550" s="1027">
        <f>Table1[[#This Row],[Cut Width]]*Table1[[#This Row],[Cut Height]]/144</f>
        <v>2.3611111111111112</v>
      </c>
      <c r="AB1550" s="1130">
        <f>Table1[[#This Row],[Print Wth]]*Table1[[#This Row],[Print Ht]]/144*EPSONM</f>
        <v>10.625</v>
      </c>
      <c r="AC1550" s="278">
        <f>Table1[[#This Row],[Substrate SF]]*Canvas</f>
        <v>1.5583333333333333</v>
      </c>
      <c r="AD1550" s="263">
        <f>Table1[[#This Row],[Ink g/mL]]*EPSONC</f>
        <v>2.3374999999999999</v>
      </c>
      <c r="AE1550" s="74">
        <f>IF(Table1[[#This Row],[Work Center]]="SwissQ",Materials!G$37,IF(Table1[[#This Row],[Work Center]]="Inca",Materials!G$29,IF(Table1[[#This Row],[Work Center]]="Canon",Materials!G$49,Materials!G$45)))</f>
        <v>5</v>
      </c>
      <c r="AF1550" s="73">
        <f>'Cali Frames'!D181</f>
        <v>120</v>
      </c>
      <c r="AG1550" s="84"/>
      <c r="AH1550" s="263">
        <v>0</v>
      </c>
      <c r="AI1550" s="263"/>
      <c r="AJ1550" s="278">
        <f>SUM(AC1550:AH1550)</f>
        <v>128.89583333333334</v>
      </c>
      <c r="AK1550" s="688">
        <f t="shared" si="548"/>
        <v>0.49845979247730215</v>
      </c>
      <c r="AL1550" s="278">
        <f>Table1[[#This Row],[WSP/Dealer]]/Table1[[#This Row],[OD Sq Inch]]</f>
        <v>1.4277777777777778</v>
      </c>
      <c r="AM1550" s="170">
        <f>Table1[[#This Row],[OD Wdth]]*Table1[[#This Row],[OD Hgt]]</f>
        <v>180</v>
      </c>
      <c r="AN1550" s="274">
        <f>Table1[[#This Row],[Min VO]]+Table1[[#This Row],[Max VO]]</f>
        <v>21</v>
      </c>
      <c r="AO1550" s="84"/>
      <c r="AP1550" s="1185"/>
      <c r="AQ1550" s="126"/>
      <c r="AR1550" s="126"/>
      <c r="AS1550" s="126"/>
      <c r="AT1550" s="74"/>
      <c r="AU1550" s="1357" t="str">
        <f t="shared" si="554"/>
        <v>-</v>
      </c>
    </row>
    <row r="1551" spans="1:47" s="63" customFormat="1" hidden="1" x14ac:dyDescent="0.2">
      <c r="A1551" s="68" t="s">
        <v>101</v>
      </c>
      <c r="B1551" s="1152" t="s">
        <v>102</v>
      </c>
      <c r="C1551" s="78" t="s">
        <v>3661</v>
      </c>
      <c r="D1551" s="94"/>
      <c r="E1551" s="84" t="s">
        <v>3662</v>
      </c>
      <c r="F1551" s="84" t="s">
        <v>105</v>
      </c>
      <c r="G1551" s="68" t="s">
        <v>3663</v>
      </c>
      <c r="H1551" s="68" t="s">
        <v>3664</v>
      </c>
      <c r="I1551" s="68" t="s">
        <v>108</v>
      </c>
      <c r="J1551" s="140" t="s">
        <v>53</v>
      </c>
      <c r="K1551" s="68" t="s">
        <v>814</v>
      </c>
      <c r="L1551" s="68" t="s">
        <v>815</v>
      </c>
      <c r="M1551" s="141">
        <v>274</v>
      </c>
      <c r="N1551" s="93"/>
      <c r="O1551" s="68" t="s">
        <v>109</v>
      </c>
      <c r="P1551" s="68">
        <v>15</v>
      </c>
      <c r="Q1551" s="68">
        <v>18</v>
      </c>
      <c r="R1551" s="68">
        <v>15</v>
      </c>
      <c r="S1551" s="623">
        <v>18</v>
      </c>
      <c r="T1551" s="68">
        <v>18</v>
      </c>
      <c r="U1551" s="68">
        <v>21</v>
      </c>
      <c r="V1551" s="917">
        <f>IF(J1551="Canvas",P1551+BorderGW,P1551)</f>
        <v>23</v>
      </c>
      <c r="W1551" s="917">
        <f>IF(J1551="Canvas",Q1551+BorderGW,Q1551)</f>
        <v>26</v>
      </c>
      <c r="X1551" s="68">
        <v>40</v>
      </c>
      <c r="Y1551" s="686">
        <f>Table1[[#This Row],[Print Wth]]</f>
        <v>23</v>
      </c>
      <c r="Z1551" s="686">
        <f>Table1[[#This Row],[Print Ht]]</f>
        <v>26</v>
      </c>
      <c r="AA1551" s="1027">
        <f>Table1[[#This Row],[Cut Width]]*Table1[[#This Row],[Cut Height]]/144</f>
        <v>4.1527777777777777</v>
      </c>
      <c r="AB1551" s="1130">
        <f>Table1[[#This Row],[Print Wth]]*Table1[[#This Row],[Print Ht]]/144*EPSONM</f>
        <v>18.6875</v>
      </c>
      <c r="AC1551" s="278">
        <f>Table1[[#This Row],[Substrate SF]]*Canvas</f>
        <v>2.7408333333333332</v>
      </c>
      <c r="AD1551" s="278">
        <f>Table1[[#This Row],[Ink g/mL]]*EPSONC</f>
        <v>4.1112500000000001</v>
      </c>
      <c r="AE1551" s="74">
        <f>IF(Table1[[#This Row],[Work Center]]="SwissQ",Materials!G$37,IF(Table1[[#This Row],[Work Center]]="Inca",Materials!G$29,IF(Table1[[#This Row],[Work Center]]="Canon",Materials!G$49,Materials!G$45)))</f>
        <v>5</v>
      </c>
      <c r="AF1551" s="73">
        <f>'Cali Frames'!D192</f>
        <v>125</v>
      </c>
      <c r="AG1551" s="84"/>
      <c r="AH1551" s="278">
        <v>0</v>
      </c>
      <c r="AI1551" s="278"/>
      <c r="AJ1551" s="278">
        <f>SUM(AC1551:AH1551)</f>
        <v>136.85208333333333</v>
      </c>
      <c r="AK1551" s="1192">
        <f t="shared" si="548"/>
        <v>0.50053984184914846</v>
      </c>
      <c r="AL1551" s="278">
        <f>Table1[[#This Row],[WSP/Dealer]]/Table1[[#This Row],[OD Sq Inch]]</f>
        <v>0.72486772486772488</v>
      </c>
      <c r="AM1551" s="274">
        <f>Table1[[#This Row],[OD Wdth]]*Table1[[#This Row],[OD Hgt]]</f>
        <v>378</v>
      </c>
      <c r="AN1551" s="274">
        <f>Table1[[#This Row],[Min VO]]+Table1[[#This Row],[Max VO]]</f>
        <v>33</v>
      </c>
      <c r="AO1551" s="84"/>
      <c r="AP1551" s="1185"/>
      <c r="AQ1551" s="126"/>
      <c r="AR1551" s="126"/>
      <c r="AS1551" s="126"/>
      <c r="AT1551" s="74"/>
      <c r="AU1551" s="1357" t="str">
        <f t="shared" si="554"/>
        <v>-</v>
      </c>
    </row>
    <row r="1552" spans="1:47" s="103" customFormat="1" hidden="1" x14ac:dyDescent="0.2">
      <c r="A1552" s="68" t="s">
        <v>101</v>
      </c>
      <c r="B1552" s="1152" t="s">
        <v>486</v>
      </c>
      <c r="C1552" s="78" t="s">
        <v>3665</v>
      </c>
      <c r="D1552" s="94"/>
      <c r="E1552" s="84" t="s">
        <v>3666</v>
      </c>
      <c r="F1552" s="84" t="s">
        <v>105</v>
      </c>
      <c r="G1552" s="68" t="s">
        <v>3667</v>
      </c>
      <c r="H1552" s="68" t="s">
        <v>3668</v>
      </c>
      <c r="I1552" s="68" t="s">
        <v>108</v>
      </c>
      <c r="J1552" s="140" t="s">
        <v>53</v>
      </c>
      <c r="K1552" s="68" t="s">
        <v>69</v>
      </c>
      <c r="L1552" s="68" t="s">
        <v>315</v>
      </c>
      <c r="M1552" s="141">
        <v>180</v>
      </c>
      <c r="N1552" s="93"/>
      <c r="O1552" s="68" t="s">
        <v>109</v>
      </c>
      <c r="P1552" s="68">
        <v>10</v>
      </c>
      <c r="Q1552" s="68">
        <v>13</v>
      </c>
      <c r="R1552" s="68">
        <v>10</v>
      </c>
      <c r="S1552" s="65">
        <v>13</v>
      </c>
      <c r="T1552" s="63">
        <v>11</v>
      </c>
      <c r="U1552" s="63">
        <v>14</v>
      </c>
      <c r="V1552" s="917">
        <f>IF(J1552="Canvas",P1552+BorderGW,P1552)</f>
        <v>18</v>
      </c>
      <c r="W1552" s="917">
        <f>IF(J1552="Canvas",Q1552+BorderGW,Q1552)</f>
        <v>21</v>
      </c>
      <c r="X1552" s="68">
        <v>40</v>
      </c>
      <c r="Y1552" s="686">
        <f>Table1[[#This Row],[Print Wth]]</f>
        <v>18</v>
      </c>
      <c r="Z1552" s="686">
        <f>Table1[[#This Row],[Print Ht]]</f>
        <v>21</v>
      </c>
      <c r="AA1552" s="1027">
        <f>Table1[[#This Row],[Cut Width]]*Table1[[#This Row],[Cut Height]]/144</f>
        <v>2.625</v>
      </c>
      <c r="AB1552" s="1130">
        <f>Table1[[#This Row],[Print Wth]]*Table1[[#This Row],[Print Ht]]/144*EPSONM</f>
        <v>11.8125</v>
      </c>
      <c r="AC1552" s="278">
        <f>Table1[[#This Row],[Substrate SF]]*Canvas</f>
        <v>1.7325000000000002</v>
      </c>
      <c r="AD1552" s="263">
        <f>Table1[[#This Row],[Ink g/mL]]*EPSONC</f>
        <v>2.5987499999999999</v>
      </c>
      <c r="AE1552" s="74">
        <f>IF(Table1[[#This Row],[Work Center]]="SwissQ",Materials!G$37,IF(Table1[[#This Row],[Work Center]]="Inca",Materials!G$29,IF(Table1[[#This Row],[Work Center]]="Canon",Materials!G$49,Materials!G$45)))</f>
        <v>5</v>
      </c>
      <c r="AF1552" s="73">
        <f>'Cali Frames'!D494</f>
        <v>80.31</v>
      </c>
      <c r="AG1552" s="84"/>
      <c r="AH1552" s="278">
        <v>0</v>
      </c>
      <c r="AI1552" s="278"/>
      <c r="AJ1552" s="278">
        <f>SUM(AC1552:AH1552)</f>
        <v>89.641249999999999</v>
      </c>
      <c r="AK1552" s="1192">
        <f t="shared" si="548"/>
        <v>0.50199305555555551</v>
      </c>
      <c r="AL1552" s="278">
        <f>Table1[[#This Row],[WSP/Dealer]]/Table1[[#This Row],[OD Sq Inch]]</f>
        <v>1.1688311688311688</v>
      </c>
      <c r="AM1552" s="170">
        <f>Table1[[#This Row],[OD Wdth]]*Table1[[#This Row],[OD Hgt]]</f>
        <v>154</v>
      </c>
      <c r="AN1552" s="274">
        <f>Table1[[#This Row],[Min VO]]+Table1[[#This Row],[Max VO]]</f>
        <v>23</v>
      </c>
      <c r="AO1552" s="119"/>
      <c r="AP1552" s="1185"/>
      <c r="AQ1552" s="126">
        <f>(Table1[[#This Row],[Desgnr/Retail P]]*0.05)</f>
        <v>0</v>
      </c>
      <c r="AR1552" s="126" t="b">
        <f>IF(A1552="Codarus",(AP1552*0.13))</f>
        <v>0</v>
      </c>
      <c r="AS1552" s="126" t="e" cm="1">
        <f t="array" ref="AS1552">SUM(AC1552:AG1552+AQ+AR)</f>
        <v>#NAME?</v>
      </c>
      <c r="AT1552" s="74" t="e">
        <f>(AP1552-AS1552)/AP1552</f>
        <v>#NAME?</v>
      </c>
      <c r="AU1552" s="1356" t="str">
        <f t="shared" si="554"/>
        <v>-</v>
      </c>
    </row>
    <row r="1553" spans="1:47" s="103" customFormat="1" hidden="1" x14ac:dyDescent="0.2">
      <c r="A1553" s="101" t="s">
        <v>996</v>
      </c>
      <c r="B1553" s="1322" t="s">
        <v>96</v>
      </c>
      <c r="C1553" s="100" t="s">
        <v>3669</v>
      </c>
      <c r="D1553" s="168"/>
      <c r="E1553" s="1017" t="s">
        <v>3670</v>
      </c>
      <c r="F1553" s="115" t="s">
        <v>105</v>
      </c>
      <c r="G1553" s="101" t="s">
        <v>139</v>
      </c>
      <c r="H1553" s="101" t="s">
        <v>1367</v>
      </c>
      <c r="I1553" s="101" t="s">
        <v>108</v>
      </c>
      <c r="J1553" s="487" t="s">
        <v>280</v>
      </c>
      <c r="K1553" s="101" t="s">
        <v>814</v>
      </c>
      <c r="L1553" s="101" t="s">
        <v>815</v>
      </c>
      <c r="M1553" s="114">
        <v>550</v>
      </c>
      <c r="N1553" s="114"/>
      <c r="O1553" s="101" t="s">
        <v>575</v>
      </c>
      <c r="P1553" s="101">
        <v>24</v>
      </c>
      <c r="Q1553" s="101">
        <v>24</v>
      </c>
      <c r="R1553" s="101">
        <v>24</v>
      </c>
      <c r="S1553" s="116">
        <v>24</v>
      </c>
      <c r="T1553" s="103">
        <v>27</v>
      </c>
      <c r="U1553" s="103">
        <v>27</v>
      </c>
      <c r="V1553" s="404">
        <f>IF(J1553="Canvas",P1553+BorderL,P1553)</f>
        <v>24</v>
      </c>
      <c r="W1553" s="404">
        <f>IF(J1553="Canvas",Q1553+BorderL,Q1553)</f>
        <v>24</v>
      </c>
      <c r="X1553" s="1010" t="s">
        <v>283</v>
      </c>
      <c r="Y1553" s="101">
        <v>24</v>
      </c>
      <c r="Z1553" s="101">
        <v>24</v>
      </c>
      <c r="AA1553" s="724">
        <f>V1553*W1553/144</f>
        <v>4</v>
      </c>
      <c r="AB1553" s="1015">
        <f>AA1553*SWISSMLR*3</f>
        <v>24</v>
      </c>
      <c r="AC1553" s="406">
        <f>MDFSHEET/10</f>
        <v>2.4350000000000001</v>
      </c>
      <c r="AD1553" s="405">
        <f>Table1[[#This Row],[Substrate SF]]*SWISSCR*3</f>
        <v>2.64</v>
      </c>
      <c r="AE1553" s="104">
        <f>IF(Table1[[#This Row],[Work Center]]="SwissQ",Materials!G$37,IF(Table1[[#This Row],[Work Center]]="Inca",Materials!G$29,IF(Table1[[#This Row],[Work Center]]="Canon",Materials!G$49,Materials!G$45)))</f>
        <v>5</v>
      </c>
      <c r="AF1553" s="102">
        <f>'Cali Frames'!D199</f>
        <v>121.98</v>
      </c>
      <c r="AG1553" s="115"/>
      <c r="AH1553" s="107">
        <v>0</v>
      </c>
      <c r="AI1553" s="107"/>
      <c r="AJ1553" s="406">
        <f>SUM(AC1553:AH1553)</f>
        <v>132.05500000000001</v>
      </c>
      <c r="AK1553" s="108">
        <f t="shared" si="548"/>
        <v>0.75990000000000002</v>
      </c>
      <c r="AL1553" s="660">
        <f>Table1[[#This Row],[WSP/Dealer]]/Table1[[#This Row],[OD Sq Inch]]</f>
        <v>0.75445816186556924</v>
      </c>
      <c r="AM1553" s="399">
        <f>Table1[[#This Row],[OD Wdth]]*Table1[[#This Row],[OD Hgt]]</f>
        <v>729</v>
      </c>
      <c r="AN1553" s="400">
        <f>Table1[[#This Row],[Min VO]]+Table1[[#This Row],[Max VO]]</f>
        <v>48</v>
      </c>
      <c r="AO1553" s="115"/>
      <c r="AP1553" s="1383"/>
      <c r="AQ1553" s="121"/>
      <c r="AR1553" s="121"/>
      <c r="AS1553" s="121"/>
      <c r="AT1553" s="104"/>
      <c r="AU1553" s="1359" t="str">
        <f t="shared" si="554"/>
        <v>-</v>
      </c>
    </row>
    <row r="1554" spans="1:47" s="63" customFormat="1" hidden="1" x14ac:dyDescent="0.2">
      <c r="A1554" s="101" t="s">
        <v>110</v>
      </c>
      <c r="B1554" s="1062" t="s">
        <v>250</v>
      </c>
      <c r="C1554" s="100" t="s">
        <v>3671</v>
      </c>
      <c r="D1554" s="168"/>
      <c r="E1554" s="1017" t="s">
        <v>3670</v>
      </c>
      <c r="F1554" s="115" t="s">
        <v>105</v>
      </c>
      <c r="G1554" s="101" t="s">
        <v>139</v>
      </c>
      <c r="H1554" s="101" t="s">
        <v>1367</v>
      </c>
      <c r="I1554" s="101" t="s">
        <v>574</v>
      </c>
      <c r="J1554" s="487" t="s">
        <v>53</v>
      </c>
      <c r="K1554" s="101" t="s">
        <v>814</v>
      </c>
      <c r="L1554" s="101" t="s">
        <v>815</v>
      </c>
      <c r="M1554" s="299">
        <v>550</v>
      </c>
      <c r="N1554" s="114"/>
      <c r="O1554" s="101" t="s">
        <v>575</v>
      </c>
      <c r="P1554" s="101">
        <v>24</v>
      </c>
      <c r="Q1554" s="101">
        <v>24</v>
      </c>
      <c r="R1554" s="101">
        <v>24</v>
      </c>
      <c r="S1554" s="697">
        <v>24</v>
      </c>
      <c r="T1554" s="101">
        <v>27</v>
      </c>
      <c r="U1554" s="101">
        <v>27</v>
      </c>
      <c r="V1554" s="106">
        <f>IF(J1554="Canvas",P1554+BorderGW,P1554)</f>
        <v>32</v>
      </c>
      <c r="W1554" s="106">
        <f>IF(J1554="Canvas",Q1554+BorderGW,Q1554)</f>
        <v>32</v>
      </c>
      <c r="X1554" s="101">
        <v>40</v>
      </c>
      <c r="Y1554" s="101">
        <v>32</v>
      </c>
      <c r="Z1554" s="101">
        <v>32</v>
      </c>
      <c r="AA1554" s="724">
        <f>V1554*W1554/144</f>
        <v>7.1111111111111107</v>
      </c>
      <c r="AB1554" s="1015">
        <f>AA1554*SWISSMLR*3</f>
        <v>42.666666666666664</v>
      </c>
      <c r="AC1554" s="406">
        <f>MDFSHEET/10</f>
        <v>2.4350000000000001</v>
      </c>
      <c r="AD1554" s="405">
        <f>Table1[[#This Row],[Substrate SF]]*SWISSCR*3</f>
        <v>4.6933333333333334</v>
      </c>
      <c r="AE1554" s="104">
        <f>IF(Table1[[#This Row],[Work Center]]="SwissQ",Materials!G$37,IF(Table1[[#This Row],[Work Center]]="Inca",Materials!G$29,IF(Table1[[#This Row],[Work Center]]="Canon",Materials!G$49,Materials!G$45)))</f>
        <v>5</v>
      </c>
      <c r="AF1554" s="102">
        <f>'Cali Frames'!D199</f>
        <v>121.98</v>
      </c>
      <c r="AG1554" s="115"/>
      <c r="AH1554" s="406">
        <f>(M1554*0.05)</f>
        <v>27.5</v>
      </c>
      <c r="AI1554" s="406">
        <f>IF(A1554="Codarus",(M1554*0.13))</f>
        <v>71.5</v>
      </c>
      <c r="AJ1554" s="107">
        <f>SUM(AC1554:AI1554)</f>
        <v>233.10833333333335</v>
      </c>
      <c r="AK1554" s="830">
        <f t="shared" si="548"/>
        <v>0.5761666666666666</v>
      </c>
      <c r="AL1554" s="660">
        <f>Table1[[#This Row],[WSP/Dealer]]/Table1[[#This Row],[OD Sq Inch]]</f>
        <v>0.75445816186556924</v>
      </c>
      <c r="AM1554" s="399">
        <f>Table1[[#This Row],[OD Wdth]]*Table1[[#This Row],[OD Hgt]]</f>
        <v>729</v>
      </c>
      <c r="AN1554" s="400">
        <f>Table1[[#This Row],[Min VO]]+Table1[[#This Row],[Max VO]]</f>
        <v>48</v>
      </c>
      <c r="AO1554" s="115"/>
      <c r="AP1554" s="408">
        <v>1100</v>
      </c>
      <c r="AQ1554" s="121">
        <f>(Table1[[#This Row],[Desgnr/Retail P]]*0.05)</f>
        <v>55</v>
      </c>
      <c r="AR1554" s="121">
        <f>IF(A1554="Codarus",(AP1554*0.13))</f>
        <v>143</v>
      </c>
      <c r="AS1554" s="121">
        <f>SUM(Table1[[#This Row],[Substrate $]:[GP FINISH]])+Table1[[#This Row],[Retail Royalty]]+Table1[[#This Row],[Retail$Comm]]</f>
        <v>332.10833333333335</v>
      </c>
      <c r="AT1554" s="830">
        <f>IF(AP1554=0,"-",(AP1554-AS1554)/AP1554)</f>
        <v>0.69808333333333328</v>
      </c>
      <c r="AU1554" s="1359">
        <f t="shared" si="554"/>
        <v>0.98730757575757566</v>
      </c>
    </row>
    <row r="1555" spans="1:47" s="63" customFormat="1" hidden="1" x14ac:dyDescent="0.2">
      <c r="A1555" s="68" t="s">
        <v>101</v>
      </c>
      <c r="B1555" s="1072" t="s">
        <v>102</v>
      </c>
      <c r="C1555" s="78" t="s">
        <v>3672</v>
      </c>
      <c r="D1555" s="94"/>
      <c r="E1555" s="84" t="s">
        <v>3673</v>
      </c>
      <c r="F1555" s="84" t="s">
        <v>105</v>
      </c>
      <c r="G1555" s="68" t="s">
        <v>519</v>
      </c>
      <c r="H1555" s="68" t="s">
        <v>517</v>
      </c>
      <c r="I1555" s="68" t="s">
        <v>108</v>
      </c>
      <c r="J1555" s="140" t="s">
        <v>53</v>
      </c>
      <c r="K1555" s="68" t="s">
        <v>69</v>
      </c>
      <c r="L1555" s="68" t="s">
        <v>315</v>
      </c>
      <c r="M1555" s="141">
        <v>261</v>
      </c>
      <c r="N1555" s="93"/>
      <c r="O1555" s="68" t="s">
        <v>109</v>
      </c>
      <c r="P1555" s="68">
        <v>16</v>
      </c>
      <c r="Q1555" s="68">
        <v>20</v>
      </c>
      <c r="R1555" s="68">
        <v>16</v>
      </c>
      <c r="S1555" s="623">
        <v>20</v>
      </c>
      <c r="T1555" s="68">
        <v>19</v>
      </c>
      <c r="U1555" s="68">
        <v>23</v>
      </c>
      <c r="V1555" s="917">
        <f>IF(J1555="Canvas",P1555+BorderGW,P1555)</f>
        <v>24</v>
      </c>
      <c r="W1555" s="917">
        <f>IF(J1555="Canvas",Q1555+BorderGW,Q1555)</f>
        <v>28</v>
      </c>
      <c r="X1555" s="68">
        <v>40</v>
      </c>
      <c r="Y1555" s="686">
        <f>Table1[[#This Row],[Print Wth]]</f>
        <v>24</v>
      </c>
      <c r="Z1555" s="686">
        <f>Table1[[#This Row],[Print Ht]]</f>
        <v>28</v>
      </c>
      <c r="AA1555" s="1027">
        <f>Table1[[#This Row],[Cut Width]]*Table1[[#This Row],[Cut Height]]/144</f>
        <v>4.666666666666667</v>
      </c>
      <c r="AB1555" s="1130">
        <f>Table1[[#This Row],[Print Wth]]*Table1[[#This Row],[Print Ht]]/144*EPSONM</f>
        <v>21</v>
      </c>
      <c r="AC1555" s="278">
        <f>Table1[[#This Row],[Substrate SF]]*Canvas</f>
        <v>3.0800000000000005</v>
      </c>
      <c r="AD1555" s="278">
        <f>Table1[[#This Row],[Ink g/mL]]*EPSONC</f>
        <v>4.62</v>
      </c>
      <c r="AE1555" s="74">
        <f>IF(Table1[[#This Row],[Work Center]]="SwissQ",Materials!G$37,IF(Table1[[#This Row],[Work Center]]="Inca",Materials!G$29,IF(Table1[[#This Row],[Work Center]]="Canon",Materials!G$49,Materials!G$45)))</f>
        <v>5</v>
      </c>
      <c r="AF1555" s="73">
        <f>'Cali Frames'!D193</f>
        <v>126.35</v>
      </c>
      <c r="AG1555" s="84"/>
      <c r="AH1555" s="278">
        <v>0</v>
      </c>
      <c r="AI1555" s="263"/>
      <c r="AJ1555" s="278">
        <f t="shared" ref="AJ1555:AJ1577" si="557">SUM(AC1555:AH1555)</f>
        <v>139.04999999999998</v>
      </c>
      <c r="AK1555" s="1192">
        <f t="shared" si="548"/>
        <v>0.46724137931034487</v>
      </c>
      <c r="AL1555" s="278">
        <f>Table1[[#This Row],[WSP/Dealer]]/Table1[[#This Row],[OD Sq Inch]]</f>
        <v>0.597254004576659</v>
      </c>
      <c r="AM1555" s="274">
        <f>Table1[[#This Row],[OD Wdth]]*Table1[[#This Row],[OD Hgt]]</f>
        <v>437</v>
      </c>
      <c r="AN1555" s="274">
        <f>Table1[[#This Row],[Min VO]]+Table1[[#This Row],[Max VO]]</f>
        <v>36</v>
      </c>
      <c r="AO1555" s="84"/>
      <c r="AP1555" s="84"/>
      <c r="AQ1555" s="126"/>
      <c r="AR1555" s="126"/>
      <c r="AS1555" s="126"/>
      <c r="AT1555" s="74"/>
      <c r="AU1555" s="1357" t="str">
        <f t="shared" si="554"/>
        <v>-</v>
      </c>
    </row>
    <row r="1556" spans="1:47" s="103" customFormat="1" hidden="1" x14ac:dyDescent="0.2">
      <c r="A1556" s="68" t="s">
        <v>101</v>
      </c>
      <c r="B1556" s="1152" t="s">
        <v>102</v>
      </c>
      <c r="C1556" s="78" t="s">
        <v>3674</v>
      </c>
      <c r="D1556" s="94"/>
      <c r="E1556" s="84" t="s">
        <v>3675</v>
      </c>
      <c r="F1556" s="84" t="s">
        <v>105</v>
      </c>
      <c r="G1556" s="68" t="s">
        <v>351</v>
      </c>
      <c r="H1556" s="68" t="s">
        <v>351</v>
      </c>
      <c r="I1556" s="68" t="s">
        <v>108</v>
      </c>
      <c r="J1556" s="140" t="s">
        <v>53</v>
      </c>
      <c r="K1556" s="68" t="s">
        <v>119</v>
      </c>
      <c r="L1556" s="68" t="s">
        <v>120</v>
      </c>
      <c r="M1556" s="141">
        <v>181</v>
      </c>
      <c r="N1556" s="93"/>
      <c r="O1556" s="68" t="s">
        <v>109</v>
      </c>
      <c r="P1556" s="68">
        <v>13</v>
      </c>
      <c r="Q1556" s="68">
        <v>17</v>
      </c>
      <c r="R1556" s="68">
        <v>13</v>
      </c>
      <c r="S1556" s="623">
        <v>17</v>
      </c>
      <c r="T1556" s="68">
        <v>13</v>
      </c>
      <c r="U1556" s="68">
        <v>17</v>
      </c>
      <c r="V1556" s="917">
        <f>IF(J1556="Canvas",P1556+BorderL,P1556)</f>
        <v>24</v>
      </c>
      <c r="W1556" s="917">
        <f>IF(J1556="Canvas",Q1556+BorderL,Q1556)</f>
        <v>28</v>
      </c>
      <c r="X1556" s="68">
        <v>40</v>
      </c>
      <c r="Y1556" s="686">
        <f>Table1[[#This Row],[Print Wth]]</f>
        <v>24</v>
      </c>
      <c r="Z1556" s="686">
        <f>Table1[[#This Row],[Print Ht]]</f>
        <v>28</v>
      </c>
      <c r="AA1556" s="1027">
        <f>Table1[[#This Row],[Cut Width]]*Table1[[#This Row],[Cut Height]]/144</f>
        <v>4.666666666666667</v>
      </c>
      <c r="AB1556" s="1130">
        <f>Table1[[#This Row],[Print Wth]]*Table1[[#This Row],[Print Ht]]/144*EPSONM</f>
        <v>21</v>
      </c>
      <c r="AC1556" s="278">
        <f>Table1[[#This Row],[Substrate SF]]*Canvas</f>
        <v>3.0800000000000005</v>
      </c>
      <c r="AD1556" s="278">
        <f>Table1[[#This Row],[Ink g/mL]]*EPSONC</f>
        <v>4.62</v>
      </c>
      <c r="AE1556" s="74">
        <f>IF(Table1[[#This Row],[Work Center]]="SwissQ",Materials!G$37,IF(Table1[[#This Row],[Work Center]]="Inca",Materials!G$29,IF(Table1[[#This Row],[Work Center]]="Canon",Materials!G$49,Materials!G$45)))</f>
        <v>5</v>
      </c>
      <c r="AF1556" s="73">
        <f>'Cali FPS'!C181</f>
        <v>77.67</v>
      </c>
      <c r="AG1556" s="84"/>
      <c r="AH1556" s="278">
        <v>0</v>
      </c>
      <c r="AI1556" s="278"/>
      <c r="AJ1556" s="278">
        <f t="shared" si="557"/>
        <v>90.37</v>
      </c>
      <c r="AK1556" s="1192">
        <f t="shared" si="548"/>
        <v>0.50071823204419885</v>
      </c>
      <c r="AL1556" s="278">
        <f>Table1[[#This Row],[WSP/Dealer]]/Table1[[#This Row],[OD Sq Inch]]</f>
        <v>0.8190045248868778</v>
      </c>
      <c r="AM1556" s="170">
        <f>Table1[[#This Row],[OD Wdth]]*Table1[[#This Row],[OD Hgt]]</f>
        <v>221</v>
      </c>
      <c r="AN1556" s="274">
        <f>Table1[[#This Row],[Min VO]]+Table1[[#This Row],[Max VO]]</f>
        <v>30</v>
      </c>
      <c r="AO1556" s="84"/>
      <c r="AP1556" s="84"/>
      <c r="AQ1556" s="126"/>
      <c r="AR1556" s="126"/>
      <c r="AS1556" s="126"/>
      <c r="AT1556" s="74"/>
      <c r="AU1556" s="1357" t="str">
        <f t="shared" si="554"/>
        <v>-</v>
      </c>
    </row>
    <row r="1557" spans="1:47" s="63" customFormat="1" hidden="1" x14ac:dyDescent="0.2">
      <c r="A1557" s="101" t="s">
        <v>101</v>
      </c>
      <c r="B1557" s="1067" t="s">
        <v>102</v>
      </c>
      <c r="C1557" s="100" t="s">
        <v>3676</v>
      </c>
      <c r="D1557" s="168"/>
      <c r="E1557" s="115" t="s">
        <v>3677</v>
      </c>
      <c r="F1557" s="115" t="s">
        <v>105</v>
      </c>
      <c r="G1557" s="101" t="s">
        <v>505</v>
      </c>
      <c r="H1557" s="101" t="s">
        <v>3678</v>
      </c>
      <c r="I1557" s="101" t="s">
        <v>256</v>
      </c>
      <c r="J1557" s="487" t="s">
        <v>257</v>
      </c>
      <c r="K1557" s="101" t="s">
        <v>258</v>
      </c>
      <c r="L1557" s="101" t="s">
        <v>269</v>
      </c>
      <c r="M1557" s="299">
        <v>154</v>
      </c>
      <c r="N1557" s="114"/>
      <c r="O1557" s="101" t="s">
        <v>260</v>
      </c>
      <c r="P1557" s="101">
        <v>12</v>
      </c>
      <c r="Q1557" s="101">
        <v>14</v>
      </c>
      <c r="R1557" s="101">
        <v>12</v>
      </c>
      <c r="S1557" s="697">
        <v>14</v>
      </c>
      <c r="T1557" s="101">
        <v>14</v>
      </c>
      <c r="U1557" s="101">
        <v>16</v>
      </c>
      <c r="V1557" s="608">
        <f>IF(J1557="Canvas",P1557+BorderL,P1557)</f>
        <v>12</v>
      </c>
      <c r="W1557" s="608">
        <f>IF(J1557="Canvas",Q1557+BorderL,Q1557)</f>
        <v>14</v>
      </c>
      <c r="X1557" s="101" t="s">
        <v>257</v>
      </c>
      <c r="Y1557" s="1345">
        <f>Table1[[#This Row],[Print Wth]]+Materials!$C$7</f>
        <v>14</v>
      </c>
      <c r="Z1557" s="1345">
        <f>Table1[[#This Row],[Print Ht]]+Materials!$C$7</f>
        <v>16</v>
      </c>
      <c r="AA1557" s="1011">
        <f>(Table1[[#This Row],[Cut Width]]*Table1[[#This Row],[Cut Height]])/144</f>
        <v>1.5555555555555556</v>
      </c>
      <c r="AB1557" s="184">
        <f>(Table1[[#This Row],[Print Wth]]*Table1[[#This Row],[Print Ht]])/144*canonML</f>
        <v>5.6000000000000005</v>
      </c>
      <c r="AC1557" s="104">
        <f>Table1[[#This Row],[Substrate SF]]*Paper</f>
        <v>2.1046666666666667</v>
      </c>
      <c r="AD1557" s="104">
        <f>(Table1[[#This Row],[Print Wth]]*Table1[[#This Row],[Print Ht]])/144*CanonC</f>
        <v>0.31500000000000006</v>
      </c>
      <c r="AE1557" s="104">
        <f>IF(Table1[[#This Row],[Work Center]]="SwissQ",Materials!G$37,IF(Table1[[#This Row],[Work Center]]="Inca",Materials!G$29,IF(Table1[[#This Row],[Work Center]]="Canon",Materials!G$49,Materials!G$45)))</f>
        <v>7</v>
      </c>
      <c r="AF1557" s="102">
        <f>'Cali Frames'!D58</f>
        <v>67.13</v>
      </c>
      <c r="AG1557" s="115"/>
      <c r="AH1557" s="405">
        <v>0</v>
      </c>
      <c r="AI1557" s="405"/>
      <c r="AJ1557" s="406">
        <f t="shared" si="557"/>
        <v>76.549666666666667</v>
      </c>
      <c r="AK1557" s="1068">
        <f t="shared" si="548"/>
        <v>0.50292424242424238</v>
      </c>
      <c r="AL1557" s="406">
        <f>Table1[[#This Row],[WSP/Dealer]]/Table1[[#This Row],[OD Sq Inch]]</f>
        <v>0.6875</v>
      </c>
      <c r="AM1557" s="400">
        <f>Table1[[#This Row],[OD Wdth]]*Table1[[#This Row],[OD Hgt]]</f>
        <v>224</v>
      </c>
      <c r="AN1557" s="400">
        <f>Table1[[#This Row],[Min VO]]+Table1[[#This Row],[Max VO]]</f>
        <v>26</v>
      </c>
      <c r="AO1557" s="115"/>
      <c r="AP1557" s="115"/>
      <c r="AQ1557" s="121"/>
      <c r="AR1557" s="121"/>
      <c r="AS1557" s="121"/>
      <c r="AT1557" s="104"/>
      <c r="AU1557" s="1359" t="str">
        <f t="shared" si="554"/>
        <v>-</v>
      </c>
    </row>
    <row r="1558" spans="1:47" s="63" customFormat="1" x14ac:dyDescent="0.2">
      <c r="A1558" s="86" t="s">
        <v>58</v>
      </c>
      <c r="B1558" s="279" t="s">
        <v>450</v>
      </c>
      <c r="C1558" s="81" t="s">
        <v>3679</v>
      </c>
      <c r="D1558" s="94" t="s">
        <v>3680</v>
      </c>
      <c r="E1558" s="85" t="s">
        <v>3681</v>
      </c>
      <c r="F1558" s="85" t="s">
        <v>374</v>
      </c>
      <c r="G1558" s="91" t="s">
        <v>115</v>
      </c>
      <c r="H1558" s="86" t="s">
        <v>115</v>
      </c>
      <c r="I1558" s="91" t="s">
        <v>52</v>
      </c>
      <c r="J1558" s="91" t="s">
        <v>53</v>
      </c>
      <c r="K1558" s="86" t="s">
        <v>54</v>
      </c>
      <c r="L1558" s="91" t="s">
        <v>55</v>
      </c>
      <c r="M1558" s="87">
        <v>750</v>
      </c>
      <c r="N1558" s="639">
        <v>830</v>
      </c>
      <c r="O1558" s="101" t="s">
        <v>56</v>
      </c>
      <c r="P1558" s="273">
        <v>48</v>
      </c>
      <c r="Q1558" s="273">
        <v>48</v>
      </c>
      <c r="R1558" s="60">
        <v>48</v>
      </c>
      <c r="S1558" s="273">
        <v>48</v>
      </c>
      <c r="T1558" s="273">
        <f>Table1[[#This Row],[VO Wdth]]</f>
        <v>48</v>
      </c>
      <c r="U1558" s="273">
        <f>Table1[[#This Row],[VO Hgt]]</f>
        <v>48</v>
      </c>
      <c r="V1558" s="608">
        <f>IF(J1558="Canvas",P1558+BorderGW,P1558)</f>
        <v>56</v>
      </c>
      <c r="W1558" s="608">
        <f>IF(J1558="Canvas",Q1558+BorderGW,Q1558)</f>
        <v>56</v>
      </c>
      <c r="X1558" s="137">
        <v>122</v>
      </c>
      <c r="Y1558" s="101"/>
      <c r="Z1558" s="101"/>
      <c r="AA1558" s="649">
        <f t="shared" ref="AA1558:AA1584" si="558">V1558*W1558/144</f>
        <v>21.777777777777779</v>
      </c>
      <c r="AB1558" s="184">
        <f t="shared" ref="AB1558:AB1584" si="559">AA1558*IncaG</f>
        <v>458.20444444444445</v>
      </c>
      <c r="AC1558" s="104">
        <f t="shared" ref="AC1558:AC1564" si="560">AA1558*Canvas</f>
        <v>14.373333333333335</v>
      </c>
      <c r="AD1558" s="104">
        <f>AA1558*IncaC</f>
        <v>36.656355555555557</v>
      </c>
      <c r="AE1558" s="104">
        <f>IF(Table1[[#This Row],[Work Center]]="SwissQ",Materials!G$37,IF(Table1[[#This Row],[Work Center]]="Inca",Materials!G$29,IF(Table1[[#This Row],[Work Center]]="Canon",Materials!G$49,Materials!G$45)))</f>
        <v>8</v>
      </c>
      <c r="AF1558" s="104">
        <f>'Cali FPS'!C$117</f>
        <v>119.7</v>
      </c>
      <c r="AG1558" s="115"/>
      <c r="AH1558" s="498">
        <f t="shared" ref="AH1558:AH1584" si="561">(M1558*0.05)</f>
        <v>37.5</v>
      </c>
      <c r="AI1558" s="498"/>
      <c r="AJ1558" s="104">
        <f t="shared" si="557"/>
        <v>216.22968888888889</v>
      </c>
      <c r="AK1558" s="650">
        <f t="shared" si="548"/>
        <v>0.71169374814814823</v>
      </c>
      <c r="AL1558" s="225">
        <f>Table1[[#This Row],[WSP/Dealer]]/Table1[[#This Row],[OD Sq Inch]]</f>
        <v>0.32552083333333331</v>
      </c>
      <c r="AM1558" s="103">
        <f>Table1[[#This Row],[OD Wdth]]*Table1[[#This Row],[OD Hgt]]</f>
        <v>2304</v>
      </c>
      <c r="AN1558" s="216">
        <f>Table1[[#This Row],[Min VO]]+Table1[[#This Row],[Max VO]]</f>
        <v>96</v>
      </c>
      <c r="AO1558" s="101"/>
      <c r="AP1558" s="101"/>
      <c r="AQ1558" s="104"/>
      <c r="AR1558" s="104"/>
      <c r="AS1558" s="104"/>
      <c r="AT1558" s="104"/>
      <c r="AU1558" s="830" t="str">
        <f t="shared" si="554"/>
        <v>-</v>
      </c>
    </row>
    <row r="1559" spans="1:47" s="63" customFormat="1" x14ac:dyDescent="0.2">
      <c r="A1559" s="86" t="s">
        <v>58</v>
      </c>
      <c r="B1559" s="1061" t="s">
        <v>619</v>
      </c>
      <c r="C1559" s="75" t="s">
        <v>3682</v>
      </c>
      <c r="D1559" s="94" t="s">
        <v>3683</v>
      </c>
      <c r="E1559" s="85" t="s">
        <v>3684</v>
      </c>
      <c r="F1559" s="85" t="s">
        <v>3501</v>
      </c>
      <c r="G1559" s="86" t="s">
        <v>1229</v>
      </c>
      <c r="H1559" s="86" t="s">
        <v>1229</v>
      </c>
      <c r="I1559" s="86" t="s">
        <v>52</v>
      </c>
      <c r="J1559" s="86" t="s">
        <v>53</v>
      </c>
      <c r="K1559" s="86" t="s">
        <v>54</v>
      </c>
      <c r="L1559" s="86" t="s">
        <v>55</v>
      </c>
      <c r="M1559" s="87">
        <v>700</v>
      </c>
      <c r="N1559" s="639">
        <v>825</v>
      </c>
      <c r="O1559" s="101" t="s">
        <v>56</v>
      </c>
      <c r="P1559" s="61">
        <v>60</v>
      </c>
      <c r="Q1559" s="61">
        <v>36</v>
      </c>
      <c r="R1559" s="60">
        <v>36</v>
      </c>
      <c r="S1559" s="61">
        <v>60</v>
      </c>
      <c r="T1559" s="61">
        <f>Table1[[#This Row],[VO Wdth]]</f>
        <v>60</v>
      </c>
      <c r="U1559" s="61">
        <f>Table1[[#This Row],[VO Hgt]]</f>
        <v>36</v>
      </c>
      <c r="V1559" s="608">
        <f>IF(J1559="Canvas",P1559+BorderGW,P1559)</f>
        <v>68</v>
      </c>
      <c r="W1559" s="608">
        <f>IF(J1559="Canvas",Q1559+BorderGW,Q1559)</f>
        <v>44</v>
      </c>
      <c r="X1559" s="137">
        <v>80</v>
      </c>
      <c r="Y1559" s="101"/>
      <c r="Z1559" s="101"/>
      <c r="AA1559" s="649">
        <f t="shared" si="558"/>
        <v>20.777777777777779</v>
      </c>
      <c r="AB1559" s="184">
        <f t="shared" si="559"/>
        <v>437.16444444444443</v>
      </c>
      <c r="AC1559" s="104">
        <f t="shared" si="560"/>
        <v>13.713333333333335</v>
      </c>
      <c r="AD1559" s="107">
        <f>AA1559*IncaC</f>
        <v>34.973155555555557</v>
      </c>
      <c r="AE1559" s="104">
        <f>IF(Table1[[#This Row],[Work Center]]="SwissQ",Materials!G$37,IF(Table1[[#This Row],[Work Center]]="Inca",Materials!G$29,IF(Table1[[#This Row],[Work Center]]="Canon",Materials!G$49,Materials!G$45)))</f>
        <v>8</v>
      </c>
      <c r="AF1559" s="69">
        <f>'Cali FPS'!C$75</f>
        <v>116.11</v>
      </c>
      <c r="AG1559" s="115"/>
      <c r="AH1559" s="498">
        <f t="shared" si="561"/>
        <v>35</v>
      </c>
      <c r="AI1559" s="498"/>
      <c r="AJ1559" s="104">
        <f t="shared" si="557"/>
        <v>207.79648888888889</v>
      </c>
      <c r="AK1559" s="650">
        <f t="shared" si="548"/>
        <v>0.703147873015873</v>
      </c>
      <c r="AL1559" s="225">
        <f>Table1[[#This Row],[WSP/Dealer]]/Table1[[#This Row],[OD Sq Inch]]</f>
        <v>0.32407407407407407</v>
      </c>
      <c r="AM1559" s="97">
        <f>Table1[[#This Row],[OD Wdth]]*Table1[[#This Row],[OD Hgt]]</f>
        <v>2160</v>
      </c>
      <c r="AN1559" s="216">
        <f>Table1[[#This Row],[Min VO]]+Table1[[#This Row],[Max VO]]</f>
        <v>96</v>
      </c>
      <c r="AO1559" s="103"/>
      <c r="AP1559" s="101"/>
      <c r="AQ1559" s="104"/>
      <c r="AR1559" s="104"/>
      <c r="AS1559" s="104"/>
      <c r="AT1559" s="104"/>
      <c r="AU1559" s="108" t="str">
        <f t="shared" si="554"/>
        <v>-</v>
      </c>
    </row>
    <row r="1560" spans="1:47" s="63" customFormat="1" x14ac:dyDescent="0.2">
      <c r="A1560" s="86" t="s">
        <v>58</v>
      </c>
      <c r="B1560" s="1061" t="s">
        <v>619</v>
      </c>
      <c r="C1560" s="75" t="s">
        <v>3685</v>
      </c>
      <c r="D1560" s="94" t="s">
        <v>3686</v>
      </c>
      <c r="E1560" s="85" t="s">
        <v>3687</v>
      </c>
      <c r="F1560" s="85" t="s">
        <v>3501</v>
      </c>
      <c r="G1560" s="86" t="s">
        <v>1229</v>
      </c>
      <c r="H1560" s="86" t="s">
        <v>1229</v>
      </c>
      <c r="I1560" s="86" t="s">
        <v>52</v>
      </c>
      <c r="J1560" s="86" t="s">
        <v>53</v>
      </c>
      <c r="K1560" s="86" t="s">
        <v>54</v>
      </c>
      <c r="L1560" s="86" t="s">
        <v>55</v>
      </c>
      <c r="M1560" s="87">
        <v>650</v>
      </c>
      <c r="N1560" s="639">
        <v>825</v>
      </c>
      <c r="O1560" s="101" t="s">
        <v>56</v>
      </c>
      <c r="P1560" s="273">
        <v>60</v>
      </c>
      <c r="Q1560" s="273">
        <v>36</v>
      </c>
      <c r="R1560" s="60">
        <v>36</v>
      </c>
      <c r="S1560" s="273">
        <v>60</v>
      </c>
      <c r="T1560" s="273">
        <f>Table1[[#This Row],[VO Wdth]]</f>
        <v>60</v>
      </c>
      <c r="U1560" s="273">
        <f>Table1[[#This Row],[VO Hgt]]</f>
        <v>36</v>
      </c>
      <c r="V1560" s="608">
        <f>IF(J1560="Canvas",P1560+BorderGW,P1560)</f>
        <v>68</v>
      </c>
      <c r="W1560" s="608">
        <f>IF(J1560="Canvas",Q1560+BorderGW,Q1560)</f>
        <v>44</v>
      </c>
      <c r="X1560" s="137">
        <v>69</v>
      </c>
      <c r="Y1560" s="101"/>
      <c r="Z1560" s="101"/>
      <c r="AA1560" s="649">
        <f t="shared" si="558"/>
        <v>20.777777777777779</v>
      </c>
      <c r="AB1560" s="184">
        <f t="shared" si="559"/>
        <v>437.16444444444443</v>
      </c>
      <c r="AC1560" s="104">
        <f t="shared" si="560"/>
        <v>13.713333333333335</v>
      </c>
      <c r="AD1560" s="104">
        <f>AA1560*IncaC</f>
        <v>34.973155555555557</v>
      </c>
      <c r="AE1560" s="104">
        <f>IF(Table1[[#This Row],[Work Center]]="SwissQ",Materials!G$37,IF(Table1[[#This Row],[Work Center]]="Inca",Materials!G$29,IF(Table1[[#This Row],[Work Center]]="Canon",Materials!G$49,Materials!G$45)))</f>
        <v>8</v>
      </c>
      <c r="AF1560" s="69">
        <f>'Cali FPS'!C$75</f>
        <v>116.11</v>
      </c>
      <c r="AG1560" s="115"/>
      <c r="AH1560" s="112">
        <f t="shared" si="561"/>
        <v>32.5</v>
      </c>
      <c r="AI1560" s="112"/>
      <c r="AJ1560" s="104">
        <f t="shared" si="557"/>
        <v>205.29648888888889</v>
      </c>
      <c r="AK1560" s="62">
        <f t="shared" si="548"/>
        <v>0.68415924786324778</v>
      </c>
      <c r="AL1560" s="225">
        <f>Table1[[#This Row],[WSP/Dealer]]/Table1[[#This Row],[OD Sq Inch]]</f>
        <v>0.30092592592592593</v>
      </c>
      <c r="AM1560" s="103">
        <f>Table1[[#This Row],[OD Wdth]]*Table1[[#This Row],[OD Hgt]]</f>
        <v>2160</v>
      </c>
      <c r="AN1560" s="216">
        <f>Table1[[#This Row],[Min VO]]+Table1[[#This Row],[Max VO]]</f>
        <v>96</v>
      </c>
      <c r="AO1560" s="101"/>
      <c r="AP1560" s="101"/>
      <c r="AQ1560" s="104"/>
      <c r="AR1560" s="104"/>
      <c r="AS1560" s="104"/>
      <c r="AT1560" s="104"/>
      <c r="AU1560" s="830" t="str">
        <f t="shared" si="554"/>
        <v>-</v>
      </c>
    </row>
    <row r="1561" spans="1:47" s="45" customFormat="1" hidden="1" x14ac:dyDescent="0.2">
      <c r="A1561" s="68" t="s">
        <v>187</v>
      </c>
      <c r="B1561" s="279" t="s">
        <v>292</v>
      </c>
      <c r="C1561" s="653" t="s">
        <v>3688</v>
      </c>
      <c r="D1561" s="94"/>
      <c r="E1561" s="84" t="s">
        <v>3689</v>
      </c>
      <c r="F1561" s="84" t="s">
        <v>349</v>
      </c>
      <c r="G1561" s="68" t="s">
        <v>3690</v>
      </c>
      <c r="H1561" s="68" t="s">
        <v>3691</v>
      </c>
      <c r="I1561" s="68" t="s">
        <v>52</v>
      </c>
      <c r="J1561" s="68" t="s">
        <v>53</v>
      </c>
      <c r="K1561" s="68" t="s">
        <v>54</v>
      </c>
      <c r="L1561" s="68" t="s">
        <v>70</v>
      </c>
      <c r="M1561" s="93">
        <v>650</v>
      </c>
      <c r="N1561" s="71"/>
      <c r="O1561" s="68" t="s">
        <v>56</v>
      </c>
      <c r="P1561" s="68">
        <v>18</v>
      </c>
      <c r="Q1561" s="68">
        <v>16</v>
      </c>
      <c r="R1561" s="68">
        <v>16</v>
      </c>
      <c r="S1561" s="68">
        <v>18</v>
      </c>
      <c r="T1561" s="68">
        <v>19</v>
      </c>
      <c r="U1561" s="68">
        <v>17</v>
      </c>
      <c r="V1561" s="917">
        <f>IF(J1561="Canvas",P1561+Border,P1561)</f>
        <v>26</v>
      </c>
      <c r="W1561" s="917">
        <f>IF(J1561="Canvas",Q1561+Border,Q1561)</f>
        <v>24</v>
      </c>
      <c r="X1561" s="189"/>
      <c r="Y1561" s="68"/>
      <c r="Z1561" s="68"/>
      <c r="AA1561" s="699">
        <f t="shared" si="558"/>
        <v>4.333333333333333</v>
      </c>
      <c r="AB1561" s="297">
        <f t="shared" si="559"/>
        <v>91.173333333333318</v>
      </c>
      <c r="AC1561" s="74">
        <f t="shared" si="560"/>
        <v>2.86</v>
      </c>
      <c r="AD1561" s="320">
        <f>Table1[[#This Row],[Substrate SF]]*IncaC</f>
        <v>7.2938666666666663</v>
      </c>
      <c r="AE1561" s="278">
        <f>IF(Table1[[#This Row],[Work Center]]="SwissQ",Materials!G$37,IF(Table1[[#This Row],[Work Center]]="Inca",Materials!G$29,IF(Table1[[#This Row],[Work Center]]="Canon",Materials!G$49,Materials!G$45)))</f>
        <v>8</v>
      </c>
      <c r="AF1561" s="321">
        <f>'Cali Frames'!D266</f>
        <v>77</v>
      </c>
      <c r="AG1561" s="126"/>
      <c r="AH1561" s="278">
        <f t="shared" si="561"/>
        <v>32.5</v>
      </c>
      <c r="AI1561" s="278"/>
      <c r="AJ1561" s="278">
        <f t="shared" si="557"/>
        <v>127.65386666666666</v>
      </c>
      <c r="AK1561" s="650">
        <f t="shared" si="548"/>
        <v>0.80360943589743594</v>
      </c>
      <c r="AL1561" s="225">
        <f>Table1[[#This Row],[WSP/Dealer]]/Table1[[#This Row],[OD Sq Inch]]</f>
        <v>2.0123839009287927</v>
      </c>
      <c r="AM1561" s="274">
        <f>Table1[[#This Row],[OD Wdth]]*Table1[[#This Row],[OD Hgt]]</f>
        <v>323</v>
      </c>
      <c r="AN1561" s="216">
        <f>Table1[[#This Row],[Min VO]]+Table1[[#This Row],[Max VO]]</f>
        <v>34</v>
      </c>
      <c r="AO1561" s="84"/>
      <c r="AP1561" s="84"/>
      <c r="AQ1561" s="126"/>
      <c r="AR1561" s="126"/>
      <c r="AS1561" s="126"/>
      <c r="AT1561" s="74"/>
      <c r="AU1561" s="1357" t="str">
        <f t="shared" si="554"/>
        <v>-</v>
      </c>
    </row>
    <row r="1562" spans="1:47" s="63" customFormat="1" hidden="1" x14ac:dyDescent="0.2">
      <c r="A1562" s="551" t="s">
        <v>140</v>
      </c>
      <c r="B1562" s="1061" t="s">
        <v>141</v>
      </c>
      <c r="C1562" s="653" t="s">
        <v>3692</v>
      </c>
      <c r="D1562" s="94"/>
      <c r="E1562" s="653" t="s">
        <v>3693</v>
      </c>
      <c r="F1562" s="653" t="s">
        <v>349</v>
      </c>
      <c r="G1562" s="551" t="s">
        <v>643</v>
      </c>
      <c r="H1562" s="551" t="s">
        <v>806</v>
      </c>
      <c r="I1562" s="551" t="s">
        <v>52</v>
      </c>
      <c r="J1562" s="856" t="s">
        <v>53</v>
      </c>
      <c r="K1562" s="551" t="s">
        <v>69</v>
      </c>
      <c r="L1562" s="551" t="s">
        <v>73</v>
      </c>
      <c r="M1562" s="857">
        <v>250</v>
      </c>
      <c r="N1562" s="858">
        <f>Table1[[#This Row],[WSP/Dealer]]/0.35</f>
        <v>714.28571428571433</v>
      </c>
      <c r="O1562" s="551" t="s">
        <v>56</v>
      </c>
      <c r="P1562" s="551">
        <v>20</v>
      </c>
      <c r="Q1562" s="551">
        <v>16</v>
      </c>
      <c r="R1562" s="551">
        <v>16</v>
      </c>
      <c r="S1562" s="551">
        <v>20</v>
      </c>
      <c r="T1562" s="551">
        <v>21</v>
      </c>
      <c r="U1562" s="551">
        <v>17</v>
      </c>
      <c r="V1562" s="881">
        <f>IF(J1562="Canvas",P1562+Border,P1562)</f>
        <v>28</v>
      </c>
      <c r="W1562" s="881">
        <f>IF(J1562="Canvas",Q1562+Border,Q1562)</f>
        <v>24</v>
      </c>
      <c r="X1562" s="311" t="s">
        <v>3694</v>
      </c>
      <c r="Y1562" s="551">
        <v>28</v>
      </c>
      <c r="Z1562" s="551">
        <v>24</v>
      </c>
      <c r="AA1562" s="860">
        <f t="shared" si="558"/>
        <v>4.666666666666667</v>
      </c>
      <c r="AB1562" s="861">
        <f t="shared" si="559"/>
        <v>98.186666666666667</v>
      </c>
      <c r="AC1562" s="863">
        <f t="shared" si="560"/>
        <v>3.0800000000000005</v>
      </c>
      <c r="AD1562" s="994">
        <f>Table1[[#This Row],[Substrate SF]]*IncaC</f>
        <v>7.8549333333333342</v>
      </c>
      <c r="AE1562" s="867">
        <f>IF(Table1[[#This Row],[Work Center]]="SwissQ",Materials!G$37,IF(Table1[[#This Row],[Work Center]]="Inca",Materials!G$29,IF(Table1[[#This Row],[Work Center]]="Canon",Materials!G$49,Materials!G$45)))</f>
        <v>8</v>
      </c>
      <c r="AF1562" s="71">
        <f>'Cali Frames'!D414</f>
        <v>89.83</v>
      </c>
      <c r="AG1562" s="864"/>
      <c r="AH1562" s="867">
        <f t="shared" si="561"/>
        <v>12.5</v>
      </c>
      <c r="AI1562" s="867"/>
      <c r="AJ1562" s="867">
        <f t="shared" si="557"/>
        <v>121.26493333333333</v>
      </c>
      <c r="AK1562" s="1087">
        <f t="shared" si="548"/>
        <v>0.5149402666666667</v>
      </c>
      <c r="AL1562" s="867">
        <f>Table1[[#This Row],[WSP/Dealer]]/Table1[[#This Row],[OD Sq Inch]]</f>
        <v>0.70028011204481788</v>
      </c>
      <c r="AM1562" s="868">
        <f>Table1[[#This Row],[OD Wdth]]*Table1[[#This Row],[OD Hgt]]</f>
        <v>357</v>
      </c>
      <c r="AN1562" s="869">
        <f>Table1[[#This Row],[Min VO]]+Table1[[#This Row],[Max VO]]</f>
        <v>36</v>
      </c>
      <c r="AO1562" s="653"/>
      <c r="AP1562" s="653"/>
      <c r="AQ1562" s="864"/>
      <c r="AR1562" s="864"/>
      <c r="AS1562" s="864"/>
      <c r="AT1562" s="863"/>
      <c r="AU1562" s="1364" t="str">
        <f t="shared" si="554"/>
        <v>-</v>
      </c>
    </row>
    <row r="1563" spans="1:47" s="63" customFormat="1" x14ac:dyDescent="0.2">
      <c r="A1563" s="86" t="s">
        <v>58</v>
      </c>
      <c r="B1563" s="1061" t="s">
        <v>1457</v>
      </c>
      <c r="C1563" s="1729" t="s">
        <v>3695</v>
      </c>
      <c r="D1563" s="94" t="s">
        <v>3696</v>
      </c>
      <c r="E1563" s="85" t="s">
        <v>3697</v>
      </c>
      <c r="F1563" s="85" t="s">
        <v>289</v>
      </c>
      <c r="G1563" s="969" t="s">
        <v>3592</v>
      </c>
      <c r="H1563" s="969" t="s">
        <v>3698</v>
      </c>
      <c r="I1563" s="91" t="s">
        <v>52</v>
      </c>
      <c r="J1563" s="91" t="s">
        <v>53</v>
      </c>
      <c r="K1563" s="91" t="s">
        <v>69</v>
      </c>
      <c r="L1563" s="91" t="s">
        <v>70</v>
      </c>
      <c r="M1563" s="87">
        <v>1050</v>
      </c>
      <c r="N1563" s="639">
        <v>1300</v>
      </c>
      <c r="O1563" s="101" t="s">
        <v>56</v>
      </c>
      <c r="P1563" s="273">
        <v>51</v>
      </c>
      <c r="Q1563" s="273">
        <v>64</v>
      </c>
      <c r="R1563" s="60">
        <v>51</v>
      </c>
      <c r="S1563" s="273">
        <v>64</v>
      </c>
      <c r="T1563" s="273">
        <v>52</v>
      </c>
      <c r="U1563" s="273">
        <v>65</v>
      </c>
      <c r="V1563" s="608">
        <f>IF(J1563="Canvas",P1563+BorderGW,P1563)</f>
        <v>59</v>
      </c>
      <c r="W1563" s="608">
        <f>IF(J1563="Canvas",Q1563+BorderGW,Q1563)</f>
        <v>72</v>
      </c>
      <c r="X1563" s="137">
        <v>59</v>
      </c>
      <c r="Y1563" s="101"/>
      <c r="Z1563" s="101"/>
      <c r="AA1563" s="649">
        <f t="shared" si="558"/>
        <v>29.5</v>
      </c>
      <c r="AB1563" s="184">
        <f t="shared" si="559"/>
        <v>620.67999999999995</v>
      </c>
      <c r="AC1563" s="104">
        <f t="shared" si="560"/>
        <v>19.470000000000002</v>
      </c>
      <c r="AD1563" s="104">
        <f t="shared" ref="AD1563:AD1577" si="562">AA1563*IncaC</f>
        <v>49.654400000000003</v>
      </c>
      <c r="AE1563" s="104">
        <f>IF(Table1[[#This Row],[Work Center]]="SwissQ",Materials!G$37,IF(Table1[[#This Row],[Work Center]]="Inca",Materials!G$29,IF(Table1[[#This Row],[Work Center]]="Canon",Materials!G$49,Materials!G$45)))</f>
        <v>8</v>
      </c>
      <c r="AF1563" s="104">
        <f>'Cali Frames'!D$342</f>
        <v>244.54499999999999</v>
      </c>
      <c r="AG1563" s="115"/>
      <c r="AH1563" s="498">
        <f t="shared" si="561"/>
        <v>52.5</v>
      </c>
      <c r="AI1563" s="498"/>
      <c r="AJ1563" s="104">
        <f t="shared" si="557"/>
        <v>374.1694</v>
      </c>
      <c r="AK1563" s="650">
        <f t="shared" si="548"/>
        <v>0.64364819047619048</v>
      </c>
      <c r="AL1563" s="225">
        <f>Table1[[#This Row],[WSP/Dealer]]/Table1[[#This Row],[OD Sq Inch]]</f>
        <v>0.31065088757396447</v>
      </c>
      <c r="AM1563" s="101">
        <f>Table1[[#This Row],[OD Wdth]]*Table1[[#This Row],[OD Hgt]]</f>
        <v>3380</v>
      </c>
      <c r="AN1563" s="216">
        <f>Table1[[#This Row],[Min VO]]+Table1[[#This Row],[Max VO]]</f>
        <v>115</v>
      </c>
      <c r="AO1563" s="101"/>
      <c r="AP1563" s="101"/>
      <c r="AQ1563" s="104"/>
      <c r="AR1563" s="104"/>
      <c r="AS1563" s="104"/>
      <c r="AT1563" s="104"/>
      <c r="AU1563" s="830" t="str">
        <f t="shared" si="554"/>
        <v>-</v>
      </c>
    </row>
    <row r="1564" spans="1:47" s="63" customFormat="1" x14ac:dyDescent="0.2">
      <c r="A1564" s="86" t="s">
        <v>58</v>
      </c>
      <c r="B1564" s="1061" t="s">
        <v>1457</v>
      </c>
      <c r="C1564" s="1729" t="s">
        <v>3699</v>
      </c>
      <c r="D1564" s="94" t="s">
        <v>3700</v>
      </c>
      <c r="E1564" s="85" t="s">
        <v>3701</v>
      </c>
      <c r="F1564" s="85" t="s">
        <v>289</v>
      </c>
      <c r="G1564" s="969" t="s">
        <v>3592</v>
      </c>
      <c r="H1564" s="969" t="s">
        <v>3698</v>
      </c>
      <c r="I1564" s="91" t="s">
        <v>52</v>
      </c>
      <c r="J1564" s="91" t="s">
        <v>53</v>
      </c>
      <c r="K1564" s="91" t="s">
        <v>69</v>
      </c>
      <c r="L1564" s="91" t="s">
        <v>70</v>
      </c>
      <c r="M1564" s="87">
        <v>1050</v>
      </c>
      <c r="N1564" s="639">
        <v>1300</v>
      </c>
      <c r="O1564" s="101" t="s">
        <v>56</v>
      </c>
      <c r="P1564" s="273">
        <v>51</v>
      </c>
      <c r="Q1564" s="273">
        <v>64</v>
      </c>
      <c r="R1564" s="60">
        <v>51</v>
      </c>
      <c r="S1564" s="273">
        <v>64</v>
      </c>
      <c r="T1564" s="273">
        <v>52</v>
      </c>
      <c r="U1564" s="273">
        <v>65</v>
      </c>
      <c r="V1564" s="608">
        <f>IF(J1564="Canvas",P1564+BorderGW,P1564)</f>
        <v>59</v>
      </c>
      <c r="W1564" s="608">
        <f>IF(J1564="Canvas",Q1564+BorderGW,Q1564)</f>
        <v>72</v>
      </c>
      <c r="X1564" s="137">
        <v>59</v>
      </c>
      <c r="Y1564" s="101"/>
      <c r="Z1564" s="101"/>
      <c r="AA1564" s="649">
        <f t="shared" si="558"/>
        <v>29.5</v>
      </c>
      <c r="AB1564" s="184">
        <f t="shared" si="559"/>
        <v>620.67999999999995</v>
      </c>
      <c r="AC1564" s="104">
        <f t="shared" si="560"/>
        <v>19.470000000000002</v>
      </c>
      <c r="AD1564" s="107">
        <f t="shared" si="562"/>
        <v>49.654400000000003</v>
      </c>
      <c r="AE1564" s="104">
        <f>IF(Table1[[#This Row],[Work Center]]="SwissQ",Materials!G$37,IF(Table1[[#This Row],[Work Center]]="Inca",Materials!G$29,IF(Table1[[#This Row],[Work Center]]="Canon",Materials!G$49,Materials!G$45)))</f>
        <v>8</v>
      </c>
      <c r="AF1564" s="104">
        <f>'Cali Frames'!D$342</f>
        <v>244.54499999999999</v>
      </c>
      <c r="AG1564" s="115"/>
      <c r="AH1564" s="112">
        <f t="shared" si="561"/>
        <v>52.5</v>
      </c>
      <c r="AI1564" s="112"/>
      <c r="AJ1564" s="104">
        <f t="shared" si="557"/>
        <v>374.1694</v>
      </c>
      <c r="AK1564" s="62">
        <f t="shared" ref="AK1564:AK1595" si="563">(M1564-AJ1564)/M1564</f>
        <v>0.64364819047619048</v>
      </c>
      <c r="AL1564" s="225">
        <f>Table1[[#This Row],[WSP/Dealer]]/Table1[[#This Row],[OD Sq Inch]]</f>
        <v>0.31065088757396447</v>
      </c>
      <c r="AM1564" s="103">
        <f>Table1[[#This Row],[OD Wdth]]*Table1[[#This Row],[OD Hgt]]</f>
        <v>3380</v>
      </c>
      <c r="AN1564" s="216">
        <f>Table1[[#This Row],[Min VO]]+Table1[[#This Row],[Max VO]]</f>
        <v>115</v>
      </c>
      <c r="AO1564" s="101"/>
      <c r="AP1564" s="101"/>
      <c r="AQ1564" s="104"/>
      <c r="AR1564" s="104"/>
      <c r="AS1564" s="104"/>
      <c r="AT1564" s="104"/>
      <c r="AU1564" s="830" t="str">
        <f t="shared" si="554"/>
        <v>-</v>
      </c>
    </row>
    <row r="1565" spans="1:47" s="63" customFormat="1" x14ac:dyDescent="0.2">
      <c r="A1565" s="86" t="s">
        <v>58</v>
      </c>
      <c r="B1565" s="1061" t="s">
        <v>3702</v>
      </c>
      <c r="C1565" s="100" t="s">
        <v>3703</v>
      </c>
      <c r="D1565" s="94" t="s">
        <v>3704</v>
      </c>
      <c r="E1565" s="85" t="s">
        <v>3705</v>
      </c>
      <c r="F1565" s="85" t="s">
        <v>1569</v>
      </c>
      <c r="G1565" s="86" t="s">
        <v>647</v>
      </c>
      <c r="H1565" s="86" t="s">
        <v>1213</v>
      </c>
      <c r="I1565" s="86" t="s">
        <v>52</v>
      </c>
      <c r="J1565" s="86" t="s">
        <v>280</v>
      </c>
      <c r="K1565" s="86" t="s">
        <v>69</v>
      </c>
      <c r="L1565" s="86" t="s">
        <v>70</v>
      </c>
      <c r="M1565" s="87">
        <v>308</v>
      </c>
      <c r="N1565" s="639">
        <v>340</v>
      </c>
      <c r="O1565" s="551" t="s">
        <v>56</v>
      </c>
      <c r="P1565" s="101">
        <v>20</v>
      </c>
      <c r="Q1565" s="101">
        <v>24</v>
      </c>
      <c r="R1565" s="60">
        <v>20</v>
      </c>
      <c r="S1565" s="273">
        <v>24</v>
      </c>
      <c r="T1565" s="101">
        <v>21</v>
      </c>
      <c r="U1565" s="101" t="str">
        <f>RIGHT(H1565,2)</f>
        <v>25</v>
      </c>
      <c r="V1565" s="608">
        <f t="shared" ref="V1565:V1584" si="564">IF(J1565="Canvas",P1565+Border,P1565)</f>
        <v>20</v>
      </c>
      <c r="W1565" s="608">
        <f t="shared" ref="W1565:W1584" si="565">IF(J1565="Canvas",Q1565+Border,Q1565)</f>
        <v>24</v>
      </c>
      <c r="X1565" s="137" t="s">
        <v>675</v>
      </c>
      <c r="Y1565" s="101"/>
      <c r="Z1565" s="101"/>
      <c r="AA1565" s="649">
        <f t="shared" si="558"/>
        <v>3.3333333333333335</v>
      </c>
      <c r="AB1565" s="184">
        <f t="shared" si="559"/>
        <v>70.13333333333334</v>
      </c>
      <c r="AC1565" s="104">
        <f>PETG48/8</f>
        <v>6.0824999999999996</v>
      </c>
      <c r="AD1565" s="107">
        <f t="shared" si="562"/>
        <v>5.6106666666666669</v>
      </c>
      <c r="AE1565" s="104">
        <f>IF(Table1[[#This Row],[Work Center]]="SwissQ",Materials!G$37,IF(Table1[[#This Row],[Work Center]]="Inca",Materials!G$29,IF(Table1[[#This Row],[Work Center]]="Canon",Materials!G$49,Materials!G$45)))</f>
        <v>8</v>
      </c>
      <c r="AF1565" s="104">
        <f>'Cali Frames'!D$273</f>
        <v>90.53</v>
      </c>
      <c r="AG1565" s="115"/>
      <c r="AH1565" s="112">
        <f t="shared" si="561"/>
        <v>15.4</v>
      </c>
      <c r="AI1565" s="112"/>
      <c r="AJ1565" s="107">
        <f t="shared" si="557"/>
        <v>125.62316666666668</v>
      </c>
      <c r="AK1565" s="62">
        <f t="shared" si="563"/>
        <v>0.59213257575757572</v>
      </c>
      <c r="AL1565" s="225">
        <f>Table1[[#This Row],[WSP/Dealer]]/Table1[[#This Row],[OD Sq Inch]]</f>
        <v>0.58666666666666667</v>
      </c>
      <c r="AM1565" s="103">
        <f>Table1[[#This Row],[OD Wdth]]*Table1[[#This Row],[OD Hgt]]</f>
        <v>525</v>
      </c>
      <c r="AN1565" s="216">
        <f>Table1[[#This Row],[Min VO]]+Table1[[#This Row],[Max VO]]</f>
        <v>44</v>
      </c>
      <c r="AO1565" s="101"/>
      <c r="AP1565" s="101"/>
      <c r="AQ1565" s="104"/>
      <c r="AR1565" s="104"/>
      <c r="AS1565" s="104"/>
      <c r="AT1565" s="104"/>
      <c r="AU1565" s="830" t="str">
        <f t="shared" si="554"/>
        <v>-</v>
      </c>
    </row>
    <row r="1566" spans="1:47" s="63" customFormat="1" x14ac:dyDescent="0.2">
      <c r="A1566" s="86" t="s">
        <v>58</v>
      </c>
      <c r="B1566" s="1061" t="s">
        <v>406</v>
      </c>
      <c r="C1566" s="76" t="s">
        <v>3706</v>
      </c>
      <c r="D1566" s="94" t="s">
        <v>3707</v>
      </c>
      <c r="E1566" s="85" t="s">
        <v>3708</v>
      </c>
      <c r="F1566" s="85" t="s">
        <v>1569</v>
      </c>
      <c r="G1566" s="86" t="s">
        <v>660</v>
      </c>
      <c r="H1566" s="86" t="s">
        <v>573</v>
      </c>
      <c r="I1566" s="86" t="s">
        <v>52</v>
      </c>
      <c r="J1566" s="86" t="s">
        <v>53</v>
      </c>
      <c r="K1566" s="86" t="s">
        <v>69</v>
      </c>
      <c r="L1566" s="86" t="s">
        <v>70</v>
      </c>
      <c r="M1566" s="87">
        <v>968</v>
      </c>
      <c r="N1566" s="639">
        <v>970</v>
      </c>
      <c r="O1566" s="551" t="s">
        <v>56</v>
      </c>
      <c r="P1566" s="101">
        <v>60</v>
      </c>
      <c r="Q1566" s="101">
        <v>40</v>
      </c>
      <c r="R1566" s="60">
        <v>40</v>
      </c>
      <c r="S1566" s="273">
        <v>60</v>
      </c>
      <c r="T1566" s="101">
        <v>61</v>
      </c>
      <c r="U1566" s="101">
        <v>41</v>
      </c>
      <c r="V1566" s="106">
        <f t="shared" si="564"/>
        <v>68</v>
      </c>
      <c r="W1566" s="106">
        <f t="shared" si="565"/>
        <v>48</v>
      </c>
      <c r="X1566" s="137">
        <v>122</v>
      </c>
      <c r="Y1566" s="101"/>
      <c r="Z1566" s="101"/>
      <c r="AA1566" s="649">
        <f t="shared" si="558"/>
        <v>22.666666666666668</v>
      </c>
      <c r="AB1566" s="184">
        <f t="shared" si="559"/>
        <v>476.90666666666669</v>
      </c>
      <c r="AC1566" s="104">
        <f>AA1566*Canvas</f>
        <v>14.96</v>
      </c>
      <c r="AD1566" s="107">
        <f t="shared" si="562"/>
        <v>38.152533333333338</v>
      </c>
      <c r="AE1566" s="104">
        <f>IF(Table1[[#This Row],[Work Center]]="SwissQ",Materials!G$37,IF(Table1[[#This Row],[Work Center]]="Inca",Materials!G$29,IF(Table1[[#This Row],[Work Center]]="Canon",Materials!G$49,Materials!G$45)))</f>
        <v>8</v>
      </c>
      <c r="AF1566" s="104" t="e">
        <f>'Cali Frames'!#REF!</f>
        <v>#REF!</v>
      </c>
      <c r="AG1566" s="115"/>
      <c r="AH1566" s="498">
        <f t="shared" si="561"/>
        <v>48.400000000000006</v>
      </c>
      <c r="AI1566" s="498"/>
      <c r="AJ1566" s="104" t="e">
        <f t="shared" si="557"/>
        <v>#REF!</v>
      </c>
      <c r="AK1566" s="650" t="e">
        <f t="shared" si="563"/>
        <v>#REF!</v>
      </c>
      <c r="AL1566" s="225">
        <f>Table1[[#This Row],[WSP/Dealer]]/Table1[[#This Row],[OD Sq Inch]]</f>
        <v>0.38704518192722909</v>
      </c>
      <c r="AM1566" s="218">
        <f>Table1[[#This Row],[OD Wdth]]*Table1[[#This Row],[OD Hgt]]</f>
        <v>2501</v>
      </c>
      <c r="AN1566" s="216">
        <f>Table1[[#This Row],[Min VO]]+Table1[[#This Row],[Max VO]]</f>
        <v>100</v>
      </c>
      <c r="AO1566" s="103"/>
      <c r="AP1566" s="101"/>
      <c r="AQ1566" s="104"/>
      <c r="AR1566" s="104"/>
      <c r="AS1566" s="104"/>
      <c r="AT1566" s="104"/>
      <c r="AU1566" s="830" t="str">
        <f t="shared" si="554"/>
        <v>-</v>
      </c>
    </row>
    <row r="1567" spans="1:47" s="63" customFormat="1" hidden="1" x14ac:dyDescent="0.2">
      <c r="A1567" s="68" t="s">
        <v>110</v>
      </c>
      <c r="B1567" s="1072" t="s">
        <v>486</v>
      </c>
      <c r="C1567" s="1646" t="s">
        <v>3709</v>
      </c>
      <c r="D1567" s="94"/>
      <c r="E1567" s="84" t="s">
        <v>3710</v>
      </c>
      <c r="F1567" s="84" t="s">
        <v>1569</v>
      </c>
      <c r="G1567" s="1111" t="s">
        <v>647</v>
      </c>
      <c r="H1567" s="1111" t="s">
        <v>647</v>
      </c>
      <c r="I1567" s="282" t="s">
        <v>52</v>
      </c>
      <c r="J1567" s="808" t="s">
        <v>53</v>
      </c>
      <c r="K1567" s="282" t="s">
        <v>54</v>
      </c>
      <c r="L1567" s="282"/>
      <c r="M1567" s="93">
        <v>250</v>
      </c>
      <c r="N1567" s="93"/>
      <c r="O1567" s="68" t="s">
        <v>56</v>
      </c>
      <c r="P1567" s="68">
        <v>20</v>
      </c>
      <c r="Q1567" s="68">
        <v>24</v>
      </c>
      <c r="R1567" s="68">
        <v>20</v>
      </c>
      <c r="S1567" s="65">
        <v>24</v>
      </c>
      <c r="T1567" s="63">
        <v>20</v>
      </c>
      <c r="U1567" s="63">
        <v>24</v>
      </c>
      <c r="V1567" s="917">
        <f t="shared" si="564"/>
        <v>28</v>
      </c>
      <c r="W1567" s="917">
        <f t="shared" si="565"/>
        <v>32</v>
      </c>
      <c r="X1567" s="68">
        <v>40</v>
      </c>
      <c r="Y1567" s="68">
        <v>28</v>
      </c>
      <c r="Z1567" s="68">
        <v>32</v>
      </c>
      <c r="AA1567" s="699">
        <f t="shared" si="558"/>
        <v>6.2222222222222223</v>
      </c>
      <c r="AB1567" s="297">
        <f t="shared" si="559"/>
        <v>130.91555555555556</v>
      </c>
      <c r="AC1567" s="74">
        <f>AA1567*Canvas</f>
        <v>4.1066666666666674</v>
      </c>
      <c r="AD1567" s="67">
        <f t="shared" si="562"/>
        <v>10.473244444444445</v>
      </c>
      <c r="AE1567" s="74">
        <f>IF(Table1[[#This Row],[Work Center]]="SwissQ",Materials!G$37,IF(Table1[[#This Row],[Work Center]]="Inca",Materials!G$29,IF(Table1[[#This Row],[Work Center]]="Canon",Materials!G$49,Materials!G$45)))</f>
        <v>8</v>
      </c>
      <c r="AF1567" s="73">
        <f>'Cali FPS'!C26</f>
        <v>62.16</v>
      </c>
      <c r="AG1567" s="84"/>
      <c r="AH1567" s="263">
        <f t="shared" si="561"/>
        <v>12.5</v>
      </c>
      <c r="AI1567" s="263"/>
      <c r="AJ1567" s="263">
        <f t="shared" si="557"/>
        <v>97.239911111111113</v>
      </c>
      <c r="AK1567" s="688">
        <f t="shared" si="563"/>
        <v>0.61104035555555558</v>
      </c>
      <c r="AL1567" s="278">
        <f>Table1[[#This Row],[WSP/Dealer]]/Table1[[#This Row],[OD Sq Inch]]</f>
        <v>0.52083333333333337</v>
      </c>
      <c r="AM1567" s="170">
        <f>Table1[[#This Row],[OD Wdth]]*Table1[[#This Row],[OD Hgt]]</f>
        <v>480</v>
      </c>
      <c r="AN1567" s="274">
        <f>Table1[[#This Row],[Min VO]]+Table1[[#This Row],[Max VO]]</f>
        <v>44</v>
      </c>
      <c r="AO1567" s="119"/>
      <c r="AP1567" s="84"/>
      <c r="AQ1567" s="74">
        <f>(Table1[[#This Row],[Desgnr/Retail P]]*0.05)</f>
        <v>0</v>
      </c>
      <c r="AR1567" s="74">
        <f>IF(A1567="Codarus",(AP1567*0.13))</f>
        <v>0</v>
      </c>
      <c r="AS1567" s="74" t="e" cm="1">
        <f t="array" ref="AS1567">SUM(AC1567:AG1567+AQ+AR)</f>
        <v>#NAME?</v>
      </c>
      <c r="AT1567" s="74" t="e">
        <f>(AP1567-AS1567)/AP1567</f>
        <v>#NAME?</v>
      </c>
      <c r="AU1567" s="1357" t="str">
        <f t="shared" si="554"/>
        <v>-</v>
      </c>
    </row>
    <row r="1568" spans="1:47" s="103" customFormat="1" x14ac:dyDescent="0.2">
      <c r="A1568" s="86" t="s">
        <v>58</v>
      </c>
      <c r="B1568" s="1061" t="s">
        <v>406</v>
      </c>
      <c r="C1568" s="100" t="s">
        <v>3711</v>
      </c>
      <c r="D1568" s="94" t="s">
        <v>3712</v>
      </c>
      <c r="E1568" s="85" t="s">
        <v>3713</v>
      </c>
      <c r="F1568" s="85" t="s">
        <v>1569</v>
      </c>
      <c r="G1568" s="86" t="s">
        <v>647</v>
      </c>
      <c r="H1568" s="86" t="s">
        <v>1213</v>
      </c>
      <c r="I1568" s="86" t="s">
        <v>52</v>
      </c>
      <c r="J1568" s="86" t="s">
        <v>280</v>
      </c>
      <c r="K1568" s="86" t="s">
        <v>69</v>
      </c>
      <c r="L1568" s="86" t="s">
        <v>70</v>
      </c>
      <c r="M1568" s="87">
        <v>308</v>
      </c>
      <c r="N1568" s="639">
        <v>340</v>
      </c>
      <c r="O1568" s="551" t="s">
        <v>56</v>
      </c>
      <c r="P1568" s="101">
        <v>20</v>
      </c>
      <c r="Q1568" s="101">
        <v>24</v>
      </c>
      <c r="R1568" s="60">
        <v>20</v>
      </c>
      <c r="S1568" s="273">
        <v>24</v>
      </c>
      <c r="T1568" s="101">
        <v>21</v>
      </c>
      <c r="U1568" s="101" t="str">
        <f>RIGHT(H1568,2)</f>
        <v>25</v>
      </c>
      <c r="V1568" s="608">
        <f t="shared" si="564"/>
        <v>20</v>
      </c>
      <c r="W1568" s="608">
        <f t="shared" si="565"/>
        <v>24</v>
      </c>
      <c r="X1568" s="137" t="s">
        <v>675</v>
      </c>
      <c r="Y1568" s="101"/>
      <c r="Z1568" s="101"/>
      <c r="AA1568" s="649">
        <f t="shared" si="558"/>
        <v>3.3333333333333335</v>
      </c>
      <c r="AB1568" s="184">
        <f t="shared" si="559"/>
        <v>70.13333333333334</v>
      </c>
      <c r="AC1568" s="107">
        <f>PETG48/8</f>
        <v>6.0824999999999996</v>
      </c>
      <c r="AD1568" s="107">
        <f t="shared" si="562"/>
        <v>5.6106666666666669</v>
      </c>
      <c r="AE1568" s="104">
        <f>IF(Table1[[#This Row],[Work Center]]="SwissQ",Materials!G$37,IF(Table1[[#This Row],[Work Center]]="Inca",Materials!G$29,IF(Table1[[#This Row],[Work Center]]="Canon",Materials!G$49,Materials!G$45)))</f>
        <v>8</v>
      </c>
      <c r="AF1568" s="104">
        <f>'Cali Frames'!D$273</f>
        <v>90.53</v>
      </c>
      <c r="AG1568" s="115"/>
      <c r="AH1568" s="112">
        <f t="shared" si="561"/>
        <v>15.4</v>
      </c>
      <c r="AI1568" s="112"/>
      <c r="AJ1568" s="107">
        <f t="shared" si="557"/>
        <v>125.62316666666668</v>
      </c>
      <c r="AK1568" s="62">
        <f t="shared" si="563"/>
        <v>0.59213257575757572</v>
      </c>
      <c r="AL1568" s="225">
        <f>Table1[[#This Row],[WSP/Dealer]]/Table1[[#This Row],[OD Sq Inch]]</f>
        <v>0.58666666666666667</v>
      </c>
      <c r="AM1568" s="103">
        <f>Table1[[#This Row],[OD Wdth]]*Table1[[#This Row],[OD Hgt]]</f>
        <v>525</v>
      </c>
      <c r="AN1568" s="216">
        <f>Table1[[#This Row],[Min VO]]+Table1[[#This Row],[Max VO]]</f>
        <v>44</v>
      </c>
      <c r="AO1568" s="101"/>
      <c r="AP1568" s="101"/>
      <c r="AQ1568" s="104"/>
      <c r="AR1568" s="104"/>
      <c r="AS1568" s="104"/>
      <c r="AT1568" s="104"/>
      <c r="AU1568" s="830" t="str">
        <f t="shared" si="554"/>
        <v>-</v>
      </c>
    </row>
    <row r="1569" spans="1:47" s="63" customFormat="1" x14ac:dyDescent="0.2">
      <c r="A1569" s="86" t="s">
        <v>58</v>
      </c>
      <c r="B1569" s="279" t="s">
        <v>406</v>
      </c>
      <c r="C1569" s="76" t="s">
        <v>3714</v>
      </c>
      <c r="D1569" s="94" t="s">
        <v>3715</v>
      </c>
      <c r="E1569" s="85" t="s">
        <v>3713</v>
      </c>
      <c r="F1569" s="85" t="s">
        <v>1569</v>
      </c>
      <c r="G1569" s="969" t="s">
        <v>3716</v>
      </c>
      <c r="H1569" s="969" t="s">
        <v>1213</v>
      </c>
      <c r="I1569" s="91" t="s">
        <v>52</v>
      </c>
      <c r="J1569" s="91" t="s">
        <v>53</v>
      </c>
      <c r="K1569" s="91" t="s">
        <v>69</v>
      </c>
      <c r="L1569" s="91" t="s">
        <v>70</v>
      </c>
      <c r="M1569" s="87">
        <v>308</v>
      </c>
      <c r="N1569" s="639">
        <v>340</v>
      </c>
      <c r="O1569" s="551" t="s">
        <v>56</v>
      </c>
      <c r="P1569" s="101">
        <v>20</v>
      </c>
      <c r="Q1569" s="101">
        <v>24</v>
      </c>
      <c r="R1569" s="60">
        <v>20</v>
      </c>
      <c r="S1569" s="273">
        <v>24</v>
      </c>
      <c r="T1569" s="101">
        <v>21</v>
      </c>
      <c r="U1569" s="101">
        <v>25</v>
      </c>
      <c r="V1569" s="608">
        <f t="shared" si="564"/>
        <v>28</v>
      </c>
      <c r="W1569" s="608">
        <f t="shared" si="565"/>
        <v>32</v>
      </c>
      <c r="X1569" s="157" t="s">
        <v>1070</v>
      </c>
      <c r="Y1569" s="60">
        <v>32</v>
      </c>
      <c r="Z1569" s="60">
        <f>Table1[[#This Row],[Print Wth]]*3</f>
        <v>84</v>
      </c>
      <c r="AA1569" s="649">
        <f t="shared" si="558"/>
        <v>6.2222222222222223</v>
      </c>
      <c r="AB1569" s="184">
        <f t="shared" si="559"/>
        <v>130.91555555555556</v>
      </c>
      <c r="AC1569" s="104">
        <f>AA1569*Canvas</f>
        <v>4.1066666666666674</v>
      </c>
      <c r="AD1569" s="107">
        <f t="shared" si="562"/>
        <v>10.473244444444445</v>
      </c>
      <c r="AE1569" s="104">
        <f>IF(Table1[[#This Row],[Work Center]]="SwissQ",Materials!G$37,IF(Table1[[#This Row],[Work Center]]="Inca",Materials!G$29,IF(Table1[[#This Row],[Work Center]]="Canon",Materials!G$49,Materials!G$45)))</f>
        <v>8</v>
      </c>
      <c r="AF1569" s="104">
        <f>'Cali Frames'!D$273</f>
        <v>90.53</v>
      </c>
      <c r="AG1569" s="115"/>
      <c r="AH1569" s="112">
        <f t="shared" si="561"/>
        <v>15.4</v>
      </c>
      <c r="AI1569" s="112"/>
      <c r="AJ1569" s="104">
        <f t="shared" si="557"/>
        <v>128.50991111111111</v>
      </c>
      <c r="AK1569" s="62">
        <f t="shared" si="563"/>
        <v>0.58276002886002887</v>
      </c>
      <c r="AL1569" s="225">
        <f>Table1[[#This Row],[WSP/Dealer]]/Table1[[#This Row],[OD Sq Inch]]</f>
        <v>0.58666666666666667</v>
      </c>
      <c r="AM1569" s="218">
        <f>Table1[[#This Row],[OD Wdth]]*Table1[[#This Row],[OD Hgt]]</f>
        <v>525</v>
      </c>
      <c r="AN1569" s="216">
        <f>Table1[[#This Row],[Min VO]]+Table1[[#This Row],[Max VO]]</f>
        <v>44</v>
      </c>
      <c r="AO1569" s="101"/>
      <c r="AP1569" s="101"/>
      <c r="AQ1569" s="104"/>
      <c r="AR1569" s="104"/>
      <c r="AS1569" s="104"/>
      <c r="AT1569" s="104"/>
      <c r="AU1569" s="830" t="str">
        <f t="shared" si="554"/>
        <v>-</v>
      </c>
    </row>
    <row r="1570" spans="1:47" s="63" customFormat="1" x14ac:dyDescent="0.2">
      <c r="A1570" s="86" t="s">
        <v>58</v>
      </c>
      <c r="B1570" s="1061" t="s">
        <v>406</v>
      </c>
      <c r="C1570" s="100" t="s">
        <v>3717</v>
      </c>
      <c r="D1570" s="94" t="s">
        <v>3718</v>
      </c>
      <c r="E1570" s="85" t="s">
        <v>3719</v>
      </c>
      <c r="F1570" s="85" t="s">
        <v>1569</v>
      </c>
      <c r="G1570" s="86" t="s">
        <v>647</v>
      </c>
      <c r="H1570" s="86" t="s">
        <v>1213</v>
      </c>
      <c r="I1570" s="86" t="s">
        <v>52</v>
      </c>
      <c r="J1570" s="86" t="s">
        <v>280</v>
      </c>
      <c r="K1570" s="86" t="s">
        <v>69</v>
      </c>
      <c r="L1570" s="86" t="s">
        <v>70</v>
      </c>
      <c r="M1570" s="87">
        <v>308</v>
      </c>
      <c r="N1570" s="639">
        <v>340</v>
      </c>
      <c r="O1570" s="551" t="s">
        <v>56</v>
      </c>
      <c r="P1570" s="101">
        <v>20</v>
      </c>
      <c r="Q1570" s="101">
        <v>24</v>
      </c>
      <c r="R1570" s="60">
        <v>20</v>
      </c>
      <c r="S1570" s="273">
        <v>24</v>
      </c>
      <c r="T1570" s="101">
        <v>21</v>
      </c>
      <c r="U1570" s="101" t="str">
        <f>RIGHT(H1570,2)</f>
        <v>25</v>
      </c>
      <c r="V1570" s="608">
        <f t="shared" si="564"/>
        <v>20</v>
      </c>
      <c r="W1570" s="608">
        <f t="shared" si="565"/>
        <v>24</v>
      </c>
      <c r="X1570" s="137" t="s">
        <v>675</v>
      </c>
      <c r="Y1570" s="101"/>
      <c r="Z1570" s="101"/>
      <c r="AA1570" s="649">
        <f t="shared" si="558"/>
        <v>3.3333333333333335</v>
      </c>
      <c r="AB1570" s="184">
        <f t="shared" si="559"/>
        <v>70.13333333333334</v>
      </c>
      <c r="AC1570" s="104">
        <f>PETG48/8</f>
        <v>6.0824999999999996</v>
      </c>
      <c r="AD1570" s="104">
        <f t="shared" si="562"/>
        <v>5.6106666666666669</v>
      </c>
      <c r="AE1570" s="104">
        <f>IF(Table1[[#This Row],[Work Center]]="SwissQ",Materials!G$37,IF(Table1[[#This Row],[Work Center]]="Inca",Materials!G$29,IF(Table1[[#This Row],[Work Center]]="Canon",Materials!G$49,Materials!G$45)))</f>
        <v>8</v>
      </c>
      <c r="AF1570" s="104">
        <f>'Cali Frames'!D$273</f>
        <v>90.53</v>
      </c>
      <c r="AG1570" s="115"/>
      <c r="AH1570" s="112">
        <f t="shared" si="561"/>
        <v>15.4</v>
      </c>
      <c r="AI1570" s="112"/>
      <c r="AJ1570" s="104">
        <f t="shared" si="557"/>
        <v>125.62316666666668</v>
      </c>
      <c r="AK1570" s="62">
        <f t="shared" si="563"/>
        <v>0.59213257575757572</v>
      </c>
      <c r="AL1570" s="225">
        <f>Table1[[#This Row],[WSP/Dealer]]/Table1[[#This Row],[OD Sq Inch]]</f>
        <v>0.58666666666666667</v>
      </c>
      <c r="AM1570" s="218">
        <f>Table1[[#This Row],[OD Wdth]]*Table1[[#This Row],[OD Hgt]]</f>
        <v>525</v>
      </c>
      <c r="AN1570" s="216">
        <f>Table1[[#This Row],[Min VO]]+Table1[[#This Row],[Max VO]]</f>
        <v>44</v>
      </c>
      <c r="AO1570" s="101"/>
      <c r="AP1570" s="101"/>
      <c r="AQ1570" s="104"/>
      <c r="AR1570" s="104"/>
      <c r="AS1570" s="104"/>
      <c r="AT1570" s="104"/>
      <c r="AU1570" s="830" t="str">
        <f t="shared" si="554"/>
        <v>-</v>
      </c>
    </row>
    <row r="1571" spans="1:47" s="63" customFormat="1" x14ac:dyDescent="0.2">
      <c r="A1571" s="86" t="s">
        <v>58</v>
      </c>
      <c r="B1571" s="1061" t="s">
        <v>406</v>
      </c>
      <c r="C1571" s="76" t="s">
        <v>3720</v>
      </c>
      <c r="D1571" s="94" t="s">
        <v>3721</v>
      </c>
      <c r="E1571" s="85" t="s">
        <v>3719</v>
      </c>
      <c r="F1571" s="85" t="s">
        <v>1569</v>
      </c>
      <c r="G1571" s="969" t="s">
        <v>3716</v>
      </c>
      <c r="H1571" s="969" t="s">
        <v>1213</v>
      </c>
      <c r="I1571" s="91" t="s">
        <v>52</v>
      </c>
      <c r="J1571" s="91" t="s">
        <v>53</v>
      </c>
      <c r="K1571" s="91" t="s">
        <v>69</v>
      </c>
      <c r="L1571" s="91" t="s">
        <v>70</v>
      </c>
      <c r="M1571" s="87">
        <v>308</v>
      </c>
      <c r="N1571" s="639">
        <v>340</v>
      </c>
      <c r="O1571" s="551" t="s">
        <v>56</v>
      </c>
      <c r="P1571" s="101">
        <v>20</v>
      </c>
      <c r="Q1571" s="101">
        <v>24</v>
      </c>
      <c r="R1571" s="60">
        <v>20</v>
      </c>
      <c r="S1571" s="273">
        <v>24</v>
      </c>
      <c r="T1571" s="101">
        <v>21</v>
      </c>
      <c r="U1571" s="101">
        <v>25</v>
      </c>
      <c r="V1571" s="608">
        <f t="shared" si="564"/>
        <v>28</v>
      </c>
      <c r="W1571" s="608">
        <f t="shared" si="565"/>
        <v>32</v>
      </c>
      <c r="X1571" s="157" t="s">
        <v>1070</v>
      </c>
      <c r="Y1571" s="60">
        <v>32</v>
      </c>
      <c r="Z1571" s="60">
        <f>Table1[[#This Row],[Print Wth]]*3</f>
        <v>84</v>
      </c>
      <c r="AA1571" s="649">
        <f t="shared" si="558"/>
        <v>6.2222222222222223</v>
      </c>
      <c r="AB1571" s="184">
        <f t="shared" si="559"/>
        <v>130.91555555555556</v>
      </c>
      <c r="AC1571" s="104">
        <f>AA1571*Canvas</f>
        <v>4.1066666666666674</v>
      </c>
      <c r="AD1571" s="104">
        <f t="shared" si="562"/>
        <v>10.473244444444445</v>
      </c>
      <c r="AE1571" s="104">
        <f>IF(Table1[[#This Row],[Work Center]]="SwissQ",Materials!G$37,IF(Table1[[#This Row],[Work Center]]="Inca",Materials!G$29,IF(Table1[[#This Row],[Work Center]]="Canon",Materials!G$49,Materials!G$45)))</f>
        <v>8</v>
      </c>
      <c r="AF1571" s="104">
        <f>'Cali Frames'!D$273</f>
        <v>90.53</v>
      </c>
      <c r="AG1571" s="115"/>
      <c r="AH1571" s="112">
        <f t="shared" si="561"/>
        <v>15.4</v>
      </c>
      <c r="AI1571" s="112"/>
      <c r="AJ1571" s="104">
        <f t="shared" si="557"/>
        <v>128.50991111111111</v>
      </c>
      <c r="AK1571" s="62">
        <f t="shared" si="563"/>
        <v>0.58276002886002887</v>
      </c>
      <c r="AL1571" s="225">
        <f>Table1[[#This Row],[WSP/Dealer]]/Table1[[#This Row],[OD Sq Inch]]</f>
        <v>0.58666666666666667</v>
      </c>
      <c r="AM1571" s="103">
        <f>Table1[[#This Row],[OD Wdth]]*Table1[[#This Row],[OD Hgt]]</f>
        <v>525</v>
      </c>
      <c r="AN1571" s="216">
        <f>Table1[[#This Row],[Min VO]]+Table1[[#This Row],[Max VO]]</f>
        <v>44</v>
      </c>
      <c r="AO1571" s="101"/>
      <c r="AP1571" s="101"/>
      <c r="AQ1571" s="104"/>
      <c r="AR1571" s="104"/>
      <c r="AS1571" s="104"/>
      <c r="AT1571" s="104"/>
      <c r="AU1571" s="830" t="str">
        <f t="shared" si="554"/>
        <v>-</v>
      </c>
    </row>
    <row r="1572" spans="1:47" s="63" customFormat="1" x14ac:dyDescent="0.2">
      <c r="A1572" s="86" t="s">
        <v>58</v>
      </c>
      <c r="B1572" s="1061" t="s">
        <v>406</v>
      </c>
      <c r="C1572" s="100" t="s">
        <v>3722</v>
      </c>
      <c r="D1572" s="94" t="s">
        <v>3723</v>
      </c>
      <c r="E1572" s="85" t="s">
        <v>3724</v>
      </c>
      <c r="F1572" s="85" t="s">
        <v>1569</v>
      </c>
      <c r="G1572" s="86" t="s">
        <v>647</v>
      </c>
      <c r="H1572" s="86" t="s">
        <v>1213</v>
      </c>
      <c r="I1572" s="86" t="s">
        <v>52</v>
      </c>
      <c r="J1572" s="86" t="s">
        <v>280</v>
      </c>
      <c r="K1572" s="86" t="s">
        <v>69</v>
      </c>
      <c r="L1572" s="86" t="s">
        <v>70</v>
      </c>
      <c r="M1572" s="87">
        <v>308</v>
      </c>
      <c r="N1572" s="639">
        <v>340</v>
      </c>
      <c r="O1572" s="551" t="s">
        <v>56</v>
      </c>
      <c r="P1572" s="101">
        <v>20</v>
      </c>
      <c r="Q1572" s="101">
        <v>24</v>
      </c>
      <c r="R1572" s="60">
        <v>20</v>
      </c>
      <c r="S1572" s="273">
        <v>24</v>
      </c>
      <c r="T1572" s="101">
        <v>21</v>
      </c>
      <c r="U1572" s="101" t="str">
        <f>RIGHT(H1572,2)</f>
        <v>25</v>
      </c>
      <c r="V1572" s="608">
        <f t="shared" si="564"/>
        <v>20</v>
      </c>
      <c r="W1572" s="608">
        <f t="shared" si="565"/>
        <v>24</v>
      </c>
      <c r="X1572" s="137" t="s">
        <v>675</v>
      </c>
      <c r="Y1572" s="101"/>
      <c r="Z1572" s="101"/>
      <c r="AA1572" s="649">
        <f t="shared" si="558"/>
        <v>3.3333333333333335</v>
      </c>
      <c r="AB1572" s="184">
        <f t="shared" si="559"/>
        <v>70.13333333333334</v>
      </c>
      <c r="AC1572" s="104">
        <f>PETG48/8</f>
        <v>6.0824999999999996</v>
      </c>
      <c r="AD1572" s="107">
        <f t="shared" si="562"/>
        <v>5.6106666666666669</v>
      </c>
      <c r="AE1572" s="104">
        <f>IF(Table1[[#This Row],[Work Center]]="SwissQ",Materials!G$37,IF(Table1[[#This Row],[Work Center]]="Inca",Materials!G$29,IF(Table1[[#This Row],[Work Center]]="Canon",Materials!G$49,Materials!G$45)))</f>
        <v>8</v>
      </c>
      <c r="AF1572" s="104">
        <f>'Cali Frames'!D$273</f>
        <v>90.53</v>
      </c>
      <c r="AG1572" s="115"/>
      <c r="AH1572" s="112">
        <f t="shared" si="561"/>
        <v>15.4</v>
      </c>
      <c r="AI1572" s="112"/>
      <c r="AJ1572" s="104">
        <f t="shared" si="557"/>
        <v>125.62316666666668</v>
      </c>
      <c r="AK1572" s="62">
        <f t="shared" si="563"/>
        <v>0.59213257575757572</v>
      </c>
      <c r="AL1572" s="225">
        <f>Table1[[#This Row],[WSP/Dealer]]/Table1[[#This Row],[OD Sq Inch]]</f>
        <v>0.58666666666666667</v>
      </c>
      <c r="AM1572" s="216">
        <f>Table1[[#This Row],[OD Wdth]]*Table1[[#This Row],[OD Hgt]]</f>
        <v>525</v>
      </c>
      <c r="AN1572" s="216">
        <f>Table1[[#This Row],[Min VO]]+Table1[[#This Row],[Max VO]]</f>
        <v>44</v>
      </c>
      <c r="AO1572" s="101"/>
      <c r="AP1572" s="101"/>
      <c r="AQ1572" s="104"/>
      <c r="AR1572" s="104"/>
      <c r="AS1572" s="104"/>
      <c r="AT1572" s="104"/>
      <c r="AU1572" s="830" t="str">
        <f t="shared" si="554"/>
        <v>-</v>
      </c>
    </row>
    <row r="1573" spans="1:47" s="63" customFormat="1" x14ac:dyDescent="0.2">
      <c r="A1573" s="86" t="s">
        <v>58</v>
      </c>
      <c r="B1573" s="1061" t="s">
        <v>406</v>
      </c>
      <c r="C1573" s="76" t="s">
        <v>3725</v>
      </c>
      <c r="D1573" s="94" t="s">
        <v>3726</v>
      </c>
      <c r="E1573" s="85" t="s">
        <v>3724</v>
      </c>
      <c r="F1573" s="85" t="s">
        <v>1569</v>
      </c>
      <c r="G1573" s="969" t="s">
        <v>3716</v>
      </c>
      <c r="H1573" s="969" t="s">
        <v>1213</v>
      </c>
      <c r="I1573" s="91" t="s">
        <v>52</v>
      </c>
      <c r="J1573" s="86" t="s">
        <v>53</v>
      </c>
      <c r="K1573" s="86" t="s">
        <v>69</v>
      </c>
      <c r="L1573" s="86" t="s">
        <v>70</v>
      </c>
      <c r="M1573" s="87">
        <v>308</v>
      </c>
      <c r="N1573" s="639">
        <v>340</v>
      </c>
      <c r="O1573" s="551" t="s">
        <v>56</v>
      </c>
      <c r="P1573" s="103">
        <v>20</v>
      </c>
      <c r="Q1573" s="103">
        <v>24</v>
      </c>
      <c r="R1573" s="60">
        <v>20</v>
      </c>
      <c r="S1573" s="61">
        <v>24</v>
      </c>
      <c r="T1573" s="103">
        <v>21</v>
      </c>
      <c r="U1573" s="103">
        <v>25</v>
      </c>
      <c r="V1573" s="106">
        <f t="shared" si="564"/>
        <v>28</v>
      </c>
      <c r="W1573" s="106">
        <f t="shared" si="565"/>
        <v>32</v>
      </c>
      <c r="X1573" s="157" t="s">
        <v>1070</v>
      </c>
      <c r="Y1573" s="46">
        <v>32</v>
      </c>
      <c r="Z1573" s="46">
        <f>Table1[[#This Row],[Print Wth]]*3</f>
        <v>84</v>
      </c>
      <c r="AA1573" s="649">
        <f t="shared" si="558"/>
        <v>6.2222222222222223</v>
      </c>
      <c r="AB1573" s="184">
        <f t="shared" si="559"/>
        <v>130.91555555555556</v>
      </c>
      <c r="AC1573" s="104">
        <f>AA1573*Canvas</f>
        <v>4.1066666666666674</v>
      </c>
      <c r="AD1573" s="107">
        <f t="shared" si="562"/>
        <v>10.473244444444445</v>
      </c>
      <c r="AE1573" s="104">
        <f>IF(Table1[[#This Row],[Work Center]]="SwissQ",Materials!G$37,IF(Table1[[#This Row],[Work Center]]="Inca",Materials!G$29,IF(Table1[[#This Row],[Work Center]]="Canon",Materials!G$49,Materials!G$45)))</f>
        <v>8</v>
      </c>
      <c r="AF1573" s="104">
        <f>'Cali Frames'!D$273</f>
        <v>90.53</v>
      </c>
      <c r="AG1573" s="115"/>
      <c r="AH1573" s="112">
        <f t="shared" si="561"/>
        <v>15.4</v>
      </c>
      <c r="AI1573" s="112"/>
      <c r="AJ1573" s="104">
        <f t="shared" si="557"/>
        <v>128.50991111111111</v>
      </c>
      <c r="AK1573" s="62">
        <f t="shared" si="563"/>
        <v>0.58276002886002887</v>
      </c>
      <c r="AL1573" s="225">
        <f>Table1[[#This Row],[WSP/Dealer]]/Table1[[#This Row],[OD Sq Inch]]</f>
        <v>0.58666666666666667</v>
      </c>
      <c r="AM1573" s="97">
        <f>Table1[[#This Row],[OD Wdth]]*Table1[[#This Row],[OD Hgt]]</f>
        <v>525</v>
      </c>
      <c r="AN1573" s="216">
        <f>Table1[[#This Row],[Min VO]]+Table1[[#This Row],[Max VO]]</f>
        <v>44</v>
      </c>
      <c r="AO1573" s="103"/>
      <c r="AP1573" s="101"/>
      <c r="AQ1573" s="104"/>
      <c r="AR1573" s="104"/>
      <c r="AS1573" s="104"/>
      <c r="AT1573" s="104"/>
      <c r="AU1573" s="108" t="str">
        <f t="shared" si="554"/>
        <v>-</v>
      </c>
    </row>
    <row r="1574" spans="1:47" s="63" customFormat="1" x14ac:dyDescent="0.2">
      <c r="A1574" s="86" t="s">
        <v>58</v>
      </c>
      <c r="B1574" s="279" t="s">
        <v>406</v>
      </c>
      <c r="C1574" s="100" t="s">
        <v>3727</v>
      </c>
      <c r="D1574" s="94" t="s">
        <v>3728</v>
      </c>
      <c r="E1574" s="85" t="s">
        <v>3729</v>
      </c>
      <c r="F1574" s="85" t="s">
        <v>1569</v>
      </c>
      <c r="G1574" s="86" t="s">
        <v>647</v>
      </c>
      <c r="H1574" s="86" t="s">
        <v>1213</v>
      </c>
      <c r="I1574" s="86" t="s">
        <v>52</v>
      </c>
      <c r="J1574" s="86" t="s">
        <v>280</v>
      </c>
      <c r="K1574" s="86" t="s">
        <v>69</v>
      </c>
      <c r="L1574" s="86" t="s">
        <v>70</v>
      </c>
      <c r="M1574" s="87">
        <v>308</v>
      </c>
      <c r="N1574" s="639">
        <v>340</v>
      </c>
      <c r="O1574" s="551" t="s">
        <v>56</v>
      </c>
      <c r="P1574" s="101">
        <v>20</v>
      </c>
      <c r="Q1574" s="101">
        <v>24</v>
      </c>
      <c r="R1574" s="60">
        <v>20</v>
      </c>
      <c r="S1574" s="273">
        <v>24</v>
      </c>
      <c r="T1574" s="101">
        <v>21</v>
      </c>
      <c r="U1574" s="101" t="str">
        <f>RIGHT(H1574,2)</f>
        <v>25</v>
      </c>
      <c r="V1574" s="608">
        <f t="shared" si="564"/>
        <v>20</v>
      </c>
      <c r="W1574" s="608">
        <f t="shared" si="565"/>
        <v>24</v>
      </c>
      <c r="X1574" s="137" t="s">
        <v>675</v>
      </c>
      <c r="Y1574" s="101"/>
      <c r="Z1574" s="101"/>
      <c r="AA1574" s="649">
        <f t="shared" si="558"/>
        <v>3.3333333333333335</v>
      </c>
      <c r="AB1574" s="184">
        <f t="shared" si="559"/>
        <v>70.13333333333334</v>
      </c>
      <c r="AC1574" s="104">
        <f>PETG48/8</f>
        <v>6.0824999999999996</v>
      </c>
      <c r="AD1574" s="107">
        <f t="shared" si="562"/>
        <v>5.6106666666666669</v>
      </c>
      <c r="AE1574" s="104">
        <f>IF(Table1[[#This Row],[Work Center]]="SwissQ",Materials!G$37,IF(Table1[[#This Row],[Work Center]]="Inca",Materials!G$29,IF(Table1[[#This Row],[Work Center]]="Canon",Materials!G$49,Materials!G$45)))</f>
        <v>8</v>
      </c>
      <c r="AF1574" s="104">
        <f>'Cali Frames'!D$273</f>
        <v>90.53</v>
      </c>
      <c r="AG1574" s="115"/>
      <c r="AH1574" s="498">
        <f t="shared" si="561"/>
        <v>15.4</v>
      </c>
      <c r="AI1574" s="498"/>
      <c r="AJ1574" s="104">
        <f t="shared" si="557"/>
        <v>125.62316666666668</v>
      </c>
      <c r="AK1574" s="650">
        <f t="shared" si="563"/>
        <v>0.59213257575757572</v>
      </c>
      <c r="AL1574" s="225">
        <f>Table1[[#This Row],[WSP/Dealer]]/Table1[[#This Row],[OD Sq Inch]]</f>
        <v>0.58666666666666667</v>
      </c>
      <c r="AM1574" s="97">
        <f>Table1[[#This Row],[OD Wdth]]*Table1[[#This Row],[OD Hgt]]</f>
        <v>525</v>
      </c>
      <c r="AN1574" s="216">
        <f>Table1[[#This Row],[Min VO]]+Table1[[#This Row],[Max VO]]</f>
        <v>44</v>
      </c>
      <c r="AO1574" s="101"/>
      <c r="AP1574" s="101"/>
      <c r="AQ1574" s="104"/>
      <c r="AR1574" s="104"/>
      <c r="AS1574" s="104"/>
      <c r="AT1574" s="104"/>
      <c r="AU1574" s="830" t="str">
        <f t="shared" si="554"/>
        <v>-</v>
      </c>
    </row>
    <row r="1575" spans="1:47" s="103" customFormat="1" x14ac:dyDescent="0.2">
      <c r="A1575" s="86" t="s">
        <v>58</v>
      </c>
      <c r="B1575" s="279" t="s">
        <v>406</v>
      </c>
      <c r="C1575" s="76" t="s">
        <v>3730</v>
      </c>
      <c r="D1575" s="94" t="s">
        <v>3731</v>
      </c>
      <c r="E1575" s="85" t="s">
        <v>3729</v>
      </c>
      <c r="F1575" s="85" t="s">
        <v>1569</v>
      </c>
      <c r="G1575" s="969" t="s">
        <v>3716</v>
      </c>
      <c r="H1575" s="969" t="s">
        <v>1213</v>
      </c>
      <c r="I1575" s="91" t="s">
        <v>52</v>
      </c>
      <c r="J1575" s="86" t="s">
        <v>53</v>
      </c>
      <c r="K1575" s="91" t="s">
        <v>69</v>
      </c>
      <c r="L1575" s="91" t="s">
        <v>70</v>
      </c>
      <c r="M1575" s="87">
        <v>308</v>
      </c>
      <c r="N1575" s="639">
        <v>340</v>
      </c>
      <c r="O1575" s="551" t="s">
        <v>56</v>
      </c>
      <c r="P1575" s="101">
        <v>20</v>
      </c>
      <c r="Q1575" s="101">
        <v>24</v>
      </c>
      <c r="R1575" s="60">
        <v>20</v>
      </c>
      <c r="S1575" s="273">
        <v>24</v>
      </c>
      <c r="T1575" s="101">
        <v>21</v>
      </c>
      <c r="U1575" s="101">
        <v>25</v>
      </c>
      <c r="V1575" s="608">
        <f t="shared" si="564"/>
        <v>28</v>
      </c>
      <c r="W1575" s="608">
        <f t="shared" si="565"/>
        <v>32</v>
      </c>
      <c r="X1575" s="157" t="s">
        <v>1070</v>
      </c>
      <c r="Y1575" s="60">
        <v>32</v>
      </c>
      <c r="Z1575" s="60">
        <f>Table1[[#This Row],[Print Wth]]*3</f>
        <v>84</v>
      </c>
      <c r="AA1575" s="649">
        <f t="shared" si="558"/>
        <v>6.2222222222222223</v>
      </c>
      <c r="AB1575" s="184">
        <f t="shared" si="559"/>
        <v>130.91555555555556</v>
      </c>
      <c r="AC1575" s="104">
        <f>AA1575*Canvas</f>
        <v>4.1066666666666674</v>
      </c>
      <c r="AD1575" s="107">
        <f t="shared" si="562"/>
        <v>10.473244444444445</v>
      </c>
      <c r="AE1575" s="104">
        <f>IF(Table1[[#This Row],[Work Center]]="SwissQ",Materials!G$37,IF(Table1[[#This Row],[Work Center]]="Inca",Materials!G$29,IF(Table1[[#This Row],[Work Center]]="Canon",Materials!G$49,Materials!G$45)))</f>
        <v>8</v>
      </c>
      <c r="AF1575" s="104">
        <f>'Cali Frames'!D$273</f>
        <v>90.53</v>
      </c>
      <c r="AG1575" s="115"/>
      <c r="AH1575" s="498">
        <f t="shared" si="561"/>
        <v>15.4</v>
      </c>
      <c r="AI1575" s="498"/>
      <c r="AJ1575" s="104">
        <f t="shared" si="557"/>
        <v>128.50991111111111</v>
      </c>
      <c r="AK1575" s="650">
        <f t="shared" si="563"/>
        <v>0.58276002886002887</v>
      </c>
      <c r="AL1575" s="225">
        <f>Table1[[#This Row],[WSP/Dealer]]/Table1[[#This Row],[OD Sq Inch]]</f>
        <v>0.58666666666666667</v>
      </c>
      <c r="AM1575" s="97">
        <f>Table1[[#This Row],[OD Wdth]]*Table1[[#This Row],[OD Hgt]]</f>
        <v>525</v>
      </c>
      <c r="AN1575" s="216">
        <f>Table1[[#This Row],[Min VO]]+Table1[[#This Row],[Max VO]]</f>
        <v>44</v>
      </c>
      <c r="AO1575" s="101"/>
      <c r="AP1575" s="101"/>
      <c r="AQ1575" s="104"/>
      <c r="AR1575" s="104"/>
      <c r="AS1575" s="104"/>
      <c r="AT1575" s="104"/>
      <c r="AU1575" s="830" t="str">
        <f t="shared" si="554"/>
        <v>-</v>
      </c>
    </row>
    <row r="1576" spans="1:47" s="63" customFormat="1" x14ac:dyDescent="0.2">
      <c r="A1576" s="86" t="s">
        <v>58</v>
      </c>
      <c r="B1576" s="1061" t="s">
        <v>406</v>
      </c>
      <c r="C1576" s="100" t="s">
        <v>3732</v>
      </c>
      <c r="D1576" s="94" t="s">
        <v>3733</v>
      </c>
      <c r="E1576" s="85" t="s">
        <v>3734</v>
      </c>
      <c r="F1576" s="85" t="s">
        <v>1569</v>
      </c>
      <c r="G1576" s="86" t="s">
        <v>647</v>
      </c>
      <c r="H1576" s="86" t="s">
        <v>1213</v>
      </c>
      <c r="I1576" s="86" t="s">
        <v>52</v>
      </c>
      <c r="J1576" s="86" t="s">
        <v>280</v>
      </c>
      <c r="K1576" s="86" t="s">
        <v>69</v>
      </c>
      <c r="L1576" s="86" t="s">
        <v>70</v>
      </c>
      <c r="M1576" s="87">
        <v>308</v>
      </c>
      <c r="N1576" s="639">
        <v>340</v>
      </c>
      <c r="O1576" s="551" t="s">
        <v>56</v>
      </c>
      <c r="P1576" s="103">
        <v>20</v>
      </c>
      <c r="Q1576" s="103">
        <v>24</v>
      </c>
      <c r="R1576" s="60">
        <v>20</v>
      </c>
      <c r="S1576" s="61">
        <v>24</v>
      </c>
      <c r="T1576" s="103">
        <v>21</v>
      </c>
      <c r="U1576" s="103" t="str">
        <f>RIGHT(H1576,2)</f>
        <v>25</v>
      </c>
      <c r="V1576" s="106">
        <f t="shared" si="564"/>
        <v>20</v>
      </c>
      <c r="W1576" s="106">
        <f t="shared" si="565"/>
        <v>24</v>
      </c>
      <c r="X1576" s="137" t="s">
        <v>675</v>
      </c>
      <c r="Y1576" s="101"/>
      <c r="Z1576" s="101"/>
      <c r="AA1576" s="649">
        <f t="shared" si="558"/>
        <v>3.3333333333333335</v>
      </c>
      <c r="AB1576" s="184">
        <f t="shared" si="559"/>
        <v>70.13333333333334</v>
      </c>
      <c r="AC1576" s="104">
        <f>PETG48/8</f>
        <v>6.0824999999999996</v>
      </c>
      <c r="AD1576" s="107">
        <f t="shared" si="562"/>
        <v>5.6106666666666669</v>
      </c>
      <c r="AE1576" s="104">
        <f>IF(Table1[[#This Row],[Work Center]]="SwissQ",Materials!G$37,IF(Table1[[#This Row],[Work Center]]="Inca",Materials!G$29,IF(Table1[[#This Row],[Work Center]]="Canon",Materials!G$49,Materials!G$45)))</f>
        <v>8</v>
      </c>
      <c r="AF1576" s="104">
        <f>'Cali Frames'!D$273</f>
        <v>90.53</v>
      </c>
      <c r="AG1576" s="115"/>
      <c r="AH1576" s="112">
        <f t="shared" si="561"/>
        <v>15.4</v>
      </c>
      <c r="AI1576" s="112"/>
      <c r="AJ1576" s="107">
        <f t="shared" si="557"/>
        <v>125.62316666666668</v>
      </c>
      <c r="AK1576" s="62">
        <f t="shared" si="563"/>
        <v>0.59213257575757572</v>
      </c>
      <c r="AL1576" s="225">
        <f>Table1[[#This Row],[WSP/Dealer]]/Table1[[#This Row],[OD Sq Inch]]</f>
        <v>0.58666666666666667</v>
      </c>
      <c r="AM1576" s="97">
        <f>Table1[[#This Row],[OD Wdth]]*Table1[[#This Row],[OD Hgt]]</f>
        <v>525</v>
      </c>
      <c r="AN1576" s="216">
        <f>Table1[[#This Row],[Min VO]]+Table1[[#This Row],[Max VO]]</f>
        <v>44</v>
      </c>
      <c r="AO1576" s="103"/>
      <c r="AP1576" s="101"/>
      <c r="AQ1576" s="104"/>
      <c r="AR1576" s="104"/>
      <c r="AS1576" s="104"/>
      <c r="AT1576" s="104"/>
      <c r="AU1576" s="108" t="str">
        <f t="shared" si="554"/>
        <v>-</v>
      </c>
    </row>
    <row r="1577" spans="1:47" s="103" customFormat="1" x14ac:dyDescent="0.2">
      <c r="A1577" s="86" t="s">
        <v>58</v>
      </c>
      <c r="B1577" s="279" t="s">
        <v>406</v>
      </c>
      <c r="C1577" s="76" t="s">
        <v>3735</v>
      </c>
      <c r="D1577" s="94" t="s">
        <v>3736</v>
      </c>
      <c r="E1577" s="85" t="s">
        <v>3734</v>
      </c>
      <c r="F1577" s="85" t="s">
        <v>1569</v>
      </c>
      <c r="G1577" s="86" t="s">
        <v>3716</v>
      </c>
      <c r="H1577" s="86" t="s">
        <v>1213</v>
      </c>
      <c r="I1577" s="86" t="s">
        <v>52</v>
      </c>
      <c r="J1577" s="86" t="s">
        <v>53</v>
      </c>
      <c r="K1577" s="86" t="s">
        <v>69</v>
      </c>
      <c r="L1577" s="86" t="s">
        <v>70</v>
      </c>
      <c r="M1577" s="87">
        <v>308</v>
      </c>
      <c r="N1577" s="639">
        <v>340</v>
      </c>
      <c r="O1577" s="551" t="s">
        <v>56</v>
      </c>
      <c r="P1577" s="101">
        <v>20</v>
      </c>
      <c r="Q1577" s="101">
        <v>24</v>
      </c>
      <c r="R1577" s="60">
        <v>20</v>
      </c>
      <c r="S1577" s="273">
        <v>24</v>
      </c>
      <c r="T1577" s="101">
        <v>21</v>
      </c>
      <c r="U1577" s="101">
        <v>25</v>
      </c>
      <c r="V1577" s="608">
        <f t="shared" si="564"/>
        <v>28</v>
      </c>
      <c r="W1577" s="608">
        <f t="shared" si="565"/>
        <v>32</v>
      </c>
      <c r="X1577" s="157" t="s">
        <v>1070</v>
      </c>
      <c r="Y1577" s="60">
        <v>32</v>
      </c>
      <c r="Z1577" s="60">
        <f>Table1[[#This Row],[Print Wth]]*3</f>
        <v>84</v>
      </c>
      <c r="AA1577" s="649">
        <f t="shared" si="558"/>
        <v>6.2222222222222223</v>
      </c>
      <c r="AB1577" s="184">
        <f t="shared" si="559"/>
        <v>130.91555555555556</v>
      </c>
      <c r="AC1577" s="104">
        <f t="shared" ref="AC1577:AC1582" si="566">AA1577*Canvas</f>
        <v>4.1066666666666674</v>
      </c>
      <c r="AD1577" s="107">
        <f t="shared" si="562"/>
        <v>10.473244444444445</v>
      </c>
      <c r="AE1577" s="104">
        <f>IF(Table1[[#This Row],[Work Center]]="SwissQ",Materials!G$37,IF(Table1[[#This Row],[Work Center]]="Inca",Materials!G$29,IF(Table1[[#This Row],[Work Center]]="Canon",Materials!G$49,Materials!G$45)))</f>
        <v>8</v>
      </c>
      <c r="AF1577" s="104">
        <f>'Cali Frames'!D$273</f>
        <v>90.53</v>
      </c>
      <c r="AG1577" s="115"/>
      <c r="AH1577" s="498">
        <f t="shared" si="561"/>
        <v>15.4</v>
      </c>
      <c r="AI1577" s="498"/>
      <c r="AJ1577" s="104">
        <f t="shared" si="557"/>
        <v>128.50991111111111</v>
      </c>
      <c r="AK1577" s="650">
        <f t="shared" si="563"/>
        <v>0.58276002886002887</v>
      </c>
      <c r="AL1577" s="225">
        <f>Table1[[#This Row],[WSP/Dealer]]/Table1[[#This Row],[OD Sq Inch]]</f>
        <v>0.58666666666666667</v>
      </c>
      <c r="AM1577" s="218">
        <f>Table1[[#This Row],[OD Wdth]]*Table1[[#This Row],[OD Hgt]]</f>
        <v>525</v>
      </c>
      <c r="AN1577" s="216">
        <f>Table1[[#This Row],[Min VO]]+Table1[[#This Row],[Max VO]]</f>
        <v>44</v>
      </c>
      <c r="AO1577" s="101"/>
      <c r="AP1577" s="101"/>
      <c r="AQ1577" s="104"/>
      <c r="AR1577" s="104"/>
      <c r="AS1577" s="104"/>
      <c r="AT1577" s="104"/>
      <c r="AU1577" s="830" t="str">
        <f t="shared" si="554"/>
        <v>-</v>
      </c>
    </row>
    <row r="1578" spans="1:47" s="144" customFormat="1" hidden="1" x14ac:dyDescent="0.2">
      <c r="A1578" s="101" t="s">
        <v>110</v>
      </c>
      <c r="B1578" s="1322" t="s">
        <v>134</v>
      </c>
      <c r="C1578" s="719" t="s">
        <v>3737</v>
      </c>
      <c r="D1578" s="168"/>
      <c r="E1578" s="115" t="s">
        <v>3738</v>
      </c>
      <c r="F1578" s="115" t="s">
        <v>789</v>
      </c>
      <c r="G1578" s="1398" t="s">
        <v>139</v>
      </c>
      <c r="H1578" s="1398" t="s">
        <v>139</v>
      </c>
      <c r="I1578" s="101" t="s">
        <v>52</v>
      </c>
      <c r="J1578" s="101" t="s">
        <v>53</v>
      </c>
      <c r="K1578" s="101" t="s">
        <v>54</v>
      </c>
      <c r="L1578" s="101" t="s">
        <v>55</v>
      </c>
      <c r="M1578" s="299">
        <v>325</v>
      </c>
      <c r="N1578" s="114"/>
      <c r="O1578" s="101" t="s">
        <v>56</v>
      </c>
      <c r="P1578" s="697">
        <v>24</v>
      </c>
      <c r="Q1578" s="697">
        <v>24</v>
      </c>
      <c r="R1578" s="697">
        <v>24</v>
      </c>
      <c r="S1578" s="116">
        <v>24</v>
      </c>
      <c r="T1578" s="116">
        <v>24</v>
      </c>
      <c r="U1578" s="116">
        <v>24</v>
      </c>
      <c r="V1578" s="106">
        <f t="shared" si="564"/>
        <v>32</v>
      </c>
      <c r="W1578" s="106">
        <f t="shared" si="565"/>
        <v>32</v>
      </c>
      <c r="X1578" s="137">
        <v>40</v>
      </c>
      <c r="Y1578" s="101">
        <v>32</v>
      </c>
      <c r="Z1578" s="101">
        <v>32</v>
      </c>
      <c r="AA1578" s="649">
        <f t="shared" si="558"/>
        <v>7.1111111111111107</v>
      </c>
      <c r="AB1578" s="184">
        <f t="shared" si="559"/>
        <v>149.61777777777777</v>
      </c>
      <c r="AC1578" s="104">
        <f t="shared" si="566"/>
        <v>4.6933333333333334</v>
      </c>
      <c r="AD1578" s="1066">
        <f>Table1[[#This Row],[Substrate SF]]*IncaC</f>
        <v>11.969422222222223</v>
      </c>
      <c r="AE1578" s="406">
        <f>IF(Table1[[#This Row],[Work Center]]="SwissQ",Materials!G$37,IF(Table1[[#This Row],[Work Center]]="Inca",Materials!G$29,IF(Table1[[#This Row],[Work Center]]="Canon",Materials!G$49,Materials!G$45)))</f>
        <v>8</v>
      </c>
      <c r="AF1578" s="102">
        <f>'Cali FPS'!C32</f>
        <v>63.47</v>
      </c>
      <c r="AG1578" s="115"/>
      <c r="AH1578" s="406">
        <f t="shared" si="561"/>
        <v>16.25</v>
      </c>
      <c r="AI1578" s="406">
        <f>IF(A1578="Codarus",(M1578*0.13))</f>
        <v>42.25</v>
      </c>
      <c r="AJ1578" s="104">
        <f>SUM(AC1578:AI1578)</f>
        <v>146.63275555555555</v>
      </c>
      <c r="AK1578" s="830">
        <f t="shared" si="563"/>
        <v>0.54882229059829057</v>
      </c>
      <c r="AL1578" s="660">
        <f>Table1[[#This Row],[WSP/Dealer]]/Table1[[#This Row],[OD Sq Inch]]</f>
        <v>0.56423611111111116</v>
      </c>
      <c r="AM1578" s="399">
        <f>Table1[[#This Row],[OD Wdth]]*Table1[[#This Row],[OD Hgt]]</f>
        <v>576</v>
      </c>
      <c r="AN1578" s="400">
        <f>Table1[[#This Row],[Min VO]]+Table1[[#This Row],[Max VO]]</f>
        <v>48</v>
      </c>
      <c r="AO1578" s="115"/>
      <c r="AP1578" s="121">
        <v>650</v>
      </c>
      <c r="AQ1578" s="121">
        <f>(Table1[[#This Row],[Desgnr/Retail P]]*0.05)</f>
        <v>32.5</v>
      </c>
      <c r="AR1578" s="121">
        <f>IF(A1578="Codarus",(AP1578*0.13))</f>
        <v>84.5</v>
      </c>
      <c r="AS1578" s="121">
        <f>SUM(Table1[[#This Row],[Substrate $]:[GP FINISH]])+Table1[[#This Row],[Retail Royalty]]+Table1[[#This Row],[Retail$Comm]]</f>
        <v>205.13275555555555</v>
      </c>
      <c r="AT1578" s="830">
        <f>IF(AP1578=0,"-",(AP1578-AS1578)/AP1578)</f>
        <v>0.68441114529914526</v>
      </c>
      <c r="AU1578" s="1359">
        <f t="shared" si="554"/>
        <v>0.97894119552925707</v>
      </c>
    </row>
    <row r="1579" spans="1:47" s="1054" customFormat="1" x14ac:dyDescent="0.2">
      <c r="A1579" s="86" t="s">
        <v>58</v>
      </c>
      <c r="B1579" s="1061" t="s">
        <v>591</v>
      </c>
      <c r="C1579" s="75" t="s">
        <v>3739</v>
      </c>
      <c r="D1579" s="94" t="s">
        <v>3740</v>
      </c>
      <c r="E1579" s="85" t="s">
        <v>3738</v>
      </c>
      <c r="F1579" s="85" t="s">
        <v>789</v>
      </c>
      <c r="G1579" s="969" t="s">
        <v>139</v>
      </c>
      <c r="H1579" s="969" t="s">
        <v>1067</v>
      </c>
      <c r="I1579" s="86" t="s">
        <v>52</v>
      </c>
      <c r="J1579" s="86" t="s">
        <v>53</v>
      </c>
      <c r="K1579" s="86" t="s">
        <v>69</v>
      </c>
      <c r="L1579" s="86" t="s">
        <v>70</v>
      </c>
      <c r="M1579" s="87">
        <v>308</v>
      </c>
      <c r="N1579" s="639">
        <v>350</v>
      </c>
      <c r="O1579" s="101" t="s">
        <v>56</v>
      </c>
      <c r="P1579" s="61">
        <v>24</v>
      </c>
      <c r="Q1579" s="61">
        <v>24</v>
      </c>
      <c r="R1579" s="60">
        <v>24</v>
      </c>
      <c r="S1579" s="61">
        <v>24</v>
      </c>
      <c r="T1579" s="116">
        <v>25</v>
      </c>
      <c r="U1579" s="116">
        <v>25</v>
      </c>
      <c r="V1579" s="608">
        <f t="shared" si="564"/>
        <v>32</v>
      </c>
      <c r="W1579" s="608">
        <f t="shared" si="565"/>
        <v>32</v>
      </c>
      <c r="X1579" s="157" t="s">
        <v>1070</v>
      </c>
      <c r="Y1579" s="60">
        <v>32</v>
      </c>
      <c r="Z1579" s="60">
        <v>96</v>
      </c>
      <c r="AA1579" s="649">
        <f t="shared" si="558"/>
        <v>7.1111111111111107</v>
      </c>
      <c r="AB1579" s="184">
        <f t="shared" si="559"/>
        <v>149.61777777777777</v>
      </c>
      <c r="AC1579" s="104">
        <f t="shared" si="566"/>
        <v>4.6933333333333334</v>
      </c>
      <c r="AD1579" s="107">
        <f>AA1579*IncaC</f>
        <v>11.969422222222223</v>
      </c>
      <c r="AE1579" s="104">
        <f>IF(Table1[[#This Row],[Work Center]]="SwissQ",Materials!G$37,IF(Table1[[#This Row],[Work Center]]="Inca",Materials!G$29,IF(Table1[[#This Row],[Work Center]]="Canon",Materials!G$49,Materials!G$45)))</f>
        <v>8</v>
      </c>
      <c r="AF1579" s="104">
        <f>'Cali Frames'!D$278</f>
        <v>93.42</v>
      </c>
      <c r="AG1579" s="115"/>
      <c r="AH1579" s="112">
        <f t="shared" si="561"/>
        <v>15.4</v>
      </c>
      <c r="AI1579" s="112"/>
      <c r="AJ1579" s="104">
        <f>SUM(AC1579:AH1579)</f>
        <v>133.48275555555557</v>
      </c>
      <c r="AK1579" s="62">
        <f t="shared" si="563"/>
        <v>0.56661443001443001</v>
      </c>
      <c r="AL1579" s="225">
        <f>Table1[[#This Row],[WSP/Dealer]]/Table1[[#This Row],[OD Sq Inch]]</f>
        <v>0.49280000000000002</v>
      </c>
      <c r="AM1579" s="218">
        <f>Table1[[#This Row],[OD Wdth]]*Table1[[#This Row],[OD Hgt]]</f>
        <v>625</v>
      </c>
      <c r="AN1579" s="216">
        <f>Table1[[#This Row],[Min VO]]+Table1[[#This Row],[Max VO]]</f>
        <v>48</v>
      </c>
      <c r="AO1579" s="103"/>
      <c r="AP1579" s="101"/>
      <c r="AQ1579" s="104"/>
      <c r="AR1579" s="104"/>
      <c r="AS1579" s="104"/>
      <c r="AT1579" s="104"/>
      <c r="AU1579" s="108" t="str">
        <f t="shared" si="554"/>
        <v>-</v>
      </c>
    </row>
    <row r="1580" spans="1:47" s="103" customFormat="1" hidden="1" x14ac:dyDescent="0.2">
      <c r="A1580" s="101" t="s">
        <v>110</v>
      </c>
      <c r="B1580" s="1062" t="s">
        <v>134</v>
      </c>
      <c r="C1580" s="719" t="s">
        <v>3741</v>
      </c>
      <c r="D1580" s="168"/>
      <c r="E1580" s="115" t="s">
        <v>3742</v>
      </c>
      <c r="F1580" s="115" t="s">
        <v>789</v>
      </c>
      <c r="G1580" s="1398" t="s">
        <v>139</v>
      </c>
      <c r="H1580" s="1398" t="s">
        <v>139</v>
      </c>
      <c r="I1580" s="101" t="s">
        <v>52</v>
      </c>
      <c r="J1580" s="303" t="s">
        <v>53</v>
      </c>
      <c r="K1580" s="101" t="s">
        <v>54</v>
      </c>
      <c r="L1580" s="101" t="s">
        <v>55</v>
      </c>
      <c r="M1580" s="299">
        <v>325</v>
      </c>
      <c r="N1580" s="114"/>
      <c r="O1580" s="101" t="s">
        <v>56</v>
      </c>
      <c r="P1580" s="697">
        <v>24</v>
      </c>
      <c r="Q1580" s="697">
        <v>24</v>
      </c>
      <c r="R1580" s="697">
        <v>24</v>
      </c>
      <c r="S1580" s="697">
        <v>24</v>
      </c>
      <c r="T1580" s="697">
        <v>24</v>
      </c>
      <c r="U1580" s="697">
        <v>24</v>
      </c>
      <c r="V1580" s="608">
        <f t="shared" si="564"/>
        <v>32</v>
      </c>
      <c r="W1580" s="608">
        <f t="shared" si="565"/>
        <v>32</v>
      </c>
      <c r="X1580" s="137">
        <v>40</v>
      </c>
      <c r="Y1580" s="101">
        <v>32</v>
      </c>
      <c r="Z1580" s="101">
        <v>32</v>
      </c>
      <c r="AA1580" s="649">
        <f t="shared" si="558"/>
        <v>7.1111111111111107</v>
      </c>
      <c r="AB1580" s="184">
        <f t="shared" si="559"/>
        <v>149.61777777777777</v>
      </c>
      <c r="AC1580" s="104">
        <f t="shared" si="566"/>
        <v>4.6933333333333334</v>
      </c>
      <c r="AD1580" s="1066">
        <f>Table1[[#This Row],[Substrate SF]]*IncaC</f>
        <v>11.969422222222223</v>
      </c>
      <c r="AE1580" s="406">
        <f>IF(Table1[[#This Row],[Work Center]]="SwissQ",Materials!G$37,IF(Table1[[#This Row],[Work Center]]="Inca",Materials!G$29,IF(Table1[[#This Row],[Work Center]]="Canon",Materials!G$49,Materials!G$45)))</f>
        <v>8</v>
      </c>
      <c r="AF1580" s="102">
        <f>'Cali FPS'!C32</f>
        <v>63.47</v>
      </c>
      <c r="AG1580" s="115"/>
      <c r="AH1580" s="406">
        <f t="shared" si="561"/>
        <v>16.25</v>
      </c>
      <c r="AI1580" s="406">
        <f>IF(A1580="Codarus",(M1580*0.13))</f>
        <v>42.25</v>
      </c>
      <c r="AJ1580" s="104">
        <f>SUM(AC1580:AI1580)</f>
        <v>146.63275555555555</v>
      </c>
      <c r="AK1580" s="830">
        <f t="shared" si="563"/>
        <v>0.54882229059829057</v>
      </c>
      <c r="AL1580" s="660">
        <f>Table1[[#This Row],[WSP/Dealer]]/Table1[[#This Row],[OD Sq Inch]]</f>
        <v>0.56423611111111116</v>
      </c>
      <c r="AM1580" s="399">
        <f>Table1[[#This Row],[OD Wdth]]*Table1[[#This Row],[OD Hgt]]</f>
        <v>576</v>
      </c>
      <c r="AN1580" s="400">
        <f>Table1[[#This Row],[Min VO]]+Table1[[#This Row],[Max VO]]</f>
        <v>48</v>
      </c>
      <c r="AO1580" s="115"/>
      <c r="AP1580" s="121">
        <v>650</v>
      </c>
      <c r="AQ1580" s="121">
        <f>(Table1[[#This Row],[Desgnr/Retail P]]*0.05)</f>
        <v>32.5</v>
      </c>
      <c r="AR1580" s="121">
        <f>IF(A1580="Codarus",(AP1580*0.13))</f>
        <v>84.5</v>
      </c>
      <c r="AS1580" s="121">
        <f>SUM(Table1[[#This Row],[Substrate $]:[GP FINISH]])+Table1[[#This Row],[Retail Royalty]]+Table1[[#This Row],[Retail$Comm]]</f>
        <v>205.13275555555555</v>
      </c>
      <c r="AT1580" s="830">
        <f>IF(AP1580=0,"-",(AP1580-AS1580)/AP1580)</f>
        <v>0.68441114529914526</v>
      </c>
      <c r="AU1580" s="1359">
        <f t="shared" si="554"/>
        <v>0.97894119552925707</v>
      </c>
    </row>
    <row r="1581" spans="1:47" s="63" customFormat="1" x14ac:dyDescent="0.2">
      <c r="A1581" s="86" t="s">
        <v>58</v>
      </c>
      <c r="B1581" s="1061" t="s">
        <v>591</v>
      </c>
      <c r="C1581" s="75" t="s">
        <v>3743</v>
      </c>
      <c r="D1581" s="94" t="s">
        <v>3744</v>
      </c>
      <c r="E1581" s="85" t="s">
        <v>3742</v>
      </c>
      <c r="F1581" s="85" t="s">
        <v>789</v>
      </c>
      <c r="G1581" s="969" t="s">
        <v>139</v>
      </c>
      <c r="H1581" s="969" t="s">
        <v>1067</v>
      </c>
      <c r="I1581" s="86" t="s">
        <v>52</v>
      </c>
      <c r="J1581" s="91" t="s">
        <v>53</v>
      </c>
      <c r="K1581" s="86" t="s">
        <v>69</v>
      </c>
      <c r="L1581" s="86" t="s">
        <v>70</v>
      </c>
      <c r="M1581" s="87">
        <v>308</v>
      </c>
      <c r="N1581" s="639">
        <v>350</v>
      </c>
      <c r="O1581" s="101" t="s">
        <v>56</v>
      </c>
      <c r="P1581" s="273">
        <v>24</v>
      </c>
      <c r="Q1581" s="273">
        <v>24</v>
      </c>
      <c r="R1581" s="60">
        <v>24</v>
      </c>
      <c r="S1581" s="273">
        <v>24</v>
      </c>
      <c r="T1581" s="697">
        <v>25</v>
      </c>
      <c r="U1581" s="697">
        <v>25</v>
      </c>
      <c r="V1581" s="106">
        <f t="shared" si="564"/>
        <v>32</v>
      </c>
      <c r="W1581" s="106">
        <f t="shared" si="565"/>
        <v>32</v>
      </c>
      <c r="X1581" s="157" t="s">
        <v>1070</v>
      </c>
      <c r="Y1581" s="60">
        <v>32</v>
      </c>
      <c r="Z1581" s="60">
        <v>96</v>
      </c>
      <c r="AA1581" s="649">
        <f t="shared" si="558"/>
        <v>7.1111111111111107</v>
      </c>
      <c r="AB1581" s="184">
        <f t="shared" si="559"/>
        <v>149.61777777777777</v>
      </c>
      <c r="AC1581" s="104">
        <f t="shared" si="566"/>
        <v>4.6933333333333334</v>
      </c>
      <c r="AD1581" s="107">
        <f>AA1581*IncaC</f>
        <v>11.969422222222223</v>
      </c>
      <c r="AE1581" s="104">
        <f>IF(Table1[[#This Row],[Work Center]]="SwissQ",Materials!G$37,IF(Table1[[#This Row],[Work Center]]="Inca",Materials!G$29,IF(Table1[[#This Row],[Work Center]]="Canon",Materials!G$49,Materials!G$45)))</f>
        <v>8</v>
      </c>
      <c r="AF1581" s="104">
        <f>'Cali Frames'!D$278</f>
        <v>93.42</v>
      </c>
      <c r="AG1581" s="115"/>
      <c r="AH1581" s="112">
        <f t="shared" si="561"/>
        <v>15.4</v>
      </c>
      <c r="AI1581" s="112"/>
      <c r="AJ1581" s="104">
        <f>SUM(AC1581:AH1581)</f>
        <v>133.48275555555557</v>
      </c>
      <c r="AK1581" s="62">
        <f t="shared" si="563"/>
        <v>0.56661443001443001</v>
      </c>
      <c r="AL1581" s="225">
        <f>Table1[[#This Row],[WSP/Dealer]]/Table1[[#This Row],[OD Sq Inch]]</f>
        <v>0.49280000000000002</v>
      </c>
      <c r="AM1581" s="103">
        <f>Table1[[#This Row],[OD Wdth]]*Table1[[#This Row],[OD Hgt]]</f>
        <v>625</v>
      </c>
      <c r="AN1581" s="216">
        <f>Table1[[#This Row],[Min VO]]+Table1[[#This Row],[Max VO]]</f>
        <v>48</v>
      </c>
      <c r="AO1581" s="101"/>
      <c r="AP1581" s="101"/>
      <c r="AQ1581" s="104"/>
      <c r="AR1581" s="104"/>
      <c r="AS1581" s="104"/>
      <c r="AT1581" s="104"/>
      <c r="AU1581" s="830" t="str">
        <f t="shared" si="554"/>
        <v>-</v>
      </c>
    </row>
    <row r="1582" spans="1:47" s="170" customFormat="1" x14ac:dyDescent="0.2">
      <c r="A1582" s="86" t="s">
        <v>58</v>
      </c>
      <c r="B1582" s="1061" t="s">
        <v>406</v>
      </c>
      <c r="C1582" s="76" t="s">
        <v>3745</v>
      </c>
      <c r="D1582" s="94" t="s">
        <v>3746</v>
      </c>
      <c r="E1582" s="85" t="s">
        <v>3747</v>
      </c>
      <c r="F1582" s="85" t="s">
        <v>301</v>
      </c>
      <c r="G1582" s="86" t="s">
        <v>660</v>
      </c>
      <c r="H1582" s="86" t="s">
        <v>573</v>
      </c>
      <c r="I1582" s="86" t="s">
        <v>52</v>
      </c>
      <c r="J1582" s="86" t="s">
        <v>53</v>
      </c>
      <c r="K1582" s="86" t="s">
        <v>69</v>
      </c>
      <c r="L1582" s="86" t="s">
        <v>70</v>
      </c>
      <c r="M1582" s="87">
        <v>968</v>
      </c>
      <c r="N1582" s="639">
        <v>970</v>
      </c>
      <c r="O1582" s="551" t="s">
        <v>56</v>
      </c>
      <c r="P1582" s="101">
        <v>60</v>
      </c>
      <c r="Q1582" s="101">
        <v>40</v>
      </c>
      <c r="R1582" s="60">
        <v>40</v>
      </c>
      <c r="S1582" s="273">
        <v>60</v>
      </c>
      <c r="T1582" s="101">
        <v>61</v>
      </c>
      <c r="U1582" s="101">
        <v>41</v>
      </c>
      <c r="V1582" s="608">
        <f t="shared" si="564"/>
        <v>68</v>
      </c>
      <c r="W1582" s="608">
        <f t="shared" si="565"/>
        <v>48</v>
      </c>
      <c r="X1582" s="137">
        <v>69</v>
      </c>
      <c r="Y1582" s="101"/>
      <c r="Z1582" s="101"/>
      <c r="AA1582" s="649">
        <f t="shared" si="558"/>
        <v>22.666666666666668</v>
      </c>
      <c r="AB1582" s="184">
        <f t="shared" si="559"/>
        <v>476.90666666666669</v>
      </c>
      <c r="AC1582" s="104">
        <f t="shared" si="566"/>
        <v>14.96</v>
      </c>
      <c r="AD1582" s="104">
        <f>AA1582*IncaC</f>
        <v>38.152533333333338</v>
      </c>
      <c r="AE1582" s="104">
        <f>IF(Table1[[#This Row],[Work Center]]="SwissQ",Materials!G$37,IF(Table1[[#This Row],[Work Center]]="Inca",Materials!G$29,IF(Table1[[#This Row],[Work Center]]="Canon",Materials!G$49,Materials!G$45)))</f>
        <v>8</v>
      </c>
      <c r="AF1582" s="104" t="e">
        <f>'Cali Frames'!#REF!</f>
        <v>#REF!</v>
      </c>
      <c r="AG1582" s="115"/>
      <c r="AH1582" s="112">
        <f t="shared" si="561"/>
        <v>48.400000000000006</v>
      </c>
      <c r="AI1582" s="112"/>
      <c r="AJ1582" s="104" t="e">
        <f>SUM(AC1582:AH1582)</f>
        <v>#REF!</v>
      </c>
      <c r="AK1582" s="62" t="e">
        <f t="shared" si="563"/>
        <v>#REF!</v>
      </c>
      <c r="AL1582" s="225">
        <f>Table1[[#This Row],[WSP/Dealer]]/Table1[[#This Row],[OD Sq Inch]]</f>
        <v>0.38704518192722909</v>
      </c>
      <c r="AM1582" s="101">
        <f>Table1[[#This Row],[OD Wdth]]*Table1[[#This Row],[OD Hgt]]</f>
        <v>2501</v>
      </c>
      <c r="AN1582" s="216">
        <f>Table1[[#This Row],[Min VO]]+Table1[[#This Row],[Max VO]]</f>
        <v>100</v>
      </c>
      <c r="AO1582" s="101"/>
      <c r="AP1582" s="101"/>
      <c r="AQ1582" s="104"/>
      <c r="AR1582" s="104"/>
      <c r="AS1582" s="104"/>
      <c r="AT1582" s="104"/>
      <c r="AU1582" s="830" t="str">
        <f t="shared" si="554"/>
        <v>-</v>
      </c>
    </row>
    <row r="1583" spans="1:47" s="63" customFormat="1" x14ac:dyDescent="0.2">
      <c r="A1583" s="145" t="s">
        <v>58</v>
      </c>
      <c r="B1583" s="279" t="s">
        <v>533</v>
      </c>
      <c r="C1583" s="152" t="s">
        <v>3748</v>
      </c>
      <c r="D1583" s="94" t="s">
        <v>3749</v>
      </c>
      <c r="E1583" s="147" t="s">
        <v>3750</v>
      </c>
      <c r="F1583" s="147" t="s">
        <v>99</v>
      </c>
      <c r="G1583" s="145" t="s">
        <v>1026</v>
      </c>
      <c r="H1583" s="145" t="s">
        <v>1026</v>
      </c>
      <c r="I1583" s="145" t="s">
        <v>52</v>
      </c>
      <c r="J1583" s="145" t="s">
        <v>53</v>
      </c>
      <c r="K1583" s="145" t="s">
        <v>54</v>
      </c>
      <c r="L1583" s="145" t="s">
        <v>55</v>
      </c>
      <c r="M1583" s="148">
        <v>560</v>
      </c>
      <c r="N1583" s="639">
        <v>560</v>
      </c>
      <c r="O1583" s="145" t="s">
        <v>56</v>
      </c>
      <c r="P1583" s="145">
        <v>30</v>
      </c>
      <c r="Q1583" s="145">
        <v>40</v>
      </c>
      <c r="R1583" s="145">
        <v>30</v>
      </c>
      <c r="S1583" s="145">
        <v>40</v>
      </c>
      <c r="T1583" s="698">
        <f>Table1[[#This Row],[VO Wdth]]</f>
        <v>30</v>
      </c>
      <c r="U1583" s="698">
        <f>Table1[[#This Row],[VO Hgt]]</f>
        <v>40</v>
      </c>
      <c r="V1583" s="913">
        <f t="shared" si="564"/>
        <v>38</v>
      </c>
      <c r="W1583" s="913">
        <f t="shared" si="565"/>
        <v>48</v>
      </c>
      <c r="X1583" s="157" t="s">
        <v>57</v>
      </c>
      <c r="Y1583" s="145">
        <v>38</v>
      </c>
      <c r="Z1583" s="145">
        <v>96</v>
      </c>
      <c r="AA1583" s="722">
        <f t="shared" si="558"/>
        <v>12.666666666666666</v>
      </c>
      <c r="AB1583" s="389">
        <f t="shared" si="559"/>
        <v>266.50666666666666</v>
      </c>
      <c r="AC1583" s="143">
        <f>Table1[[#This Row],[Substrate SF]]*Paper</f>
        <v>17.137999999999998</v>
      </c>
      <c r="AD1583" s="143">
        <f>AA1583*IncaC</f>
        <v>21.320533333333334</v>
      </c>
      <c r="AE1583" s="104">
        <f>IF(Table1[[#This Row],[Work Center]]="SwissQ",Materials!G$37,IF(Table1[[#This Row],[Work Center]]="Inca",Materials!G$29,IF(Table1[[#This Row],[Work Center]]="Canon",Materials!G$49,Materials!G$45)))</f>
        <v>8</v>
      </c>
      <c r="AF1583" s="143">
        <f>'Cali FPS'!C$48</f>
        <v>76.3</v>
      </c>
      <c r="AG1583" s="115"/>
      <c r="AH1583" s="498">
        <f t="shared" si="561"/>
        <v>28</v>
      </c>
      <c r="AI1583" s="498"/>
      <c r="AJ1583" s="143">
        <f>SUM(AC1583:AH1583)</f>
        <v>150.75853333333333</v>
      </c>
      <c r="AK1583" s="650">
        <f t="shared" si="563"/>
        <v>0.73078833333333337</v>
      </c>
      <c r="AL1583" s="225">
        <f>Table1[[#This Row],[WSP/Dealer]]/Table1[[#This Row],[OD Sq Inch]]</f>
        <v>0.46666666666666667</v>
      </c>
      <c r="AM1583" s="216">
        <f>Table1[[#This Row],[OD Wdth]]*Table1[[#This Row],[OD Hgt]]</f>
        <v>1200</v>
      </c>
      <c r="AN1583" s="216">
        <f>Table1[[#This Row],[Min VO]]+Table1[[#This Row],[Max VO]]</f>
        <v>70</v>
      </c>
      <c r="AO1583" s="145"/>
      <c r="AP1583" s="145"/>
      <c r="AQ1583" s="143"/>
      <c r="AR1583" s="143"/>
      <c r="AS1583" s="143"/>
      <c r="AT1583" s="143"/>
      <c r="AU1583" s="1371" t="str">
        <f t="shared" si="554"/>
        <v>-</v>
      </c>
    </row>
    <row r="1584" spans="1:47" s="63" customFormat="1" x14ac:dyDescent="0.2">
      <c r="A1584" s="274" t="s">
        <v>58</v>
      </c>
      <c r="B1584" s="279" t="s">
        <v>1154</v>
      </c>
      <c r="C1584" s="76" t="s">
        <v>3751</v>
      </c>
      <c r="D1584" s="94"/>
      <c r="E1584" s="275" t="s">
        <v>3752</v>
      </c>
      <c r="F1584" s="275" t="s">
        <v>99</v>
      </c>
      <c r="G1584" s="1647" t="s">
        <v>1200</v>
      </c>
      <c r="H1584" s="1647" t="s">
        <v>1200</v>
      </c>
      <c r="I1584" s="457" t="s">
        <v>52</v>
      </c>
      <c r="J1584" s="457" t="s">
        <v>53</v>
      </c>
      <c r="K1584" s="457" t="s">
        <v>54</v>
      </c>
      <c r="L1584" s="457" t="s">
        <v>55</v>
      </c>
      <c r="M1584" s="178">
        <v>1450</v>
      </c>
      <c r="N1584" s="639">
        <v>1450</v>
      </c>
      <c r="O1584" s="274" t="s">
        <v>64</v>
      </c>
      <c r="P1584" s="274">
        <v>60</v>
      </c>
      <c r="Q1584" s="274">
        <v>80</v>
      </c>
      <c r="R1584" s="274">
        <v>60</v>
      </c>
      <c r="S1584" s="274">
        <v>80</v>
      </c>
      <c r="T1584" s="276">
        <f>Table1[[#This Row],[VO Wdth]]</f>
        <v>60</v>
      </c>
      <c r="U1584" s="276">
        <f>Table1[[#This Row],[VO Hgt]]</f>
        <v>80</v>
      </c>
      <c r="V1584" s="277">
        <f t="shared" si="564"/>
        <v>68</v>
      </c>
      <c r="W1584" s="277">
        <f t="shared" si="565"/>
        <v>88</v>
      </c>
      <c r="X1584" s="343">
        <v>122</v>
      </c>
      <c r="Y1584" s="274">
        <v>68</v>
      </c>
      <c r="Z1584" s="274">
        <v>88</v>
      </c>
      <c r="AA1584" s="727">
        <f t="shared" si="558"/>
        <v>41.555555555555557</v>
      </c>
      <c r="AB1584" s="341">
        <f t="shared" si="559"/>
        <v>874.32888888888886</v>
      </c>
      <c r="AC1584" s="278">
        <f>Table1[[#This Row],[Substrate SF]]*Paper</f>
        <v>56.224666666666671</v>
      </c>
      <c r="AD1584" s="263">
        <f>AA1584*IncaC</f>
        <v>69.946311111111115</v>
      </c>
      <c r="AE1584" s="278">
        <f>IF(Table1[[#This Row],[Work Center]]="SwissQ",Materials!G$37,IF(Table1[[#This Row],[Work Center]]="Inca",Materials!G$29,IF(Table1[[#This Row],[Work Center]]="Canon",Materials!G$49,Materials!G$45)))</f>
        <v>20</v>
      </c>
      <c r="AF1584" s="278">
        <f>'Cali FPS'!C160</f>
        <v>253.32999999999998</v>
      </c>
      <c r="AG1584" s="275"/>
      <c r="AH1584" s="498">
        <f t="shared" si="561"/>
        <v>72.5</v>
      </c>
      <c r="AI1584" s="498"/>
      <c r="AJ1584" s="263">
        <f>SUM(AC1584:AH1584)</f>
        <v>472.00097777777773</v>
      </c>
      <c r="AK1584" s="650">
        <f t="shared" si="563"/>
        <v>0.67448208429118772</v>
      </c>
      <c r="AL1584" s="225">
        <f>Table1[[#This Row],[WSP/Dealer]]/Table1[[#This Row],[OD Sq Inch]]</f>
        <v>0.30208333333333331</v>
      </c>
      <c r="AM1584" s="170">
        <f>Table1[[#This Row],[OD Wdth]]*Table1[[#This Row],[OD Hgt]]</f>
        <v>4800</v>
      </c>
      <c r="AN1584" s="274">
        <f>Table1[[#This Row],[Min VO]]+Table1[[#This Row],[Max VO]]</f>
        <v>140</v>
      </c>
      <c r="AO1584" s="274"/>
      <c r="AP1584" s="274"/>
      <c r="AQ1584" s="278"/>
      <c r="AR1584" s="278"/>
      <c r="AS1584" s="278"/>
      <c r="AT1584" s="278"/>
      <c r="AU1584" s="1192" t="str">
        <f t="shared" si="554"/>
        <v>-</v>
      </c>
    </row>
    <row r="1585" spans="1:47" s="63" customFormat="1" hidden="1" x14ac:dyDescent="0.2">
      <c r="A1585" s="1291" t="s">
        <v>2186</v>
      </c>
      <c r="B1585" s="1303" t="s">
        <v>2187</v>
      </c>
      <c r="C1585" s="1291" t="s">
        <v>3753</v>
      </c>
      <c r="D1585" s="1292"/>
      <c r="E1585" s="1293" t="s">
        <v>3754</v>
      </c>
      <c r="F1585" s="1293"/>
      <c r="G1585" s="1755"/>
      <c r="H1585" s="1755"/>
      <c r="I1585" s="1291" t="s">
        <v>108</v>
      </c>
      <c r="J1585" s="1762"/>
      <c r="K1585" s="1291"/>
      <c r="L1585" s="1291"/>
      <c r="M1585" s="1483">
        <v>1.25</v>
      </c>
      <c r="N1585" s="1308"/>
      <c r="O1585" s="1291" t="s">
        <v>64</v>
      </c>
      <c r="P1585" s="1295">
        <v>60</v>
      </c>
      <c r="Q1585" s="1295">
        <v>120</v>
      </c>
      <c r="R1585" s="1291">
        <v>60</v>
      </c>
      <c r="S1585" s="1295">
        <v>120</v>
      </c>
      <c r="T1585" s="1295">
        <v>60</v>
      </c>
      <c r="U1585" s="1295">
        <v>120</v>
      </c>
      <c r="V1585" s="1303">
        <v>60</v>
      </c>
      <c r="W1585" s="1303">
        <v>120</v>
      </c>
      <c r="X1585" s="1291"/>
      <c r="Y1585" s="1291"/>
      <c r="Z1585" s="1291"/>
      <c r="AA1585" s="1296">
        <v>50</v>
      </c>
      <c r="AB1585" s="1300">
        <v>1415</v>
      </c>
      <c r="AC1585" s="1301">
        <v>33</v>
      </c>
      <c r="AD1585" s="1305">
        <v>140</v>
      </c>
      <c r="AE1585" s="1301">
        <v>20</v>
      </c>
      <c r="AF1585" s="1308"/>
      <c r="AG1585" s="1293"/>
      <c r="AH1585" s="1297"/>
      <c r="AI1585" s="1306"/>
      <c r="AJ1585" s="1301">
        <v>0.64333333333333331</v>
      </c>
      <c r="AK1585" s="1703">
        <v>0.48533333333333334</v>
      </c>
      <c r="AL1585" s="1293"/>
      <c r="AM1585" s="1297"/>
      <c r="AN1585" s="1293"/>
      <c r="AO1585" s="1293"/>
      <c r="AP1585" s="1309"/>
      <c r="AQ1585" s="1310"/>
      <c r="AR1585" s="1342"/>
      <c r="AS1585" s="1310"/>
      <c r="AT1585" s="1311"/>
      <c r="AU1585" s="1378" t="str">
        <f t="shared" si="554"/>
        <v>-</v>
      </c>
    </row>
    <row r="1586" spans="1:47" s="63" customFormat="1" hidden="1" x14ac:dyDescent="0.2">
      <c r="A1586" s="373"/>
      <c r="B1586" s="1061"/>
      <c r="C1586" s="78"/>
      <c r="D1586" s="94"/>
      <c r="E1586" s="84" t="s">
        <v>3755</v>
      </c>
      <c r="F1586" s="84" t="s">
        <v>50</v>
      </c>
      <c r="G1586" s="1111" t="s">
        <v>2148</v>
      </c>
      <c r="H1586" s="1111" t="s">
        <v>132</v>
      </c>
      <c r="I1586" s="68" t="s">
        <v>52</v>
      </c>
      <c r="J1586" s="808" t="s">
        <v>280</v>
      </c>
      <c r="K1586" s="68" t="s">
        <v>281</v>
      </c>
      <c r="L1586" s="68" t="s">
        <v>282</v>
      </c>
      <c r="M1586" s="299">
        <v>390</v>
      </c>
      <c r="N1586" s="71"/>
      <c r="O1586" s="68" t="s">
        <v>56</v>
      </c>
      <c r="P1586" s="68">
        <v>36</v>
      </c>
      <c r="Q1586" s="68">
        <v>48</v>
      </c>
      <c r="R1586" s="68">
        <v>36</v>
      </c>
      <c r="S1586" s="68">
        <v>48</v>
      </c>
      <c r="T1586" s="623">
        <v>36</v>
      </c>
      <c r="U1586" s="623">
        <v>48</v>
      </c>
      <c r="V1586" s="686">
        <f t="shared" ref="V1586:V1593" si="567">IF(J1586="Canvas",P1586+Border,P1586)</f>
        <v>36</v>
      </c>
      <c r="W1586" s="686">
        <f t="shared" ref="W1586:W1593" si="568">IF(J1586="Canvas",Q1586+Border,Q1586)</f>
        <v>48</v>
      </c>
      <c r="X1586" s="189" t="s">
        <v>283</v>
      </c>
      <c r="Y1586" s="68">
        <v>36</v>
      </c>
      <c r="Z1586" s="68">
        <v>48</v>
      </c>
      <c r="AA1586" s="727">
        <f t="shared" ref="AA1586:AA1598" si="569">V1586*W1586/144</f>
        <v>12</v>
      </c>
      <c r="AB1586" s="297">
        <f>AA1586*IncaG</f>
        <v>252.48</v>
      </c>
      <c r="AC1586" s="278">
        <f>MDFSHEET/2</f>
        <v>12.175000000000001</v>
      </c>
      <c r="AD1586" s="263">
        <f>Table1[[#This Row],[Substrate SF]]*IncaC</f>
        <v>20.198399999999999</v>
      </c>
      <c r="AE1586" s="104">
        <f>IF(Table1[[#This Row],[Work Center]]="SwissQ",Materials!G$37,IF(Table1[[#This Row],[Work Center]]="Inca",Materials!G$29,IF(Table1[[#This Row],[Work Center]]="Canon",Materials!G$49,Materials!G$45)))</f>
        <v>8</v>
      </c>
      <c r="AF1586" s="278">
        <f>'Cali Frames'!D547</f>
        <v>142.13499999999999</v>
      </c>
      <c r="AG1586" s="115"/>
      <c r="AH1586" s="112">
        <f t="shared" ref="AH1586:AH1598" si="570">(M1586*0.05)</f>
        <v>19.5</v>
      </c>
      <c r="AI1586" s="112"/>
      <c r="AJ1586" s="278">
        <f>SUM(AC1586:AH1586)</f>
        <v>202.00839999999999</v>
      </c>
      <c r="AK1586" s="62">
        <f t="shared" ref="AK1586:AK1616" si="571">(M1586-AJ1586)/M1586</f>
        <v>0.4820297435897436</v>
      </c>
      <c r="AL1586" s="225">
        <f>Table1[[#This Row],[WSP/Dealer]]/Table1[[#This Row],[OD Sq Inch]]</f>
        <v>0.22569444444444445</v>
      </c>
      <c r="AM1586" s="170">
        <f>Table1[[#This Row],[OD Wdth]]*Table1[[#This Row],[OD Hgt]]</f>
        <v>1728</v>
      </c>
      <c r="AN1586" s="274" t="str">
        <f>Table1[[#This Row],[Color]]</f>
        <v>NGM</v>
      </c>
      <c r="AO1586" s="84" t="str">
        <f>Table1[[#This Row],[Print Type]]</f>
        <v>Synograph</v>
      </c>
      <c r="AP1586" s="84"/>
      <c r="AQ1586" s="126"/>
      <c r="AR1586" s="126"/>
      <c r="AS1586" s="126"/>
      <c r="AT1586" s="74"/>
      <c r="AU1586" s="1357" t="str">
        <f t="shared" si="554"/>
        <v>-</v>
      </c>
    </row>
    <row r="1587" spans="1:47" s="63" customFormat="1" hidden="1" x14ac:dyDescent="0.2">
      <c r="A1587" s="376" t="s">
        <v>187</v>
      </c>
      <c r="B1587" s="1061" t="s">
        <v>261</v>
      </c>
      <c r="C1587" s="158" t="s">
        <v>3756</v>
      </c>
      <c r="D1587" s="94"/>
      <c r="E1587" s="158" t="s">
        <v>3757</v>
      </c>
      <c r="F1587" s="142" t="s">
        <v>386</v>
      </c>
      <c r="G1587" s="258" t="s">
        <v>2148</v>
      </c>
      <c r="H1587" s="258" t="s">
        <v>264</v>
      </c>
      <c r="I1587" s="258" t="s">
        <v>108</v>
      </c>
      <c r="J1587" s="258" t="s">
        <v>257</v>
      </c>
      <c r="K1587" s="258" t="s">
        <v>258</v>
      </c>
      <c r="L1587" s="258" t="s">
        <v>259</v>
      </c>
      <c r="M1587" s="187">
        <v>2200</v>
      </c>
      <c r="N1587" s="71"/>
      <c r="O1587" s="166" t="s">
        <v>260</v>
      </c>
      <c r="P1587" s="166">
        <v>36</v>
      </c>
      <c r="Q1587" s="166">
        <v>48</v>
      </c>
      <c r="R1587" s="166">
        <v>36</v>
      </c>
      <c r="S1587" s="166">
        <v>48</v>
      </c>
      <c r="T1587" s="916">
        <f>Table1[[#This Row],[VO Wdth]]</f>
        <v>36</v>
      </c>
      <c r="U1587" s="916">
        <f>Table1[[#This Row],[VO Hgt]]</f>
        <v>48</v>
      </c>
      <c r="V1587" s="1198">
        <f t="shared" si="567"/>
        <v>36</v>
      </c>
      <c r="W1587" s="1198">
        <f t="shared" si="568"/>
        <v>48</v>
      </c>
      <c r="X1587" s="381">
        <v>59</v>
      </c>
      <c r="Y1587" s="166"/>
      <c r="Z1587" s="166"/>
      <c r="AA1587" s="766">
        <f t="shared" si="569"/>
        <v>12</v>
      </c>
      <c r="AB1587" s="382">
        <f>AA1587*IncaG</f>
        <v>252.48</v>
      </c>
      <c r="AC1587" s="278">
        <f>Table1[[#This Row],[Substrate SF]]*Paper</f>
        <v>16.236000000000001</v>
      </c>
      <c r="AD1587" s="161">
        <f t="shared" ref="AD1587:AD1593" si="572">AA1587*IncaC</f>
        <v>20.198399999999999</v>
      </c>
      <c r="AE1587" s="104">
        <f>IF(Table1[[#This Row],[Work Center]]="SwissQ",Materials!G$37,IF(Table1[[#This Row],[Work Center]]="Inca",Materials!G$29,IF(Table1[[#This Row],[Work Center]]="Canon",Materials!G$49,Materials!G$45)))</f>
        <v>7</v>
      </c>
      <c r="AF1587" s="162"/>
      <c r="AG1587" s="115"/>
      <c r="AH1587" s="498">
        <f t="shared" si="570"/>
        <v>110</v>
      </c>
      <c r="AI1587" s="498"/>
      <c r="AJ1587" s="162">
        <f>SUM(AC1587:AH1587)</f>
        <v>153.43439999999998</v>
      </c>
      <c r="AK1587" s="650">
        <f t="shared" si="571"/>
        <v>0.93025709090909081</v>
      </c>
      <c r="AL1587" s="225">
        <f>Table1[[#This Row],[WSP/Dealer]]/Table1[[#This Row],[OD Sq Inch]]</f>
        <v>1.2731481481481481</v>
      </c>
      <c r="AM1587" s="103">
        <f>Table1[[#This Row],[OD Wdth]]*Table1[[#This Row],[OD Hgt]]</f>
        <v>1728</v>
      </c>
      <c r="AN1587" s="216">
        <f>Table1[[#This Row],[Min VO]]+Table1[[#This Row],[Max VO]]</f>
        <v>84</v>
      </c>
      <c r="AO1587" s="166"/>
      <c r="AP1587" s="166"/>
      <c r="AQ1587" s="162"/>
      <c r="AR1587" s="162"/>
      <c r="AS1587" s="162"/>
      <c r="AT1587" s="162"/>
      <c r="AU1587" s="1381" t="str">
        <f t="shared" si="554"/>
        <v>-</v>
      </c>
    </row>
    <row r="1588" spans="1:47" s="235" customFormat="1" hidden="1" x14ac:dyDescent="0.2">
      <c r="A1588" s="376" t="s">
        <v>187</v>
      </c>
      <c r="B1588" s="1061" t="s">
        <v>261</v>
      </c>
      <c r="C1588" s="158" t="s">
        <v>3758</v>
      </c>
      <c r="D1588" s="94"/>
      <c r="E1588" s="158" t="s">
        <v>3757</v>
      </c>
      <c r="F1588" s="142" t="s">
        <v>386</v>
      </c>
      <c r="G1588" s="258" t="s">
        <v>2148</v>
      </c>
      <c r="H1588" s="258" t="s">
        <v>264</v>
      </c>
      <c r="I1588" s="258" t="s">
        <v>108</v>
      </c>
      <c r="J1588" s="258" t="s">
        <v>257</v>
      </c>
      <c r="K1588" s="258" t="s">
        <v>258</v>
      </c>
      <c r="L1588" s="258" t="s">
        <v>269</v>
      </c>
      <c r="M1588" s="187">
        <v>2200</v>
      </c>
      <c r="N1588" s="71"/>
      <c r="O1588" s="166" t="s">
        <v>260</v>
      </c>
      <c r="P1588" s="166">
        <v>36</v>
      </c>
      <c r="Q1588" s="166">
        <v>48</v>
      </c>
      <c r="R1588" s="166">
        <v>36</v>
      </c>
      <c r="S1588" s="166">
        <v>48</v>
      </c>
      <c r="T1588" s="1776">
        <f>Table1[[#This Row],[VO Wdth]]</f>
        <v>36</v>
      </c>
      <c r="U1588" s="1776">
        <f>Table1[[#This Row],[VO Hgt]]</f>
        <v>48</v>
      </c>
      <c r="V1588" s="160">
        <f t="shared" si="567"/>
        <v>36</v>
      </c>
      <c r="W1588" s="160">
        <f t="shared" si="568"/>
        <v>48</v>
      </c>
      <c r="X1588" s="381">
        <v>59</v>
      </c>
      <c r="Y1588" s="166"/>
      <c r="Z1588" s="166"/>
      <c r="AA1588" s="766">
        <f t="shared" si="569"/>
        <v>12</v>
      </c>
      <c r="AB1588" s="382"/>
      <c r="AC1588" s="278">
        <f>Table1[[#This Row],[Substrate SF]]*Paper</f>
        <v>16.236000000000001</v>
      </c>
      <c r="AD1588" s="161">
        <f t="shared" si="572"/>
        <v>20.198399999999999</v>
      </c>
      <c r="AE1588" s="104">
        <f>IF(Table1[[#This Row],[Work Center]]="SwissQ",Materials!G$37,IF(Table1[[#This Row],[Work Center]]="Inca",Materials!G$29,IF(Table1[[#This Row],[Work Center]]="Canon",Materials!G$49,Materials!G$45)))</f>
        <v>7</v>
      </c>
      <c r="AF1588" s="162"/>
      <c r="AG1588" s="115"/>
      <c r="AH1588" s="112">
        <f t="shared" si="570"/>
        <v>110</v>
      </c>
      <c r="AI1588" s="112"/>
      <c r="AJ1588" s="162">
        <f>SUM(AC1588:AH1588)</f>
        <v>153.43439999999998</v>
      </c>
      <c r="AK1588" s="62">
        <f t="shared" si="571"/>
        <v>0.93025709090909081</v>
      </c>
      <c r="AL1588" s="225">
        <f>Table1[[#This Row],[WSP/Dealer]]/Table1[[#This Row],[OD Sq Inch]]</f>
        <v>1.2731481481481481</v>
      </c>
      <c r="AM1588" s="103">
        <f>Table1[[#This Row],[OD Wdth]]*Table1[[#This Row],[OD Hgt]]</f>
        <v>1728</v>
      </c>
      <c r="AN1588" s="216">
        <f>Table1[[#This Row],[Min VO]]+Table1[[#This Row],[Max VO]]</f>
        <v>84</v>
      </c>
      <c r="AO1588" s="159"/>
      <c r="AP1588" s="166"/>
      <c r="AQ1588" s="162"/>
      <c r="AR1588" s="162"/>
      <c r="AS1588" s="162"/>
      <c r="AT1588" s="162"/>
      <c r="AU1588" s="1381" t="str">
        <f t="shared" si="554"/>
        <v>-</v>
      </c>
    </row>
    <row r="1589" spans="1:47" s="63" customFormat="1" x14ac:dyDescent="0.2">
      <c r="A1589" s="145" t="s">
        <v>58</v>
      </c>
      <c r="B1589" s="1061" t="s">
        <v>533</v>
      </c>
      <c r="C1589" s="146" t="s">
        <v>3759</v>
      </c>
      <c r="D1589" s="94" t="s">
        <v>3760</v>
      </c>
      <c r="E1589" s="146" t="s">
        <v>3757</v>
      </c>
      <c r="F1589" s="147" t="s">
        <v>386</v>
      </c>
      <c r="G1589" s="1480" t="s">
        <v>2148</v>
      </c>
      <c r="H1589" s="1480" t="s">
        <v>2148</v>
      </c>
      <c r="I1589" s="156" t="s">
        <v>52</v>
      </c>
      <c r="J1589" s="1338" t="s">
        <v>53</v>
      </c>
      <c r="K1589" s="156" t="s">
        <v>54</v>
      </c>
      <c r="L1589" s="156" t="s">
        <v>55</v>
      </c>
      <c r="M1589" s="151">
        <v>650</v>
      </c>
      <c r="N1589" s="639">
        <v>720</v>
      </c>
      <c r="O1589" s="145" t="s">
        <v>56</v>
      </c>
      <c r="P1589" s="145">
        <v>36</v>
      </c>
      <c r="Q1589" s="145">
        <v>48</v>
      </c>
      <c r="R1589" s="145">
        <v>36</v>
      </c>
      <c r="S1589" s="145">
        <v>48</v>
      </c>
      <c r="T1589" s="698">
        <f>Table1[[#This Row],[VO Wdth]]</f>
        <v>36</v>
      </c>
      <c r="U1589" s="698">
        <f>Table1[[#This Row],[VO Hgt]]</f>
        <v>48</v>
      </c>
      <c r="V1589" s="149">
        <f t="shared" si="567"/>
        <v>44</v>
      </c>
      <c r="W1589" s="149">
        <f t="shared" si="568"/>
        <v>56</v>
      </c>
      <c r="X1589" s="157">
        <v>59</v>
      </c>
      <c r="Y1589" s="145"/>
      <c r="Z1589" s="145"/>
      <c r="AA1589" s="722">
        <f t="shared" si="569"/>
        <v>17.111111111111111</v>
      </c>
      <c r="AB1589" s="389">
        <f>AA1589*IncaG</f>
        <v>360.01777777777778</v>
      </c>
      <c r="AC1589" s="143">
        <f>Table1[[#This Row],[Substrate SF]]*Paper</f>
        <v>23.151333333333334</v>
      </c>
      <c r="AD1589" s="150">
        <f t="shared" si="572"/>
        <v>28.801422222222222</v>
      </c>
      <c r="AE1589" s="104">
        <f>IF(Table1[[#This Row],[Work Center]]="SwissQ",Materials!G$37,IF(Table1[[#This Row],[Work Center]]="Inca",Materials!G$29,IF(Table1[[#This Row],[Work Center]]="Canon",Materials!G$49,Materials!G$45)))</f>
        <v>8</v>
      </c>
      <c r="AF1589" s="143">
        <f>'Cali FPS'!C$71</f>
        <v>114.31</v>
      </c>
      <c r="AG1589" s="115"/>
      <c r="AH1589" s="112">
        <f t="shared" si="570"/>
        <v>32.5</v>
      </c>
      <c r="AI1589" s="112"/>
      <c r="AJ1589" s="143">
        <f>SUM(AC1589:AH1589)</f>
        <v>206.76275555555554</v>
      </c>
      <c r="AK1589" s="62">
        <f t="shared" si="571"/>
        <v>0.68190345299145305</v>
      </c>
      <c r="AL1589" s="225">
        <f>Table1[[#This Row],[WSP/Dealer]]/Table1[[#This Row],[OD Sq Inch]]</f>
        <v>0.37615740740740738</v>
      </c>
      <c r="AM1589" s="103">
        <f>Table1[[#This Row],[OD Wdth]]*Table1[[#This Row],[OD Hgt]]</f>
        <v>1728</v>
      </c>
      <c r="AN1589" s="216">
        <f>Table1[[#This Row],[Min VO]]+Table1[[#This Row],[Max VO]]</f>
        <v>84</v>
      </c>
      <c r="AO1589" s="145"/>
      <c r="AP1589" s="145"/>
      <c r="AQ1589" s="143"/>
      <c r="AR1589" s="143"/>
      <c r="AS1589" s="143"/>
      <c r="AT1589" s="143"/>
      <c r="AU1589" s="1371" t="str">
        <f t="shared" si="554"/>
        <v>-</v>
      </c>
    </row>
    <row r="1590" spans="1:47" s="103" customFormat="1" hidden="1" x14ac:dyDescent="0.2">
      <c r="A1590" s="180" t="s">
        <v>272</v>
      </c>
      <c r="B1590" s="279" t="s">
        <v>1062</v>
      </c>
      <c r="C1590" s="281" t="s">
        <v>3761</v>
      </c>
      <c r="D1590" s="94"/>
      <c r="E1590" s="281" t="s">
        <v>3757</v>
      </c>
      <c r="F1590" s="284" t="s">
        <v>386</v>
      </c>
      <c r="G1590" s="181" t="s">
        <v>2148</v>
      </c>
      <c r="H1590" s="181" t="s">
        <v>2148</v>
      </c>
      <c r="I1590" s="181" t="s">
        <v>52</v>
      </c>
      <c r="J1590" s="181" t="s">
        <v>53</v>
      </c>
      <c r="K1590" s="181" t="s">
        <v>54</v>
      </c>
      <c r="L1590" s="181" t="s">
        <v>55</v>
      </c>
      <c r="M1590" s="290">
        <v>400</v>
      </c>
      <c r="N1590" s="290"/>
      <c r="O1590" s="180" t="s">
        <v>56</v>
      </c>
      <c r="P1590" s="180">
        <v>36</v>
      </c>
      <c r="Q1590" s="180">
        <v>48</v>
      </c>
      <c r="R1590" s="180">
        <v>36</v>
      </c>
      <c r="S1590" s="173">
        <v>48</v>
      </c>
      <c r="T1590" s="1692">
        <f>Table1[[#This Row],[VO Wdth]]</f>
        <v>36</v>
      </c>
      <c r="U1590" s="1692">
        <f>Table1[[#This Row],[VO Hgt]]</f>
        <v>48</v>
      </c>
      <c r="V1590" s="947">
        <f t="shared" si="567"/>
        <v>44</v>
      </c>
      <c r="W1590" s="947">
        <f t="shared" si="568"/>
        <v>56</v>
      </c>
      <c r="X1590" s="289">
        <v>59</v>
      </c>
      <c r="Y1590" s="180"/>
      <c r="Z1590" s="180"/>
      <c r="AA1590" s="678">
        <f t="shared" si="569"/>
        <v>17.111111111111111</v>
      </c>
      <c r="AB1590" s="329">
        <f>AA1590*IncaG</f>
        <v>360.01777777777778</v>
      </c>
      <c r="AC1590" s="176">
        <f>Table1[[#This Row],[Substrate SF]]*Paper</f>
        <v>23.151333333333334</v>
      </c>
      <c r="AD1590" s="175">
        <f t="shared" si="572"/>
        <v>28.801422222222222</v>
      </c>
      <c r="AE1590" s="104">
        <f>IF(Table1[[#This Row],[Work Center]]="SwissQ",Materials!G$37,IF(Table1[[#This Row],[Work Center]]="Inca",Materials!G$29,IF(Table1[[#This Row],[Work Center]]="Canon",Materials!G$49,Materials!G$45)))</f>
        <v>8</v>
      </c>
      <c r="AF1590" s="176">
        <f>'Cali FPS'!C$71</f>
        <v>114.31</v>
      </c>
      <c r="AG1590" s="284"/>
      <c r="AH1590" s="498">
        <f t="shared" si="570"/>
        <v>20</v>
      </c>
      <c r="AI1590" s="498"/>
      <c r="AJ1590" s="176">
        <f>SUM(AC1590:AH1590)</f>
        <v>194.26275555555554</v>
      </c>
      <c r="AK1590" s="650">
        <f t="shared" si="571"/>
        <v>0.5143431111111112</v>
      </c>
      <c r="AL1590" s="225">
        <f>Table1[[#This Row],[WSP/Dealer]]/Table1[[#This Row],[OD Sq Inch]]</f>
        <v>0.23148148148148148</v>
      </c>
      <c r="AM1590" s="173">
        <f>Table1[[#This Row],[OD Wdth]]*Table1[[#This Row],[OD Hgt]]</f>
        <v>1728</v>
      </c>
      <c r="AN1590" s="216">
        <f>Table1[[#This Row],[Min VO]]+Table1[[#This Row],[Max VO]]</f>
        <v>84</v>
      </c>
      <c r="AO1590" s="180"/>
      <c r="AP1590" s="180"/>
      <c r="AQ1590" s="176"/>
      <c r="AR1590" s="176"/>
      <c r="AS1590" s="176"/>
      <c r="AT1590" s="176"/>
      <c r="AU1590" s="1201" t="str">
        <f t="shared" si="554"/>
        <v>-</v>
      </c>
    </row>
    <row r="1591" spans="1:47" s="63" customFormat="1" hidden="1" x14ac:dyDescent="0.2">
      <c r="A1591" s="1399" t="s">
        <v>110</v>
      </c>
      <c r="B1591" s="1673" t="s">
        <v>134</v>
      </c>
      <c r="C1591" s="1400" t="s">
        <v>3761</v>
      </c>
      <c r="D1591" s="1401"/>
      <c r="E1591" s="1400" t="s">
        <v>3762</v>
      </c>
      <c r="F1591" s="1402" t="s">
        <v>386</v>
      </c>
      <c r="G1591" s="1403" t="s">
        <v>2148</v>
      </c>
      <c r="H1591" s="1403" t="s">
        <v>2148</v>
      </c>
      <c r="I1591" s="1404" t="s">
        <v>52</v>
      </c>
      <c r="J1591" s="1405" t="s">
        <v>53</v>
      </c>
      <c r="K1591" s="1404" t="s">
        <v>281</v>
      </c>
      <c r="L1591" s="1406" t="s">
        <v>55</v>
      </c>
      <c r="M1591" s="1407">
        <v>560</v>
      </c>
      <c r="N1591" s="102"/>
      <c r="O1591" s="101" t="s">
        <v>56</v>
      </c>
      <c r="P1591" s="188">
        <v>36</v>
      </c>
      <c r="Q1591" s="188">
        <v>48</v>
      </c>
      <c r="R1591" s="188">
        <v>36</v>
      </c>
      <c r="S1591" s="188">
        <v>48</v>
      </c>
      <c r="T1591" s="1328">
        <f>Table1[[#This Row],[VO Wdth]]</f>
        <v>36</v>
      </c>
      <c r="U1591" s="1328">
        <f>Table1[[#This Row],[VO Hgt]]</f>
        <v>48</v>
      </c>
      <c r="V1591" s="608">
        <f t="shared" si="567"/>
        <v>44</v>
      </c>
      <c r="W1591" s="608">
        <f t="shared" si="568"/>
        <v>56</v>
      </c>
      <c r="X1591" s="800">
        <v>59</v>
      </c>
      <c r="Y1591" s="101">
        <v>44</v>
      </c>
      <c r="Z1591" s="101">
        <v>56</v>
      </c>
      <c r="AA1591" s="724">
        <f t="shared" si="569"/>
        <v>17.111111111111111</v>
      </c>
      <c r="AB1591" s="633">
        <f>AA1591*IncaG</f>
        <v>360.01777777777778</v>
      </c>
      <c r="AC1591" s="406">
        <f>Table1[[#This Row],[Substrate SF]]*Paper</f>
        <v>23.151333333333334</v>
      </c>
      <c r="AD1591" s="405">
        <f t="shared" si="572"/>
        <v>28.801422222222222</v>
      </c>
      <c r="AE1591" s="104">
        <f>IF(Table1[[#This Row],[Work Center]]="SwissQ",Materials!G$37,IF(Table1[[#This Row],[Work Center]]="Inca",Materials!G$29,IF(Table1[[#This Row],[Work Center]]="Canon",Materials!G$49,Materials!G$45)))</f>
        <v>8</v>
      </c>
      <c r="AF1591" s="406">
        <f>'Cali FPS'!C71</f>
        <v>114.31</v>
      </c>
      <c r="AG1591" s="401"/>
      <c r="AH1591" s="104">
        <f t="shared" si="570"/>
        <v>28</v>
      </c>
      <c r="AI1591" s="406">
        <f>IF(A1591="Codarus",(M1591*0.13))</f>
        <v>72.8</v>
      </c>
      <c r="AJ1591" s="104">
        <f>SUM(AC1591:AI1591)</f>
        <v>275.06275555555555</v>
      </c>
      <c r="AK1591" s="830">
        <f t="shared" si="571"/>
        <v>0.5088165079365079</v>
      </c>
      <c r="AL1591" s="660">
        <f>Table1[[#This Row],[WSP/Dealer]]/Table1[[#This Row],[OD Sq Inch]]</f>
        <v>0.32407407407407407</v>
      </c>
      <c r="AM1591" s="399">
        <f>Table1[[#This Row],[OD Wdth]]*Table1[[#This Row],[OD Hgt]]</f>
        <v>1728</v>
      </c>
      <c r="AN1591" s="115"/>
      <c r="AO1591" s="115"/>
      <c r="AP1591" s="121">
        <v>1120</v>
      </c>
      <c r="AQ1591" s="121">
        <f>(Table1[[#This Row],[Desgnr/Retail P]]*0.05)</f>
        <v>56</v>
      </c>
      <c r="AR1591" s="121">
        <f>IF(A1591="Codarus",(AP1591*0.13))</f>
        <v>145.6</v>
      </c>
      <c r="AS1591" s="121">
        <f>SUM(Table1[[#This Row],[Substrate $]:[GP FINISH]])+Table1[[#This Row],[Retail Royalty]]+Table1[[#This Row],[Retail$Comm]]</f>
        <v>375.86275555555551</v>
      </c>
      <c r="AT1591" s="830">
        <f>IF(AP1591=0,"-",(AP1591-AS1591)/AP1591)</f>
        <v>0.66440825396825398</v>
      </c>
      <c r="AU1591" s="1359">
        <f t="shared" si="554"/>
        <v>0.98813556689342408</v>
      </c>
    </row>
    <row r="1592" spans="1:47" s="63" customFormat="1" hidden="1" x14ac:dyDescent="0.2">
      <c r="A1592" s="376" t="s">
        <v>187</v>
      </c>
      <c r="B1592" s="1061" t="s">
        <v>261</v>
      </c>
      <c r="C1592" s="436" t="s">
        <v>3763</v>
      </c>
      <c r="D1592" s="94"/>
      <c r="E1592" s="436" t="s">
        <v>3762</v>
      </c>
      <c r="F1592" s="142" t="s">
        <v>386</v>
      </c>
      <c r="G1592" s="1754" t="s">
        <v>2148</v>
      </c>
      <c r="H1592" s="1754" t="s">
        <v>133</v>
      </c>
      <c r="I1592" s="258" t="s">
        <v>52</v>
      </c>
      <c r="J1592" s="808" t="s">
        <v>53</v>
      </c>
      <c r="K1592" s="258" t="s">
        <v>1410</v>
      </c>
      <c r="L1592" s="68" t="s">
        <v>70</v>
      </c>
      <c r="M1592" s="420">
        <v>2450</v>
      </c>
      <c r="N1592" s="71"/>
      <c r="O1592" s="68" t="s">
        <v>56</v>
      </c>
      <c r="P1592" s="159">
        <v>36</v>
      </c>
      <c r="Q1592" s="159">
        <v>48</v>
      </c>
      <c r="R1592" s="166">
        <v>36</v>
      </c>
      <c r="S1592" s="159">
        <v>48</v>
      </c>
      <c r="T1592" s="1776">
        <f>Table1[[#This Row],[VO Wdth]]</f>
        <v>36</v>
      </c>
      <c r="U1592" s="1776">
        <f>Table1[[#This Row],[VO Hgt]]</f>
        <v>48</v>
      </c>
      <c r="V1592" s="160">
        <f t="shared" si="567"/>
        <v>44</v>
      </c>
      <c r="W1592" s="160">
        <f t="shared" si="568"/>
        <v>56</v>
      </c>
      <c r="X1592" s="381">
        <v>59</v>
      </c>
      <c r="Y1592" s="68"/>
      <c r="Z1592" s="68"/>
      <c r="AA1592" s="727">
        <f t="shared" si="569"/>
        <v>17.111111111111111</v>
      </c>
      <c r="AB1592" s="341">
        <f>AA1592*IncaG</f>
        <v>360.01777777777778</v>
      </c>
      <c r="AC1592" s="278">
        <f>Table1[[#This Row],[Substrate SF]]*Paper</f>
        <v>23.151333333333334</v>
      </c>
      <c r="AD1592" s="263">
        <f t="shared" si="572"/>
        <v>28.801422222222222</v>
      </c>
      <c r="AE1592" s="74">
        <f>IF(Table1[[#This Row],[Work Center]]="SwissQ",Materials!G$37,IF(Table1[[#This Row],[Work Center]]="Inca",Materials!G$29,IF(Table1[[#This Row],[Work Center]]="Canon",Materials!G$49,Materials!G$45)))</f>
        <v>8</v>
      </c>
      <c r="AF1592" s="278">
        <f>'Cali Frames'!D133</f>
        <v>148.8725</v>
      </c>
      <c r="AG1592" s="275"/>
      <c r="AH1592" s="112">
        <f t="shared" si="570"/>
        <v>122.5</v>
      </c>
      <c r="AI1592" s="112"/>
      <c r="AJ1592" s="263">
        <f>SUM(AC1592:AH1592)</f>
        <v>331.32525555555554</v>
      </c>
      <c r="AK1592" s="62">
        <f t="shared" si="571"/>
        <v>0.86476520181405903</v>
      </c>
      <c r="AL1592" s="225">
        <f>Table1[[#This Row],[WSP/Dealer]]/Table1[[#This Row],[OD Sq Inch]]</f>
        <v>1.4178240740740742</v>
      </c>
      <c r="AM1592" s="170">
        <f>Table1[[#This Row],[OD Wdth]]*Table1[[#This Row],[OD Hgt]]</f>
        <v>1728</v>
      </c>
      <c r="AN1592" s="84"/>
      <c r="AO1592" s="119"/>
      <c r="AP1592" s="84"/>
      <c r="AQ1592" s="126"/>
      <c r="AR1592" s="126"/>
      <c r="AS1592" s="126"/>
      <c r="AT1592" s="74"/>
      <c r="AU1592" s="1356" t="str">
        <f t="shared" si="554"/>
        <v>-</v>
      </c>
    </row>
    <row r="1593" spans="1:47" s="63" customFormat="1" hidden="1" x14ac:dyDescent="0.2">
      <c r="A1593" s="376" t="s">
        <v>187</v>
      </c>
      <c r="B1593" s="279" t="s">
        <v>261</v>
      </c>
      <c r="C1593" s="436" t="s">
        <v>3764</v>
      </c>
      <c r="D1593" s="94"/>
      <c r="E1593" s="436" t="s">
        <v>3762</v>
      </c>
      <c r="F1593" s="142" t="s">
        <v>386</v>
      </c>
      <c r="G1593" s="1754" t="s">
        <v>2148</v>
      </c>
      <c r="H1593" s="1754" t="s">
        <v>133</v>
      </c>
      <c r="I1593" s="258" t="s">
        <v>52</v>
      </c>
      <c r="J1593" s="140" t="s">
        <v>53</v>
      </c>
      <c r="K1593" s="258" t="s">
        <v>1412</v>
      </c>
      <c r="L1593" s="68" t="s">
        <v>73</v>
      </c>
      <c r="M1593" s="420">
        <v>2450</v>
      </c>
      <c r="N1593" s="71"/>
      <c r="O1593" s="68" t="s">
        <v>56</v>
      </c>
      <c r="P1593" s="166">
        <v>36</v>
      </c>
      <c r="Q1593" s="166">
        <v>48</v>
      </c>
      <c r="R1593" s="166">
        <v>36</v>
      </c>
      <c r="S1593" s="166">
        <v>48</v>
      </c>
      <c r="T1593" s="916">
        <f>Table1[[#This Row],[VO Wdth]]</f>
        <v>36</v>
      </c>
      <c r="U1593" s="916">
        <f>Table1[[#This Row],[VO Hgt]]</f>
        <v>48</v>
      </c>
      <c r="V1593" s="160">
        <f t="shared" si="567"/>
        <v>44</v>
      </c>
      <c r="W1593" s="160">
        <f t="shared" si="568"/>
        <v>56</v>
      </c>
      <c r="X1593" s="381">
        <v>59</v>
      </c>
      <c r="Y1593" s="68"/>
      <c r="Z1593" s="68"/>
      <c r="AA1593" s="727">
        <f t="shared" si="569"/>
        <v>17.111111111111111</v>
      </c>
      <c r="AB1593" s="341">
        <f>AA1593*IncaG</f>
        <v>360.01777777777778</v>
      </c>
      <c r="AC1593" s="278">
        <f>Table1[[#This Row],[Substrate SF]]*Paper</f>
        <v>23.151333333333334</v>
      </c>
      <c r="AD1593" s="263">
        <f t="shared" si="572"/>
        <v>28.801422222222222</v>
      </c>
      <c r="AE1593" s="74">
        <f>IF(Table1[[#This Row],[Work Center]]="SwissQ",Materials!G$37,IF(Table1[[#This Row],[Work Center]]="Inca",Materials!G$29,IF(Table1[[#This Row],[Work Center]]="Canon",Materials!G$49,Materials!G$45)))</f>
        <v>8</v>
      </c>
      <c r="AF1593" s="278">
        <f>'Cali Frames'!D436</f>
        <v>145.70500000000001</v>
      </c>
      <c r="AG1593" s="275"/>
      <c r="AH1593" s="498">
        <f t="shared" si="570"/>
        <v>122.5</v>
      </c>
      <c r="AI1593" s="498"/>
      <c r="AJ1593" s="263">
        <f>SUM(AC1593:AH1593)</f>
        <v>328.15775555555558</v>
      </c>
      <c r="AK1593" s="650">
        <f t="shared" si="571"/>
        <v>0.86605805895691612</v>
      </c>
      <c r="AL1593" s="225">
        <f>Table1[[#This Row],[WSP/Dealer]]/Table1[[#This Row],[OD Sq Inch]]</f>
        <v>1.4178240740740742</v>
      </c>
      <c r="AM1593" s="170">
        <f>Table1[[#This Row],[OD Wdth]]*Table1[[#This Row],[OD Hgt]]</f>
        <v>1728</v>
      </c>
      <c r="AN1593" s="84"/>
      <c r="AO1593" s="84"/>
      <c r="AP1593" s="84"/>
      <c r="AQ1593" s="126"/>
      <c r="AR1593" s="126"/>
      <c r="AS1593" s="126"/>
      <c r="AT1593" s="74"/>
      <c r="AU1593" s="1357" t="str">
        <f t="shared" si="554"/>
        <v>-</v>
      </c>
    </row>
    <row r="1594" spans="1:47" s="103" customFormat="1" hidden="1" x14ac:dyDescent="0.2">
      <c r="A1594" s="376" t="s">
        <v>187</v>
      </c>
      <c r="B1594" s="279" t="s">
        <v>261</v>
      </c>
      <c r="C1594" s="436" t="s">
        <v>3765</v>
      </c>
      <c r="D1594" s="94"/>
      <c r="E1594" s="436" t="s">
        <v>3766</v>
      </c>
      <c r="F1594" s="142" t="s">
        <v>386</v>
      </c>
      <c r="G1594" s="1754" t="s">
        <v>2148</v>
      </c>
      <c r="H1594" s="1754" t="s">
        <v>2148</v>
      </c>
      <c r="I1594" s="274" t="s">
        <v>108</v>
      </c>
      <c r="J1594" s="68" t="s">
        <v>197</v>
      </c>
      <c r="K1594" s="274" t="s">
        <v>198</v>
      </c>
      <c r="L1594" s="274" t="s">
        <v>199</v>
      </c>
      <c r="M1594" s="696">
        <v>90</v>
      </c>
      <c r="N1594" s="71"/>
      <c r="O1594" s="68" t="s">
        <v>56</v>
      </c>
      <c r="P1594" s="166">
        <v>36</v>
      </c>
      <c r="Q1594" s="166">
        <v>48</v>
      </c>
      <c r="R1594" s="166">
        <v>36</v>
      </c>
      <c r="S1594" s="166">
        <v>48</v>
      </c>
      <c r="T1594" s="916">
        <f>Table1[[#This Row],[VO Wdth]]</f>
        <v>36</v>
      </c>
      <c r="U1594" s="916">
        <f>Table1[[#This Row],[VO Hgt]]</f>
        <v>48</v>
      </c>
      <c r="V1594" s="686">
        <f>Table1[[#This Row],[VO Wdth]]+Materials!$C$7</f>
        <v>38</v>
      </c>
      <c r="W1594" s="686">
        <f>Table1[[#This Row],[VO Hgt]]+Materials!$C$7</f>
        <v>50</v>
      </c>
      <c r="X1594" s="343" t="s">
        <v>197</v>
      </c>
      <c r="Y1594" s="68"/>
      <c r="Z1594" s="68"/>
      <c r="AA1594" s="699">
        <f t="shared" si="569"/>
        <v>13.194444444444445</v>
      </c>
      <c r="AB1594" s="297">
        <f>AA1594*IncaGR</f>
        <v>13.458333333333334</v>
      </c>
      <c r="AC1594" s="74">
        <f>Table1[[#This Row],[Substrate SF]]*POster</f>
        <v>9.8166666666666664</v>
      </c>
      <c r="AD1594" s="208">
        <f>Table1[[#This Row],[Ink g/mL]]*IncaCR</f>
        <v>1.0766666666666667</v>
      </c>
      <c r="AE1594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594" s="73">
        <v>0</v>
      </c>
      <c r="AG1594" s="126">
        <f>Materials!D$76</f>
        <v>10.82</v>
      </c>
      <c r="AH1594" s="498">
        <f t="shared" si="570"/>
        <v>4.5</v>
      </c>
      <c r="AI1594" s="498"/>
      <c r="AJ1594" s="278">
        <f>SUM(AC1594:AH1594)</f>
        <v>36.213333333333331</v>
      </c>
      <c r="AK1594" s="650">
        <f t="shared" si="571"/>
        <v>0.59762962962962962</v>
      </c>
      <c r="AL1594" s="225">
        <f>Table1[[#This Row],[WSP/Dealer]]/Table1[[#This Row],[OD Sq Inch]]</f>
        <v>5.2083333333333336E-2</v>
      </c>
      <c r="AM1594" s="170">
        <f>Table1[[#This Row],[OD Wdth]]*Table1[[#This Row],[OD Hgt]]</f>
        <v>1728</v>
      </c>
      <c r="AN1594" s="84"/>
      <c r="AO1594" s="84"/>
      <c r="AP1594" s="84"/>
      <c r="AQ1594" s="126"/>
      <c r="AR1594" s="126"/>
      <c r="AS1594" s="126"/>
      <c r="AT1594" s="74"/>
      <c r="AU1594" s="1357" t="str">
        <f t="shared" si="554"/>
        <v>-</v>
      </c>
    </row>
    <row r="1595" spans="1:47" s="103" customFormat="1" hidden="1" x14ac:dyDescent="0.2">
      <c r="A1595" s="101" t="s">
        <v>110</v>
      </c>
      <c r="B1595" s="1322" t="s">
        <v>134</v>
      </c>
      <c r="C1595" s="168" t="s">
        <v>3767</v>
      </c>
      <c r="D1595" s="168"/>
      <c r="E1595" s="115" t="s">
        <v>3768</v>
      </c>
      <c r="F1595" s="115" t="s">
        <v>960</v>
      </c>
      <c r="G1595" s="1398" t="s">
        <v>693</v>
      </c>
      <c r="H1595" s="1398" t="s">
        <v>1932</v>
      </c>
      <c r="I1595" s="101" t="s">
        <v>256</v>
      </c>
      <c r="J1595" s="303" t="s">
        <v>257</v>
      </c>
      <c r="K1595" s="101" t="s">
        <v>258</v>
      </c>
      <c r="L1595" s="101" t="s">
        <v>259</v>
      </c>
      <c r="M1595" s="299">
        <v>325</v>
      </c>
      <c r="N1595" s="102"/>
      <c r="O1595" s="101" t="s">
        <v>260</v>
      </c>
      <c r="P1595" s="103">
        <v>12</v>
      </c>
      <c r="Q1595" s="103">
        <v>12</v>
      </c>
      <c r="R1595" s="101">
        <v>12</v>
      </c>
      <c r="S1595" s="103">
        <v>12</v>
      </c>
      <c r="T1595" s="103">
        <v>14</v>
      </c>
      <c r="U1595" s="103">
        <v>14</v>
      </c>
      <c r="V1595" s="608">
        <f>IF(J1595="Canvas",P1595+Border,P1595)</f>
        <v>12</v>
      </c>
      <c r="W1595" s="608">
        <f>IF(J1595="Canvas",Q1595+Border,Q1595)</f>
        <v>12</v>
      </c>
      <c r="X1595" s="137" t="s">
        <v>257</v>
      </c>
      <c r="Y1595" s="101">
        <v>12</v>
      </c>
      <c r="Z1595" s="101">
        <v>2</v>
      </c>
      <c r="AA1595" s="649">
        <f t="shared" si="569"/>
        <v>1</v>
      </c>
      <c r="AB1595" s="184">
        <f>AA1595*canonML</f>
        <v>4.8</v>
      </c>
      <c r="AC1595" s="104">
        <f>Table1[[#This Row],[Print Wth]]*paper60</f>
        <v>4.08</v>
      </c>
      <c r="AD1595" s="107">
        <f>Table1[[#This Row],[Ink g/mL]]*CanonC</f>
        <v>1.296</v>
      </c>
      <c r="AE1595" s="104">
        <f>IF(Table1[[#This Row],[Work Center]]="SwissQ",Materials!G$37,IF(Table1[[#This Row],[Work Center]]="Inca",Materials!G$29,IF(Table1[[#This Row],[Work Center]]="Canon",Materials!G$49,Materials!G$45)))</f>
        <v>7</v>
      </c>
      <c r="AF1595" s="102">
        <f>'Cali Frames'!D30</f>
        <v>85.59</v>
      </c>
      <c r="AG1595" s="121"/>
      <c r="AH1595" s="104">
        <f t="shared" si="570"/>
        <v>16.25</v>
      </c>
      <c r="AI1595" s="406">
        <f>IF(A1595="Codarus",(M1595*0.13))</f>
        <v>42.25</v>
      </c>
      <c r="AJ1595" s="104">
        <f>SUM(AC1595:AI1595)</f>
        <v>156.46600000000001</v>
      </c>
      <c r="AK1595" s="830">
        <f t="shared" si="571"/>
        <v>0.51856615384615379</v>
      </c>
      <c r="AL1595" s="660">
        <f>Table1[[#This Row],[WSP/Dealer]]/Table1[[#This Row],[OD Sq Inch]]</f>
        <v>1.6581632653061225</v>
      </c>
      <c r="AM1595" s="399">
        <f>Table1[[#This Row],[OD Wdth]]*Table1[[#This Row],[OD Hgt]]</f>
        <v>196</v>
      </c>
      <c r="AN1595" s="400">
        <f>Table1[[#This Row],[Min VO]]+Table1[[#This Row],[Max VO]]</f>
        <v>24</v>
      </c>
      <c r="AO1595" s="115"/>
      <c r="AP1595" s="1307">
        <f>(M1595*2)</f>
        <v>650</v>
      </c>
      <c r="AQ1595" s="121">
        <f>(Table1[[#This Row],[Desgnr/Retail P]]*0.05)</f>
        <v>32.5</v>
      </c>
      <c r="AR1595" s="121">
        <f>IF(A1595="Codarus",(AP1595*0.13))</f>
        <v>84.5</v>
      </c>
      <c r="AS1595" s="121">
        <f>SUM(Table1[[#This Row],[Substrate $]:[GP FINISH]])+Table1[[#This Row],[Retail Royalty]]+Table1[[#This Row],[Retail$Comm]]</f>
        <v>214.96600000000001</v>
      </c>
      <c r="AT1595" s="830">
        <f>IF(AP1595=0,"-",(AP1595-AS1595)/AP1595)</f>
        <v>0.66928307692307687</v>
      </c>
      <c r="AU1595" s="1359">
        <f t="shared" si="554"/>
        <v>0.979406674556213</v>
      </c>
    </row>
    <row r="1596" spans="1:47" s="63" customFormat="1" hidden="1" x14ac:dyDescent="0.2">
      <c r="A1596" s="101" t="s">
        <v>110</v>
      </c>
      <c r="B1596" s="1062" t="s">
        <v>134</v>
      </c>
      <c r="C1596" s="168" t="s">
        <v>3769</v>
      </c>
      <c r="D1596" s="168"/>
      <c r="E1596" s="115" t="s">
        <v>3770</v>
      </c>
      <c r="F1596" s="115" t="s">
        <v>960</v>
      </c>
      <c r="G1596" s="1398" t="s">
        <v>693</v>
      </c>
      <c r="H1596" s="1398" t="s">
        <v>1932</v>
      </c>
      <c r="I1596" s="101" t="s">
        <v>256</v>
      </c>
      <c r="J1596" s="303" t="s">
        <v>257</v>
      </c>
      <c r="K1596" s="101" t="s">
        <v>258</v>
      </c>
      <c r="L1596" s="101" t="s">
        <v>259</v>
      </c>
      <c r="M1596" s="299">
        <v>325</v>
      </c>
      <c r="N1596" s="102"/>
      <c r="O1596" s="101" t="s">
        <v>260</v>
      </c>
      <c r="P1596" s="101">
        <v>12</v>
      </c>
      <c r="Q1596" s="101">
        <v>12</v>
      </c>
      <c r="R1596" s="101">
        <v>12</v>
      </c>
      <c r="S1596" s="101">
        <v>12</v>
      </c>
      <c r="T1596" s="101">
        <v>14</v>
      </c>
      <c r="U1596" s="101">
        <v>14</v>
      </c>
      <c r="V1596" s="106">
        <f>IF(J1596="Canvas",P1596+Border,P1596)</f>
        <v>12</v>
      </c>
      <c r="W1596" s="106">
        <f>IF(J1596="Canvas",Q1596+Border,Q1596)</f>
        <v>12</v>
      </c>
      <c r="X1596" s="137" t="s">
        <v>257</v>
      </c>
      <c r="Y1596" s="101">
        <v>12</v>
      </c>
      <c r="Z1596" s="101">
        <v>12</v>
      </c>
      <c r="AA1596" s="649">
        <f t="shared" si="569"/>
        <v>1</v>
      </c>
      <c r="AB1596" s="184">
        <f>AA1596*canonML</f>
        <v>4.8</v>
      </c>
      <c r="AC1596" s="104">
        <f>Table1[[#This Row],[Print Wth]]*paper60</f>
        <v>4.08</v>
      </c>
      <c r="AD1596" s="107">
        <f>Table1[[#This Row],[Ink g/mL]]*CanonC</f>
        <v>1.296</v>
      </c>
      <c r="AE1596" s="104">
        <f>IF(Table1[[#This Row],[Work Center]]="SwissQ",Materials!G$37,IF(Table1[[#This Row],[Work Center]]="Inca",Materials!G$29,IF(Table1[[#This Row],[Work Center]]="Canon",Materials!G$49,Materials!G$45)))</f>
        <v>7</v>
      </c>
      <c r="AF1596" s="102">
        <f>'Cali Frames'!D30</f>
        <v>85.59</v>
      </c>
      <c r="AG1596" s="121"/>
      <c r="AH1596" s="104">
        <f t="shared" si="570"/>
        <v>16.25</v>
      </c>
      <c r="AI1596" s="406">
        <f>IF(A1596="Codarus",(M1596*0.13))</f>
        <v>42.25</v>
      </c>
      <c r="AJ1596" s="107">
        <f>SUM(AC1596:AI1596)</f>
        <v>156.46600000000001</v>
      </c>
      <c r="AK1596" s="830">
        <f t="shared" si="571"/>
        <v>0.51856615384615379</v>
      </c>
      <c r="AL1596" s="660">
        <f>Table1[[#This Row],[WSP/Dealer]]/Table1[[#This Row],[OD Sq Inch]]</f>
        <v>1.6581632653061225</v>
      </c>
      <c r="AM1596" s="399">
        <f>Table1[[#This Row],[OD Wdth]]*Table1[[#This Row],[OD Hgt]]</f>
        <v>196</v>
      </c>
      <c r="AN1596" s="400">
        <f>Table1[[#This Row],[Min VO]]+Table1[[#This Row],[Max VO]]</f>
        <v>24</v>
      </c>
      <c r="AO1596" s="115"/>
      <c r="AP1596" s="1307">
        <f>(M1596*2)</f>
        <v>650</v>
      </c>
      <c r="AQ1596" s="121">
        <f>(Table1[[#This Row],[Desgnr/Retail P]]*0.05)</f>
        <v>32.5</v>
      </c>
      <c r="AR1596" s="121">
        <f>IF(A1596="Codarus",(AP1596*0.13))</f>
        <v>84.5</v>
      </c>
      <c r="AS1596" s="121">
        <f>SUM(Table1[[#This Row],[Substrate $]:[GP FINISH]])+Table1[[#This Row],[Retail Royalty]]+Table1[[#This Row],[Retail$Comm]]</f>
        <v>214.96600000000001</v>
      </c>
      <c r="AT1596" s="830">
        <f>IF(AP1596=0,"-",(AP1596-AS1596)/AP1596)</f>
        <v>0.66928307692307687</v>
      </c>
      <c r="AU1596" s="1359">
        <f t="shared" si="554"/>
        <v>0.979406674556213</v>
      </c>
    </row>
    <row r="1597" spans="1:47" s="103" customFormat="1" hidden="1" x14ac:dyDescent="0.2">
      <c r="A1597" s="68" t="s">
        <v>644</v>
      </c>
      <c r="B1597" s="1061" t="s">
        <v>96</v>
      </c>
      <c r="C1597" s="94" t="s">
        <v>3771</v>
      </c>
      <c r="D1597" s="94"/>
      <c r="E1597" s="84" t="s">
        <v>3772</v>
      </c>
      <c r="F1597" s="84" t="s">
        <v>634</v>
      </c>
      <c r="G1597" s="1111" t="s">
        <v>519</v>
      </c>
      <c r="H1597" s="1111" t="s">
        <v>519</v>
      </c>
      <c r="I1597" s="68" t="s">
        <v>108</v>
      </c>
      <c r="J1597" s="808" t="s">
        <v>53</v>
      </c>
      <c r="K1597" s="68" t="s">
        <v>54</v>
      </c>
      <c r="L1597" s="68" t="s">
        <v>55</v>
      </c>
      <c r="M1597" s="141">
        <v>225</v>
      </c>
      <c r="N1597" s="93"/>
      <c r="O1597" s="68" t="s">
        <v>109</v>
      </c>
      <c r="P1597" s="68">
        <v>16</v>
      </c>
      <c r="Q1597" s="68">
        <v>20</v>
      </c>
      <c r="R1597" s="68">
        <v>16</v>
      </c>
      <c r="S1597" s="68">
        <v>20</v>
      </c>
      <c r="T1597" s="68">
        <v>16</v>
      </c>
      <c r="U1597" s="68">
        <v>20</v>
      </c>
      <c r="V1597" s="277">
        <f>IF(J1597="Canvas",P1597+BorderL,P1597)</f>
        <v>27</v>
      </c>
      <c r="W1597" s="277">
        <f>IF(J1597="Canvas",Q1597+BorderL,Q1597)</f>
        <v>31</v>
      </c>
      <c r="X1597" s="189">
        <v>40</v>
      </c>
      <c r="Y1597" s="68">
        <v>27</v>
      </c>
      <c r="Z1597" s="68">
        <v>31</v>
      </c>
      <c r="AA1597" s="727">
        <f t="shared" si="569"/>
        <v>5.8125</v>
      </c>
      <c r="AB1597" s="341">
        <f>AA1597*EPSONM</f>
        <v>26.15625</v>
      </c>
      <c r="AC1597" s="278">
        <f>AA1597*Canvas</f>
        <v>3.8362500000000002</v>
      </c>
      <c r="AD1597" s="263">
        <f>Table1[[#This Row],[Ink g/mL]]*EPSONC</f>
        <v>5.7543750000000005</v>
      </c>
      <c r="AE1597" s="278">
        <f>IF(Table1[[#This Row],[Work Center]]="SwissQ",Materials!G$37,IF(Table1[[#This Row],[Work Center]]="Inca",Materials!G$29,IF(Table1[[#This Row],[Work Center]]="Canon",Materials!G$49,Materials!G$45)))</f>
        <v>5</v>
      </c>
      <c r="AF1597" s="73">
        <f>'Cali FPS'!C18</f>
        <v>61.15</v>
      </c>
      <c r="AG1597" s="126"/>
      <c r="AH1597" s="74">
        <f t="shared" si="570"/>
        <v>11.25</v>
      </c>
      <c r="AI1597" s="74"/>
      <c r="AJ1597" s="278">
        <f t="shared" ref="AJ1597:AJ1616" si="573">SUM(AC1597:AH1597)</f>
        <v>86.990624999999994</v>
      </c>
      <c r="AK1597" s="1001">
        <f t="shared" si="571"/>
        <v>0.613375</v>
      </c>
      <c r="AL1597" s="240">
        <f>Table1[[#This Row],[WSP/Dealer]]/Table1[[#This Row],[OD Sq Inch]]</f>
        <v>0.703125</v>
      </c>
      <c r="AM1597" s="170">
        <f>Table1[[#This Row],[OD Wdth]]*Table1[[#This Row],[OD Hgt]]</f>
        <v>320</v>
      </c>
      <c r="AN1597" s="274">
        <f>Table1[[#This Row],[Min VO]]+Table1[[#This Row],[Max VO]]</f>
        <v>36</v>
      </c>
      <c r="AO1597" s="84"/>
      <c r="AP1597" s="84"/>
      <c r="AQ1597" s="126"/>
      <c r="AR1597" s="126"/>
      <c r="AS1597" s="126"/>
      <c r="AT1597" s="74"/>
      <c r="AU1597" s="1357" t="str">
        <f t="shared" si="554"/>
        <v>-</v>
      </c>
    </row>
    <row r="1598" spans="1:47" s="63" customFormat="1" hidden="1" x14ac:dyDescent="0.2">
      <c r="A1598" s="101" t="s">
        <v>110</v>
      </c>
      <c r="B1598" s="1322" t="s">
        <v>134</v>
      </c>
      <c r="C1598" s="168" t="s">
        <v>3771</v>
      </c>
      <c r="D1598" s="168"/>
      <c r="E1598" s="115" t="s">
        <v>3772</v>
      </c>
      <c r="F1598" s="115" t="s">
        <v>634</v>
      </c>
      <c r="G1598" s="1398" t="s">
        <v>519</v>
      </c>
      <c r="H1598" s="1398" t="s">
        <v>519</v>
      </c>
      <c r="I1598" s="101" t="s">
        <v>108</v>
      </c>
      <c r="J1598" s="1320" t="s">
        <v>53</v>
      </c>
      <c r="K1598" s="101" t="s">
        <v>54</v>
      </c>
      <c r="L1598" s="101" t="s">
        <v>55</v>
      </c>
      <c r="M1598" s="299">
        <v>250</v>
      </c>
      <c r="N1598" s="114"/>
      <c r="O1598" s="101" t="s">
        <v>109</v>
      </c>
      <c r="P1598" s="101">
        <v>16</v>
      </c>
      <c r="Q1598" s="101">
        <v>20</v>
      </c>
      <c r="R1598" s="101">
        <v>16</v>
      </c>
      <c r="S1598" s="101">
        <v>20</v>
      </c>
      <c r="T1598" s="101">
        <v>16</v>
      </c>
      <c r="U1598" s="101">
        <v>20</v>
      </c>
      <c r="V1598" s="918">
        <f>IF(J1598="Canvas",P1598+BorderL,P1598)</f>
        <v>27</v>
      </c>
      <c r="W1598" s="918">
        <f>IF(J1598="Canvas",Q1598+BorderL,Q1598)</f>
        <v>31</v>
      </c>
      <c r="X1598" s="137">
        <v>40</v>
      </c>
      <c r="Y1598" s="101">
        <v>27</v>
      </c>
      <c r="Z1598" s="101">
        <v>31</v>
      </c>
      <c r="AA1598" s="724">
        <f t="shared" si="569"/>
        <v>5.8125</v>
      </c>
      <c r="AB1598" s="633">
        <f>AA1598*EPSONM</f>
        <v>26.15625</v>
      </c>
      <c r="AC1598" s="406">
        <f>AA1598*Canvas</f>
        <v>3.8362500000000002</v>
      </c>
      <c r="AD1598" s="406">
        <f>Table1[[#This Row],[Ink g/mL]]*EPSONC</f>
        <v>5.7543750000000005</v>
      </c>
      <c r="AE1598" s="406">
        <f>IF(Table1[[#This Row],[Work Center]]="SwissQ",Materials!G$37,IF(Table1[[#This Row],[Work Center]]="Inca",Materials!G$29,IF(Table1[[#This Row],[Work Center]]="Canon",Materials!G$49,Materials!G$45)))</f>
        <v>5</v>
      </c>
      <c r="AF1598" s="102">
        <f>'Cali FPS'!C16</f>
        <v>56.350000000000009</v>
      </c>
      <c r="AG1598" s="121"/>
      <c r="AH1598" s="104">
        <f t="shared" si="570"/>
        <v>12.5</v>
      </c>
      <c r="AI1598" s="406">
        <f>IF(A1598="Codarus",(M1598*0.13))</f>
        <v>32.5</v>
      </c>
      <c r="AJ1598" s="406">
        <f t="shared" si="573"/>
        <v>83.440625000000011</v>
      </c>
      <c r="AK1598" s="830">
        <f t="shared" si="571"/>
        <v>0.66623749999999993</v>
      </c>
      <c r="AL1598" s="660">
        <f>Table1[[#This Row],[WSP/Dealer]]/Table1[[#This Row],[OD Sq Inch]]</f>
        <v>0.78125</v>
      </c>
      <c r="AM1598" s="400">
        <f>Table1[[#This Row],[OD Wdth]]*Table1[[#This Row],[OD Hgt]]</f>
        <v>320</v>
      </c>
      <c r="AN1598" s="400">
        <f>Table1[[#This Row],[Min VO]]+Table1[[#This Row],[Max VO]]</f>
        <v>36</v>
      </c>
      <c r="AO1598" s="115"/>
      <c r="AP1598" s="121">
        <v>500</v>
      </c>
      <c r="AQ1598" s="121">
        <f>(Table1[[#This Row],[Desgnr/Retail P]]*0.05)</f>
        <v>25</v>
      </c>
      <c r="AR1598" s="121">
        <f>IF(A1598="Codarus",(AP1598*0.13))</f>
        <v>65</v>
      </c>
      <c r="AS1598" s="121">
        <f>SUM(Table1[[#This Row],[Substrate $]:[GP FINISH]])+Table1[[#This Row],[Retail Royalty]]+Table1[[#This Row],[Retail$Comm]]</f>
        <v>160.94062500000001</v>
      </c>
      <c r="AT1598" s="830">
        <f>IF(AP1598=0,"-",(AP1598-AS1598)/AP1598)</f>
        <v>0.67811874999999999</v>
      </c>
      <c r="AU1598" s="1359">
        <f t="shared" si="554"/>
        <v>0.97287524999999997</v>
      </c>
    </row>
    <row r="1599" spans="1:47" s="63" customFormat="1" hidden="1" x14ac:dyDescent="0.2">
      <c r="A1599" s="68" t="s">
        <v>101</v>
      </c>
      <c r="B1599" s="1152" t="s">
        <v>102</v>
      </c>
      <c r="C1599" s="257" t="s">
        <v>3773</v>
      </c>
      <c r="D1599" s="94"/>
      <c r="E1599" s="84" t="s">
        <v>3774</v>
      </c>
      <c r="F1599" s="84" t="s">
        <v>105</v>
      </c>
      <c r="G1599" s="1111" t="s">
        <v>3775</v>
      </c>
      <c r="H1599" s="1111" t="s">
        <v>3776</v>
      </c>
      <c r="I1599" s="68" t="s">
        <v>256</v>
      </c>
      <c r="J1599" s="140" t="s">
        <v>257</v>
      </c>
      <c r="K1599" s="68" t="s">
        <v>258</v>
      </c>
      <c r="L1599" s="68" t="s">
        <v>506</v>
      </c>
      <c r="M1599" s="141">
        <v>159</v>
      </c>
      <c r="N1599" s="93"/>
      <c r="O1599" s="68" t="s">
        <v>260</v>
      </c>
      <c r="P1599" s="623">
        <v>14</v>
      </c>
      <c r="Q1599" s="623">
        <v>12</v>
      </c>
      <c r="R1599" s="68">
        <v>12</v>
      </c>
      <c r="S1599" s="623">
        <v>14</v>
      </c>
      <c r="T1599" s="623">
        <v>16</v>
      </c>
      <c r="U1599" s="623">
        <v>14</v>
      </c>
      <c r="V1599" s="917">
        <f t="shared" ref="V1599:V1609" si="574">IF(J1599="Canvas",P1599+BorderGW,P1599)</f>
        <v>14</v>
      </c>
      <c r="W1599" s="917">
        <f t="shared" ref="W1599:W1609" si="575">IF(J1599="Canvas",Q1599+BorderGW,Q1599)</f>
        <v>12</v>
      </c>
      <c r="X1599" s="68" t="s">
        <v>257</v>
      </c>
      <c r="Y1599" s="1347">
        <f>Table1[[#This Row],[Print Wth]]+Materials!$C$7</f>
        <v>16</v>
      </c>
      <c r="Z1599" s="1347">
        <f>Table1[[#This Row],[Print Ht]]+Materials!$C$7</f>
        <v>14</v>
      </c>
      <c r="AA1599" s="1027">
        <f>(Table1[[#This Row],[Cut Width]]*Table1[[#This Row],[Cut Height]])/144</f>
        <v>1.5555555555555556</v>
      </c>
      <c r="AB1599" s="297">
        <f>(Table1[[#This Row],[Print Wth]]*Table1[[#This Row],[Print Ht]])/144*canonML</f>
        <v>5.6000000000000005</v>
      </c>
      <c r="AC1599" s="74">
        <f>Table1[[#This Row],[Substrate SF]]*Paper</f>
        <v>2.1046666666666667</v>
      </c>
      <c r="AD1599" s="74">
        <f>(Table1[[#This Row],[Print Wth]]*Table1[[#This Row],[Print Ht]])/144*CanonC</f>
        <v>0.31500000000000006</v>
      </c>
      <c r="AE1599" s="74">
        <f>IF(Table1[[#This Row],[Work Center]]="SwissQ",Materials!G$37,IF(Table1[[#This Row],[Work Center]]="Inca",Materials!G$29,IF(Table1[[#This Row],[Work Center]]="Canon",Materials!G$49,Materials!G$45)))</f>
        <v>7</v>
      </c>
      <c r="AF1599" s="73">
        <f>'Cali Frames'!D74</f>
        <v>70</v>
      </c>
      <c r="AG1599" s="84"/>
      <c r="AH1599" s="278">
        <v>0</v>
      </c>
      <c r="AI1599" s="278"/>
      <c r="AJ1599" s="278">
        <f t="shared" si="573"/>
        <v>79.419666666666672</v>
      </c>
      <c r="AK1599" s="1192">
        <f t="shared" si="571"/>
        <v>0.50050524109014671</v>
      </c>
      <c r="AL1599" s="278">
        <f>Table1[[#This Row],[WSP/Dealer]]/Table1[[#This Row],[OD Sq Inch]]</f>
        <v>0.7098214285714286</v>
      </c>
      <c r="AM1599" s="274">
        <f>Table1[[#This Row],[OD Wdth]]*Table1[[#This Row],[OD Hgt]]</f>
        <v>224</v>
      </c>
      <c r="AN1599" s="274">
        <f>Table1[[#This Row],[Min VO]]+Table1[[#This Row],[Max VO]]</f>
        <v>26</v>
      </c>
      <c r="AO1599" s="84"/>
      <c r="AP1599" s="84"/>
      <c r="AQ1599" s="74"/>
      <c r="AR1599" s="74"/>
      <c r="AS1599" s="74"/>
      <c r="AT1599" s="74"/>
      <c r="AU1599" s="1357" t="str">
        <f t="shared" si="554"/>
        <v>-</v>
      </c>
    </row>
    <row r="1600" spans="1:47" s="63" customFormat="1" hidden="1" x14ac:dyDescent="0.2">
      <c r="A1600" s="68" t="s">
        <v>101</v>
      </c>
      <c r="B1600" s="1072" t="s">
        <v>102</v>
      </c>
      <c r="C1600" s="257" t="s">
        <v>3777</v>
      </c>
      <c r="D1600" s="94"/>
      <c r="E1600" s="84" t="s">
        <v>3778</v>
      </c>
      <c r="F1600" s="84" t="s">
        <v>105</v>
      </c>
      <c r="G1600" s="1111" t="s">
        <v>3775</v>
      </c>
      <c r="H1600" s="1111" t="s">
        <v>3776</v>
      </c>
      <c r="I1600" s="68" t="s">
        <v>256</v>
      </c>
      <c r="J1600" s="140" t="s">
        <v>257</v>
      </c>
      <c r="K1600" s="68" t="s">
        <v>258</v>
      </c>
      <c r="L1600" s="68" t="s">
        <v>506</v>
      </c>
      <c r="M1600" s="141">
        <v>159</v>
      </c>
      <c r="N1600" s="93"/>
      <c r="O1600" s="68" t="s">
        <v>260</v>
      </c>
      <c r="P1600" s="623">
        <v>14</v>
      </c>
      <c r="Q1600" s="623">
        <v>12</v>
      </c>
      <c r="R1600" s="68">
        <v>12</v>
      </c>
      <c r="S1600" s="65">
        <v>14</v>
      </c>
      <c r="T1600" s="623">
        <v>16</v>
      </c>
      <c r="U1600" s="623">
        <v>14</v>
      </c>
      <c r="V1600" s="66">
        <f t="shared" si="574"/>
        <v>14</v>
      </c>
      <c r="W1600" s="66">
        <f t="shared" si="575"/>
        <v>12</v>
      </c>
      <c r="X1600" s="68" t="s">
        <v>257</v>
      </c>
      <c r="Y1600" s="1347">
        <f>Table1[[#This Row],[Print Wth]]+Materials!$C$7</f>
        <v>16</v>
      </c>
      <c r="Z1600" s="1347">
        <f>Table1[[#This Row],[Print Ht]]+Materials!$C$7</f>
        <v>14</v>
      </c>
      <c r="AA1600" s="1027">
        <f>(Table1[[#This Row],[Cut Width]]*Table1[[#This Row],[Cut Height]])/144</f>
        <v>1.5555555555555556</v>
      </c>
      <c r="AB1600" s="297">
        <f>(Table1[[#This Row],[Print Wth]]*Table1[[#This Row],[Print Ht]])/144*canonML</f>
        <v>5.6000000000000005</v>
      </c>
      <c r="AC1600" s="74">
        <f>Table1[[#This Row],[Substrate SF]]*Paper</f>
        <v>2.1046666666666667</v>
      </c>
      <c r="AD1600" s="67">
        <f>(Table1[[#This Row],[Print Wth]]*Table1[[#This Row],[Print Ht]])/144*CanonC</f>
        <v>0.31500000000000006</v>
      </c>
      <c r="AE1600" s="74">
        <f>IF(Table1[[#This Row],[Work Center]]="SwissQ",Materials!G$37,IF(Table1[[#This Row],[Work Center]]="Inca",Materials!G$29,IF(Table1[[#This Row],[Work Center]]="Canon",Materials!G$49,Materials!G$45)))</f>
        <v>7</v>
      </c>
      <c r="AF1600" s="73">
        <f>'Cali Frames'!D74</f>
        <v>70</v>
      </c>
      <c r="AG1600" s="84"/>
      <c r="AH1600" s="278">
        <v>0</v>
      </c>
      <c r="AI1600" s="278"/>
      <c r="AJ1600" s="278">
        <f t="shared" si="573"/>
        <v>79.419666666666672</v>
      </c>
      <c r="AK1600" s="1192">
        <f t="shared" si="571"/>
        <v>0.50050524109014671</v>
      </c>
      <c r="AL1600" s="278">
        <f>Table1[[#This Row],[WSP/Dealer]]/Table1[[#This Row],[OD Sq Inch]]</f>
        <v>0.7098214285714286</v>
      </c>
      <c r="AM1600" s="170">
        <f>Table1[[#This Row],[OD Wdth]]*Table1[[#This Row],[OD Hgt]]</f>
        <v>224</v>
      </c>
      <c r="AN1600" s="274">
        <f>Table1[[#This Row],[Min VO]]+Table1[[#This Row],[Max VO]]</f>
        <v>26</v>
      </c>
      <c r="AO1600" s="119"/>
      <c r="AP1600" s="84"/>
      <c r="AQ1600" s="74"/>
      <c r="AR1600" s="74"/>
      <c r="AS1600" s="74"/>
      <c r="AT1600" s="74"/>
      <c r="AU1600" s="1356" t="str">
        <f t="shared" si="554"/>
        <v>-</v>
      </c>
    </row>
    <row r="1601" spans="1:47" s="45" customFormat="1" x14ac:dyDescent="0.2">
      <c r="A1601" s="86" t="s">
        <v>58</v>
      </c>
      <c r="B1601" s="279" t="s">
        <v>591</v>
      </c>
      <c r="C1601" s="75" t="s">
        <v>3779</v>
      </c>
      <c r="D1601" s="94" t="s">
        <v>3780</v>
      </c>
      <c r="E1601" s="85" t="s">
        <v>3781</v>
      </c>
      <c r="F1601" s="85" t="s">
        <v>1834</v>
      </c>
      <c r="G1601" s="969" t="s">
        <v>1700</v>
      </c>
      <c r="H1601" s="969" t="s">
        <v>1700</v>
      </c>
      <c r="I1601" s="86" t="s">
        <v>52</v>
      </c>
      <c r="J1601" s="86" t="s">
        <v>53</v>
      </c>
      <c r="K1601" s="86" t="s">
        <v>54</v>
      </c>
      <c r="L1601" s="86" t="s">
        <v>55</v>
      </c>
      <c r="M1601" s="87">
        <v>750</v>
      </c>
      <c r="N1601" s="639">
        <v>815</v>
      </c>
      <c r="O1601" s="68" t="s">
        <v>56</v>
      </c>
      <c r="P1601" s="273">
        <v>48</v>
      </c>
      <c r="Q1601" s="273">
        <v>40</v>
      </c>
      <c r="R1601" s="60">
        <v>40</v>
      </c>
      <c r="S1601" s="273">
        <v>48</v>
      </c>
      <c r="T1601" s="273">
        <f>Table1[[#This Row],[VO Wdth]]</f>
        <v>48</v>
      </c>
      <c r="U1601" s="273">
        <f>Table1[[#This Row],[VO Hgt]]</f>
        <v>40</v>
      </c>
      <c r="V1601" s="106">
        <f t="shared" si="574"/>
        <v>56</v>
      </c>
      <c r="W1601" s="106">
        <f t="shared" si="575"/>
        <v>48</v>
      </c>
      <c r="X1601" s="137">
        <v>59</v>
      </c>
      <c r="Y1601" s="101"/>
      <c r="Z1601" s="101"/>
      <c r="AA1601" s="649">
        <f t="shared" ref="AA1601:AA1611" si="576">V1601*W1601/144</f>
        <v>18.666666666666668</v>
      </c>
      <c r="AB1601" s="184">
        <f t="shared" ref="AB1601:AB1609" si="577">AA1601*IncaG</f>
        <v>392.74666666666667</v>
      </c>
      <c r="AC1601" s="104">
        <f t="shared" ref="AC1601:AC1611" si="578">AA1601*Canvas</f>
        <v>12.320000000000002</v>
      </c>
      <c r="AD1601" s="107">
        <f>AA1601*IncaC</f>
        <v>31.419733333333337</v>
      </c>
      <c r="AE1601" s="104">
        <f>IF(Table1[[#This Row],[Work Center]]="SwissQ",Materials!G$37,IF(Table1[[#This Row],[Work Center]]="Inca",Materials!G$29,IF(Table1[[#This Row],[Work Center]]="Canon",Materials!G$49,Materials!G$45)))</f>
        <v>8</v>
      </c>
      <c r="AF1601" s="74">
        <f>'Cali FPS'!C$57</f>
        <v>76.125</v>
      </c>
      <c r="AG1601" s="115"/>
      <c r="AH1601" s="498">
        <f t="shared" ref="AH1601:AH1609" si="579">(M1601*0.05)</f>
        <v>37.5</v>
      </c>
      <c r="AI1601" s="498"/>
      <c r="AJ1601" s="104">
        <f t="shared" si="573"/>
        <v>165.36473333333333</v>
      </c>
      <c r="AK1601" s="650">
        <f t="shared" si="571"/>
        <v>0.77951368888888883</v>
      </c>
      <c r="AL1601" s="225">
        <f>Table1[[#This Row],[WSP/Dealer]]/Table1[[#This Row],[OD Sq Inch]]</f>
        <v>0.390625</v>
      </c>
      <c r="AM1601" s="218">
        <f>Table1[[#This Row],[OD Wdth]]*Table1[[#This Row],[OD Hgt]]</f>
        <v>1920</v>
      </c>
      <c r="AN1601" s="216">
        <f>Table1[[#This Row],[Min VO]]+Table1[[#This Row],[Max VO]]</f>
        <v>88</v>
      </c>
      <c r="AO1601" s="101"/>
      <c r="AP1601" s="101"/>
      <c r="AQ1601" s="104"/>
      <c r="AR1601" s="104"/>
      <c r="AS1601" s="104"/>
      <c r="AT1601" s="104"/>
      <c r="AU1601" s="830" t="str">
        <f t="shared" si="554"/>
        <v>-</v>
      </c>
    </row>
    <row r="1602" spans="1:47" s="63" customFormat="1" x14ac:dyDescent="0.2">
      <c r="A1602" s="551" t="s">
        <v>58</v>
      </c>
      <c r="B1602" s="1107" t="s">
        <v>310</v>
      </c>
      <c r="C1602" s="1032" t="s">
        <v>3782</v>
      </c>
      <c r="D1602" s="77"/>
      <c r="E1602" s="653" t="s">
        <v>3783</v>
      </c>
      <c r="F1602" s="653" t="s">
        <v>308</v>
      </c>
      <c r="G1602" s="1580" t="s">
        <v>379</v>
      </c>
      <c r="H1602" s="1580" t="s">
        <v>379</v>
      </c>
      <c r="I1602" s="551" t="s">
        <v>52</v>
      </c>
      <c r="J1602" s="856" t="s">
        <v>53</v>
      </c>
      <c r="K1602" s="551" t="s">
        <v>54</v>
      </c>
      <c r="L1602" s="551" t="s">
        <v>55</v>
      </c>
      <c r="M1602" s="896">
        <v>1120</v>
      </c>
      <c r="N1602" s="896"/>
      <c r="O1602" s="551" t="s">
        <v>56</v>
      </c>
      <c r="P1602" s="984">
        <v>48</v>
      </c>
      <c r="Q1602" s="984">
        <v>72</v>
      </c>
      <c r="R1602" s="551">
        <v>48</v>
      </c>
      <c r="S1602" s="984">
        <v>72</v>
      </c>
      <c r="T1602" s="984">
        <v>48</v>
      </c>
      <c r="U1602" s="984">
        <v>72</v>
      </c>
      <c r="V1602" s="859">
        <f t="shared" si="574"/>
        <v>56</v>
      </c>
      <c r="W1602" s="859">
        <f t="shared" si="575"/>
        <v>80</v>
      </c>
      <c r="X1602" s="551">
        <v>82</v>
      </c>
      <c r="Y1602" s="551">
        <v>56</v>
      </c>
      <c r="Z1602" s="551">
        <v>80</v>
      </c>
      <c r="AA1602" s="860">
        <f t="shared" si="576"/>
        <v>31.111111111111111</v>
      </c>
      <c r="AB1602" s="861">
        <f t="shared" si="577"/>
        <v>654.57777777777778</v>
      </c>
      <c r="AC1602" s="863">
        <f t="shared" si="578"/>
        <v>20.533333333333335</v>
      </c>
      <c r="AD1602" s="862">
        <f>AA1602*IncaC</f>
        <v>52.36622222222222</v>
      </c>
      <c r="AE1602" s="863">
        <f>IF(Table1[[#This Row],[Work Center]]="SwissQ",Materials!G$37,IF(Table1[[#This Row],[Work Center]]="Inca",Materials!G$29,IF(Table1[[#This Row],[Work Center]]="Canon",Materials!G$49,Materials!G$45)))</f>
        <v>8</v>
      </c>
      <c r="AF1602" s="71">
        <f>'Cali FPS'!C126</f>
        <v>189.88</v>
      </c>
      <c r="AG1602" s="653"/>
      <c r="AH1602" s="867">
        <f t="shared" si="579"/>
        <v>56</v>
      </c>
      <c r="AI1602" s="865"/>
      <c r="AJ1602" s="867">
        <f t="shared" si="573"/>
        <v>326.77955555555553</v>
      </c>
      <c r="AK1602" s="1087">
        <f t="shared" si="571"/>
        <v>0.70823253968253963</v>
      </c>
      <c r="AL1602" s="867">
        <f>Table1[[#This Row],[WSP/Dealer]]/Table1[[#This Row],[OD Sq Inch]]</f>
        <v>0.32407407407407407</v>
      </c>
      <c r="AM1602" s="868">
        <f>Table1[[#This Row],[OD Wdth]]*Table1[[#This Row],[OD Hgt]]</f>
        <v>3456</v>
      </c>
      <c r="AN1602" s="869">
        <f>Table1[[#This Row],[Min VO]]+Table1[[#This Row],[Max VO]]</f>
        <v>120</v>
      </c>
      <c r="AO1602" s="653"/>
      <c r="AP1602" s="653"/>
      <c r="AQ1602" s="863">
        <f>(Table1[[#This Row],[Desgnr/Retail P]]*0.05)</f>
        <v>0</v>
      </c>
      <c r="AR1602" s="863" t="b">
        <f>IF(A1602="Codarus",(AP1602*0.13))</f>
        <v>0</v>
      </c>
      <c r="AS1602" s="863" t="e" cm="1">
        <f t="array" ref="AS1602">SUM(AC1602:AG1602+AQ+AR)</f>
        <v>#NAME?</v>
      </c>
      <c r="AT1602" s="863" t="e">
        <f>(AP1602-AS1602)/AP1602</f>
        <v>#NAME?</v>
      </c>
      <c r="AU1602" s="1364" t="str">
        <f t="shared" si="554"/>
        <v>-</v>
      </c>
    </row>
    <row r="1603" spans="1:47" s="45" customFormat="1" x14ac:dyDescent="0.2">
      <c r="A1603" s="68" t="s">
        <v>58</v>
      </c>
      <c r="B1603" s="1072" t="s">
        <v>310</v>
      </c>
      <c r="C1603" s="257" t="s">
        <v>3784</v>
      </c>
      <c r="D1603" s="94"/>
      <c r="E1603" s="84" t="s">
        <v>3783</v>
      </c>
      <c r="F1603" s="84" t="s">
        <v>308</v>
      </c>
      <c r="G1603" s="1111" t="s">
        <v>379</v>
      </c>
      <c r="H1603" s="1111" t="s">
        <v>990</v>
      </c>
      <c r="I1603" s="68" t="s">
        <v>52</v>
      </c>
      <c r="J1603" s="140" t="s">
        <v>53</v>
      </c>
      <c r="K1603" s="68" t="s">
        <v>69</v>
      </c>
      <c r="L1603" s="68" t="s">
        <v>70</v>
      </c>
      <c r="M1603" s="93">
        <v>1300</v>
      </c>
      <c r="N1603" s="93"/>
      <c r="O1603" s="68" t="s">
        <v>56</v>
      </c>
      <c r="P1603" s="623">
        <v>48</v>
      </c>
      <c r="Q1603" s="623">
        <v>72</v>
      </c>
      <c r="R1603" s="68">
        <v>48</v>
      </c>
      <c r="S1603" s="623">
        <v>72</v>
      </c>
      <c r="T1603" s="623">
        <v>49</v>
      </c>
      <c r="U1603" s="623">
        <v>73</v>
      </c>
      <c r="V1603" s="66">
        <f t="shared" si="574"/>
        <v>56</v>
      </c>
      <c r="W1603" s="66">
        <f t="shared" si="575"/>
        <v>80</v>
      </c>
      <c r="X1603" s="68">
        <v>82</v>
      </c>
      <c r="Y1603" s="68">
        <v>56</v>
      </c>
      <c r="Z1603" s="68">
        <v>80</v>
      </c>
      <c r="AA1603" s="699">
        <f t="shared" si="576"/>
        <v>31.111111111111111</v>
      </c>
      <c r="AB1603" s="297">
        <f t="shared" si="577"/>
        <v>654.57777777777778</v>
      </c>
      <c r="AC1603" s="74">
        <f t="shared" si="578"/>
        <v>20.533333333333335</v>
      </c>
      <c r="AD1603" s="67">
        <f>AA1603*IncaC</f>
        <v>52.36622222222222</v>
      </c>
      <c r="AE1603" s="74">
        <f>IF(Table1[[#This Row],[Work Center]]="SwissQ",Materials!G$37,IF(Table1[[#This Row],[Work Center]]="Inca",Materials!G$29,IF(Table1[[#This Row],[Work Center]]="Canon",Materials!G$49,Materials!G$45)))</f>
        <v>8</v>
      </c>
      <c r="AF1603" s="73">
        <f>'Cali Frames'!D337</f>
        <v>263.8</v>
      </c>
      <c r="AG1603" s="84"/>
      <c r="AH1603" s="278">
        <f t="shared" si="579"/>
        <v>65</v>
      </c>
      <c r="AI1603" s="278"/>
      <c r="AJ1603" s="278">
        <f t="shared" si="573"/>
        <v>409.69955555555555</v>
      </c>
      <c r="AK1603" s="1192">
        <f t="shared" si="571"/>
        <v>0.6848464957264957</v>
      </c>
      <c r="AL1603" s="278">
        <f>Table1[[#This Row],[WSP/Dealer]]/Table1[[#This Row],[OD Sq Inch]]</f>
        <v>0.36343304445065699</v>
      </c>
      <c r="AM1603" s="170">
        <f>Table1[[#This Row],[OD Wdth]]*Table1[[#This Row],[OD Hgt]]</f>
        <v>3577</v>
      </c>
      <c r="AN1603" s="274">
        <f>Table1[[#This Row],[Min VO]]+Table1[[#This Row],[Max VO]]</f>
        <v>120</v>
      </c>
      <c r="AO1603" s="84"/>
      <c r="AP1603" s="84"/>
      <c r="AQ1603" s="74">
        <f>(Table1[[#This Row],[Desgnr/Retail P]]*0.05)</f>
        <v>0</v>
      </c>
      <c r="AR1603" s="74" t="b">
        <f>IF(A1603="Codarus",(AP1603*0.13))</f>
        <v>0</v>
      </c>
      <c r="AS1603" s="74" t="e" cm="1">
        <f t="array" ref="AS1603">SUM(AC1603:AG1603+AQ+AR)</f>
        <v>#NAME?</v>
      </c>
      <c r="AT1603" s="74" t="e">
        <f>(AP1603-AS1603)/AP1603</f>
        <v>#NAME?</v>
      </c>
      <c r="AU1603" s="1357" t="str">
        <f t="shared" si="554"/>
        <v>-</v>
      </c>
    </row>
    <row r="1604" spans="1:47" s="63" customFormat="1" x14ac:dyDescent="0.2">
      <c r="A1604" s="551" t="s">
        <v>58</v>
      </c>
      <c r="B1604" s="1107" t="s">
        <v>310</v>
      </c>
      <c r="C1604" s="1032" t="s">
        <v>3785</v>
      </c>
      <c r="D1604" s="77"/>
      <c r="E1604" s="653" t="s">
        <v>3786</v>
      </c>
      <c r="F1604" s="653" t="s">
        <v>308</v>
      </c>
      <c r="G1604" s="1580" t="s">
        <v>379</v>
      </c>
      <c r="H1604" s="1580" t="s">
        <v>379</v>
      </c>
      <c r="I1604" s="551" t="s">
        <v>52</v>
      </c>
      <c r="J1604" s="856" t="s">
        <v>53</v>
      </c>
      <c r="K1604" s="551" t="s">
        <v>54</v>
      </c>
      <c r="L1604" s="551" t="s">
        <v>55</v>
      </c>
      <c r="M1604" s="896">
        <v>1120</v>
      </c>
      <c r="N1604" s="896"/>
      <c r="O1604" s="551" t="s">
        <v>56</v>
      </c>
      <c r="P1604" s="984">
        <v>48</v>
      </c>
      <c r="Q1604" s="984">
        <v>72</v>
      </c>
      <c r="R1604" s="551">
        <v>48</v>
      </c>
      <c r="S1604" s="984">
        <v>72</v>
      </c>
      <c r="T1604" s="984">
        <v>48</v>
      </c>
      <c r="U1604" s="984">
        <v>72</v>
      </c>
      <c r="V1604" s="859">
        <f t="shared" si="574"/>
        <v>56</v>
      </c>
      <c r="W1604" s="859">
        <f t="shared" si="575"/>
        <v>80</v>
      </c>
      <c r="X1604" s="551">
        <v>82</v>
      </c>
      <c r="Y1604" s="551">
        <v>56</v>
      </c>
      <c r="Z1604" s="551">
        <v>80</v>
      </c>
      <c r="AA1604" s="860">
        <f t="shared" si="576"/>
        <v>31.111111111111111</v>
      </c>
      <c r="AB1604" s="861">
        <f t="shared" si="577"/>
        <v>654.57777777777778</v>
      </c>
      <c r="AC1604" s="863">
        <f t="shared" si="578"/>
        <v>20.533333333333335</v>
      </c>
      <c r="AD1604" s="862">
        <f>AA1604*IncaC</f>
        <v>52.36622222222222</v>
      </c>
      <c r="AE1604" s="863">
        <f>IF(Table1[[#This Row],[Work Center]]="SwissQ",Materials!G$37,IF(Table1[[#This Row],[Work Center]]="Inca",Materials!G$29,IF(Table1[[#This Row],[Work Center]]="Canon",Materials!G$49,Materials!G$45)))</f>
        <v>8</v>
      </c>
      <c r="AF1604" s="71">
        <f>'Cali FPS'!C126</f>
        <v>189.88</v>
      </c>
      <c r="AG1604" s="653"/>
      <c r="AH1604" s="867">
        <f t="shared" si="579"/>
        <v>56</v>
      </c>
      <c r="AI1604" s="867"/>
      <c r="AJ1604" s="867">
        <f t="shared" si="573"/>
        <v>326.77955555555553</v>
      </c>
      <c r="AK1604" s="1087">
        <f t="shared" si="571"/>
        <v>0.70823253968253963</v>
      </c>
      <c r="AL1604" s="867">
        <f>Table1[[#This Row],[WSP/Dealer]]/Table1[[#This Row],[OD Sq Inch]]</f>
        <v>0.32407407407407407</v>
      </c>
      <c r="AM1604" s="868">
        <f>Table1[[#This Row],[OD Wdth]]*Table1[[#This Row],[OD Hgt]]</f>
        <v>3456</v>
      </c>
      <c r="AN1604" s="869">
        <f>Table1[[#This Row],[Min VO]]+Table1[[#This Row],[Max VO]]</f>
        <v>120</v>
      </c>
      <c r="AO1604" s="653"/>
      <c r="AP1604" s="653"/>
      <c r="AQ1604" s="863">
        <f>(Table1[[#This Row],[Desgnr/Retail P]]*0.05)</f>
        <v>0</v>
      </c>
      <c r="AR1604" s="863" t="b">
        <f>IF(A1604="Codarus",(AP1604*0.13))</f>
        <v>0</v>
      </c>
      <c r="AS1604" s="863" t="e" cm="1">
        <f t="array" ref="AS1604">SUM(AC1604:AG1604+AQ+AR)</f>
        <v>#NAME?</v>
      </c>
      <c r="AT1604" s="863" t="e">
        <f>(AP1604-AS1604)/AP1604</f>
        <v>#NAME?</v>
      </c>
      <c r="AU1604" s="1364" t="str">
        <f t="shared" si="554"/>
        <v>-</v>
      </c>
    </row>
    <row r="1605" spans="1:47" s="63" customFormat="1" x14ac:dyDescent="0.2">
      <c r="A1605" s="68" t="s">
        <v>58</v>
      </c>
      <c r="B1605" s="1072" t="s">
        <v>310</v>
      </c>
      <c r="C1605" s="257" t="s">
        <v>3787</v>
      </c>
      <c r="D1605" s="94"/>
      <c r="E1605" s="84" t="s">
        <v>3786</v>
      </c>
      <c r="F1605" s="84" t="s">
        <v>308</v>
      </c>
      <c r="G1605" s="1111" t="s">
        <v>379</v>
      </c>
      <c r="H1605" s="1111" t="s">
        <v>990</v>
      </c>
      <c r="I1605" s="68" t="s">
        <v>52</v>
      </c>
      <c r="J1605" s="140" t="s">
        <v>53</v>
      </c>
      <c r="K1605" s="68" t="s">
        <v>69</v>
      </c>
      <c r="L1605" s="68" t="s">
        <v>70</v>
      </c>
      <c r="M1605" s="93">
        <v>1300</v>
      </c>
      <c r="N1605" s="93"/>
      <c r="O1605" s="68" t="s">
        <v>56</v>
      </c>
      <c r="P1605" s="623">
        <v>48</v>
      </c>
      <c r="Q1605" s="623">
        <v>72</v>
      </c>
      <c r="R1605" s="68">
        <v>48</v>
      </c>
      <c r="S1605" s="623">
        <v>72</v>
      </c>
      <c r="T1605" s="623">
        <v>49</v>
      </c>
      <c r="U1605" s="623">
        <v>73</v>
      </c>
      <c r="V1605" s="917">
        <f t="shared" si="574"/>
        <v>56</v>
      </c>
      <c r="W1605" s="917">
        <f t="shared" si="575"/>
        <v>80</v>
      </c>
      <c r="X1605" s="68">
        <v>82</v>
      </c>
      <c r="Y1605" s="68">
        <v>56</v>
      </c>
      <c r="Z1605" s="68">
        <v>80</v>
      </c>
      <c r="AA1605" s="699">
        <f t="shared" si="576"/>
        <v>31.111111111111111</v>
      </c>
      <c r="AB1605" s="297">
        <f t="shared" si="577"/>
        <v>654.57777777777778</v>
      </c>
      <c r="AC1605" s="74">
        <f t="shared" si="578"/>
        <v>20.533333333333335</v>
      </c>
      <c r="AD1605" s="74">
        <f>AA1605*IncaC</f>
        <v>52.36622222222222</v>
      </c>
      <c r="AE1605" s="74">
        <f>IF(Table1[[#This Row],[Work Center]]="SwissQ",Materials!G$37,IF(Table1[[#This Row],[Work Center]]="Inca",Materials!G$29,IF(Table1[[#This Row],[Work Center]]="Canon",Materials!G$49,Materials!G$45)))</f>
        <v>8</v>
      </c>
      <c r="AF1605" s="73">
        <f>'Cali Frames'!D337</f>
        <v>263.8</v>
      </c>
      <c r="AG1605" s="84"/>
      <c r="AH1605" s="278">
        <f t="shared" si="579"/>
        <v>65</v>
      </c>
      <c r="AI1605" s="278"/>
      <c r="AJ1605" s="278">
        <f t="shared" si="573"/>
        <v>409.69955555555555</v>
      </c>
      <c r="AK1605" s="1192">
        <f t="shared" si="571"/>
        <v>0.6848464957264957</v>
      </c>
      <c r="AL1605" s="278">
        <f>Table1[[#This Row],[WSP/Dealer]]/Table1[[#This Row],[OD Sq Inch]]</f>
        <v>0.36343304445065699</v>
      </c>
      <c r="AM1605" s="274">
        <f>Table1[[#This Row],[OD Wdth]]*Table1[[#This Row],[OD Hgt]]</f>
        <v>3577</v>
      </c>
      <c r="AN1605" s="274">
        <f>Table1[[#This Row],[Min VO]]+Table1[[#This Row],[Max VO]]</f>
        <v>120</v>
      </c>
      <c r="AO1605" s="84"/>
      <c r="AP1605" s="84"/>
      <c r="AQ1605" s="74">
        <f>(Table1[[#This Row],[Desgnr/Retail P]]*0.05)</f>
        <v>0</v>
      </c>
      <c r="AR1605" s="74" t="b">
        <f>IF(A1605="Codarus",(AP1605*0.13))</f>
        <v>0</v>
      </c>
      <c r="AS1605" s="74" t="e" cm="1">
        <f t="array" ref="AS1605">SUM(AC1605:AG1605+AQ+AR)</f>
        <v>#NAME?</v>
      </c>
      <c r="AT1605" s="74" t="e">
        <f>(AP1605-AS1605)/AP1605</f>
        <v>#NAME?</v>
      </c>
      <c r="AU1605" s="1357" t="str">
        <f t="shared" si="554"/>
        <v>-</v>
      </c>
    </row>
    <row r="1606" spans="1:47" s="63" customFormat="1" x14ac:dyDescent="0.2">
      <c r="A1606" s="86" t="s">
        <v>58</v>
      </c>
      <c r="B1606" s="1061" t="s">
        <v>619</v>
      </c>
      <c r="C1606" s="257" t="s">
        <v>3788</v>
      </c>
      <c r="D1606" s="94" t="s">
        <v>3789</v>
      </c>
      <c r="E1606" s="85" t="s">
        <v>3790</v>
      </c>
      <c r="F1606" s="85" t="s">
        <v>144</v>
      </c>
      <c r="G1606" s="969" t="s">
        <v>1048</v>
      </c>
      <c r="H1606" s="969" t="s">
        <v>1048</v>
      </c>
      <c r="I1606" s="86" t="s">
        <v>52</v>
      </c>
      <c r="J1606" s="86" t="s">
        <v>53</v>
      </c>
      <c r="K1606" s="86" t="s">
        <v>54</v>
      </c>
      <c r="L1606" s="86" t="s">
        <v>55</v>
      </c>
      <c r="M1606" s="87">
        <v>900</v>
      </c>
      <c r="N1606" s="639">
        <v>950</v>
      </c>
      <c r="O1606" s="68" t="s">
        <v>56</v>
      </c>
      <c r="P1606" s="623">
        <v>48</v>
      </c>
      <c r="Q1606" s="623">
        <v>60</v>
      </c>
      <c r="R1606" s="623">
        <v>48</v>
      </c>
      <c r="S1606" s="623">
        <v>60</v>
      </c>
      <c r="T1606" s="273">
        <f>Table1[[#This Row],[VO Wdth]]</f>
        <v>48</v>
      </c>
      <c r="U1606" s="273">
        <f>Table1[[#This Row],[VO Hgt]]</f>
        <v>60</v>
      </c>
      <c r="V1606" s="917">
        <f t="shared" si="574"/>
        <v>56</v>
      </c>
      <c r="W1606" s="917">
        <f t="shared" si="575"/>
        <v>68</v>
      </c>
      <c r="X1606" s="189">
        <v>69</v>
      </c>
      <c r="Y1606" s="68"/>
      <c r="Z1606" s="68"/>
      <c r="AA1606" s="649">
        <f t="shared" si="576"/>
        <v>26.444444444444443</v>
      </c>
      <c r="AB1606" s="184">
        <f t="shared" si="577"/>
        <v>556.39111111111106</v>
      </c>
      <c r="AC1606" s="104">
        <f t="shared" si="578"/>
        <v>17.453333333333333</v>
      </c>
      <c r="AD1606" s="107">
        <f>Table1[[#This Row],[Substrate SF]]*IncaC</f>
        <v>44.511288888888885</v>
      </c>
      <c r="AE1606" s="104">
        <f>IF(Table1[[#This Row],[Work Center]]="SwissQ",Materials!G$37,IF(Table1[[#This Row],[Work Center]]="Inca",Materials!G$29,IF(Table1[[#This Row],[Work Center]]="Canon",Materials!G$49,Materials!G$45)))</f>
        <v>8</v>
      </c>
      <c r="AF1606" s="74">
        <f>'Cali FPS'!C121</f>
        <v>188.18</v>
      </c>
      <c r="AG1606" s="115"/>
      <c r="AH1606" s="112">
        <f t="shared" si="579"/>
        <v>45</v>
      </c>
      <c r="AI1606" s="112"/>
      <c r="AJ1606" s="107">
        <f t="shared" si="573"/>
        <v>303.14462222222221</v>
      </c>
      <c r="AK1606" s="62">
        <f t="shared" si="571"/>
        <v>0.66317264197530867</v>
      </c>
      <c r="AL1606" s="225">
        <f>Table1[[#This Row],[WSP/Dealer]]/Table1[[#This Row],[OD Sq Inch]]</f>
        <v>0.3125</v>
      </c>
      <c r="AM1606" s="103">
        <f>Table1[[#This Row],[OD Wdth]]*Table1[[#This Row],[OD Hgt]]</f>
        <v>2880</v>
      </c>
      <c r="AN1606" s="216">
        <f>Table1[[#This Row],[Min VO]]+Table1[[#This Row],[Max VO]]</f>
        <v>108</v>
      </c>
      <c r="AO1606" s="84"/>
      <c r="AP1606" s="84"/>
      <c r="AQ1606" s="126"/>
      <c r="AR1606" s="126"/>
      <c r="AS1606" s="126"/>
      <c r="AT1606" s="74"/>
      <c r="AU1606" s="1357" t="str">
        <f t="shared" ref="AU1606:AU1669" si="580">IF(AQ1606=0,"-",(AQ1606-AT1606)/AQ1606)</f>
        <v>-</v>
      </c>
    </row>
    <row r="1607" spans="1:47" s="46" customFormat="1" x14ac:dyDescent="0.2">
      <c r="A1607" s="86" t="s">
        <v>58</v>
      </c>
      <c r="B1607" s="279" t="s">
        <v>619</v>
      </c>
      <c r="C1607" s="75" t="s">
        <v>3791</v>
      </c>
      <c r="D1607" s="94" t="s">
        <v>3792</v>
      </c>
      <c r="E1607" s="85" t="s">
        <v>3793</v>
      </c>
      <c r="F1607" s="85" t="s">
        <v>144</v>
      </c>
      <c r="G1607" s="86" t="s">
        <v>3448</v>
      </c>
      <c r="H1607" s="86" t="s">
        <v>3448</v>
      </c>
      <c r="I1607" s="86" t="s">
        <v>52</v>
      </c>
      <c r="J1607" s="86" t="s">
        <v>53</v>
      </c>
      <c r="K1607" s="86" t="s">
        <v>54</v>
      </c>
      <c r="L1607" s="86" t="s">
        <v>55</v>
      </c>
      <c r="M1607" s="87">
        <v>950</v>
      </c>
      <c r="N1607" s="639">
        <v>1000</v>
      </c>
      <c r="O1607" s="101" t="s">
        <v>56</v>
      </c>
      <c r="P1607" s="273">
        <v>52</v>
      </c>
      <c r="Q1607" s="273">
        <v>58</v>
      </c>
      <c r="R1607" s="60">
        <v>52</v>
      </c>
      <c r="S1607" s="273">
        <v>58</v>
      </c>
      <c r="T1607" s="273">
        <f>Table1[[#This Row],[VO Wdth]]</f>
        <v>52</v>
      </c>
      <c r="U1607" s="273">
        <f>Table1[[#This Row],[VO Hgt]]</f>
        <v>58</v>
      </c>
      <c r="V1607" s="106">
        <f t="shared" si="574"/>
        <v>60</v>
      </c>
      <c r="W1607" s="106">
        <f t="shared" si="575"/>
        <v>66</v>
      </c>
      <c r="X1607" s="137">
        <v>122</v>
      </c>
      <c r="Y1607" s="101"/>
      <c r="Z1607" s="101"/>
      <c r="AA1607" s="649">
        <f t="shared" si="576"/>
        <v>27.5</v>
      </c>
      <c r="AB1607" s="184">
        <f t="shared" si="577"/>
        <v>578.6</v>
      </c>
      <c r="AC1607" s="104">
        <f t="shared" si="578"/>
        <v>18.150000000000002</v>
      </c>
      <c r="AD1607" s="107">
        <f>AA1607*IncaC</f>
        <v>46.288000000000004</v>
      </c>
      <c r="AE1607" s="104">
        <f>IF(Table1[[#This Row],[Work Center]]="SwissQ",Materials!G$37,IF(Table1[[#This Row],[Work Center]]="Inca",Materials!G$29,IF(Table1[[#This Row],[Work Center]]="Canon",Materials!G$49,Materials!G$45)))</f>
        <v>8</v>
      </c>
      <c r="AF1607" s="69">
        <f>'Cali FPS'!C$137</f>
        <v>177.1</v>
      </c>
      <c r="AG1607" s="115"/>
      <c r="AH1607" s="112">
        <f t="shared" si="579"/>
        <v>47.5</v>
      </c>
      <c r="AI1607" s="112"/>
      <c r="AJ1607" s="104">
        <f t="shared" si="573"/>
        <v>297.03800000000001</v>
      </c>
      <c r="AK1607" s="62">
        <f t="shared" si="571"/>
        <v>0.68732842105263159</v>
      </c>
      <c r="AL1607" s="225">
        <f>Table1[[#This Row],[WSP/Dealer]]/Table1[[#This Row],[OD Sq Inch]]</f>
        <v>0.31498673740053051</v>
      </c>
      <c r="AM1607" s="103">
        <f>Table1[[#This Row],[OD Wdth]]*Table1[[#This Row],[OD Hgt]]</f>
        <v>3016</v>
      </c>
      <c r="AN1607" s="216">
        <f>Table1[[#This Row],[Min VO]]+Table1[[#This Row],[Max VO]]</f>
        <v>110</v>
      </c>
      <c r="AO1607" s="101"/>
      <c r="AP1607" s="101"/>
      <c r="AQ1607" s="104"/>
      <c r="AR1607" s="104"/>
      <c r="AS1607" s="104"/>
      <c r="AT1607" s="104"/>
      <c r="AU1607" s="830" t="str">
        <f t="shared" si="580"/>
        <v>-</v>
      </c>
    </row>
    <row r="1608" spans="1:47" s="63" customFormat="1" x14ac:dyDescent="0.2">
      <c r="A1608" s="86" t="s">
        <v>58</v>
      </c>
      <c r="B1608" s="279" t="s">
        <v>619</v>
      </c>
      <c r="C1608" s="257" t="s">
        <v>3794</v>
      </c>
      <c r="D1608" s="94" t="s">
        <v>3795</v>
      </c>
      <c r="E1608" s="85" t="s">
        <v>3796</v>
      </c>
      <c r="F1608" s="85" t="s">
        <v>144</v>
      </c>
      <c r="G1608" s="86" t="s">
        <v>1048</v>
      </c>
      <c r="H1608" s="86" t="s">
        <v>1048</v>
      </c>
      <c r="I1608" s="86" t="s">
        <v>52</v>
      </c>
      <c r="J1608" s="86" t="s">
        <v>53</v>
      </c>
      <c r="K1608" s="86" t="s">
        <v>54</v>
      </c>
      <c r="L1608" s="86" t="s">
        <v>55</v>
      </c>
      <c r="M1608" s="87">
        <v>900</v>
      </c>
      <c r="N1608" s="639">
        <v>950</v>
      </c>
      <c r="O1608" s="68" t="s">
        <v>56</v>
      </c>
      <c r="P1608" s="623">
        <v>48</v>
      </c>
      <c r="Q1608" s="623">
        <v>60</v>
      </c>
      <c r="R1608" s="623">
        <v>48</v>
      </c>
      <c r="S1608" s="623">
        <v>60</v>
      </c>
      <c r="T1608" s="273">
        <f>Table1[[#This Row],[VO Wdth]]</f>
        <v>48</v>
      </c>
      <c r="U1608" s="273">
        <f>Table1[[#This Row],[VO Hgt]]</f>
        <v>60</v>
      </c>
      <c r="V1608" s="917">
        <f t="shared" si="574"/>
        <v>56</v>
      </c>
      <c r="W1608" s="917">
        <f t="shared" si="575"/>
        <v>68</v>
      </c>
      <c r="X1608" s="189">
        <v>69</v>
      </c>
      <c r="Y1608" s="68"/>
      <c r="Z1608" s="68"/>
      <c r="AA1608" s="649">
        <f t="shared" si="576"/>
        <v>26.444444444444443</v>
      </c>
      <c r="AB1608" s="184">
        <f t="shared" si="577"/>
        <v>556.39111111111106</v>
      </c>
      <c r="AC1608" s="104">
        <f t="shared" si="578"/>
        <v>17.453333333333333</v>
      </c>
      <c r="AD1608" s="104">
        <f>Table1[[#This Row],[Substrate SF]]*IncaC</f>
        <v>44.511288888888885</v>
      </c>
      <c r="AE1608" s="104">
        <f>IF(Table1[[#This Row],[Work Center]]="SwissQ",Materials!G$37,IF(Table1[[#This Row],[Work Center]]="Inca",Materials!G$29,IF(Table1[[#This Row],[Work Center]]="Canon",Materials!G$49,Materials!G$45)))</f>
        <v>8</v>
      </c>
      <c r="AF1608" s="74">
        <f>'Cali FPS'!C117</f>
        <v>119.7</v>
      </c>
      <c r="AG1608" s="115"/>
      <c r="AH1608" s="498">
        <f t="shared" si="579"/>
        <v>45</v>
      </c>
      <c r="AI1608" s="112"/>
      <c r="AJ1608" s="104">
        <f t="shared" si="573"/>
        <v>234.66462222222222</v>
      </c>
      <c r="AK1608" s="650">
        <f t="shared" si="571"/>
        <v>0.73926153086419755</v>
      </c>
      <c r="AL1608" s="225">
        <f>Table1[[#This Row],[WSP/Dealer]]/Table1[[#This Row],[OD Sq Inch]]</f>
        <v>0.3125</v>
      </c>
      <c r="AM1608" s="60">
        <f>Table1[[#This Row],[OD Wdth]]*Table1[[#This Row],[OD Hgt]]</f>
        <v>2880</v>
      </c>
      <c r="AN1608" s="216">
        <f>Table1[[#This Row],[Min VO]]+Table1[[#This Row],[Max VO]]</f>
        <v>108</v>
      </c>
      <c r="AO1608" s="84"/>
      <c r="AP1608" s="84"/>
      <c r="AQ1608" s="126"/>
      <c r="AR1608" s="126"/>
      <c r="AS1608" s="126"/>
      <c r="AT1608" s="74"/>
      <c r="AU1608" s="1357" t="str">
        <f t="shared" si="580"/>
        <v>-</v>
      </c>
    </row>
    <row r="1609" spans="1:47" s="63" customFormat="1" x14ac:dyDescent="0.2">
      <c r="A1609" s="86" t="s">
        <v>58</v>
      </c>
      <c r="B1609" s="279" t="s">
        <v>619</v>
      </c>
      <c r="C1609" s="75" t="s">
        <v>3797</v>
      </c>
      <c r="D1609" s="94" t="s">
        <v>3798</v>
      </c>
      <c r="E1609" s="85" t="s">
        <v>3799</v>
      </c>
      <c r="F1609" s="85" t="s">
        <v>144</v>
      </c>
      <c r="G1609" s="86" t="s">
        <v>3448</v>
      </c>
      <c r="H1609" s="86" t="s">
        <v>3448</v>
      </c>
      <c r="I1609" s="86" t="s">
        <v>52</v>
      </c>
      <c r="J1609" s="86" t="s">
        <v>53</v>
      </c>
      <c r="K1609" s="86" t="s">
        <v>54</v>
      </c>
      <c r="L1609" s="86" t="s">
        <v>55</v>
      </c>
      <c r="M1609" s="87">
        <v>950</v>
      </c>
      <c r="N1609" s="639">
        <v>1000</v>
      </c>
      <c r="O1609" s="101" t="s">
        <v>56</v>
      </c>
      <c r="P1609" s="273">
        <v>52</v>
      </c>
      <c r="Q1609" s="273">
        <v>58</v>
      </c>
      <c r="R1609" s="60">
        <v>52</v>
      </c>
      <c r="S1609" s="273">
        <v>58</v>
      </c>
      <c r="T1609" s="273">
        <f>Table1[[#This Row],[VO Wdth]]</f>
        <v>52</v>
      </c>
      <c r="U1609" s="273">
        <f>Table1[[#This Row],[VO Hgt]]</f>
        <v>58</v>
      </c>
      <c r="V1609" s="106">
        <f t="shared" si="574"/>
        <v>60</v>
      </c>
      <c r="W1609" s="106">
        <f t="shared" si="575"/>
        <v>66</v>
      </c>
      <c r="X1609" s="137">
        <v>59</v>
      </c>
      <c r="Y1609" s="101"/>
      <c r="Z1609" s="101"/>
      <c r="AA1609" s="649">
        <f t="shared" si="576"/>
        <v>27.5</v>
      </c>
      <c r="AB1609" s="184">
        <f t="shared" si="577"/>
        <v>578.6</v>
      </c>
      <c r="AC1609" s="104">
        <f t="shared" si="578"/>
        <v>18.150000000000002</v>
      </c>
      <c r="AD1609" s="107">
        <f>AA1609*IncaC</f>
        <v>46.288000000000004</v>
      </c>
      <c r="AE1609" s="104">
        <f>IF(Table1[[#This Row],[Work Center]]="SwissQ",Materials!G$37,IF(Table1[[#This Row],[Work Center]]="Inca",Materials!G$29,IF(Table1[[#This Row],[Work Center]]="Canon",Materials!G$49,Materials!G$45)))</f>
        <v>8</v>
      </c>
      <c r="AF1609" s="69">
        <f>'Cali FPS'!C$137</f>
        <v>177.1</v>
      </c>
      <c r="AG1609" s="115"/>
      <c r="AH1609" s="498">
        <f t="shared" si="579"/>
        <v>47.5</v>
      </c>
      <c r="AI1609" s="498"/>
      <c r="AJ1609" s="104">
        <f t="shared" si="573"/>
        <v>297.03800000000001</v>
      </c>
      <c r="AK1609" s="650">
        <f t="shared" si="571"/>
        <v>0.68732842105263159</v>
      </c>
      <c r="AL1609" s="225">
        <f>Table1[[#This Row],[WSP/Dealer]]/Table1[[#This Row],[OD Sq Inch]]</f>
        <v>0.31498673740053051</v>
      </c>
      <c r="AM1609" s="218">
        <f>Table1[[#This Row],[OD Wdth]]*Table1[[#This Row],[OD Hgt]]</f>
        <v>3016</v>
      </c>
      <c r="AN1609" s="216">
        <f>Table1[[#This Row],[Min VO]]+Table1[[#This Row],[Max VO]]</f>
        <v>110</v>
      </c>
      <c r="AO1609" s="101"/>
      <c r="AP1609" s="101"/>
      <c r="AQ1609" s="104"/>
      <c r="AR1609" s="104"/>
      <c r="AS1609" s="104"/>
      <c r="AT1609" s="104"/>
      <c r="AU1609" s="830" t="str">
        <f t="shared" si="580"/>
        <v>-</v>
      </c>
    </row>
    <row r="1610" spans="1:47" s="63" customFormat="1" hidden="1" x14ac:dyDescent="0.2">
      <c r="A1610" s="470" t="s">
        <v>318</v>
      </c>
      <c r="B1610" s="1061" t="s">
        <v>96</v>
      </c>
      <c r="C1610" s="75" t="s">
        <v>3800</v>
      </c>
      <c r="D1610" s="94">
        <v>177074</v>
      </c>
      <c r="E1610" s="83" t="s">
        <v>3801</v>
      </c>
      <c r="F1610" s="83" t="s">
        <v>105</v>
      </c>
      <c r="G1610" s="60" t="s">
        <v>643</v>
      </c>
      <c r="H1610" s="60" t="s">
        <v>643</v>
      </c>
      <c r="I1610" s="60" t="s">
        <v>108</v>
      </c>
      <c r="J1610" s="59" t="s">
        <v>53</v>
      </c>
      <c r="K1610" s="110" t="s">
        <v>119</v>
      </c>
      <c r="L1610" s="60" t="s">
        <v>120</v>
      </c>
      <c r="M1610" s="544">
        <v>250</v>
      </c>
      <c r="N1610" s="786">
        <v>575</v>
      </c>
      <c r="O1610" s="60" t="s">
        <v>109</v>
      </c>
      <c r="P1610" s="273">
        <v>20</v>
      </c>
      <c r="Q1610" s="273">
        <v>16</v>
      </c>
      <c r="R1610" s="60">
        <v>16</v>
      </c>
      <c r="S1610" s="273">
        <v>20</v>
      </c>
      <c r="T1610" s="273">
        <v>20</v>
      </c>
      <c r="U1610" s="273">
        <v>16</v>
      </c>
      <c r="V1610" s="947">
        <f>IF(J1610="Canvas",P1610+Border,P1610)</f>
        <v>28</v>
      </c>
      <c r="W1610" s="947">
        <f>IF(J1610="Canvas",Q1610+Border,Q1610)</f>
        <v>24</v>
      </c>
      <c r="X1610" s="138">
        <v>40</v>
      </c>
      <c r="Y1610" s="60">
        <v>28</v>
      </c>
      <c r="Z1610" s="60">
        <v>24</v>
      </c>
      <c r="AA1610" s="678">
        <f t="shared" si="576"/>
        <v>4.666666666666667</v>
      </c>
      <c r="AB1610" s="125">
        <f>AA1610*EPSONML</f>
        <v>21</v>
      </c>
      <c r="AC1610" s="69">
        <f t="shared" si="578"/>
        <v>3.0800000000000005</v>
      </c>
      <c r="AD1610" s="176">
        <f>Table1[[#This Row],[Ink g/mL]]+EPSONC</f>
        <v>21.22</v>
      </c>
      <c r="AE1610" s="69">
        <f>IF(Table1[[#This Row],[Work Center]]="SwissQ",Materials!G$37,IF(Table1[[#This Row],[Work Center]]="Inca",Materials!G$29,IF(Table1[[#This Row],[Work Center]]="Canon",Materials!G$49,Materials!G$45)))</f>
        <v>5</v>
      </c>
      <c r="AF1610" s="176">
        <f>'PL CB2'!D40</f>
        <v>75</v>
      </c>
      <c r="AG1610" s="540"/>
      <c r="AH1610" s="112">
        <v>0</v>
      </c>
      <c r="AI1610" s="112"/>
      <c r="AJ1610" s="176">
        <f t="shared" si="573"/>
        <v>104.3</v>
      </c>
      <c r="AK1610" s="62">
        <f t="shared" si="571"/>
        <v>0.58279999999999998</v>
      </c>
      <c r="AL1610" s="225">
        <f>Table1[[#This Row],[WSP/Dealer]]/Table1[[#This Row],[OD Sq Inch]]</f>
        <v>0.78125</v>
      </c>
      <c r="AM1610" s="180">
        <f>Table1[[#This Row],[OD Wdth]]*Table1[[#This Row],[OD Hgt]]</f>
        <v>320</v>
      </c>
      <c r="AN1610" s="180" t="str">
        <f>Table1[[#This Row],[Color]]</f>
        <v>GT</v>
      </c>
      <c r="AO1610" s="83" t="str">
        <f>Table1[[#This Row],[Print Type]]</f>
        <v>Reductive</v>
      </c>
      <c r="AP1610" s="540"/>
      <c r="AQ1610" s="540"/>
      <c r="AR1610" s="540"/>
      <c r="AS1610" s="540"/>
      <c r="AT1610" s="69"/>
      <c r="AU1610" s="1361" t="str">
        <f t="shared" si="580"/>
        <v>-</v>
      </c>
    </row>
    <row r="1611" spans="1:47" s="63" customFormat="1" hidden="1" x14ac:dyDescent="0.2">
      <c r="A1611" s="86"/>
      <c r="B1611" s="170"/>
      <c r="C1611" s="75" t="s">
        <v>3802</v>
      </c>
      <c r="D1611" s="94"/>
      <c r="E1611" s="85" t="s">
        <v>3803</v>
      </c>
      <c r="F1611" s="85" t="s">
        <v>301</v>
      </c>
      <c r="G1611" s="86" t="s">
        <v>132</v>
      </c>
      <c r="H1611" s="86" t="s">
        <v>264</v>
      </c>
      <c r="I1611" s="86" t="s">
        <v>52</v>
      </c>
      <c r="J1611" s="86" t="s">
        <v>53</v>
      </c>
      <c r="K1611" s="86" t="s">
        <v>69</v>
      </c>
      <c r="L1611" s="86" t="s">
        <v>73</v>
      </c>
      <c r="M1611" s="87">
        <v>748</v>
      </c>
      <c r="N1611" s="71"/>
      <c r="O1611" s="101" t="s">
        <v>56</v>
      </c>
      <c r="P1611" s="273">
        <v>36</v>
      </c>
      <c r="Q1611" s="273">
        <v>48</v>
      </c>
      <c r="R1611" s="60">
        <v>36</v>
      </c>
      <c r="S1611" s="273">
        <v>48</v>
      </c>
      <c r="T1611" s="697">
        <v>37</v>
      </c>
      <c r="U1611" s="697">
        <v>49</v>
      </c>
      <c r="V1611" s="608">
        <f>IF(J1611="Canvas",P1611+Border,P1611)</f>
        <v>44</v>
      </c>
      <c r="W1611" s="608">
        <f>IF(J1611="Canvas",Q1611+Border,Q1611)</f>
        <v>56</v>
      </c>
      <c r="X1611" s="137">
        <v>122</v>
      </c>
      <c r="Y1611" s="101"/>
      <c r="Z1611" s="101"/>
      <c r="AA1611" s="649">
        <f t="shared" si="576"/>
        <v>17.111111111111111</v>
      </c>
      <c r="AB1611" s="184">
        <f>AA1611*IncaG</f>
        <v>360.01777777777778</v>
      </c>
      <c r="AC1611" s="104">
        <f t="shared" si="578"/>
        <v>11.293333333333333</v>
      </c>
      <c r="AD1611" s="107">
        <f>AA1611*IncaC</f>
        <v>28.801422222222222</v>
      </c>
      <c r="AE1611" s="104">
        <f>IF(Table1[[#This Row],[Work Center]]="SwissQ",Materials!G$37,IF(Table1[[#This Row],[Work Center]]="Inca",Materials!G$29,IF(Table1[[#This Row],[Work Center]]="Canon",Materials!G$49,Materials!G$45)))</f>
        <v>8</v>
      </c>
      <c r="AF1611" s="104">
        <f>'Cali Frames'!D$436</f>
        <v>145.70500000000001</v>
      </c>
      <c r="AG1611" s="115"/>
      <c r="AH1611" s="498">
        <f>(M1611*0.05)</f>
        <v>37.4</v>
      </c>
      <c r="AI1611" s="498"/>
      <c r="AJ1611" s="104">
        <f t="shared" si="573"/>
        <v>231.19975555555558</v>
      </c>
      <c r="AK1611" s="650">
        <f t="shared" si="571"/>
        <v>0.6909094177064764</v>
      </c>
      <c r="AL1611" s="225">
        <f>Table1[[#This Row],[WSP/Dealer]]/Table1[[#This Row],[OD Sq Inch]]</f>
        <v>0.4125758411472697</v>
      </c>
      <c r="AM1611" s="103">
        <f>Table1[[#This Row],[OD Wdth]]*Table1[[#This Row],[OD Hgt]]</f>
        <v>1813</v>
      </c>
      <c r="AN1611" s="216">
        <f>Table1[[#This Row],[Min VO]]+Table1[[#This Row],[Max VO]]</f>
        <v>84</v>
      </c>
      <c r="AO1611" s="101"/>
      <c r="AP1611" s="101"/>
      <c r="AQ1611" s="104"/>
      <c r="AR1611" s="104"/>
      <c r="AS1611" s="104"/>
      <c r="AT1611" s="104"/>
      <c r="AU1611" s="830" t="str">
        <f t="shared" si="580"/>
        <v>-</v>
      </c>
    </row>
    <row r="1612" spans="1:47" s="63" customFormat="1" hidden="1" x14ac:dyDescent="0.2">
      <c r="A1612" s="68" t="s">
        <v>101</v>
      </c>
      <c r="B1612" s="1072" t="s">
        <v>102</v>
      </c>
      <c r="C1612" s="257" t="s">
        <v>3804</v>
      </c>
      <c r="D1612" s="94"/>
      <c r="E1612" s="84" t="s">
        <v>3805</v>
      </c>
      <c r="F1612" s="84" t="s">
        <v>105</v>
      </c>
      <c r="G1612" s="68" t="s">
        <v>3806</v>
      </c>
      <c r="H1612" s="68" t="s">
        <v>350</v>
      </c>
      <c r="I1612" s="68" t="s">
        <v>256</v>
      </c>
      <c r="J1612" s="140" t="s">
        <v>257</v>
      </c>
      <c r="K1612" s="68" t="s">
        <v>1315</v>
      </c>
      <c r="L1612" s="68" t="s">
        <v>259</v>
      </c>
      <c r="M1612" s="141">
        <v>166</v>
      </c>
      <c r="N1612" s="93"/>
      <c r="O1612" s="68" t="s">
        <v>260</v>
      </c>
      <c r="P1612" s="623">
        <v>5</v>
      </c>
      <c r="Q1612" s="623">
        <v>7</v>
      </c>
      <c r="R1612" s="68">
        <v>5</v>
      </c>
      <c r="S1612" s="623">
        <v>7</v>
      </c>
      <c r="T1612" s="65">
        <v>12</v>
      </c>
      <c r="U1612" s="65">
        <v>16</v>
      </c>
      <c r="V1612" s="917">
        <f>IF(J1612="Canvas",P1612+Border,P1612)</f>
        <v>5</v>
      </c>
      <c r="W1612" s="917">
        <f>IF(J1612="Canvas",Q1612+Border,Q1612)</f>
        <v>7</v>
      </c>
      <c r="X1612" s="68" t="s">
        <v>257</v>
      </c>
      <c r="Y1612" s="1347">
        <f>Table1[[#This Row],[Print Wth]]+Materials!$C$7</f>
        <v>7</v>
      </c>
      <c r="Z1612" s="1347">
        <f>Table1[[#This Row],[Print Ht]]+Materials!$C$7</f>
        <v>9</v>
      </c>
      <c r="AA1612" s="1027">
        <f>(Table1[[#This Row],[Cut Width]]*Table1[[#This Row],[Cut Height]])/144</f>
        <v>0.4375</v>
      </c>
      <c r="AB1612" s="297">
        <f>(Table1[[#This Row],[Print Wth]]*Table1[[#This Row],[Print Ht]])/144*canonML</f>
        <v>1.1666666666666665</v>
      </c>
      <c r="AC1612" s="74">
        <f>Table1[[#This Row],[Substrate SF]]*Paper</f>
        <v>0.59193750000000001</v>
      </c>
      <c r="AD1612" s="67">
        <f>(Table1[[#This Row],[Print Wth]]*Table1[[#This Row],[Print Ht]])/144*CanonC</f>
        <v>6.5625000000000003E-2</v>
      </c>
      <c r="AE1612" s="74">
        <f>IF(Table1[[#This Row],[Work Center]]="SwissQ",Materials!G$37,IF(Table1[[#This Row],[Work Center]]="Inca",Materials!G$29,IF(Table1[[#This Row],[Work Center]]="Canon",Materials!G$49,Materials!G$45)))</f>
        <v>7</v>
      </c>
      <c r="AF1612" s="73">
        <f>'Cali Frames'!D86</f>
        <v>75</v>
      </c>
      <c r="AG1612" s="84"/>
      <c r="AH1612" s="278">
        <v>0</v>
      </c>
      <c r="AI1612" s="278"/>
      <c r="AJ1612" s="278">
        <f t="shared" si="573"/>
        <v>82.657562499999997</v>
      </c>
      <c r="AK1612" s="1192">
        <f t="shared" si="571"/>
        <v>0.5020628765060241</v>
      </c>
      <c r="AL1612" s="278">
        <f>Table1[[#This Row],[WSP/Dealer]]/Table1[[#This Row],[OD Sq Inch]]</f>
        <v>0.86458333333333337</v>
      </c>
      <c r="AM1612" s="170">
        <f>Table1[[#This Row],[OD Wdth]]*Table1[[#This Row],[OD Hgt]]</f>
        <v>192</v>
      </c>
      <c r="AN1612" s="274">
        <f>Table1[[#This Row],[Min VO]]+Table1[[#This Row],[Max VO]]</f>
        <v>12</v>
      </c>
      <c r="AO1612" s="84"/>
      <c r="AP1612" s="84"/>
      <c r="AQ1612" s="74"/>
      <c r="AR1612" s="74"/>
      <c r="AS1612" s="74"/>
      <c r="AT1612" s="74"/>
      <c r="AU1612" s="1357" t="str">
        <f t="shared" si="580"/>
        <v>-</v>
      </c>
    </row>
    <row r="1613" spans="1:47" s="63" customFormat="1" ht="16" x14ac:dyDescent="0.2">
      <c r="A1613" s="60" t="s">
        <v>58</v>
      </c>
      <c r="B1613" s="1061" t="s">
        <v>587</v>
      </c>
      <c r="C1613" s="293" t="s">
        <v>3807</v>
      </c>
      <c r="D1613" s="94"/>
      <c r="E1613" s="294" t="s">
        <v>3808</v>
      </c>
      <c r="F1613" s="294" t="s">
        <v>124</v>
      </c>
      <c r="G1613" s="295" t="s">
        <v>3809</v>
      </c>
      <c r="H1613" s="295" t="s">
        <v>3809</v>
      </c>
      <c r="I1613" s="181" t="s">
        <v>52</v>
      </c>
      <c r="J1613" s="181" t="s">
        <v>53</v>
      </c>
      <c r="K1613" s="295" t="s">
        <v>54</v>
      </c>
      <c r="L1613" s="181" t="s">
        <v>55</v>
      </c>
      <c r="M1613" s="292">
        <v>350</v>
      </c>
      <c r="N1613" s="639">
        <v>360</v>
      </c>
      <c r="O1613" s="180" t="s">
        <v>64</v>
      </c>
      <c r="P1613" s="180">
        <v>24</v>
      </c>
      <c r="Q1613" s="180">
        <v>28.5</v>
      </c>
      <c r="R1613" s="60">
        <v>24</v>
      </c>
      <c r="S1613" s="60">
        <v>28.5</v>
      </c>
      <c r="T1613" s="698">
        <f>Table1[[#This Row],[VO Wdth]]</f>
        <v>24</v>
      </c>
      <c r="U1613" s="698">
        <f>Table1[[#This Row],[VO Hgt]]</f>
        <v>28.5</v>
      </c>
      <c r="V1613" s="149">
        <f>IF(J1613="Canvas",P1613+Border,P1613)</f>
        <v>32</v>
      </c>
      <c r="W1613" s="149">
        <f>IF(J1613="Canvas",Q1613+Border,Q1613)</f>
        <v>36.5</v>
      </c>
      <c r="X1613" s="289" t="s">
        <v>3810</v>
      </c>
      <c r="Y1613" s="180"/>
      <c r="Z1613" s="180"/>
      <c r="AA1613" s="722">
        <f>V1613*W1613/144</f>
        <v>8.1111111111111107</v>
      </c>
      <c r="AB1613" s="125">
        <f>AA1613*Swiss1</f>
        <v>229.54444444444445</v>
      </c>
      <c r="AC1613" s="69">
        <f>AA1613*Canvas</f>
        <v>5.3533333333333335</v>
      </c>
      <c r="AD1613" s="48">
        <f>Table1[[#This Row],[Substrate SF]]*Materials!C$37</f>
        <v>22.711111111111109</v>
      </c>
      <c r="AE1613" s="69">
        <f>IF(Table1[[#This Row],[Work Center]]="SwissQ",Materials!G$37,IF(Table1[[#This Row],[Work Center]]="Inca",Materials!G$29,IF(Table1[[#This Row],[Work Center]]="Canon",Materials!G$49,Materials!G$45)))</f>
        <v>20</v>
      </c>
      <c r="AF1613" s="296">
        <f>'Cali FPS'!C34</f>
        <v>74.13</v>
      </c>
      <c r="AG1613" s="83"/>
      <c r="AH1613" s="112">
        <f>(M1613*0.05)</f>
        <v>17.5</v>
      </c>
      <c r="AI1613" s="112"/>
      <c r="AJ1613" s="48">
        <f t="shared" si="573"/>
        <v>139.69444444444443</v>
      </c>
      <c r="AK1613" s="62">
        <f t="shared" si="571"/>
        <v>0.60087301587301589</v>
      </c>
      <c r="AL1613" s="225">
        <f>Table1[[#This Row],[WSP/Dealer]]/Table1[[#This Row],[OD Sq Inch]]</f>
        <v>0.51169590643274854</v>
      </c>
      <c r="AM1613" s="218">
        <f>Table1[[#This Row],[OD Wdth]]*Table1[[#This Row],[OD Hgt]]</f>
        <v>684</v>
      </c>
      <c r="AN1613" s="216">
        <f>Table1[[#This Row],[Min VO]]+Table1[[#This Row],[Max VO]]</f>
        <v>52.5</v>
      </c>
      <c r="AO1613" s="286"/>
      <c r="AP1613" s="284"/>
      <c r="AQ1613" s="296"/>
      <c r="AR1613" s="296"/>
      <c r="AS1613" s="296"/>
      <c r="AT1613" s="176"/>
      <c r="AU1613" s="1358" t="str">
        <f t="shared" si="580"/>
        <v>-</v>
      </c>
    </row>
    <row r="1614" spans="1:47" s="63" customFormat="1" ht="16" x14ac:dyDescent="0.2">
      <c r="A1614" s="60" t="s">
        <v>58</v>
      </c>
      <c r="B1614" s="1061" t="s">
        <v>587</v>
      </c>
      <c r="C1614" s="293" t="s">
        <v>3811</v>
      </c>
      <c r="D1614" s="94"/>
      <c r="E1614" s="294" t="s">
        <v>3812</v>
      </c>
      <c r="F1614" s="294" t="s">
        <v>124</v>
      </c>
      <c r="G1614" s="295" t="s">
        <v>3813</v>
      </c>
      <c r="H1614" s="295" t="s">
        <v>3813</v>
      </c>
      <c r="I1614" s="181" t="s">
        <v>52</v>
      </c>
      <c r="J1614" s="181" t="s">
        <v>53</v>
      </c>
      <c r="K1614" s="295" t="s">
        <v>54</v>
      </c>
      <c r="L1614" s="181" t="s">
        <v>55</v>
      </c>
      <c r="M1614" s="292">
        <v>925</v>
      </c>
      <c r="N1614" s="639">
        <v>900</v>
      </c>
      <c r="O1614" s="180" t="s">
        <v>64</v>
      </c>
      <c r="P1614" s="180">
        <v>48</v>
      </c>
      <c r="Q1614" s="180">
        <v>56</v>
      </c>
      <c r="R1614" s="60">
        <v>48</v>
      </c>
      <c r="S1614" s="60">
        <v>56</v>
      </c>
      <c r="T1614" s="698">
        <f>Table1[[#This Row],[VO Wdth]]</f>
        <v>48</v>
      </c>
      <c r="U1614" s="698">
        <f>Table1[[#This Row],[VO Hgt]]</f>
        <v>56</v>
      </c>
      <c r="V1614" s="149">
        <f>IF(J1614="Canvas",P1614+Border,P1614)</f>
        <v>56</v>
      </c>
      <c r="W1614" s="149">
        <f>IF(J1614="Canvas",Q1614+Border,Q1614)</f>
        <v>64</v>
      </c>
      <c r="X1614" s="289">
        <v>59</v>
      </c>
      <c r="Y1614" s="180"/>
      <c r="Z1614" s="180"/>
      <c r="AA1614" s="722">
        <f>V1614*W1614/144</f>
        <v>24.888888888888889</v>
      </c>
      <c r="AB1614" s="184">
        <f>AA1614*IncaG</f>
        <v>523.66222222222223</v>
      </c>
      <c r="AC1614" s="104">
        <f>AA1614*Canvas</f>
        <v>16.426666666666669</v>
      </c>
      <c r="AD1614" s="107">
        <f>AA1614*IncaC</f>
        <v>41.89297777777778</v>
      </c>
      <c r="AE1614" s="104">
        <f>IF(Table1[[#This Row],[Work Center]]="SwissQ",Materials!G$37,IF(Table1[[#This Row],[Work Center]]="Inca",Materials!G$29,IF(Table1[[#This Row],[Work Center]]="Canon",Materials!G$49,Materials!G$45)))</f>
        <v>20</v>
      </c>
      <c r="AF1614" s="296">
        <f>'Cali FPS'!C120</f>
        <v>175</v>
      </c>
      <c r="AG1614" s="83"/>
      <c r="AH1614" s="112">
        <f>(M1614*0.05)</f>
        <v>46.25</v>
      </c>
      <c r="AI1614" s="112"/>
      <c r="AJ1614" s="69">
        <f t="shared" si="573"/>
        <v>299.56964444444446</v>
      </c>
      <c r="AK1614" s="62">
        <f t="shared" si="571"/>
        <v>0.67614092492492484</v>
      </c>
      <c r="AL1614" s="225">
        <f>Table1[[#This Row],[WSP/Dealer]]/Table1[[#This Row],[OD Sq Inch]]</f>
        <v>0.34412202380952384</v>
      </c>
      <c r="AM1614" s="218">
        <f>Table1[[#This Row],[OD Wdth]]*Table1[[#This Row],[OD Hgt]]</f>
        <v>2688</v>
      </c>
      <c r="AN1614" s="216">
        <f>Table1[[#This Row],[Min VO]]+Table1[[#This Row],[Max VO]]</f>
        <v>104</v>
      </c>
      <c r="AO1614" s="284"/>
      <c r="AP1614" s="284"/>
      <c r="AQ1614" s="296"/>
      <c r="AR1614" s="296"/>
      <c r="AS1614" s="296"/>
      <c r="AT1614" s="176"/>
      <c r="AU1614" s="1358" t="str">
        <f t="shared" si="580"/>
        <v>-</v>
      </c>
    </row>
    <row r="1615" spans="1:47" s="46" customFormat="1" x14ac:dyDescent="0.2">
      <c r="A1615" s="86" t="s">
        <v>58</v>
      </c>
      <c r="B1615" s="1061" t="s">
        <v>406</v>
      </c>
      <c r="C1615" s="100" t="s">
        <v>3814</v>
      </c>
      <c r="D1615" s="94" t="s">
        <v>3815</v>
      </c>
      <c r="E1615" s="85" t="s">
        <v>3816</v>
      </c>
      <c r="F1615" s="85" t="s">
        <v>92</v>
      </c>
      <c r="G1615" s="86" t="s">
        <v>3817</v>
      </c>
      <c r="H1615" s="86" t="s">
        <v>3817</v>
      </c>
      <c r="I1615" s="86" t="s">
        <v>52</v>
      </c>
      <c r="J1615" s="86" t="s">
        <v>53</v>
      </c>
      <c r="K1615" s="86" t="s">
        <v>54</v>
      </c>
      <c r="L1615" s="86" t="s">
        <v>55</v>
      </c>
      <c r="M1615" s="87">
        <v>1078</v>
      </c>
      <c r="N1615" s="639">
        <v>1100</v>
      </c>
      <c r="O1615" s="551" t="s">
        <v>56</v>
      </c>
      <c r="P1615" s="101">
        <v>44</v>
      </c>
      <c r="Q1615" s="101">
        <v>74</v>
      </c>
      <c r="R1615" s="60">
        <v>44</v>
      </c>
      <c r="S1615" s="61">
        <v>74</v>
      </c>
      <c r="T1615" s="61">
        <f>Table1[[#This Row],[VO Wdth]]</f>
        <v>44</v>
      </c>
      <c r="U1615" s="61">
        <f>Table1[[#This Row],[VO Hgt]]</f>
        <v>74</v>
      </c>
      <c r="V1615" s="106">
        <f>IF(J1615="Canvas",P1615+BorderGW,P1615)</f>
        <v>52</v>
      </c>
      <c r="W1615" s="106">
        <f>IF(J1615="Canvas",Q1615+BorderGW,Q1615)</f>
        <v>82</v>
      </c>
      <c r="X1615" s="137">
        <v>82</v>
      </c>
      <c r="Y1615" s="101"/>
      <c r="Z1615" s="101"/>
      <c r="AA1615" s="649">
        <f>V1615*W1615/144</f>
        <v>29.611111111111111</v>
      </c>
      <c r="AB1615" s="184">
        <f>AA1615*IncaG</f>
        <v>623.01777777777772</v>
      </c>
      <c r="AC1615" s="104">
        <f>AA1615*Canvas</f>
        <v>19.543333333333333</v>
      </c>
      <c r="AD1615" s="107">
        <f>AA1615*IncaC</f>
        <v>49.841422222222221</v>
      </c>
      <c r="AE1615" s="104">
        <f>IF(Table1[[#This Row],[Work Center]]="SwissQ",Materials!G$37,IF(Table1[[#This Row],[Work Center]]="Inca",Materials!G$29,IF(Table1[[#This Row],[Work Center]]="Canon",Materials!G$49,Materials!G$45)))</f>
        <v>8</v>
      </c>
      <c r="AF1615" s="74">
        <f>'Cali FPS'!C$102</f>
        <v>176.83750000000001</v>
      </c>
      <c r="AG1615" s="115"/>
      <c r="AH1615" s="498">
        <f>(M1615*0.05)</f>
        <v>53.900000000000006</v>
      </c>
      <c r="AI1615" s="498"/>
      <c r="AJ1615" s="104">
        <f t="shared" si="573"/>
        <v>308.12225555555557</v>
      </c>
      <c r="AK1615" s="650">
        <f t="shared" si="571"/>
        <v>0.71417230467944759</v>
      </c>
      <c r="AL1615" s="225">
        <f>Table1[[#This Row],[WSP/Dealer]]/Table1[[#This Row],[OD Sq Inch]]</f>
        <v>0.33108108108108109</v>
      </c>
      <c r="AM1615" s="103">
        <f>Table1[[#This Row],[OD Wdth]]*Table1[[#This Row],[OD Hgt]]</f>
        <v>3256</v>
      </c>
      <c r="AN1615" s="216">
        <f>Table1[[#This Row],[Min VO]]+Table1[[#This Row],[Max VO]]</f>
        <v>118</v>
      </c>
      <c r="AO1615" s="103"/>
      <c r="AP1615" s="101"/>
      <c r="AQ1615" s="104"/>
      <c r="AR1615" s="104"/>
      <c r="AS1615" s="104"/>
      <c r="AT1615" s="104"/>
      <c r="AU1615" s="108" t="str">
        <f t="shared" si="580"/>
        <v>-</v>
      </c>
    </row>
    <row r="1616" spans="1:47" s="46" customFormat="1" x14ac:dyDescent="0.2">
      <c r="A1616" s="86" t="s">
        <v>58</v>
      </c>
      <c r="B1616" s="1061" t="s">
        <v>88</v>
      </c>
      <c r="C1616" s="100" t="s">
        <v>3818</v>
      </c>
      <c r="D1616" s="94" t="s">
        <v>3819</v>
      </c>
      <c r="E1616" s="85" t="s">
        <v>3820</v>
      </c>
      <c r="F1616" s="85" t="s">
        <v>634</v>
      </c>
      <c r="G1616" s="86" t="s">
        <v>1789</v>
      </c>
      <c r="H1616" s="86" t="s">
        <v>3821</v>
      </c>
      <c r="I1616" s="86" t="s">
        <v>794</v>
      </c>
      <c r="J1616" s="86" t="s">
        <v>53</v>
      </c>
      <c r="K1616" s="86" t="s">
        <v>69</v>
      </c>
      <c r="L1616" s="86" t="s">
        <v>70</v>
      </c>
      <c r="M1616" s="87">
        <v>682</v>
      </c>
      <c r="N1616" s="639">
        <v>750.2</v>
      </c>
      <c r="O1616" s="551" t="s">
        <v>795</v>
      </c>
      <c r="P1616" s="101">
        <v>43</v>
      </c>
      <c r="Q1616" s="101">
        <v>43</v>
      </c>
      <c r="R1616" s="101">
        <v>43</v>
      </c>
      <c r="S1616" s="101">
        <v>43</v>
      </c>
      <c r="T1616" s="101">
        <v>44</v>
      </c>
      <c r="U1616" s="101" t="str">
        <f>RIGHT(H1616,2)</f>
        <v>44</v>
      </c>
      <c r="V1616" s="608">
        <f>IF(J1616="Canvas",P1616+Border,P1616)</f>
        <v>51</v>
      </c>
      <c r="W1616" s="608">
        <f>IF(J1616="Canvas",Q1616+Border,Q1616)</f>
        <v>51</v>
      </c>
      <c r="X1616" s="137" t="s">
        <v>796</v>
      </c>
      <c r="Y1616" s="101"/>
      <c r="Z1616" s="101"/>
      <c r="AA1616" s="649">
        <f>V1616*W1616/144</f>
        <v>18.0625</v>
      </c>
      <c r="AB1616" s="184">
        <v>0</v>
      </c>
      <c r="AC1616" s="104">
        <f>TX!H16</f>
        <v>177.86</v>
      </c>
      <c r="AD1616" s="107">
        <f>AA1616*IncaC</f>
        <v>30.402799999999999</v>
      </c>
      <c r="AE1616" s="104">
        <v>0</v>
      </c>
      <c r="AF1616" s="104">
        <f>'Cali Frames'!D$322</f>
        <v>165.69</v>
      </c>
      <c r="AG1616" s="115"/>
      <c r="AH1616" s="498">
        <f>(M1616*0.05)</f>
        <v>34.1</v>
      </c>
      <c r="AI1616" s="498"/>
      <c r="AJ1616" s="107">
        <f t="shared" si="573"/>
        <v>408.05280000000005</v>
      </c>
      <c r="AK1616" s="650">
        <f t="shared" si="571"/>
        <v>0.4016821114369501</v>
      </c>
      <c r="AL1616" s="225">
        <f>Table1[[#This Row],[WSP/Dealer]]/Table1[[#This Row],[OD Sq Inch]]</f>
        <v>0.35227272727272729</v>
      </c>
      <c r="AM1616" s="103">
        <f>Table1[[#This Row],[OD Wdth]]*Table1[[#This Row],[OD Hgt]]</f>
        <v>1936</v>
      </c>
      <c r="AN1616" s="216">
        <f>Table1[[#This Row],[Min VO]]+Table1[[#This Row],[Max VO]]</f>
        <v>86</v>
      </c>
      <c r="AO1616" s="101"/>
      <c r="AP1616" s="101"/>
      <c r="AQ1616" s="104"/>
      <c r="AR1616" s="104"/>
      <c r="AS1616" s="104"/>
      <c r="AT1616" s="104"/>
      <c r="AU1616" s="830" t="str">
        <f t="shared" si="580"/>
        <v>-</v>
      </c>
    </row>
    <row r="1617" spans="1:280" s="46" customFormat="1" hidden="1" x14ac:dyDescent="0.2">
      <c r="A1617" s="1291" t="s">
        <v>2186</v>
      </c>
      <c r="B1617" s="1438" t="s">
        <v>3822</v>
      </c>
      <c r="C1617" s="1291" t="s">
        <v>3823</v>
      </c>
      <c r="D1617" s="1292"/>
      <c r="E1617" s="1293" t="s">
        <v>3824</v>
      </c>
      <c r="F1617" s="1293"/>
      <c r="G1617" s="1291"/>
      <c r="H1617" s="1291"/>
      <c r="I1617" s="1291" t="s">
        <v>52</v>
      </c>
      <c r="J1617" s="1294"/>
      <c r="K1617" s="1291"/>
      <c r="L1617" s="1291"/>
      <c r="M1617" s="1440">
        <v>4</v>
      </c>
      <c r="N1617" s="1440"/>
      <c r="O1617" s="1291" t="s">
        <v>64</v>
      </c>
      <c r="P1617" s="1295">
        <v>6</v>
      </c>
      <c r="Q1617" s="1295">
        <v>6</v>
      </c>
      <c r="R1617" s="1291">
        <v>6</v>
      </c>
      <c r="S1617" s="1295">
        <v>6</v>
      </c>
      <c r="T1617" s="1295">
        <v>6</v>
      </c>
      <c r="U1617" s="1295">
        <v>6</v>
      </c>
      <c r="V1617" s="1291">
        <v>6</v>
      </c>
      <c r="W1617" s="1291">
        <v>6</v>
      </c>
      <c r="X1617" s="1291"/>
      <c r="Y1617" s="1291"/>
      <c r="Z1617" s="1291"/>
      <c r="AA1617" s="1296">
        <v>0.36</v>
      </c>
      <c r="AB1617" s="1445">
        <v>0.1</v>
      </c>
      <c r="AC1617" s="1447">
        <f>Table1[[#This Row],[Substrate SF]]*0.55</f>
        <v>0.19800000000000001</v>
      </c>
      <c r="AD1617" s="1439">
        <f>Table1[[#This Row],[Ink g/mL]]*2.8</f>
        <v>0.27999999999999997</v>
      </c>
      <c r="AE1617" s="1448">
        <v>1</v>
      </c>
      <c r="AF1617" s="1440"/>
      <c r="AG1617" s="1293"/>
      <c r="AH1617" s="1293"/>
      <c r="AI1617" s="1461"/>
      <c r="AJ1617" s="1301">
        <f>SUM(Table1[[#This Row],[Substrate SF]:[GP Labor/unit]])</f>
        <v>1.9379999999999999</v>
      </c>
      <c r="AK1617" s="1462">
        <f>(Table1[[#This Row],[WSP/Dealer]]-Table1[[#This Row],[Total Cost]])/Table1[[#This Row],[WSP/Dealer]]</f>
        <v>0.51550000000000007</v>
      </c>
      <c r="AL1617" s="1293"/>
      <c r="AM1617" s="1297"/>
      <c r="AN1617" s="1293"/>
      <c r="AO1617" s="1293"/>
      <c r="AP1617" s="1448"/>
      <c r="AQ1617" s="1342" t="s">
        <v>3825</v>
      </c>
      <c r="AR1617" s="1342"/>
      <c r="AS1617" s="1342"/>
      <c r="AT1617" s="1343"/>
      <c r="AU1617" s="1378" t="e">
        <f t="shared" si="580"/>
        <v>#VALUE!</v>
      </c>
    </row>
    <row r="1618" spans="1:280" s="45" customFormat="1" hidden="1" x14ac:dyDescent="0.2">
      <c r="A1618" s="1291" t="s">
        <v>2186</v>
      </c>
      <c r="B1618" s="1438" t="s">
        <v>3822</v>
      </c>
      <c r="C1618" s="1291" t="s">
        <v>3826</v>
      </c>
      <c r="D1618" s="100"/>
      <c r="E1618" s="1293" t="s">
        <v>3827</v>
      </c>
      <c r="F1618" s="115"/>
      <c r="G1618" s="101"/>
      <c r="H1618" s="101"/>
      <c r="I1618" s="60" t="s">
        <v>52</v>
      </c>
      <c r="J1618" s="59"/>
      <c r="K1618" s="60"/>
      <c r="L1618" s="101"/>
      <c r="M1618" s="114"/>
      <c r="N1618" s="114"/>
      <c r="O1618" s="101"/>
      <c r="P1618" s="273"/>
      <c r="Q1618" s="273"/>
      <c r="R1618" s="60"/>
      <c r="S1618" s="273"/>
      <c r="T1618" s="1295"/>
      <c r="U1618" s="1295"/>
      <c r="V1618" s="1291"/>
      <c r="W1618" s="101"/>
      <c r="X1618" s="101"/>
      <c r="Y1618" s="101"/>
      <c r="Z1618" s="101"/>
      <c r="AA1618" s="649"/>
      <c r="AB1618" s="1499"/>
      <c r="AC1618" s="1839"/>
      <c r="AD1618" s="1500"/>
      <c r="AE1618" s="408"/>
      <c r="AF1618" s="114"/>
      <c r="AG1618" s="115"/>
      <c r="AH1618" s="113"/>
      <c r="AI1618" s="120"/>
      <c r="AJ1618" s="121"/>
      <c r="AK1618" s="108"/>
      <c r="AL1618" s="115"/>
      <c r="AM1618" s="115"/>
      <c r="AN1618" s="115"/>
      <c r="AO1618" s="115"/>
      <c r="AP1618" s="408"/>
      <c r="AQ1618" s="1012">
        <f>(Table1[[#This Row],[Desgnr/Retail P]]*0.05)</f>
        <v>0</v>
      </c>
      <c r="AR1618" s="1012" t="b">
        <f>IF(A1618="Codarus",(AP1618*0.13))</f>
        <v>0</v>
      </c>
      <c r="AS1618" s="1012" t="e" cm="1">
        <f t="array" ref="AS1618">SUM(AC1618:AG1618+AQ+AR)</f>
        <v>#NAME?</v>
      </c>
      <c r="AT1618" s="1012" t="e">
        <f>(AP1618-AS1618)/AP1618</f>
        <v>#NAME?</v>
      </c>
      <c r="AU1618" s="1359" t="str">
        <f t="shared" si="580"/>
        <v>-</v>
      </c>
    </row>
    <row r="1619" spans="1:280" s="63" customFormat="1" x14ac:dyDescent="0.2">
      <c r="A1619" s="60" t="s">
        <v>58</v>
      </c>
      <c r="B1619" s="1061" t="s">
        <v>96</v>
      </c>
      <c r="C1619" s="76" t="s">
        <v>3828</v>
      </c>
      <c r="D1619" s="94"/>
      <c r="E1619" s="83" t="s">
        <v>3829</v>
      </c>
      <c r="F1619" s="83" t="s">
        <v>374</v>
      </c>
      <c r="G1619" s="60" t="s">
        <v>1026</v>
      </c>
      <c r="H1619" s="60" t="s">
        <v>1026</v>
      </c>
      <c r="I1619" s="60" t="s">
        <v>52</v>
      </c>
      <c r="J1619" s="59" t="s">
        <v>53</v>
      </c>
      <c r="K1619" s="60" t="s">
        <v>54</v>
      </c>
      <c r="L1619" s="60" t="s">
        <v>55</v>
      </c>
      <c r="M1619" s="179">
        <v>830</v>
      </c>
      <c r="N1619" s="656">
        <v>830</v>
      </c>
      <c r="O1619" s="60" t="s">
        <v>64</v>
      </c>
      <c r="P1619" s="60">
        <v>30</v>
      </c>
      <c r="Q1619" s="60">
        <v>40</v>
      </c>
      <c r="R1619" s="60">
        <v>30</v>
      </c>
      <c r="S1619" s="273">
        <v>40</v>
      </c>
      <c r="T1619" s="60">
        <v>30</v>
      </c>
      <c r="U1619" s="60">
        <v>40</v>
      </c>
      <c r="V1619" s="946">
        <f>IF(J1619="Canvas",P1619+Materials!C$5,P1619)</f>
        <v>37</v>
      </c>
      <c r="W1619" s="946">
        <f>IF(J1619="Canvas",Q1619+Materials!C$5,Q1619)</f>
        <v>47</v>
      </c>
      <c r="X1619" s="138"/>
      <c r="Y1619" s="60">
        <v>37</v>
      </c>
      <c r="Z1619" s="60">
        <v>47</v>
      </c>
      <c r="AA1619" s="717">
        <f>V1619*W1619/144</f>
        <v>12.076388888888889</v>
      </c>
      <c r="AB1619" s="125">
        <f>AA1619*Swiss1</f>
        <v>341.76180555555555</v>
      </c>
      <c r="AC1619" s="69">
        <f>AA1619*Canvas</f>
        <v>7.9704166666666669</v>
      </c>
      <c r="AD1619" s="48">
        <f>Table1[[#This Row],[Substrate SF]]*Materials!C$37</f>
        <v>33.81388888888889</v>
      </c>
      <c r="AE1619" s="69">
        <f>IF(Table1[[#This Row],[Work Center]]="SwissQ",Materials!G$37,IF(Table1[[#This Row],[Work Center]]="Inca",Materials!G$29,IF(Table1[[#This Row],[Work Center]]="Canon",Materials!G$49,Materials!G$45)))</f>
        <v>20</v>
      </c>
      <c r="AF1619" s="72">
        <f>'Cali FPS'!C48</f>
        <v>76.3</v>
      </c>
      <c r="AG1619" s="83"/>
      <c r="AH1619" s="48">
        <f>(M1619*0.05)</f>
        <v>41.5</v>
      </c>
      <c r="AI1619" s="48"/>
      <c r="AJ1619" s="175">
        <f>SUM(AC1619:AH1619)</f>
        <v>179.58430555555555</v>
      </c>
      <c r="AK1619" s="62">
        <f>(M1619-AJ1619)/M1619</f>
        <v>0.78363336680053541</v>
      </c>
      <c r="AL1619" s="225">
        <f>Table1[[#This Row],[WSP/Dealer]]/Table1[[#This Row],[OD Sq Inch]]</f>
        <v>0.69166666666666665</v>
      </c>
      <c r="AM1619" s="173">
        <f>Table1[[#This Row],[OD Wdth]]*Table1[[#This Row],[OD Hgt]]</f>
        <v>1200</v>
      </c>
      <c r="AN1619" s="180">
        <f>Table1[[#This Row],[Min VO]]+Table1[[#This Row],[Max VO]]</f>
        <v>70</v>
      </c>
      <c r="AO1619" s="83"/>
      <c r="AP1619" s="83"/>
      <c r="AQ1619" s="540"/>
      <c r="AR1619" s="540"/>
      <c r="AS1619" s="540"/>
      <c r="AT1619" s="69"/>
      <c r="AU1619" s="1361" t="str">
        <f t="shared" si="580"/>
        <v>-</v>
      </c>
    </row>
    <row r="1620" spans="1:280" s="63" customFormat="1" x14ac:dyDescent="0.2">
      <c r="A1620" s="60" t="s">
        <v>58</v>
      </c>
      <c r="B1620" s="1061" t="s">
        <v>96</v>
      </c>
      <c r="C1620" s="76" t="s">
        <v>3830</v>
      </c>
      <c r="D1620" s="94"/>
      <c r="E1620" s="83" t="s">
        <v>3831</v>
      </c>
      <c r="F1620" s="83" t="s">
        <v>374</v>
      </c>
      <c r="G1620" s="60" t="s">
        <v>1026</v>
      </c>
      <c r="H1620" s="60" t="s">
        <v>1026</v>
      </c>
      <c r="I1620" s="60" t="s">
        <v>52</v>
      </c>
      <c r="J1620" s="59" t="s">
        <v>53</v>
      </c>
      <c r="K1620" s="60" t="s">
        <v>54</v>
      </c>
      <c r="L1620" s="60" t="s">
        <v>55</v>
      </c>
      <c r="M1620" s="179">
        <v>830</v>
      </c>
      <c r="N1620" s="656">
        <v>830</v>
      </c>
      <c r="O1620" s="60" t="s">
        <v>64</v>
      </c>
      <c r="P1620" s="60">
        <v>30</v>
      </c>
      <c r="Q1620" s="60">
        <v>40</v>
      </c>
      <c r="R1620" s="60">
        <v>30</v>
      </c>
      <c r="S1620" s="273">
        <v>40</v>
      </c>
      <c r="T1620" s="60">
        <v>30</v>
      </c>
      <c r="U1620" s="60">
        <v>40</v>
      </c>
      <c r="V1620" s="47">
        <f>IF(J1620="Canvas",P1620+Materials!C$5,P1620)</f>
        <v>37</v>
      </c>
      <c r="W1620" s="47">
        <f>IF(J1620="Canvas",Q1620+Materials!C$5,Q1620)</f>
        <v>47</v>
      </c>
      <c r="X1620" s="138"/>
      <c r="Y1620" s="60">
        <v>37</v>
      </c>
      <c r="Z1620" s="60">
        <v>47</v>
      </c>
      <c r="AA1620" s="717">
        <f>V1620*W1620/144</f>
        <v>12.076388888888889</v>
      </c>
      <c r="AB1620" s="125">
        <f>AA1620*Swiss1</f>
        <v>341.76180555555555</v>
      </c>
      <c r="AC1620" s="69">
        <f>AA1620*Canvas</f>
        <v>7.9704166666666669</v>
      </c>
      <c r="AD1620" s="48">
        <f>Table1[[#This Row],[Substrate SF]]*Materials!C$37</f>
        <v>33.81388888888889</v>
      </c>
      <c r="AE1620" s="69">
        <f>IF(Table1[[#This Row],[Work Center]]="SwissQ",Materials!G$37,IF(Table1[[#This Row],[Work Center]]="Inca",Materials!G$29,IF(Table1[[#This Row],[Work Center]]="Canon",Materials!G$49,Materials!G$45)))</f>
        <v>20</v>
      </c>
      <c r="AF1620" s="72">
        <f>'Cali FPS'!C48</f>
        <v>76.3</v>
      </c>
      <c r="AG1620" s="83"/>
      <c r="AH1620" s="48">
        <f>(M1620*0.05)</f>
        <v>41.5</v>
      </c>
      <c r="AI1620" s="48"/>
      <c r="AJ1620" s="175">
        <f>SUM(AC1620:AH1620)</f>
        <v>179.58430555555555</v>
      </c>
      <c r="AK1620" s="62">
        <f>(M1620-AJ1620)/M1620</f>
        <v>0.78363336680053541</v>
      </c>
      <c r="AL1620" s="225">
        <f>Table1[[#This Row],[WSP/Dealer]]/Table1[[#This Row],[OD Sq Inch]]</f>
        <v>0.69166666666666665</v>
      </c>
      <c r="AM1620" s="173">
        <f>Table1[[#This Row],[OD Wdth]]*Table1[[#This Row],[OD Hgt]]</f>
        <v>1200</v>
      </c>
      <c r="AN1620" s="180">
        <f>Table1[[#This Row],[Min VO]]+Table1[[#This Row],[Max VO]]</f>
        <v>70</v>
      </c>
      <c r="AO1620" s="83"/>
      <c r="AP1620" s="83"/>
      <c r="AQ1620" s="540"/>
      <c r="AR1620" s="540"/>
      <c r="AS1620" s="540"/>
      <c r="AT1620" s="69"/>
      <c r="AU1620" s="1361" t="str">
        <f t="shared" si="580"/>
        <v>-</v>
      </c>
    </row>
    <row r="1621" spans="1:280" s="63" customFormat="1" x14ac:dyDescent="0.2">
      <c r="A1621" s="68" t="s">
        <v>58</v>
      </c>
      <c r="B1621" s="1072" t="s">
        <v>310</v>
      </c>
      <c r="C1621" s="78" t="s">
        <v>3832</v>
      </c>
      <c r="D1621" s="94"/>
      <c r="E1621" s="84" t="s">
        <v>3833</v>
      </c>
      <c r="F1621" s="84" t="s">
        <v>144</v>
      </c>
      <c r="G1621" s="68" t="s">
        <v>602</v>
      </c>
      <c r="H1621" s="68" t="s">
        <v>2347</v>
      </c>
      <c r="I1621" s="68" t="s">
        <v>52</v>
      </c>
      <c r="J1621" s="140" t="s">
        <v>53</v>
      </c>
      <c r="K1621" s="68" t="s">
        <v>82</v>
      </c>
      <c r="L1621" s="68" t="s">
        <v>298</v>
      </c>
      <c r="M1621" s="93">
        <v>575</v>
      </c>
      <c r="N1621" s="93"/>
      <c r="O1621" s="68"/>
      <c r="P1621" s="68"/>
      <c r="Q1621" s="68"/>
      <c r="R1621" s="68"/>
      <c r="S1621" s="623"/>
      <c r="T1621" s="68"/>
      <c r="U1621" s="68"/>
      <c r="V1621" s="66"/>
      <c r="W1621" s="66"/>
      <c r="X1621" s="68"/>
      <c r="Y1621" s="68"/>
      <c r="Z1621" s="68"/>
      <c r="AA1621" s="699"/>
      <c r="AB1621" s="297"/>
      <c r="AC1621" s="74"/>
      <c r="AD1621" s="118"/>
      <c r="AE1621" s="126"/>
      <c r="AF1621" s="73"/>
      <c r="AG1621" s="84"/>
      <c r="AH1621" s="126"/>
      <c r="AI1621" s="126"/>
      <c r="AJ1621" s="126"/>
      <c r="AK1621" s="1001"/>
      <c r="AL1621" s="126"/>
      <c r="AM1621" s="119"/>
      <c r="AN1621" s="84"/>
      <c r="AO1621" s="84"/>
      <c r="AP1621" s="84"/>
      <c r="AQ1621" s="126">
        <f>(Table1[[#This Row],[Desgnr/Retail P]]*0.05)</f>
        <v>0</v>
      </c>
      <c r="AR1621" s="126" t="b">
        <f>IF(A1621="Codarus",(AP1621*0.13))</f>
        <v>0</v>
      </c>
      <c r="AS1621" s="126" t="e" cm="1">
        <f t="array" ref="AS1621">SUM(AC1621:AG1621+AQ+AR)</f>
        <v>#NAME?</v>
      </c>
      <c r="AT1621" s="74" t="e">
        <f>(AP1621-AS1621)/AP1621</f>
        <v>#NAME?</v>
      </c>
      <c r="AU1621" s="1357" t="str">
        <f t="shared" si="580"/>
        <v>-</v>
      </c>
    </row>
    <row r="1622" spans="1:280" s="63" customFormat="1" x14ac:dyDescent="0.2">
      <c r="A1622" s="68" t="s">
        <v>58</v>
      </c>
      <c r="B1622" s="1152" t="s">
        <v>310</v>
      </c>
      <c r="C1622" s="78" t="s">
        <v>3834</v>
      </c>
      <c r="D1622" s="94"/>
      <c r="E1622" s="84" t="s">
        <v>3833</v>
      </c>
      <c r="F1622" s="84" t="s">
        <v>144</v>
      </c>
      <c r="G1622" s="68" t="s">
        <v>602</v>
      </c>
      <c r="H1622" s="68" t="s">
        <v>2347</v>
      </c>
      <c r="I1622" s="68" t="s">
        <v>52</v>
      </c>
      <c r="J1622" s="140" t="s">
        <v>53</v>
      </c>
      <c r="K1622" s="68" t="s">
        <v>82</v>
      </c>
      <c r="L1622" s="68" t="s">
        <v>83</v>
      </c>
      <c r="M1622" s="93">
        <v>575</v>
      </c>
      <c r="N1622" s="93"/>
      <c r="O1622" s="68"/>
      <c r="P1622" s="68"/>
      <c r="Q1622" s="68"/>
      <c r="R1622" s="68"/>
      <c r="S1622" s="623"/>
      <c r="T1622" s="68"/>
      <c r="U1622" s="68"/>
      <c r="V1622" s="66"/>
      <c r="W1622" s="66"/>
      <c r="X1622" s="68"/>
      <c r="Y1622" s="68"/>
      <c r="Z1622" s="68"/>
      <c r="AA1622" s="699"/>
      <c r="AB1622" s="297"/>
      <c r="AC1622" s="74"/>
      <c r="AD1622" s="118"/>
      <c r="AE1622" s="126"/>
      <c r="AF1622" s="73"/>
      <c r="AG1622" s="84"/>
      <c r="AH1622" s="126"/>
      <c r="AI1622" s="126"/>
      <c r="AJ1622" s="126"/>
      <c r="AK1622" s="1001"/>
      <c r="AL1622" s="126"/>
      <c r="AM1622" s="119"/>
      <c r="AN1622" s="84"/>
      <c r="AO1622" s="84"/>
      <c r="AP1622" s="84"/>
      <c r="AQ1622" s="126">
        <f>(Table1[[#This Row],[Desgnr/Retail P]]*0.05)</f>
        <v>0</v>
      </c>
      <c r="AR1622" s="126" t="b">
        <f>IF(A1622="Codarus",(AP1622*0.13))</f>
        <v>0</v>
      </c>
      <c r="AS1622" s="126" t="e" cm="1">
        <f t="array" ref="AS1622">SUM(AC1622:AG1622+AQ+AR)</f>
        <v>#NAME?</v>
      </c>
      <c r="AT1622" s="74" t="e">
        <f>(AP1622-AS1622)/AP1622</f>
        <v>#NAME?</v>
      </c>
      <c r="AU1622" s="1357" t="str">
        <f t="shared" si="580"/>
        <v>-</v>
      </c>
    </row>
    <row r="1623" spans="1:280" s="103" customFormat="1" x14ac:dyDescent="0.2">
      <c r="A1623" s="101" t="s">
        <v>58</v>
      </c>
      <c r="B1623" s="1067" t="s">
        <v>65</v>
      </c>
      <c r="C1623" s="100" t="s">
        <v>3835</v>
      </c>
      <c r="D1623" s="168"/>
      <c r="E1623" s="115" t="s">
        <v>3833</v>
      </c>
      <c r="F1623" s="115" t="s">
        <v>144</v>
      </c>
      <c r="G1623" s="101" t="s">
        <v>602</v>
      </c>
      <c r="H1623" s="101" t="s">
        <v>602</v>
      </c>
      <c r="I1623" s="101" t="s">
        <v>52</v>
      </c>
      <c r="J1623" s="487" t="s">
        <v>53</v>
      </c>
      <c r="K1623" s="101" t="s">
        <v>54</v>
      </c>
      <c r="L1623" s="101" t="s">
        <v>55</v>
      </c>
      <c r="M1623" s="299">
        <v>400</v>
      </c>
      <c r="N1623" s="114"/>
      <c r="O1623" s="101" t="s">
        <v>56</v>
      </c>
      <c r="P1623" s="101">
        <v>25</v>
      </c>
      <c r="Q1623" s="101">
        <v>31</v>
      </c>
      <c r="R1623" s="101">
        <v>25</v>
      </c>
      <c r="S1623" s="697">
        <v>31</v>
      </c>
      <c r="T1623" s="101">
        <v>25</v>
      </c>
      <c r="U1623" s="101">
        <v>31</v>
      </c>
      <c r="V1623" s="106">
        <f>IF(J1623="Canvas",P1623+Border,P1623)</f>
        <v>33</v>
      </c>
      <c r="W1623" s="106">
        <f>IF(J1623="Canvas",Q1623+Border,Q1623)</f>
        <v>39</v>
      </c>
      <c r="X1623" s="101">
        <v>40</v>
      </c>
      <c r="Y1623" s="101">
        <v>33</v>
      </c>
      <c r="Z1623" s="101">
        <v>39</v>
      </c>
      <c r="AA1623" s="649">
        <f t="shared" ref="AA1623:AA1642" si="581">V1623*W1623/144</f>
        <v>8.9375</v>
      </c>
      <c r="AB1623" s="184">
        <f>AA1623*IncaG</f>
        <v>188.04499999999999</v>
      </c>
      <c r="AC1623" s="104">
        <f t="shared" ref="AC1623:AC1634" si="582">AA1623*Canvas</f>
        <v>5.8987500000000006</v>
      </c>
      <c r="AD1623" s="107">
        <f>Table1[[#This Row],[Substrate SF]]*IncaC</f>
        <v>15.0436</v>
      </c>
      <c r="AE1623" s="104">
        <f>IF(Table1[[#This Row],[Work Center]]="SwissQ",Materials!G$37,IF(Table1[[#This Row],[Work Center]]="Inca",Materials!G$29,IF(Table1[[#This Row],[Work Center]]="Canon",Materials!G$49,Materials!G$45)))</f>
        <v>8</v>
      </c>
      <c r="AF1623" s="102">
        <f>'Cali FPS'!C40</f>
        <v>79.239999999999995</v>
      </c>
      <c r="AG1623" s="115"/>
      <c r="AH1623" s="406">
        <f t="shared" ref="AH1623:AH1643" si="583">(M1623*0.05)</f>
        <v>20</v>
      </c>
      <c r="AI1623" s="406"/>
      <c r="AJ1623" s="406">
        <f>SUM(AC1623:AH1623)</f>
        <v>128.18234999999999</v>
      </c>
      <c r="AK1623" s="1065">
        <f t="shared" ref="AK1623:AK1658" si="584">(M1623-AJ1623)/M1623</f>
        <v>0.67954412500000005</v>
      </c>
      <c r="AL1623" s="406">
        <f>Table1[[#This Row],[WSP/Dealer]]/Table1[[#This Row],[OD Sq Inch]]</f>
        <v>0.5161290322580645</v>
      </c>
      <c r="AM1623" s="399">
        <f>Table1[[#This Row],[OD Wdth]]*Table1[[#This Row],[OD Hgt]]</f>
        <v>775</v>
      </c>
      <c r="AN1623" s="400">
        <f>Table1[[#This Row],[Min VO]]+Table1[[#This Row],[Max VO]]</f>
        <v>56</v>
      </c>
      <c r="AO1623" s="115"/>
      <c r="AP1623" s="115"/>
      <c r="AQ1623" s="121"/>
      <c r="AR1623" s="121"/>
      <c r="AS1623" s="121"/>
      <c r="AT1623" s="104"/>
      <c r="AU1623" s="1359" t="str">
        <f t="shared" si="580"/>
        <v>-</v>
      </c>
    </row>
    <row r="1624" spans="1:280" s="103" customFormat="1" hidden="1" x14ac:dyDescent="0.2">
      <c r="A1624" s="101" t="s">
        <v>95</v>
      </c>
      <c r="B1624" s="1061" t="s">
        <v>96</v>
      </c>
      <c r="C1624" s="100" t="s">
        <v>3836</v>
      </c>
      <c r="D1624" s="94"/>
      <c r="E1624" s="115" t="s">
        <v>3837</v>
      </c>
      <c r="F1624" s="115" t="s">
        <v>144</v>
      </c>
      <c r="G1624" s="101" t="s">
        <v>637</v>
      </c>
      <c r="H1624" s="101" t="s">
        <v>637</v>
      </c>
      <c r="I1624" s="101" t="s">
        <v>52</v>
      </c>
      <c r="J1624" s="487" t="s">
        <v>53</v>
      </c>
      <c r="K1624" s="101" t="s">
        <v>54</v>
      </c>
      <c r="L1624" s="101" t="s">
        <v>55</v>
      </c>
      <c r="M1624" s="299">
        <v>950</v>
      </c>
      <c r="N1624" s="102"/>
      <c r="O1624" s="101" t="s">
        <v>64</v>
      </c>
      <c r="P1624" s="101">
        <v>60</v>
      </c>
      <c r="Q1624" s="101">
        <v>48</v>
      </c>
      <c r="R1624" s="101">
        <v>48</v>
      </c>
      <c r="S1624" s="101">
        <v>60</v>
      </c>
      <c r="T1624" s="101">
        <v>60</v>
      </c>
      <c r="U1624" s="101">
        <v>48</v>
      </c>
      <c r="V1624" s="608">
        <f>IF(J1624="Canvas",P1624+Border,P1624)</f>
        <v>68</v>
      </c>
      <c r="W1624" s="608">
        <f>IF(J1624="Canvas",Q1624+Border,Q1624)</f>
        <v>56</v>
      </c>
      <c r="X1624" s="137">
        <v>69</v>
      </c>
      <c r="Y1624" s="101">
        <v>68</v>
      </c>
      <c r="Z1624" s="101">
        <v>56</v>
      </c>
      <c r="AA1624" s="649">
        <f t="shared" si="581"/>
        <v>26.444444444444443</v>
      </c>
      <c r="AB1624" s="184">
        <f>AA1624*Swiss1</f>
        <v>748.37777777777774</v>
      </c>
      <c r="AC1624" s="104">
        <f t="shared" si="582"/>
        <v>17.453333333333333</v>
      </c>
      <c r="AD1624" s="107">
        <f>Table1[[#This Row],[Substrate SF]]*SWISSC1</f>
        <v>74.044444444444437</v>
      </c>
      <c r="AE1624" s="104">
        <f>IF(Table1[[#This Row],[Work Center]]="SwissQ",Materials!G$37,IF(Table1[[#This Row],[Work Center]]="Inca",Materials!G$29,IF(Table1[[#This Row],[Work Center]]="Canon",Materials!G$49,Materials!G$45)))</f>
        <v>20</v>
      </c>
      <c r="AF1624" s="102">
        <f>'Cali FPS'!C121</f>
        <v>188.18</v>
      </c>
      <c r="AG1624" s="115"/>
      <c r="AH1624" s="107">
        <f t="shared" si="583"/>
        <v>47.5</v>
      </c>
      <c r="AI1624" s="107"/>
      <c r="AJ1624" s="104">
        <f>SUM(AC1624:AH1624)</f>
        <v>347.17777777777781</v>
      </c>
      <c r="AK1624" s="108">
        <f t="shared" si="584"/>
        <v>0.6345497076023392</v>
      </c>
      <c r="AL1624" s="660">
        <f>Table1[[#This Row],[WSP/Dealer]]/Table1[[#This Row],[OD Sq Inch]]</f>
        <v>0.3298611111111111</v>
      </c>
      <c r="AM1624" s="229">
        <f>Table1[[#This Row],[OD Wdth]]*Table1[[#This Row],[OD Hgt]]</f>
        <v>2880</v>
      </c>
      <c r="AN1624" s="266">
        <f>Table1[[#This Row],[Min VO]]+Table1[[#This Row],[Max VO]]</f>
        <v>108</v>
      </c>
      <c r="AO1624" s="115"/>
      <c r="AP1624" s="115"/>
      <c r="AQ1624" s="121"/>
      <c r="AR1624" s="121"/>
      <c r="AS1624" s="121"/>
      <c r="AT1624" s="104"/>
      <c r="AU1624" s="1359" t="str">
        <f t="shared" si="580"/>
        <v>-</v>
      </c>
    </row>
    <row r="1625" spans="1:280" s="63" customFormat="1" hidden="1" x14ac:dyDescent="0.2">
      <c r="A1625" s="551" t="s">
        <v>140</v>
      </c>
      <c r="B1625" s="1061" t="s">
        <v>141</v>
      </c>
      <c r="C1625" s="653" t="s">
        <v>3838</v>
      </c>
      <c r="D1625" s="94"/>
      <c r="E1625" s="653" t="s">
        <v>3839</v>
      </c>
      <c r="F1625" s="653" t="s">
        <v>144</v>
      </c>
      <c r="G1625" s="551" t="s">
        <v>637</v>
      </c>
      <c r="H1625" s="551" t="s">
        <v>1119</v>
      </c>
      <c r="I1625" s="551" t="s">
        <v>52</v>
      </c>
      <c r="J1625" s="856" t="s">
        <v>53</v>
      </c>
      <c r="K1625" s="551" t="s">
        <v>69</v>
      </c>
      <c r="L1625" s="551" t="s">
        <v>70</v>
      </c>
      <c r="M1625" s="857">
        <v>1100</v>
      </c>
      <c r="N1625" s="858">
        <f>Table1[[#This Row],[WSP/Dealer]]/0.35</f>
        <v>3142.8571428571431</v>
      </c>
      <c r="O1625" s="551" t="s">
        <v>56</v>
      </c>
      <c r="P1625" s="551">
        <v>60</v>
      </c>
      <c r="Q1625" s="551">
        <v>48</v>
      </c>
      <c r="R1625" s="551">
        <v>48</v>
      </c>
      <c r="S1625" s="551">
        <v>60</v>
      </c>
      <c r="T1625" s="551">
        <v>61</v>
      </c>
      <c r="U1625" s="551">
        <v>49</v>
      </c>
      <c r="V1625" s="881">
        <f>IF(J1625="Canvas",P1625+Border,P1625)</f>
        <v>68</v>
      </c>
      <c r="W1625" s="881">
        <f>IF(J1625="Canvas",Q1625+Border,Q1625)</f>
        <v>56</v>
      </c>
      <c r="X1625" s="311">
        <v>69</v>
      </c>
      <c r="Y1625" s="551">
        <v>68</v>
      </c>
      <c r="Z1625" s="551">
        <v>56</v>
      </c>
      <c r="AA1625" s="860">
        <f t="shared" si="581"/>
        <v>26.444444444444443</v>
      </c>
      <c r="AB1625" s="861">
        <f>AA1625*IncaG</f>
        <v>556.39111111111106</v>
      </c>
      <c r="AC1625" s="863">
        <f t="shared" si="582"/>
        <v>17.453333333333333</v>
      </c>
      <c r="AD1625" s="862">
        <f>Table1[[#This Row],[Substrate SF]]*IncaC</f>
        <v>44.511288888888885</v>
      </c>
      <c r="AE1625" s="863">
        <f>IF(Table1[[#This Row],[Work Center]]="SwissQ",Materials!G$37,IF(Table1[[#This Row],[Work Center]]="Inca",Materials!G$29,IF(Table1[[#This Row],[Work Center]]="Canon",Materials!G$49,Materials!G$45)))</f>
        <v>8</v>
      </c>
      <c r="AF1625" s="71">
        <f>'Cali Frames'!D335</f>
        <v>258.27999999999997</v>
      </c>
      <c r="AG1625" s="864"/>
      <c r="AH1625" s="867">
        <f t="shared" si="583"/>
        <v>55</v>
      </c>
      <c r="AI1625" s="867"/>
      <c r="AJ1625" s="865">
        <f>SUM(AC1625:AH1625)</f>
        <v>383.24462222222218</v>
      </c>
      <c r="AK1625" s="1087">
        <f t="shared" si="584"/>
        <v>0.65159579797979794</v>
      </c>
      <c r="AL1625" s="867">
        <f>Table1[[#This Row],[WSP/Dealer]]/Table1[[#This Row],[OD Sq Inch]]</f>
        <v>0.36801605888256944</v>
      </c>
      <c r="AM1625" s="868">
        <f>Table1[[#This Row],[OD Wdth]]*Table1[[#This Row],[OD Hgt]]</f>
        <v>2989</v>
      </c>
      <c r="AN1625" s="869">
        <f>Table1[[#This Row],[Min VO]]+Table1[[#This Row],[Max VO]]</f>
        <v>108</v>
      </c>
      <c r="AO1625" s="653"/>
      <c r="AP1625" s="653"/>
      <c r="AQ1625" s="864"/>
      <c r="AR1625" s="864"/>
      <c r="AS1625" s="864"/>
      <c r="AT1625" s="863"/>
      <c r="AU1625" s="1364" t="str">
        <f t="shared" si="580"/>
        <v>-</v>
      </c>
    </row>
    <row r="1626" spans="1:280" s="63" customFormat="1" hidden="1" x14ac:dyDescent="0.2">
      <c r="A1626" s="216" t="s">
        <v>272</v>
      </c>
      <c r="B1626" s="1061" t="s">
        <v>595</v>
      </c>
      <c r="C1626" s="232" t="s">
        <v>3840</v>
      </c>
      <c r="D1626" s="94"/>
      <c r="E1626" s="217" t="s">
        <v>3841</v>
      </c>
      <c r="F1626" s="217" t="s">
        <v>3842</v>
      </c>
      <c r="G1626" s="216" t="s">
        <v>51</v>
      </c>
      <c r="H1626" s="216" t="s">
        <v>51</v>
      </c>
      <c r="I1626" s="216" t="s">
        <v>52</v>
      </c>
      <c r="J1626" s="216" t="s">
        <v>53</v>
      </c>
      <c r="K1626" s="216" t="s">
        <v>54</v>
      </c>
      <c r="L1626" s="216" t="s">
        <v>55</v>
      </c>
      <c r="M1626" s="219">
        <v>290</v>
      </c>
      <c r="N1626" s="219"/>
      <c r="O1626" s="216" t="s">
        <v>56</v>
      </c>
      <c r="P1626" s="216">
        <v>30</v>
      </c>
      <c r="Q1626" s="216">
        <v>40</v>
      </c>
      <c r="R1626" s="216">
        <v>30</v>
      </c>
      <c r="S1626" s="626">
        <v>40</v>
      </c>
      <c r="T1626" s="216">
        <f>MIN(Table1[[#This Row],[VO Wdth]:[VO Hgt]])</f>
        <v>30</v>
      </c>
      <c r="U1626" s="626">
        <f>MAX(Table1[[#This Row],[VO Wdth]:[VO Hgt]])</f>
        <v>40</v>
      </c>
      <c r="V1626" s="907">
        <f>IF(J1626="Canvas",P1626+BorderGW,P1626)</f>
        <v>38</v>
      </c>
      <c r="W1626" s="907">
        <f>IF(J1626="Canvas",Q1626+BorderGW,Q1626)</f>
        <v>48</v>
      </c>
      <c r="X1626" s="223" t="s">
        <v>57</v>
      </c>
      <c r="Y1626" s="216">
        <v>38</v>
      </c>
      <c r="Z1626" s="216">
        <v>96</v>
      </c>
      <c r="AA1626" s="718">
        <f t="shared" si="581"/>
        <v>12.666666666666666</v>
      </c>
      <c r="AB1626" s="233">
        <f>AA1626*IncaG</f>
        <v>266.50666666666666</v>
      </c>
      <c r="AC1626" s="225">
        <f t="shared" si="582"/>
        <v>8.36</v>
      </c>
      <c r="AD1626" s="206">
        <f>Table1[[#This Row],[Ink g/mL]]*Materials!$C$29</f>
        <v>21.320533333333334</v>
      </c>
      <c r="AE1626" s="104">
        <f>IF(Table1[[#This Row],[Work Center]]="SwissQ",Materials!G$37,IF(Table1[[#This Row],[Work Center]]="Inca",Materials!G$29,IF(Table1[[#This Row],[Work Center]]="Canon",Materials!G$49,Materials!G$45)))</f>
        <v>8</v>
      </c>
      <c r="AF1626" s="225"/>
      <c r="AG1626" s="115"/>
      <c r="AH1626" s="498">
        <f t="shared" si="583"/>
        <v>14.5</v>
      </c>
      <c r="AI1626" s="498"/>
      <c r="AJ1626" s="225">
        <f>SUM(AC1626:AH1626)</f>
        <v>52.180533333333329</v>
      </c>
      <c r="AK1626" s="650">
        <f t="shared" si="584"/>
        <v>0.82006712643678159</v>
      </c>
      <c r="AL1626" s="225">
        <f>Table1[[#This Row],[WSP/Dealer]]/Table1[[#This Row],[OD Sq Inch]]</f>
        <v>0.24166666666666667</v>
      </c>
      <c r="AM1626" s="97">
        <f>Table1[[#This Row],[OD Wdth]]*Table1[[#This Row],[OD Hgt]]</f>
        <v>1200</v>
      </c>
      <c r="AN1626" s="216">
        <f>Table1[[#This Row],[Min VO]]+Table1[[#This Row],[Max VO]]</f>
        <v>70</v>
      </c>
      <c r="AO1626" s="216" t="s">
        <v>1716</v>
      </c>
      <c r="AP1626" s="226"/>
      <c r="AQ1626" s="226"/>
      <c r="AR1626" s="226"/>
      <c r="AS1626" s="226"/>
      <c r="AT1626" s="226"/>
      <c r="AU1626" s="1363" t="str">
        <f t="shared" si="580"/>
        <v>-</v>
      </c>
    </row>
    <row r="1627" spans="1:280" s="103" customFormat="1" hidden="1" x14ac:dyDescent="0.2">
      <c r="A1627" s="216" t="s">
        <v>272</v>
      </c>
      <c r="B1627" s="1061" t="s">
        <v>595</v>
      </c>
      <c r="C1627" s="232" t="s">
        <v>3843</v>
      </c>
      <c r="D1627" s="94"/>
      <c r="E1627" s="217" t="s">
        <v>3844</v>
      </c>
      <c r="F1627" s="217" t="s">
        <v>3842</v>
      </c>
      <c r="G1627" s="216" t="s">
        <v>51</v>
      </c>
      <c r="H1627" s="216" t="s">
        <v>51</v>
      </c>
      <c r="I1627" s="216" t="s">
        <v>108</v>
      </c>
      <c r="J1627" s="216" t="s">
        <v>53</v>
      </c>
      <c r="K1627" s="216" t="s">
        <v>54</v>
      </c>
      <c r="L1627" s="216" t="s">
        <v>55</v>
      </c>
      <c r="M1627" s="219">
        <v>250</v>
      </c>
      <c r="N1627" s="219"/>
      <c r="O1627" s="216" t="s">
        <v>109</v>
      </c>
      <c r="P1627" s="216">
        <v>30</v>
      </c>
      <c r="Q1627" s="216">
        <v>40</v>
      </c>
      <c r="R1627" s="216">
        <v>30</v>
      </c>
      <c r="S1627" s="626">
        <v>40</v>
      </c>
      <c r="T1627" s="216">
        <f>MIN(Table1[[#This Row],[VO Wdth]:[VO Hgt]])</f>
        <v>30</v>
      </c>
      <c r="U1627" s="626">
        <f>MAX(Table1[[#This Row],[VO Wdth]:[VO Hgt]])</f>
        <v>40</v>
      </c>
      <c r="V1627" s="907">
        <f>IF(J1627="Canvas",P1627+BorderGW,P1627)</f>
        <v>38</v>
      </c>
      <c r="W1627" s="907">
        <f>IF(J1627="Canvas",Q1627+BorderGW,Q1627)</f>
        <v>48</v>
      </c>
      <c r="X1627" s="223">
        <v>40</v>
      </c>
      <c r="Y1627" s="216"/>
      <c r="Z1627" s="216"/>
      <c r="AA1627" s="718">
        <f t="shared" si="581"/>
        <v>12.666666666666666</v>
      </c>
      <c r="AB1627" s="233">
        <f>AA1627*EPSONM</f>
        <v>57</v>
      </c>
      <c r="AC1627" s="225">
        <f t="shared" si="582"/>
        <v>8.36</v>
      </c>
      <c r="AD1627" s="225">
        <f>Table1[[#This Row],[Ink g/mL]]*EPSONC</f>
        <v>12.540000000000001</v>
      </c>
      <c r="AE1627" s="104">
        <f>IF(Table1[[#This Row],[Work Center]]="SwissQ",Materials!G$37,IF(Table1[[#This Row],[Work Center]]="Inca",Materials!G$29,IF(Table1[[#This Row],[Work Center]]="Canon",Materials!G$49,Materials!G$45)))</f>
        <v>5</v>
      </c>
      <c r="AF1627" s="225">
        <f>'Cali FPS'!C69</f>
        <v>106.575</v>
      </c>
      <c r="AG1627" s="115"/>
      <c r="AH1627" s="498">
        <f t="shared" si="583"/>
        <v>12.5</v>
      </c>
      <c r="AI1627" s="498"/>
      <c r="AJ1627" s="225">
        <f>SUM(AC1627:AH1627)</f>
        <v>144.97499999999999</v>
      </c>
      <c r="AK1627" s="650">
        <f t="shared" si="584"/>
        <v>0.42010000000000003</v>
      </c>
      <c r="AL1627" s="225">
        <f>Table1[[#This Row],[WSP/Dealer]]/Table1[[#This Row],[OD Sq Inch]]</f>
        <v>0.20833333333333334</v>
      </c>
      <c r="AM1627" s="110">
        <f>Table1[[#This Row],[OD Wdth]]*Table1[[#This Row],[OD Hgt]]</f>
        <v>1200</v>
      </c>
      <c r="AN1627" s="216">
        <f>Table1[[#This Row],[Min VO]]+Table1[[#This Row],[Max VO]]</f>
        <v>70</v>
      </c>
      <c r="AO1627" s="216" t="s">
        <v>1716</v>
      </c>
      <c r="AP1627" s="226"/>
      <c r="AQ1627" s="226"/>
      <c r="AR1627" s="226"/>
      <c r="AS1627" s="226"/>
      <c r="AT1627" s="226"/>
      <c r="AU1627" s="1363" t="str">
        <f t="shared" si="580"/>
        <v>-</v>
      </c>
    </row>
    <row r="1628" spans="1:280" s="46" customFormat="1" hidden="1" x14ac:dyDescent="0.2">
      <c r="A1628" s="60" t="s">
        <v>318</v>
      </c>
      <c r="B1628" s="1071" t="s">
        <v>305</v>
      </c>
      <c r="C1628" s="76" t="s">
        <v>3845</v>
      </c>
      <c r="D1628" s="79"/>
      <c r="E1628" s="83" t="s">
        <v>3846</v>
      </c>
      <c r="F1628" s="83" t="s">
        <v>3842</v>
      </c>
      <c r="G1628" s="60" t="s">
        <v>637</v>
      </c>
      <c r="H1628" s="60" t="s">
        <v>1119</v>
      </c>
      <c r="I1628" s="60" t="s">
        <v>52</v>
      </c>
      <c r="J1628" s="59" t="s">
        <v>53</v>
      </c>
      <c r="K1628" s="60" t="s">
        <v>69</v>
      </c>
      <c r="L1628" s="60" t="s">
        <v>70</v>
      </c>
      <c r="M1628" s="124">
        <v>850</v>
      </c>
      <c r="N1628" s="124"/>
      <c r="O1628" s="60" t="s">
        <v>56</v>
      </c>
      <c r="P1628" s="60">
        <v>60</v>
      </c>
      <c r="Q1628" s="60">
        <v>48</v>
      </c>
      <c r="R1628" s="60">
        <v>48</v>
      </c>
      <c r="S1628" s="273">
        <v>60</v>
      </c>
      <c r="T1628" s="60">
        <v>61</v>
      </c>
      <c r="U1628" s="60">
        <v>49</v>
      </c>
      <c r="V1628" s="946">
        <f>IF(J1628="Canvas",P1628+Border,P1628)</f>
        <v>68</v>
      </c>
      <c r="W1628" s="946">
        <f>IF(J1628="Canvas",Q1628+Border,Q1628)</f>
        <v>56</v>
      </c>
      <c r="X1628" s="60">
        <v>69</v>
      </c>
      <c r="Y1628" s="60">
        <v>68</v>
      </c>
      <c r="Z1628" s="60">
        <v>56</v>
      </c>
      <c r="AA1628" s="678">
        <f t="shared" si="581"/>
        <v>26.444444444444443</v>
      </c>
      <c r="AB1628" s="329">
        <f>AA1628*IncaG</f>
        <v>556.39111111111106</v>
      </c>
      <c r="AC1628" s="176">
        <f t="shared" si="582"/>
        <v>17.453333333333333</v>
      </c>
      <c r="AD1628" s="69">
        <f>AA1628*IncaC</f>
        <v>44.511288888888885</v>
      </c>
      <c r="AE1628" s="176">
        <f>IF(Table1[[#This Row],[Work Center]]="SwissQ",Materials!G$37,IF(Table1[[#This Row],[Work Center]]="Inca",Materials!G$29,IF(Table1[[#This Row],[Work Center]]="Canon",Materials!G$49,Materials!G$45)))</f>
        <v>8</v>
      </c>
      <c r="AF1628" s="72">
        <f>'Cali Frames'!D335</f>
        <v>258.27999999999997</v>
      </c>
      <c r="AG1628" s="540"/>
      <c r="AH1628" s="69">
        <f t="shared" si="583"/>
        <v>42.5</v>
      </c>
      <c r="AI1628" s="176"/>
      <c r="AJ1628" s="69">
        <f>SUM(AC1628:AI1628)</f>
        <v>370.74462222222218</v>
      </c>
      <c r="AK1628" s="650">
        <f t="shared" si="584"/>
        <v>0.56382985620915038</v>
      </c>
      <c r="AL1628" s="225">
        <f>Table1[[#This Row],[WSP/Dealer]]/Table1[[#This Row],[OD Sq Inch]]</f>
        <v>0.28437604550016726</v>
      </c>
      <c r="AM1628" s="60">
        <f>Table1[[#This Row],[OD Wdth]]*Table1[[#This Row],[OD Hgt]]</f>
        <v>2989</v>
      </c>
      <c r="AN1628" s="216">
        <f>Table1[[#This Row],[Min VO]]+Table1[[#This Row],[Max VO]]</f>
        <v>108</v>
      </c>
      <c r="AO1628" s="83"/>
      <c r="AP1628" s="821"/>
      <c r="AQ1628" s="821">
        <f>(Table1[[#This Row],[Desgnr/Retail P]]*0.05)</f>
        <v>0</v>
      </c>
      <c r="AR1628" s="540" t="b">
        <f>IF(A1628="Codarus",(AP1628*0.13))</f>
        <v>0</v>
      </c>
      <c r="AS1628" s="540" t="e" cm="1">
        <f t="array" ref="AS1628">SUM(AC1628:AG1628+AQ+AR)</f>
        <v>#NAME?</v>
      </c>
      <c r="AT1628" s="69" t="e">
        <f>(AP1628-AS1628)/AP1628</f>
        <v>#NAME?</v>
      </c>
      <c r="AU1628" s="1361" t="str">
        <f t="shared" si="580"/>
        <v>-</v>
      </c>
    </row>
    <row r="1629" spans="1:280" s="46" customFormat="1" hidden="1" x14ac:dyDescent="0.2">
      <c r="A1629" s="101" t="s">
        <v>95</v>
      </c>
      <c r="B1629" s="279" t="s">
        <v>96</v>
      </c>
      <c r="C1629" s="100" t="s">
        <v>3847</v>
      </c>
      <c r="D1629" s="94"/>
      <c r="E1629" s="115" t="s">
        <v>3846</v>
      </c>
      <c r="F1629" s="115" t="s">
        <v>3842</v>
      </c>
      <c r="G1629" s="101" t="s">
        <v>637</v>
      </c>
      <c r="H1629" s="101" t="s">
        <v>637</v>
      </c>
      <c r="I1629" s="101" t="s">
        <v>52</v>
      </c>
      <c r="J1629" s="487" t="s">
        <v>53</v>
      </c>
      <c r="K1629" s="101" t="s">
        <v>54</v>
      </c>
      <c r="L1629" s="101" t="s">
        <v>55</v>
      </c>
      <c r="M1629" s="299">
        <v>950</v>
      </c>
      <c r="N1629" s="102"/>
      <c r="O1629" s="101" t="s">
        <v>64</v>
      </c>
      <c r="P1629" s="101">
        <v>60</v>
      </c>
      <c r="Q1629" s="101">
        <v>48</v>
      </c>
      <c r="R1629" s="101">
        <v>48</v>
      </c>
      <c r="S1629" s="697">
        <v>60</v>
      </c>
      <c r="T1629" s="101">
        <v>60</v>
      </c>
      <c r="U1629" s="101">
        <v>48</v>
      </c>
      <c r="V1629" s="106">
        <f>IF(J1629="Canvas",P1629+Border,P1629)</f>
        <v>68</v>
      </c>
      <c r="W1629" s="106">
        <f>IF(J1629="Canvas",Q1629+Border,Q1629)</f>
        <v>56</v>
      </c>
      <c r="X1629" s="137">
        <v>69</v>
      </c>
      <c r="Y1629" s="101">
        <v>68</v>
      </c>
      <c r="Z1629" s="101">
        <v>56</v>
      </c>
      <c r="AA1629" s="649">
        <f t="shared" si="581"/>
        <v>26.444444444444443</v>
      </c>
      <c r="AB1629" s="184">
        <f>AA1629*Swiss1</f>
        <v>748.37777777777774</v>
      </c>
      <c r="AC1629" s="104">
        <f t="shared" si="582"/>
        <v>17.453333333333333</v>
      </c>
      <c r="AD1629" s="107">
        <f>Table1[[#This Row],[Substrate SF]]*SWISSC1</f>
        <v>74.044444444444437</v>
      </c>
      <c r="AE1629" s="104">
        <f>IF(Table1[[#This Row],[Work Center]]="SwissQ",Materials!G$37,IF(Table1[[#This Row],[Work Center]]="Inca",Materials!G$29,IF(Table1[[#This Row],[Work Center]]="Canon",Materials!G$49,Materials!G$45)))</f>
        <v>20</v>
      </c>
      <c r="AF1629" s="102">
        <f>'Cali FPS'!C121</f>
        <v>188.18</v>
      </c>
      <c r="AG1629" s="115"/>
      <c r="AH1629" s="104">
        <f t="shared" si="583"/>
        <v>47.5</v>
      </c>
      <c r="AI1629" s="104"/>
      <c r="AJ1629" s="104">
        <f>SUM(AC1629:AH1629)</f>
        <v>347.17777777777781</v>
      </c>
      <c r="AK1629" s="830">
        <f t="shared" si="584"/>
        <v>0.6345497076023392</v>
      </c>
      <c r="AL1629" s="660">
        <f>Table1[[#This Row],[WSP/Dealer]]/Table1[[#This Row],[OD Sq Inch]]</f>
        <v>0.3298611111111111</v>
      </c>
      <c r="AM1629" s="229">
        <f>Table1[[#This Row],[OD Wdth]]*Table1[[#This Row],[OD Hgt]]</f>
        <v>2880</v>
      </c>
      <c r="AN1629" s="266">
        <f>Table1[[#This Row],[Min VO]]+Table1[[#This Row],[Max VO]]</f>
        <v>108</v>
      </c>
      <c r="AO1629" s="115"/>
      <c r="AP1629" s="408"/>
      <c r="AQ1629" s="408"/>
      <c r="AR1629" s="408"/>
      <c r="AS1629" s="408"/>
      <c r="AT1629" s="102"/>
      <c r="AU1629" s="1359" t="str">
        <f t="shared" si="580"/>
        <v>-</v>
      </c>
    </row>
    <row r="1630" spans="1:280" s="46" customFormat="1" hidden="1" x14ac:dyDescent="0.2">
      <c r="A1630" s="266" t="s">
        <v>110</v>
      </c>
      <c r="B1630" s="1062" t="s">
        <v>134</v>
      </c>
      <c r="C1630" s="386" t="s">
        <v>3847</v>
      </c>
      <c r="D1630" s="168"/>
      <c r="E1630" s="115" t="s">
        <v>3846</v>
      </c>
      <c r="F1630" s="115" t="s">
        <v>3842</v>
      </c>
      <c r="G1630" s="101" t="s">
        <v>637</v>
      </c>
      <c r="H1630" s="101" t="s">
        <v>637</v>
      </c>
      <c r="I1630" s="101" t="s">
        <v>52</v>
      </c>
      <c r="J1630" s="487" t="s">
        <v>53</v>
      </c>
      <c r="K1630" s="101" t="s">
        <v>54</v>
      </c>
      <c r="L1630" s="101" t="s">
        <v>55</v>
      </c>
      <c r="M1630" s="1408">
        <v>800</v>
      </c>
      <c r="N1630" s="1409"/>
      <c r="O1630" s="266" t="s">
        <v>56</v>
      </c>
      <c r="P1630" s="101">
        <v>60</v>
      </c>
      <c r="Q1630" s="101">
        <v>48</v>
      </c>
      <c r="R1630" s="101">
        <v>48</v>
      </c>
      <c r="S1630" s="697">
        <v>60</v>
      </c>
      <c r="T1630" s="101">
        <v>60</v>
      </c>
      <c r="U1630" s="101">
        <v>48</v>
      </c>
      <c r="V1630" s="106">
        <f>IF(J1630="Canvas",P1630+Border,P1630)</f>
        <v>68</v>
      </c>
      <c r="W1630" s="106">
        <f>IF(J1630="Canvas",Q1630+Border,Q1630)</f>
        <v>56</v>
      </c>
      <c r="X1630" s="137">
        <v>69</v>
      </c>
      <c r="Y1630" s="266">
        <v>68</v>
      </c>
      <c r="Z1630" s="266">
        <v>56</v>
      </c>
      <c r="AA1630" s="834">
        <f t="shared" si="581"/>
        <v>26.444444444444443</v>
      </c>
      <c r="AB1630" s="704">
        <f>AA1630*IncaG</f>
        <v>556.39111111111106</v>
      </c>
      <c r="AC1630" s="660">
        <f t="shared" si="582"/>
        <v>17.453333333333333</v>
      </c>
      <c r="AD1630" s="1717">
        <f>Table1[[#This Row],[Ink g/mL]]*Materials!$C$29</f>
        <v>44.511288888888885</v>
      </c>
      <c r="AE1630" s="104">
        <f>IF(Table1[[#This Row],[Work Center]]="SwissQ",Materials!G$37,IF(Table1[[#This Row],[Work Center]]="Inca",Materials!G$29,IF(Table1[[#This Row],[Work Center]]="Canon",Materials!G$49,Materials!G$45)))</f>
        <v>8</v>
      </c>
      <c r="AF1630" s="1410">
        <f>'Cali FPS'!C121</f>
        <v>188.18</v>
      </c>
      <c r="AG1630" s="660"/>
      <c r="AH1630" s="107">
        <f t="shared" si="583"/>
        <v>40</v>
      </c>
      <c r="AI1630" s="405">
        <f>IF(A1630="Codarus",(M1630*0.13))</f>
        <v>104</v>
      </c>
      <c r="AJ1630" s="104">
        <f>SUM(AC1630:AI1630)</f>
        <v>402.14462222222221</v>
      </c>
      <c r="AK1630" s="108">
        <f t="shared" si="584"/>
        <v>0.49731922222222225</v>
      </c>
      <c r="AL1630" s="660">
        <f>Table1[[#This Row],[WSP/Dealer]]/Table1[[#This Row],[OD Sq Inch]]</f>
        <v>0.27777777777777779</v>
      </c>
      <c r="AM1630" s="103">
        <f>Table1[[#This Row],[OD Wdth]]*Table1[[#This Row],[OD Hgt]]</f>
        <v>2880</v>
      </c>
      <c r="AN1630" s="266">
        <f>Table1[[#This Row],[Min VO]]+Table1[[#This Row],[Max VO]]</f>
        <v>108</v>
      </c>
      <c r="AO1630" s="1666"/>
      <c r="AP1630" s="1411">
        <v>1600</v>
      </c>
      <c r="AQ1630" s="1411">
        <f>(Table1[[#This Row],[Desgnr/Retail P]]*0.05)</f>
        <v>80</v>
      </c>
      <c r="AR1630" s="121">
        <f>IF(A1630="Codarus",(AP1630*0.13))</f>
        <v>208</v>
      </c>
      <c r="AS1630" s="121">
        <f>SUM(Table1[[#This Row],[Substrate $]:[GP FINISH]])+Table1[[#This Row],[Retail Royalty]]+Table1[[#This Row],[Retail$Comm]]</f>
        <v>546.14462222222221</v>
      </c>
      <c r="AT1630" s="830">
        <f>IF(AP1630=0,"-",(AP1630-AS1630)/AP1630)</f>
        <v>0.65865961111111115</v>
      </c>
      <c r="AU1630" s="1828">
        <f t="shared" si="580"/>
        <v>0.99176675486111121</v>
      </c>
    </row>
    <row r="1631" spans="1:280" s="63" customFormat="1" hidden="1" x14ac:dyDescent="0.2">
      <c r="A1631" s="60" t="s">
        <v>110</v>
      </c>
      <c r="B1631" s="1071" t="s">
        <v>250</v>
      </c>
      <c r="C1631" s="76" t="s">
        <v>3845</v>
      </c>
      <c r="D1631" s="79"/>
      <c r="E1631" s="83" t="s">
        <v>3846</v>
      </c>
      <c r="F1631" s="83" t="s">
        <v>3842</v>
      </c>
      <c r="G1631" s="60" t="s">
        <v>637</v>
      </c>
      <c r="H1631" s="60" t="s">
        <v>1119</v>
      </c>
      <c r="I1631" s="60" t="s">
        <v>52</v>
      </c>
      <c r="J1631" s="59" t="s">
        <v>53</v>
      </c>
      <c r="K1631" s="60" t="s">
        <v>69</v>
      </c>
      <c r="L1631" s="60" t="s">
        <v>70</v>
      </c>
      <c r="M1631" s="124">
        <v>1100</v>
      </c>
      <c r="N1631" s="124"/>
      <c r="O1631" s="60" t="s">
        <v>56</v>
      </c>
      <c r="P1631" s="60">
        <v>60</v>
      </c>
      <c r="Q1631" s="60">
        <v>48</v>
      </c>
      <c r="R1631" s="60">
        <v>48</v>
      </c>
      <c r="S1631" s="273">
        <v>60</v>
      </c>
      <c r="T1631" s="46">
        <v>61</v>
      </c>
      <c r="U1631" s="46">
        <v>49</v>
      </c>
      <c r="V1631" s="47">
        <f>IF(J1631="Canvas",P1631+Border,P1631)</f>
        <v>68</v>
      </c>
      <c r="W1631" s="47">
        <f>IF(J1631="Canvas",Q1631+Border,Q1631)</f>
        <v>56</v>
      </c>
      <c r="X1631" s="138">
        <v>69</v>
      </c>
      <c r="Y1631" s="60">
        <v>68</v>
      </c>
      <c r="Z1631" s="60">
        <v>56</v>
      </c>
      <c r="AA1631" s="678">
        <f t="shared" si="581"/>
        <v>26.444444444444443</v>
      </c>
      <c r="AB1631" s="329">
        <f>AA1631*IncaG</f>
        <v>556.39111111111106</v>
      </c>
      <c r="AC1631" s="176">
        <f t="shared" si="582"/>
        <v>17.453333333333333</v>
      </c>
      <c r="AD1631" s="1041">
        <f>Table1[[#This Row],[Ink g/mL]]*Materials!$C$29</f>
        <v>44.511288888888885</v>
      </c>
      <c r="AE1631" s="176">
        <f>IF(Table1[[#This Row],[Work Center]]="SwissQ",Materials!G$37,IF(Table1[[#This Row],[Work Center]]="Inca",Materials!G$29,IF(Table1[[#This Row],[Work Center]]="Canon",Materials!G$49,Materials!G$45)))</f>
        <v>8</v>
      </c>
      <c r="AF1631" s="72">
        <f>'Cali Frames'!D335</f>
        <v>258.27999999999997</v>
      </c>
      <c r="AG1631" s="540"/>
      <c r="AH1631" s="69">
        <f t="shared" si="583"/>
        <v>55</v>
      </c>
      <c r="AI1631" s="176">
        <f>IF(A1631="Codarus",(M1631*0.13))</f>
        <v>143</v>
      </c>
      <c r="AJ1631" s="69">
        <f>SUM(AC1631:AI1631)</f>
        <v>526.24462222222223</v>
      </c>
      <c r="AK1631" s="650">
        <f t="shared" si="584"/>
        <v>0.52159579797979794</v>
      </c>
      <c r="AL1631" s="225">
        <f>Table1[[#This Row],[WSP/Dealer]]/Table1[[#This Row],[OD Sq Inch]]</f>
        <v>0.36801605888256944</v>
      </c>
      <c r="AM1631" s="46">
        <f>Table1[[#This Row],[OD Wdth]]*Table1[[#This Row],[OD Hgt]]</f>
        <v>2989</v>
      </c>
      <c r="AN1631" s="216">
        <f>Table1[[#This Row],[Min VO]]+Table1[[#This Row],[Max VO]]</f>
        <v>108</v>
      </c>
      <c r="AO1631" s="83"/>
      <c r="AP1631" s="821">
        <v>2200</v>
      </c>
      <c r="AQ1631" s="821">
        <f>(Table1[[#This Row],[Desgnr/Retail P]]*0.05)</f>
        <v>110</v>
      </c>
      <c r="AR1631" s="540">
        <f>IF(A1631="Codarus",(AP1631*0.13))</f>
        <v>286</v>
      </c>
      <c r="AS1631" s="296">
        <f>SUM(Table1[[#This Row],[Substrate $]:[GP FINISH]])+Table1[[#This Row],[Retail Royalty]]+Table1[[#This Row],[Retail$Comm]]</f>
        <v>724.24462222222223</v>
      </c>
      <c r="AT1631" s="1201">
        <f>IF(AP1631=0,"-",(AP1631-AS1631)/AP1631)</f>
        <v>0.67079789898989894</v>
      </c>
      <c r="AU1631" s="1358">
        <f t="shared" si="580"/>
        <v>0.99390183728190995</v>
      </c>
    </row>
    <row r="1632" spans="1:280" s="63" customFormat="1" hidden="1" x14ac:dyDescent="0.2">
      <c r="A1632" s="216" t="s">
        <v>272</v>
      </c>
      <c r="B1632" s="279" t="s">
        <v>595</v>
      </c>
      <c r="C1632" s="232" t="s">
        <v>3847</v>
      </c>
      <c r="D1632" s="94" t="s">
        <v>3848</v>
      </c>
      <c r="E1632" s="217" t="s">
        <v>3849</v>
      </c>
      <c r="F1632" s="217" t="s">
        <v>3842</v>
      </c>
      <c r="G1632" s="216" t="s">
        <v>3850</v>
      </c>
      <c r="H1632" s="216" t="s">
        <v>3850</v>
      </c>
      <c r="I1632" s="216" t="s">
        <v>52</v>
      </c>
      <c r="J1632" s="555" t="s">
        <v>53</v>
      </c>
      <c r="K1632" s="216" t="s">
        <v>54</v>
      </c>
      <c r="L1632" s="216" t="s">
        <v>55</v>
      </c>
      <c r="M1632" s="219">
        <v>450</v>
      </c>
      <c r="N1632" s="219"/>
      <c r="O1632" s="216" t="s">
        <v>56</v>
      </c>
      <c r="P1632" s="216">
        <v>66</v>
      </c>
      <c r="Q1632" s="216">
        <v>52</v>
      </c>
      <c r="R1632" s="216">
        <v>66</v>
      </c>
      <c r="S1632" s="626">
        <v>52</v>
      </c>
      <c r="T1632" s="216">
        <v>66</v>
      </c>
      <c r="U1632" s="216">
        <v>52</v>
      </c>
      <c r="V1632" s="222">
        <f>IF(J1632="Canvas",P1632+BorderGW,P1632)</f>
        <v>74</v>
      </c>
      <c r="W1632" s="222">
        <f>IF(J1632="Canvas",Q1632+BorderGW,Q1632)</f>
        <v>60</v>
      </c>
      <c r="X1632" s="223">
        <v>62</v>
      </c>
      <c r="Y1632" s="216"/>
      <c r="Z1632" s="216"/>
      <c r="AA1632" s="718">
        <f t="shared" si="581"/>
        <v>30.833333333333332</v>
      </c>
      <c r="AB1632" s="233">
        <f>AA1632*IncaG</f>
        <v>648.73333333333323</v>
      </c>
      <c r="AC1632" s="225">
        <f t="shared" si="582"/>
        <v>20.350000000000001</v>
      </c>
      <c r="AD1632" s="206">
        <f>Table1[[#This Row],[Ink g/mL]]*Materials!$C$29</f>
        <v>51.898666666666657</v>
      </c>
      <c r="AE1632" s="104">
        <f>IF(Table1[[#This Row],[Work Center]]="SwissQ",Materials!G$37,IF(Table1[[#This Row],[Work Center]]="Inca",Materials!G$29,IF(Table1[[#This Row],[Work Center]]="Canon",Materials!G$49,Materials!G$45)))</f>
        <v>8</v>
      </c>
      <c r="AF1632" s="226">
        <f>'CALI_SONDER '!H$32</f>
        <v>148.82</v>
      </c>
      <c r="AG1632" s="225"/>
      <c r="AH1632" s="498">
        <f t="shared" si="583"/>
        <v>22.5</v>
      </c>
      <c r="AI1632" s="498"/>
      <c r="AJ1632" s="225">
        <f t="shared" ref="AJ1632:AJ1637" si="585">SUM(AC1632:AH1632)</f>
        <v>251.56866666666664</v>
      </c>
      <c r="AK1632" s="650">
        <f t="shared" si="584"/>
        <v>0.44095851851851858</v>
      </c>
      <c r="AL1632" s="225">
        <f>Table1[[#This Row],[WSP/Dealer]]/Table1[[#This Row],[OD Sq Inch]]</f>
        <v>0.13111888111888112</v>
      </c>
      <c r="AM1632" s="103">
        <f>Table1[[#This Row],[OD Wdth]]*Table1[[#This Row],[OD Hgt]]</f>
        <v>3432</v>
      </c>
      <c r="AN1632" s="216">
        <f>Table1[[#This Row],[Min VO]]+Table1[[#This Row],[Max VO]]</f>
        <v>118</v>
      </c>
      <c r="AO1632" s="220"/>
      <c r="AP1632" s="1117"/>
      <c r="AQ1632" s="1117"/>
      <c r="AR1632" s="1117"/>
      <c r="AS1632" s="1117"/>
      <c r="AT1632" s="226"/>
      <c r="AU1632" s="1365" t="str">
        <f t="shared" si="580"/>
        <v>-</v>
      </c>
      <c r="JT1632" s="63" t="s">
        <v>3851</v>
      </c>
    </row>
    <row r="1633" spans="1:47" s="63" customFormat="1" hidden="1" x14ac:dyDescent="0.2">
      <c r="A1633" s="216" t="s">
        <v>272</v>
      </c>
      <c r="B1633" s="279" t="s">
        <v>595</v>
      </c>
      <c r="C1633" s="232" t="s">
        <v>3840</v>
      </c>
      <c r="D1633" s="94"/>
      <c r="E1633" s="217" t="s">
        <v>3849</v>
      </c>
      <c r="F1633" s="217" t="s">
        <v>3842</v>
      </c>
      <c r="G1633" s="216" t="s">
        <v>3850</v>
      </c>
      <c r="H1633" s="216" t="s">
        <v>3852</v>
      </c>
      <c r="I1633" s="216" t="s">
        <v>52</v>
      </c>
      <c r="J1633" s="555" t="s">
        <v>53</v>
      </c>
      <c r="K1633" s="216" t="s">
        <v>69</v>
      </c>
      <c r="L1633" s="216" t="s">
        <v>73</v>
      </c>
      <c r="M1633" s="219">
        <v>700</v>
      </c>
      <c r="N1633" s="219"/>
      <c r="O1633" s="216" t="s">
        <v>56</v>
      </c>
      <c r="P1633" s="216">
        <v>66</v>
      </c>
      <c r="Q1633" s="216">
        <v>52</v>
      </c>
      <c r="R1633" s="216">
        <v>66</v>
      </c>
      <c r="S1633" s="626">
        <v>52</v>
      </c>
      <c r="T1633" s="216">
        <v>66</v>
      </c>
      <c r="U1633" s="216">
        <v>52</v>
      </c>
      <c r="V1633" s="222">
        <f>IF(J1633="Canvas",P1633+BorderGW,P1633)</f>
        <v>74</v>
      </c>
      <c r="W1633" s="222">
        <f>IF(J1633="Canvas",Q1633+BorderGW,Q1633)</f>
        <v>60</v>
      </c>
      <c r="X1633" s="223">
        <v>62</v>
      </c>
      <c r="Y1633" s="216"/>
      <c r="Z1633" s="216"/>
      <c r="AA1633" s="718">
        <f t="shared" si="581"/>
        <v>30.833333333333332</v>
      </c>
      <c r="AB1633" s="233">
        <f>AA1633*IncaG</f>
        <v>648.73333333333323</v>
      </c>
      <c r="AC1633" s="225">
        <f t="shared" si="582"/>
        <v>20.350000000000001</v>
      </c>
      <c r="AD1633" s="206">
        <f>Table1[[#This Row],[Ink g/mL]]*Materials!$C$29</f>
        <v>51.898666666666657</v>
      </c>
      <c r="AE1633" s="104">
        <f>IF(Table1[[#This Row],[Work Center]]="SwissQ",Materials!G$37,IF(Table1[[#This Row],[Work Center]]="Inca",Materials!G$29,IF(Table1[[#This Row],[Work Center]]="Canon",Materials!G$49,Materials!G$45)))</f>
        <v>8</v>
      </c>
      <c r="AF1633" s="225"/>
      <c r="AG1633" s="115"/>
      <c r="AH1633" s="112">
        <f t="shared" si="583"/>
        <v>35</v>
      </c>
      <c r="AI1633" s="112"/>
      <c r="AJ1633" s="225">
        <f t="shared" si="585"/>
        <v>115.24866666666665</v>
      </c>
      <c r="AK1633" s="62">
        <f t="shared" si="584"/>
        <v>0.83535904761904767</v>
      </c>
      <c r="AL1633" s="225">
        <f>Table1[[#This Row],[WSP/Dealer]]/Table1[[#This Row],[OD Sq Inch]]</f>
        <v>0.20396270396270397</v>
      </c>
      <c r="AM1633" s="97">
        <f>Table1[[#This Row],[OD Wdth]]*Table1[[#This Row],[OD Hgt]]</f>
        <v>3432</v>
      </c>
      <c r="AN1633" s="216">
        <f>Table1[[#This Row],[Min VO]]+Table1[[#This Row],[Max VO]]</f>
        <v>118</v>
      </c>
      <c r="AO1633" s="217"/>
      <c r="AP1633" s="1117"/>
      <c r="AQ1633" s="1117"/>
      <c r="AR1633" s="1117"/>
      <c r="AS1633" s="1117"/>
      <c r="AT1633" s="226"/>
      <c r="AU1633" s="1365" t="str">
        <f t="shared" si="580"/>
        <v>-</v>
      </c>
    </row>
    <row r="1634" spans="1:47" s="63" customFormat="1" hidden="1" x14ac:dyDescent="0.2">
      <c r="A1634" s="216" t="s">
        <v>272</v>
      </c>
      <c r="B1634" s="1061" t="s">
        <v>595</v>
      </c>
      <c r="C1634" s="232" t="s">
        <v>3853</v>
      </c>
      <c r="D1634" s="94"/>
      <c r="E1634" s="217" t="s">
        <v>3849</v>
      </c>
      <c r="F1634" s="217" t="s">
        <v>3842</v>
      </c>
      <c r="G1634" s="216" t="s">
        <v>3850</v>
      </c>
      <c r="H1634" s="216" t="s">
        <v>3852</v>
      </c>
      <c r="I1634" s="216" t="s">
        <v>52</v>
      </c>
      <c r="J1634" s="555" t="s">
        <v>53</v>
      </c>
      <c r="K1634" s="216" t="s">
        <v>82</v>
      </c>
      <c r="L1634" s="216" t="s">
        <v>334</v>
      </c>
      <c r="M1634" s="219">
        <v>700</v>
      </c>
      <c r="N1634" s="219"/>
      <c r="O1634" s="216" t="s">
        <v>56</v>
      </c>
      <c r="P1634" s="216">
        <v>66</v>
      </c>
      <c r="Q1634" s="216">
        <v>52</v>
      </c>
      <c r="R1634" s="216">
        <v>66</v>
      </c>
      <c r="S1634" s="626">
        <v>52</v>
      </c>
      <c r="T1634" s="216">
        <v>67</v>
      </c>
      <c r="U1634" s="216">
        <v>53</v>
      </c>
      <c r="V1634" s="222">
        <f>IF(J1634="Canvas",P1634+BorderGW,P1634)</f>
        <v>74</v>
      </c>
      <c r="W1634" s="222">
        <f>IF(J1634="Canvas",Q1634+BorderGW,Q1634)</f>
        <v>60</v>
      </c>
      <c r="X1634" s="223">
        <v>62</v>
      </c>
      <c r="Y1634" s="216"/>
      <c r="Z1634" s="216"/>
      <c r="AA1634" s="718">
        <f t="shared" si="581"/>
        <v>30.833333333333332</v>
      </c>
      <c r="AB1634" s="233">
        <f>AA1634*IncaG</f>
        <v>648.73333333333323</v>
      </c>
      <c r="AC1634" s="225">
        <f t="shared" si="582"/>
        <v>20.350000000000001</v>
      </c>
      <c r="AD1634" s="206">
        <f>Table1[[#This Row],[Ink g/mL]]*Materials!$C$29</f>
        <v>51.898666666666657</v>
      </c>
      <c r="AE1634" s="104">
        <f>IF(Table1[[#This Row],[Work Center]]="SwissQ",Materials!G$37,IF(Table1[[#This Row],[Work Center]]="Inca",Materials!G$29,IF(Table1[[#This Row],[Work Center]]="Canon",Materials!G$49,Materials!G$45)))</f>
        <v>8</v>
      </c>
      <c r="AF1634" s="225"/>
      <c r="AG1634" s="115"/>
      <c r="AH1634" s="112">
        <f t="shared" si="583"/>
        <v>35</v>
      </c>
      <c r="AI1634" s="112"/>
      <c r="AJ1634" s="207">
        <f t="shared" si="585"/>
        <v>115.24866666666665</v>
      </c>
      <c r="AK1634" s="62">
        <f t="shared" si="584"/>
        <v>0.83535904761904767</v>
      </c>
      <c r="AL1634" s="225">
        <f>Table1[[#This Row],[WSP/Dealer]]/Table1[[#This Row],[OD Sq Inch]]</f>
        <v>0.19712756969867642</v>
      </c>
      <c r="AM1634" s="97">
        <f>Table1[[#This Row],[OD Wdth]]*Table1[[#This Row],[OD Hgt]]</f>
        <v>3551</v>
      </c>
      <c r="AN1634" s="216">
        <f>Table1[[#This Row],[Min VO]]+Table1[[#This Row],[Max VO]]</f>
        <v>118</v>
      </c>
      <c r="AO1634" s="217"/>
      <c r="AP1634" s="1117"/>
      <c r="AQ1634" s="1117"/>
      <c r="AR1634" s="1117"/>
      <c r="AS1634" s="1117"/>
      <c r="AT1634" s="226"/>
      <c r="AU1634" s="1365" t="str">
        <f t="shared" si="580"/>
        <v>-</v>
      </c>
    </row>
    <row r="1635" spans="1:47" s="103" customFormat="1" hidden="1" x14ac:dyDescent="0.2">
      <c r="A1635" s="60" t="s">
        <v>318</v>
      </c>
      <c r="B1635" s="1061" t="s">
        <v>319</v>
      </c>
      <c r="C1635" s="76" t="s">
        <v>3854</v>
      </c>
      <c r="D1635" s="94"/>
      <c r="E1635" s="83" t="s">
        <v>3855</v>
      </c>
      <c r="F1635" s="83" t="s">
        <v>889</v>
      </c>
      <c r="G1635" s="60" t="s">
        <v>500</v>
      </c>
      <c r="H1635" s="60" t="s">
        <v>520</v>
      </c>
      <c r="I1635" s="60" t="s">
        <v>256</v>
      </c>
      <c r="J1635" s="59" t="s">
        <v>257</v>
      </c>
      <c r="K1635" s="60" t="s">
        <v>258</v>
      </c>
      <c r="L1635" s="60" t="s">
        <v>259</v>
      </c>
      <c r="M1635" s="179">
        <v>200</v>
      </c>
      <c r="N1635" s="124"/>
      <c r="O1635" s="60" t="s">
        <v>260</v>
      </c>
      <c r="P1635" s="60">
        <v>16</v>
      </c>
      <c r="Q1635" s="60">
        <v>20</v>
      </c>
      <c r="R1635" s="60">
        <v>16</v>
      </c>
      <c r="S1635" s="273">
        <v>20</v>
      </c>
      <c r="T1635" s="60">
        <v>18</v>
      </c>
      <c r="U1635" s="60">
        <v>22</v>
      </c>
      <c r="V1635" s="913">
        <f t="shared" ref="V1635:V1641" si="586">IF(J1635="Canvas",P1635+Border,P1635)</f>
        <v>16</v>
      </c>
      <c r="W1635" s="913">
        <f t="shared" ref="W1635:W1641" si="587">IF(J1635="Canvas",Q1635+Border,Q1635)</f>
        <v>20</v>
      </c>
      <c r="X1635" s="60" t="s">
        <v>257</v>
      </c>
      <c r="Y1635" s="60">
        <v>16</v>
      </c>
      <c r="Z1635" s="60">
        <v>20</v>
      </c>
      <c r="AA1635" s="1058">
        <f t="shared" si="581"/>
        <v>2.2222222222222223</v>
      </c>
      <c r="AB1635" s="125">
        <f>AA1635*canonML</f>
        <v>10.666666666666666</v>
      </c>
      <c r="AC1635" s="69">
        <f>Table1[[#This Row],[Print Wth]]*paper60</f>
        <v>5.44</v>
      </c>
      <c r="AD1635" s="69">
        <f>Table1[[#This Row],[Ink g/mL]]*CanonC</f>
        <v>2.88</v>
      </c>
      <c r="AE1635" s="69">
        <f>IF(Table1[[#This Row],[Work Center]]="SwissQ",Materials!G$37,IF(Table1[[#This Row],[Work Center]]="Inca",Materials!G$29,IF(Table1[[#This Row],[Work Center]]="Canon",Materials!G$49,Materials!G$45)))</f>
        <v>7</v>
      </c>
      <c r="AF1635" s="72">
        <f>'Cali Frames'!D22</f>
        <v>82.44</v>
      </c>
      <c r="AG1635" s="83"/>
      <c r="AH1635" s="48">
        <f t="shared" si="583"/>
        <v>10</v>
      </c>
      <c r="AI1635" s="48"/>
      <c r="AJ1635" s="176">
        <f t="shared" si="585"/>
        <v>107.75999999999999</v>
      </c>
      <c r="AK1635" s="62">
        <f t="shared" si="584"/>
        <v>0.46120000000000005</v>
      </c>
      <c r="AL1635" s="225">
        <f>Table1[[#This Row],[WSP/Dealer]]/Table1[[#This Row],[OD Sq Inch]]</f>
        <v>0.50505050505050508</v>
      </c>
      <c r="AM1635" s="180">
        <f>Table1[[#This Row],[OD Wdth]]*Table1[[#This Row],[OD Hgt]]</f>
        <v>396</v>
      </c>
      <c r="AN1635" s="83"/>
      <c r="AO1635" s="83"/>
      <c r="AP1635" s="821"/>
      <c r="AQ1635" s="821"/>
      <c r="AR1635" s="821"/>
      <c r="AS1635" s="821"/>
      <c r="AT1635" s="72"/>
      <c r="AU1635" s="1361" t="str">
        <f t="shared" si="580"/>
        <v>-</v>
      </c>
    </row>
    <row r="1636" spans="1:47" s="63" customFormat="1" hidden="1" x14ac:dyDescent="0.2">
      <c r="A1636" s="68" t="s">
        <v>318</v>
      </c>
      <c r="B1636" s="1072" t="s">
        <v>568</v>
      </c>
      <c r="C1636" s="78" t="s">
        <v>3856</v>
      </c>
      <c r="D1636" s="94"/>
      <c r="E1636" s="84" t="s">
        <v>3857</v>
      </c>
      <c r="F1636" s="84" t="s">
        <v>889</v>
      </c>
      <c r="G1636" s="68" t="s">
        <v>3858</v>
      </c>
      <c r="H1636" s="68" t="s">
        <v>819</v>
      </c>
      <c r="I1636" s="68" t="s">
        <v>256</v>
      </c>
      <c r="J1636" s="140" t="s">
        <v>257</v>
      </c>
      <c r="K1636" s="68" t="s">
        <v>258</v>
      </c>
      <c r="L1636" s="68" t="s">
        <v>259</v>
      </c>
      <c r="M1636" s="141">
        <v>450</v>
      </c>
      <c r="N1636" s="93"/>
      <c r="O1636" s="68" t="s">
        <v>260</v>
      </c>
      <c r="P1636" s="68">
        <v>30</v>
      </c>
      <c r="Q1636" s="68">
        <v>38</v>
      </c>
      <c r="R1636" s="68">
        <v>30</v>
      </c>
      <c r="S1636" s="623">
        <v>38</v>
      </c>
      <c r="T1636" s="68">
        <v>32</v>
      </c>
      <c r="U1636" s="68">
        <v>40</v>
      </c>
      <c r="V1636" s="1198">
        <f t="shared" si="586"/>
        <v>30</v>
      </c>
      <c r="W1636" s="1198">
        <f t="shared" si="587"/>
        <v>38</v>
      </c>
      <c r="X1636" s="68" t="s">
        <v>257</v>
      </c>
      <c r="Y1636" s="68">
        <v>30</v>
      </c>
      <c r="Z1636" s="68">
        <v>38</v>
      </c>
      <c r="AA1636" s="1027">
        <f t="shared" si="581"/>
        <v>7.916666666666667</v>
      </c>
      <c r="AB1636" s="297">
        <f>AA1636*canonML</f>
        <v>38</v>
      </c>
      <c r="AC1636" s="74">
        <f>Table1[[#This Row],[Print Wth]]*paper60</f>
        <v>10.200000000000001</v>
      </c>
      <c r="AD1636" s="74">
        <f>Table1[[#This Row],[Ink g/mL]]*CanonC</f>
        <v>10.260000000000002</v>
      </c>
      <c r="AE1636" s="74">
        <f>IF(Table1[[#This Row],[Work Center]]="SwissQ",Materials!G$37,IF(Table1[[#This Row],[Work Center]]="Inca",Materials!G$29,IF(Table1[[#This Row],[Work Center]]="Canon",Materials!G$49,Materials!G$45)))</f>
        <v>7</v>
      </c>
      <c r="AF1636" s="73">
        <f>'Cali Frames'!D40</f>
        <v>134</v>
      </c>
      <c r="AG1636" s="84"/>
      <c r="AH1636" s="74">
        <f t="shared" si="583"/>
        <v>22.5</v>
      </c>
      <c r="AI1636" s="74"/>
      <c r="AJ1636" s="74">
        <f t="shared" si="585"/>
        <v>183.96</v>
      </c>
      <c r="AK1636" s="1001">
        <f t="shared" si="584"/>
        <v>0.59119999999999995</v>
      </c>
      <c r="AL1636" s="240">
        <f>Table1[[#This Row],[WSP/Dealer]]/Table1[[#This Row],[OD Sq Inch]]</f>
        <v>0.3515625</v>
      </c>
      <c r="AM1636" s="68">
        <f>Table1[[#This Row],[OD Wdth]]*Table1[[#This Row],[OD Hgt]]</f>
        <v>1280</v>
      </c>
      <c r="AN1636" s="238">
        <f>Table1[[#This Row],[Min VO]]+Table1[[#This Row],[Max VO]]</f>
        <v>68</v>
      </c>
      <c r="AO1636" s="84"/>
      <c r="AP1636" s="535"/>
      <c r="AQ1636" s="126">
        <f>(Table1[[#This Row],[Desgnr/Retail P]]*0.05)</f>
        <v>0</v>
      </c>
      <c r="AR1636" s="126" t="b">
        <f>IF(A1636="Codarus",(AP1636*0.13))</f>
        <v>0</v>
      </c>
      <c r="AS1636" s="126" t="e" cm="1">
        <f t="array" ref="AS1636">SUM(AC1636:AG1636+AQ+AR)</f>
        <v>#NAME?</v>
      </c>
      <c r="AT1636" s="74" t="e">
        <f>(AP1636-AS1636)/AP1636</f>
        <v>#NAME?</v>
      </c>
      <c r="AU1636" s="1357" t="str">
        <f t="shared" si="580"/>
        <v>-</v>
      </c>
    </row>
    <row r="1637" spans="1:47" s="103" customFormat="1" hidden="1" x14ac:dyDescent="0.2">
      <c r="A1637" s="68" t="s">
        <v>1287</v>
      </c>
      <c r="B1637" s="1072" t="s">
        <v>3859</v>
      </c>
      <c r="C1637" s="78" t="s">
        <v>3860</v>
      </c>
      <c r="D1637" s="94"/>
      <c r="E1637" s="84" t="s">
        <v>3861</v>
      </c>
      <c r="F1637" s="84" t="s">
        <v>889</v>
      </c>
      <c r="G1637" s="68" t="s">
        <v>3862</v>
      </c>
      <c r="H1637" s="68" t="s">
        <v>3863</v>
      </c>
      <c r="I1637" s="68" t="s">
        <v>256</v>
      </c>
      <c r="J1637" s="140" t="s">
        <v>257</v>
      </c>
      <c r="K1637" s="68" t="s">
        <v>258</v>
      </c>
      <c r="L1637" s="68" t="s">
        <v>259</v>
      </c>
      <c r="M1637" s="141">
        <v>850</v>
      </c>
      <c r="N1637" s="93"/>
      <c r="O1637" s="68" t="s">
        <v>260</v>
      </c>
      <c r="P1637" s="68">
        <v>44</v>
      </c>
      <c r="Q1637" s="68">
        <v>57</v>
      </c>
      <c r="R1637" s="68">
        <v>44</v>
      </c>
      <c r="S1637" s="65">
        <v>57</v>
      </c>
      <c r="T1637" s="63">
        <v>46</v>
      </c>
      <c r="U1637" s="63">
        <v>59</v>
      </c>
      <c r="V1637" s="160">
        <f t="shared" si="586"/>
        <v>44</v>
      </c>
      <c r="W1637" s="160">
        <f t="shared" si="587"/>
        <v>57</v>
      </c>
      <c r="X1637" s="68" t="s">
        <v>257</v>
      </c>
      <c r="Y1637" s="68">
        <v>44</v>
      </c>
      <c r="Z1637" s="68">
        <v>57</v>
      </c>
      <c r="AA1637" s="1027">
        <f t="shared" si="581"/>
        <v>17.416666666666668</v>
      </c>
      <c r="AB1637" s="297">
        <f>AA1637*canonML</f>
        <v>83.600000000000009</v>
      </c>
      <c r="AC1637" s="74">
        <f>Table1[[#This Row],[Print Wth]]*paper60</f>
        <v>14.96</v>
      </c>
      <c r="AD1637" s="67">
        <f>Table1[[#This Row],[Ink g/mL]]*CanonC</f>
        <v>22.572000000000003</v>
      </c>
      <c r="AE1637" s="74">
        <f>IF(Table1[[#This Row],[Work Center]]="SwissQ",Materials!G$37,IF(Table1[[#This Row],[Work Center]]="Inca",Materials!G$29,IF(Table1[[#This Row],[Work Center]]="Canon",Materials!G$49,Materials!G$45)))</f>
        <v>7</v>
      </c>
      <c r="AF1637" s="73">
        <f>'Cali Frames'!D48</f>
        <v>275.43</v>
      </c>
      <c r="AG1637" s="84"/>
      <c r="AH1637" s="67">
        <f t="shared" si="583"/>
        <v>42.5</v>
      </c>
      <c r="AI1637" s="67"/>
      <c r="AJ1637" s="74">
        <f t="shared" si="585"/>
        <v>362.46199999999999</v>
      </c>
      <c r="AK1637" s="661">
        <f t="shared" si="584"/>
        <v>0.57357411764705879</v>
      </c>
      <c r="AL1637" s="240">
        <f>Table1[[#This Row],[WSP/Dealer]]/Table1[[#This Row],[OD Sq Inch]]</f>
        <v>0.31319086219602066</v>
      </c>
      <c r="AM1637" s="63">
        <f>Table1[[#This Row],[OD Wdth]]*Table1[[#This Row],[OD Hgt]]</f>
        <v>2714</v>
      </c>
      <c r="AN1637" s="238">
        <f>Table1[[#This Row],[Min VO]]+Table1[[#This Row],[Max VO]]</f>
        <v>101</v>
      </c>
      <c r="AO1637" s="84"/>
      <c r="AP1637" s="535"/>
      <c r="AQ1637" s="535"/>
      <c r="AR1637" s="535"/>
      <c r="AS1637" s="535"/>
      <c r="AT1637" s="73"/>
      <c r="AU1637" s="1356" t="str">
        <f t="shared" si="580"/>
        <v>-</v>
      </c>
    </row>
    <row r="1638" spans="1:47" s="103" customFormat="1" hidden="1" x14ac:dyDescent="0.2">
      <c r="A1638" s="101" t="s">
        <v>110</v>
      </c>
      <c r="B1638" s="1322" t="s">
        <v>250</v>
      </c>
      <c r="C1638" s="100" t="s">
        <v>3864</v>
      </c>
      <c r="D1638" s="168"/>
      <c r="E1638" s="115" t="s">
        <v>3865</v>
      </c>
      <c r="F1638" s="115" t="s">
        <v>889</v>
      </c>
      <c r="G1638" s="101" t="s">
        <v>191</v>
      </c>
      <c r="H1638" s="101" t="s">
        <v>607</v>
      </c>
      <c r="I1638" s="101" t="s">
        <v>256</v>
      </c>
      <c r="J1638" s="487" t="s">
        <v>257</v>
      </c>
      <c r="K1638" s="101" t="s">
        <v>258</v>
      </c>
      <c r="L1638" s="101" t="s">
        <v>259</v>
      </c>
      <c r="M1638" s="299">
        <v>900</v>
      </c>
      <c r="N1638" s="114"/>
      <c r="O1638" s="101" t="s">
        <v>260</v>
      </c>
      <c r="P1638" s="101">
        <v>48</v>
      </c>
      <c r="Q1638" s="101">
        <v>60</v>
      </c>
      <c r="R1638" s="101">
        <v>48</v>
      </c>
      <c r="S1638" s="697">
        <v>60</v>
      </c>
      <c r="T1638" s="101">
        <v>50</v>
      </c>
      <c r="U1638" s="101">
        <v>62</v>
      </c>
      <c r="V1638" s="106">
        <f t="shared" si="586"/>
        <v>48</v>
      </c>
      <c r="W1638" s="106">
        <f t="shared" si="587"/>
        <v>60</v>
      </c>
      <c r="X1638" s="525" t="s">
        <v>257</v>
      </c>
      <c r="Y1638" s="101">
        <v>48</v>
      </c>
      <c r="Z1638" s="101">
        <v>60</v>
      </c>
      <c r="AA1638" s="649">
        <f t="shared" si="581"/>
        <v>20</v>
      </c>
      <c r="AB1638" s="184">
        <f>AA1638*canonML</f>
        <v>96</v>
      </c>
      <c r="AC1638" s="606">
        <f>Table1[[#This Row],[Substrate SF]]*Paper</f>
        <v>27.06</v>
      </c>
      <c r="AD1638" s="107">
        <f>Table1[[#This Row],[Ink g/mL]]*CanonC</f>
        <v>25.92</v>
      </c>
      <c r="AE1638" s="104">
        <f>IF(Table1[[#This Row],[Work Center]]="SwissQ",Materials!G$37,IF(Table1[[#This Row],[Work Center]]="Inca",Materials!G$29,IF(Table1[[#This Row],[Work Center]]="Canon",Materials!G$49,Materials!G$45)))</f>
        <v>7</v>
      </c>
      <c r="AF1638" s="102">
        <f>'Cali Frames'!D49</f>
        <v>287.40249999999997</v>
      </c>
      <c r="AG1638" s="115"/>
      <c r="AH1638" s="405">
        <f t="shared" si="583"/>
        <v>45</v>
      </c>
      <c r="AI1638" s="405">
        <f>IF(A1638="Codarus",(M1638*0.13))</f>
        <v>117</v>
      </c>
      <c r="AJ1638" s="107">
        <f>SUM(AC1638:AI1638)</f>
        <v>509.38249999999999</v>
      </c>
      <c r="AK1638" s="108">
        <f t="shared" si="584"/>
        <v>0.43401944444444446</v>
      </c>
      <c r="AL1638" s="660">
        <f>Table1[[#This Row],[WSP/Dealer]]/Table1[[#This Row],[OD Sq Inch]]</f>
        <v>0.29032258064516131</v>
      </c>
      <c r="AM1638" s="399">
        <f>Table1[[#This Row],[OD Wdth]]*Table1[[#This Row],[OD Hgt]]</f>
        <v>3100</v>
      </c>
      <c r="AN1638" s="400">
        <f>Table1[[#This Row],[Min VO]]+Table1[[#This Row],[Max VO]]</f>
        <v>108</v>
      </c>
      <c r="AO1638" s="113"/>
      <c r="AP1638" s="408">
        <v>1800</v>
      </c>
      <c r="AQ1638" s="121">
        <f>(Table1[[#This Row],[Desgnr/Retail P]]*0.05)</f>
        <v>90</v>
      </c>
      <c r="AR1638" s="121">
        <f>IF(A1638="Codarus",(AP1638*0.13))</f>
        <v>234</v>
      </c>
      <c r="AS1638" s="121">
        <f>SUM(Table1[[#This Row],[Substrate $]:[GP FINISH]])+Table1[[#This Row],[Retail Royalty]]+Table1[[#This Row],[Retail$Comm]]</f>
        <v>671.38249999999994</v>
      </c>
      <c r="AT1638" s="830">
        <f>IF(AP1638=0,"-",(AP1638-AS1638)/AP1638)</f>
        <v>0.62700972222222229</v>
      </c>
      <c r="AU1638" s="1359">
        <f t="shared" si="580"/>
        <v>0.99303322530864191</v>
      </c>
    </row>
    <row r="1639" spans="1:47" s="63" customFormat="1" x14ac:dyDescent="0.2">
      <c r="A1639" s="86" t="s">
        <v>58</v>
      </c>
      <c r="B1639" s="279" t="s">
        <v>406</v>
      </c>
      <c r="C1639" s="100" t="s">
        <v>3866</v>
      </c>
      <c r="D1639" s="94" t="s">
        <v>3867</v>
      </c>
      <c r="E1639" s="85" t="s">
        <v>3868</v>
      </c>
      <c r="F1639" s="85" t="s">
        <v>1981</v>
      </c>
      <c r="G1639" s="86" t="s">
        <v>643</v>
      </c>
      <c r="H1639" s="86" t="s">
        <v>813</v>
      </c>
      <c r="I1639" s="86" t="s">
        <v>52</v>
      </c>
      <c r="J1639" s="86" t="s">
        <v>280</v>
      </c>
      <c r="K1639" s="86" t="s">
        <v>2072</v>
      </c>
      <c r="L1639" s="86" t="s">
        <v>2073</v>
      </c>
      <c r="M1639" s="87">
        <v>660</v>
      </c>
      <c r="N1639" s="639">
        <v>660</v>
      </c>
      <c r="O1639" s="145" t="s">
        <v>575</v>
      </c>
      <c r="P1639" s="101">
        <v>20</v>
      </c>
      <c r="Q1639" s="101">
        <v>16</v>
      </c>
      <c r="R1639" s="60">
        <v>16</v>
      </c>
      <c r="S1639" s="273">
        <v>20</v>
      </c>
      <c r="T1639" s="101">
        <v>22</v>
      </c>
      <c r="U1639" s="101" t="str">
        <f>RIGHT(H1639,2)</f>
        <v>19</v>
      </c>
      <c r="V1639" s="106">
        <f t="shared" si="586"/>
        <v>20</v>
      </c>
      <c r="W1639" s="106">
        <f t="shared" si="587"/>
        <v>16</v>
      </c>
      <c r="X1639" s="137" t="s">
        <v>2471</v>
      </c>
      <c r="Y1639" s="101"/>
      <c r="Z1639" s="101"/>
      <c r="AA1639" s="649">
        <f t="shared" si="581"/>
        <v>2.2222222222222223</v>
      </c>
      <c r="AB1639" s="125">
        <f>AA1639*Swiss1</f>
        <v>62.888888888888893</v>
      </c>
      <c r="AC1639" s="104">
        <f>PETG60/18</f>
        <v>3.24</v>
      </c>
      <c r="AD1639" s="107">
        <f>AA1639*SWISSC1</f>
        <v>6.2222222222222223</v>
      </c>
      <c r="AE1639" s="104">
        <f>IF(Table1[[#This Row],[Work Center]]="SwissQ",Materials!G$37,IF(Table1[[#This Row],[Work Center]]="Inca",Materials!G$29,IF(Table1[[#This Row],[Work Center]]="Canon",Materials!G$49,Materials!G$45)))</f>
        <v>5</v>
      </c>
      <c r="AF1639" s="104">
        <f>'Cali Frames'!D$175</f>
        <v>221.64</v>
      </c>
      <c r="AG1639" s="115"/>
      <c r="AH1639" s="112">
        <f t="shared" si="583"/>
        <v>33</v>
      </c>
      <c r="AI1639" s="112"/>
      <c r="AJ1639" s="107">
        <f>SUM(AC1639:AH1639)</f>
        <v>269.10222222222222</v>
      </c>
      <c r="AK1639" s="62">
        <f t="shared" si="584"/>
        <v>0.59226936026936028</v>
      </c>
      <c r="AL1639" s="225">
        <f>Table1[[#This Row],[WSP/Dealer]]/Table1[[#This Row],[OD Sq Inch]]</f>
        <v>1.5789473684210527</v>
      </c>
      <c r="AM1639" s="103">
        <f>Table1[[#This Row],[OD Wdth]]*Table1[[#This Row],[OD Hgt]]</f>
        <v>418</v>
      </c>
      <c r="AN1639" s="216">
        <f>Table1[[#This Row],[Min VO]]+Table1[[#This Row],[Max VO]]</f>
        <v>36</v>
      </c>
      <c r="AO1639" s="101"/>
      <c r="AP1639" s="535"/>
      <c r="AQ1639" s="126"/>
      <c r="AR1639" s="126"/>
      <c r="AS1639" s="126"/>
      <c r="AT1639" s="1001"/>
      <c r="AU1639" s="1357"/>
    </row>
    <row r="1640" spans="1:47" s="63" customFormat="1" hidden="1" x14ac:dyDescent="0.2">
      <c r="A1640" s="101" t="s">
        <v>110</v>
      </c>
      <c r="B1640" s="1062" t="s">
        <v>134</v>
      </c>
      <c r="C1640" s="100" t="s">
        <v>3869</v>
      </c>
      <c r="D1640" s="168"/>
      <c r="E1640" s="115" t="s">
        <v>3868</v>
      </c>
      <c r="F1640" s="115" t="s">
        <v>1981</v>
      </c>
      <c r="G1640" s="101" t="s">
        <v>643</v>
      </c>
      <c r="H1640" s="101" t="s">
        <v>813</v>
      </c>
      <c r="I1640" s="101" t="s">
        <v>52</v>
      </c>
      <c r="J1640" s="101" t="s">
        <v>280</v>
      </c>
      <c r="K1640" s="101" t="s">
        <v>814</v>
      </c>
      <c r="L1640" s="101" t="s">
        <v>815</v>
      </c>
      <c r="M1640" s="299">
        <v>450</v>
      </c>
      <c r="N1640" s="829">
        <v>660</v>
      </c>
      <c r="O1640" s="188" t="s">
        <v>575</v>
      </c>
      <c r="P1640" s="101">
        <v>20</v>
      </c>
      <c r="Q1640" s="101">
        <v>16</v>
      </c>
      <c r="R1640" s="101">
        <v>16</v>
      </c>
      <c r="S1640" s="697">
        <v>20</v>
      </c>
      <c r="T1640" s="101">
        <v>22</v>
      </c>
      <c r="U1640" s="101" t="str">
        <f>RIGHT(H1640,2)</f>
        <v>19</v>
      </c>
      <c r="V1640" s="106">
        <f t="shared" si="586"/>
        <v>20</v>
      </c>
      <c r="W1640" s="106">
        <f t="shared" si="587"/>
        <v>16</v>
      </c>
      <c r="X1640" s="137" t="s">
        <v>283</v>
      </c>
      <c r="Y1640" s="101">
        <v>20</v>
      </c>
      <c r="Z1640" s="101">
        <v>16</v>
      </c>
      <c r="AA1640" s="649">
        <f t="shared" si="581"/>
        <v>2.2222222222222223</v>
      </c>
      <c r="AB1640" s="184">
        <f>AA1640*Swiss1</f>
        <v>62.888888888888893</v>
      </c>
      <c r="AC1640" s="104">
        <f>PETG60/18</f>
        <v>3.24</v>
      </c>
      <c r="AD1640" s="107">
        <f>AA1640*SWISSC1</f>
        <v>6.2222222222222223</v>
      </c>
      <c r="AE1640" s="104">
        <f>IF(Table1[[#This Row],[Work Center]]="SwissQ",Materials!G$37,IF(Table1[[#This Row],[Work Center]]="Inca",Materials!G$29,IF(Table1[[#This Row],[Work Center]]="Canon",Materials!G$49,Materials!G$45)))</f>
        <v>5</v>
      </c>
      <c r="AF1640" s="104">
        <f>'Cali Frames'!D$193</f>
        <v>126.35</v>
      </c>
      <c r="AG1640" s="115"/>
      <c r="AH1640" s="104">
        <f t="shared" si="583"/>
        <v>22.5</v>
      </c>
      <c r="AI1640" s="406">
        <f>IF(A1640="Codarus",(M1640*0.13))</f>
        <v>58.5</v>
      </c>
      <c r="AJ1640" s="104">
        <f>SUM(AC1640:AI1640)</f>
        <v>221.8122222222222</v>
      </c>
      <c r="AK1640" s="830">
        <f t="shared" si="584"/>
        <v>0.50708395061728395</v>
      </c>
      <c r="AL1640" s="660">
        <f>Table1[[#This Row],[WSP/Dealer]]/Table1[[#This Row],[OD Sq Inch]]</f>
        <v>1.0765550239234449</v>
      </c>
      <c r="AM1640" s="103">
        <f>Table1[[#This Row],[OD Wdth]]*Table1[[#This Row],[OD Hgt]]</f>
        <v>418</v>
      </c>
      <c r="AN1640" s="266">
        <f>Table1[[#This Row],[Min VO]]+Table1[[#This Row],[Max VO]]</f>
        <v>36</v>
      </c>
      <c r="AO1640" s="101"/>
      <c r="AP1640" s="101"/>
      <c r="AQ1640" s="104">
        <f>(Table1[[#This Row],[Desgnr/Retail P]]*0.05)</f>
        <v>0</v>
      </c>
      <c r="AR1640" s="121">
        <f>IF(A1640="Codarus",(AP1640*0.13))</f>
        <v>0</v>
      </c>
      <c r="AS1640" s="121">
        <f>SUM(Table1[[#This Row],[Substrate $]:[GP FINISH]])+Table1[[#This Row],[Retail Royalty]]+Table1[[#This Row],[Retail$Comm]]</f>
        <v>140.8122222222222</v>
      </c>
      <c r="AT1640" s="830" t="str">
        <f>IF(AP1640=0,"-",(AP1640-AS1640)/AP1640)</f>
        <v>-</v>
      </c>
      <c r="AU1640" s="830" t="str">
        <f>IF(AQ1640=0,"-",(AQ1640-AT1640)/AQ1640)</f>
        <v>-</v>
      </c>
    </row>
    <row r="1641" spans="1:47" s="46" customFormat="1" hidden="1" x14ac:dyDescent="0.2">
      <c r="A1641" s="101" t="s">
        <v>110</v>
      </c>
      <c r="B1641" s="1064" t="s">
        <v>250</v>
      </c>
      <c r="C1641" s="100" t="s">
        <v>3870</v>
      </c>
      <c r="D1641" s="168"/>
      <c r="E1641" s="115" t="s">
        <v>3868</v>
      </c>
      <c r="F1641" s="115" t="s">
        <v>1981</v>
      </c>
      <c r="G1641" s="101" t="s">
        <v>643</v>
      </c>
      <c r="H1641" s="101" t="s">
        <v>806</v>
      </c>
      <c r="I1641" s="101" t="s">
        <v>52</v>
      </c>
      <c r="J1641" s="487" t="s">
        <v>53</v>
      </c>
      <c r="K1641" s="101" t="s">
        <v>69</v>
      </c>
      <c r="L1641" s="101" t="s">
        <v>70</v>
      </c>
      <c r="M1641" s="114">
        <v>450</v>
      </c>
      <c r="N1641" s="114"/>
      <c r="O1641" s="188" t="s">
        <v>575</v>
      </c>
      <c r="P1641" s="101">
        <v>20</v>
      </c>
      <c r="Q1641" s="101">
        <v>16</v>
      </c>
      <c r="R1641" s="101">
        <v>16</v>
      </c>
      <c r="S1641" s="697">
        <v>20</v>
      </c>
      <c r="T1641" s="101">
        <v>21</v>
      </c>
      <c r="U1641" s="101">
        <v>17</v>
      </c>
      <c r="V1641" s="404">
        <f t="shared" si="586"/>
        <v>28</v>
      </c>
      <c r="W1641" s="404">
        <f t="shared" si="587"/>
        <v>24</v>
      </c>
      <c r="X1641" s="101">
        <v>40</v>
      </c>
      <c r="Y1641" s="101">
        <v>28</v>
      </c>
      <c r="Z1641" s="101">
        <v>24</v>
      </c>
      <c r="AA1641" s="649">
        <f t="shared" si="581"/>
        <v>4.666666666666667</v>
      </c>
      <c r="AB1641" s="184">
        <f>AA1641*Swiss1</f>
        <v>132.06666666666669</v>
      </c>
      <c r="AC1641" s="104">
        <f>PETG60/18</f>
        <v>3.24</v>
      </c>
      <c r="AD1641" s="107">
        <f>AA1641*SWISSC1</f>
        <v>13.066666666666666</v>
      </c>
      <c r="AE1641" s="104">
        <f>IF(Table1[[#This Row],[Work Center]]="SwissQ",Materials!G$37,IF(Table1[[#This Row],[Work Center]]="Inca",Materials!G$29,IF(Table1[[#This Row],[Work Center]]="Canon",Materials!G$49,Materials!G$45)))</f>
        <v>5</v>
      </c>
      <c r="AF1641" s="102">
        <f>'Cali Frames'!D267</f>
        <v>82.757499999999993</v>
      </c>
      <c r="AG1641" s="115"/>
      <c r="AH1641" s="107">
        <f t="shared" si="583"/>
        <v>22.5</v>
      </c>
      <c r="AI1641" s="405">
        <f>IF(A1641="Codarus",(M1641*0.13))</f>
        <v>58.5</v>
      </c>
      <c r="AJ1641" s="104">
        <f>SUM(AC1641:AI1641)</f>
        <v>185.06416666666667</v>
      </c>
      <c r="AK1641" s="108">
        <f t="shared" si="584"/>
        <v>0.58874629629629627</v>
      </c>
      <c r="AL1641" s="660">
        <f>Table1[[#This Row],[WSP/Dealer]]/Table1[[#This Row],[OD Sq Inch]]</f>
        <v>1.2605042016806722</v>
      </c>
      <c r="AM1641" s="103">
        <f>Table1[[#This Row],[OD Wdth]]*Table1[[#This Row],[OD Hgt]]</f>
        <v>357</v>
      </c>
      <c r="AN1641" s="266">
        <f>Table1[[#This Row],[Min VO]]+Table1[[#This Row],[Max VO]]</f>
        <v>36</v>
      </c>
      <c r="AO1641" s="115"/>
      <c r="AP1641" s="408">
        <v>900</v>
      </c>
      <c r="AQ1641" s="121">
        <f>(Table1[[#This Row],[Desgnr/Retail P]]*0.05)</f>
        <v>45</v>
      </c>
      <c r="AR1641" s="121">
        <f>IF(A1641="Codarus",(AP1641*0.13))</f>
        <v>117</v>
      </c>
      <c r="AS1641" s="121">
        <f>SUM(Table1[[#This Row],[Substrate $]:[GP FINISH]])+Table1[[#This Row],[Retail Royalty]]+Table1[[#This Row],[Retail$Comm]]</f>
        <v>266.06416666666667</v>
      </c>
      <c r="AT1641" s="830">
        <f>IF(AP1641=0,"-",(AP1641-AS1641)/AP1641)</f>
        <v>0.70437314814814811</v>
      </c>
      <c r="AU1641" s="1359">
        <f>IF(AQ1641=0,"-",(AQ1641-AT1641)/AQ1641)</f>
        <v>0.98434726337448553</v>
      </c>
    </row>
    <row r="1642" spans="1:47" s="46" customFormat="1" hidden="1" x14ac:dyDescent="0.2">
      <c r="A1642" s="68"/>
      <c r="B1642" s="1061" t="s">
        <v>96</v>
      </c>
      <c r="C1642" s="78" t="s">
        <v>3871</v>
      </c>
      <c r="D1642" s="94"/>
      <c r="E1642" s="84" t="s">
        <v>3868</v>
      </c>
      <c r="F1642" s="84" t="s">
        <v>1981</v>
      </c>
      <c r="G1642" s="68" t="s">
        <v>643</v>
      </c>
      <c r="H1642" s="68" t="s">
        <v>813</v>
      </c>
      <c r="I1642" s="68" t="s">
        <v>108</v>
      </c>
      <c r="J1642" s="140" t="s">
        <v>280</v>
      </c>
      <c r="K1642" s="68" t="s">
        <v>814</v>
      </c>
      <c r="L1642" s="68" t="s">
        <v>815</v>
      </c>
      <c r="M1642" s="141">
        <v>590</v>
      </c>
      <c r="N1642" s="93"/>
      <c r="O1642" s="68" t="s">
        <v>575</v>
      </c>
      <c r="P1642" s="68">
        <v>20</v>
      </c>
      <c r="Q1642" s="68">
        <v>16</v>
      </c>
      <c r="R1642" s="68">
        <v>16</v>
      </c>
      <c r="S1642" s="623">
        <v>20</v>
      </c>
      <c r="T1642" s="68">
        <v>23</v>
      </c>
      <c r="U1642" s="68">
        <v>19</v>
      </c>
      <c r="V1642" s="66">
        <v>29</v>
      </c>
      <c r="W1642" s="66">
        <v>16</v>
      </c>
      <c r="X1642" s="189" t="s">
        <v>283</v>
      </c>
      <c r="Y1642" s="68">
        <v>20</v>
      </c>
      <c r="Z1642" s="68">
        <v>16</v>
      </c>
      <c r="AA1642" s="699">
        <f t="shared" si="581"/>
        <v>3.2222222222222223</v>
      </c>
      <c r="AB1642" s="341">
        <f>AA1642*SWISSMLR</f>
        <v>6.4444444444444446</v>
      </c>
      <c r="AC1642" s="74">
        <f>MDFSHEET/6</f>
        <v>4.0583333333333336</v>
      </c>
      <c r="AD1642" s="67">
        <f>AA1642*SWISSC1</f>
        <v>9.0222222222222221</v>
      </c>
      <c r="AE1642" s="278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642" s="73">
        <f>'Cali Frames'!D193</f>
        <v>126.35</v>
      </c>
      <c r="AG1642" s="84"/>
      <c r="AH1642" s="67">
        <f t="shared" si="583"/>
        <v>29.5</v>
      </c>
      <c r="AI1642" s="67"/>
      <c r="AJ1642" s="278">
        <f>SUM(AC1642:AH1642)</f>
        <v>176.93055555555554</v>
      </c>
      <c r="AK1642" s="661">
        <f t="shared" si="584"/>
        <v>0.70011770244821092</v>
      </c>
      <c r="AL1642" s="240">
        <f>Table1[[#This Row],[WSP/Dealer]]/Table1[[#This Row],[OD Sq Inch]]</f>
        <v>1.3501144164759726</v>
      </c>
      <c r="AM1642" s="170">
        <f>Table1[[#This Row],[OD Wdth]]*Table1[[#This Row],[OD Hgt]]</f>
        <v>437</v>
      </c>
      <c r="AN1642" s="274">
        <f>Table1[[#This Row],[Min VO]]+Table1[[#This Row],[Max VO]]</f>
        <v>36</v>
      </c>
      <c r="AO1642" s="84"/>
      <c r="AP1642" s="84"/>
      <c r="AQ1642" s="126"/>
      <c r="AR1642" s="126"/>
      <c r="AS1642" s="126"/>
      <c r="AT1642" s="74"/>
      <c r="AU1642" s="1357" t="str">
        <f t="shared" ref="AU1642:AU1705" si="588">IF(AQ1642=0,"-",(AQ1642-AT1642)/AQ1642)</f>
        <v>-</v>
      </c>
    </row>
    <row r="1643" spans="1:47" s="63" customFormat="1" hidden="1" x14ac:dyDescent="0.2">
      <c r="A1643" s="68" t="s">
        <v>101</v>
      </c>
      <c r="B1643" s="279" t="s">
        <v>65</v>
      </c>
      <c r="C1643" s="78" t="s">
        <v>3869</v>
      </c>
      <c r="D1643" s="94"/>
      <c r="E1643" s="84" t="s">
        <v>3868</v>
      </c>
      <c r="F1643" s="84" t="s">
        <v>1981</v>
      </c>
      <c r="G1643" s="68" t="s">
        <v>643</v>
      </c>
      <c r="H1643" s="68" t="s">
        <v>813</v>
      </c>
      <c r="I1643" s="68" t="s">
        <v>52</v>
      </c>
      <c r="J1643" s="68" t="s">
        <v>280</v>
      </c>
      <c r="K1643" s="68" t="s">
        <v>814</v>
      </c>
      <c r="L1643" s="68" t="s">
        <v>815</v>
      </c>
      <c r="M1643" s="141">
        <v>340</v>
      </c>
      <c r="N1643" s="831"/>
      <c r="O1643" s="166" t="s">
        <v>575</v>
      </c>
      <c r="P1643" s="68">
        <v>20</v>
      </c>
      <c r="Q1643" s="68">
        <v>16</v>
      </c>
      <c r="R1643" s="68">
        <v>16</v>
      </c>
      <c r="S1643" s="623">
        <v>20</v>
      </c>
      <c r="T1643" s="68">
        <v>22</v>
      </c>
      <c r="U1643" s="68" t="str">
        <f>RIGHT(H1643,2)</f>
        <v>19</v>
      </c>
      <c r="V1643" s="917">
        <f>IF(J1643="Canvas",P1643+Border,P1643)</f>
        <v>20</v>
      </c>
      <c r="W1643" s="917">
        <f>IF(J1643="Canvas",Q1643+Border,Q1643)</f>
        <v>16</v>
      </c>
      <c r="X1643" s="189" t="s">
        <v>283</v>
      </c>
      <c r="Y1643" s="686">
        <f>Table1[[#This Row],[Print Wth]]</f>
        <v>20</v>
      </c>
      <c r="Z1643" s="686">
        <f>Table1[[#This Row],[Print Ht]]</f>
        <v>16</v>
      </c>
      <c r="AA1643" s="1027">
        <f>Table1[[#This Row],[Cut Width]]*Table1[[#This Row],[Cut Height]]/144</f>
        <v>2.2222222222222223</v>
      </c>
      <c r="AB1643" s="297">
        <f>AA1643*Swiss1</f>
        <v>62.888888888888893</v>
      </c>
      <c r="AC1643" s="74">
        <f>MDFSHEET/10</f>
        <v>2.4350000000000001</v>
      </c>
      <c r="AD1643" s="67">
        <f>AA1643*SWISSC1</f>
        <v>6.2222222222222223</v>
      </c>
      <c r="AE1643" s="74">
        <v>20</v>
      </c>
      <c r="AF1643" s="74">
        <f>'Cali Frames'!D$193</f>
        <v>126.35</v>
      </c>
      <c r="AG1643" s="84"/>
      <c r="AH1643" s="74">
        <f t="shared" si="583"/>
        <v>17</v>
      </c>
      <c r="AI1643" s="278"/>
      <c r="AJ1643" s="74">
        <f>SUM(AC1643:AI1643)</f>
        <v>172.00722222222223</v>
      </c>
      <c r="AK1643" s="1001">
        <f t="shared" si="584"/>
        <v>0.49409640522875814</v>
      </c>
      <c r="AL1643" s="240">
        <f>Table1[[#This Row],[WSP/Dealer]]/Table1[[#This Row],[OD Sq Inch]]</f>
        <v>0.8133971291866029</v>
      </c>
      <c r="AM1643" s="63">
        <f>Table1[[#This Row],[OD Wdth]]*Table1[[#This Row],[OD Hgt]]</f>
        <v>418</v>
      </c>
      <c r="AN1643" s="238">
        <f>Table1[[#This Row],[Min VO]]+Table1[[#This Row],[Max VO]]</f>
        <v>36</v>
      </c>
      <c r="AO1643" s="68"/>
      <c r="AP1643" s="68"/>
      <c r="AQ1643" s="74"/>
      <c r="AR1643" s="74"/>
      <c r="AS1643" s="74"/>
      <c r="AT1643" s="74"/>
      <c r="AU1643" s="1001" t="str">
        <f t="shared" si="588"/>
        <v>-</v>
      </c>
    </row>
    <row r="1644" spans="1:47" s="63" customFormat="1" hidden="1" x14ac:dyDescent="0.2">
      <c r="A1644" s="68" t="s">
        <v>101</v>
      </c>
      <c r="B1644" s="1072" t="s">
        <v>102</v>
      </c>
      <c r="C1644" s="78" t="s">
        <v>3872</v>
      </c>
      <c r="D1644" s="94"/>
      <c r="E1644" s="84" t="s">
        <v>3873</v>
      </c>
      <c r="F1644" s="84" t="s">
        <v>105</v>
      </c>
      <c r="G1644" s="68" t="s">
        <v>3874</v>
      </c>
      <c r="H1644" s="68" t="s">
        <v>2701</v>
      </c>
      <c r="I1644" s="68" t="s">
        <v>108</v>
      </c>
      <c r="J1644" s="140" t="s">
        <v>53</v>
      </c>
      <c r="K1644" s="68" t="s">
        <v>69</v>
      </c>
      <c r="L1644" s="68" t="s">
        <v>315</v>
      </c>
      <c r="M1644" s="141">
        <v>200</v>
      </c>
      <c r="N1644" s="93"/>
      <c r="O1644" s="68" t="s">
        <v>109</v>
      </c>
      <c r="P1644" s="68">
        <v>15</v>
      </c>
      <c r="Q1644" s="68">
        <v>10</v>
      </c>
      <c r="R1644" s="68">
        <v>10</v>
      </c>
      <c r="S1644" s="623">
        <v>15</v>
      </c>
      <c r="T1644" s="68">
        <v>16</v>
      </c>
      <c r="U1644" s="68">
        <v>11</v>
      </c>
      <c r="V1644" s="917">
        <f>IF(J1644="Canvas",P1644+Border,P1644)</f>
        <v>23</v>
      </c>
      <c r="W1644" s="917">
        <f>IF(J1644="Canvas",Q1644+Border,Q1644)</f>
        <v>18</v>
      </c>
      <c r="X1644" s="68">
        <v>40</v>
      </c>
      <c r="Y1644" s="686">
        <f>Table1[[#This Row],[Print Wth]]</f>
        <v>23</v>
      </c>
      <c r="Z1644" s="686">
        <f>Table1[[#This Row],[Print Ht]]</f>
        <v>18</v>
      </c>
      <c r="AA1644" s="727">
        <f>Table1[[#This Row],[Cut Width]]*Table1[[#This Row],[Cut Height]]/144</f>
        <v>2.875</v>
      </c>
      <c r="AB1644" s="341">
        <f>Table1[[#This Row],[Print Wth]]*Table1[[#This Row],[Print Ht]]/144*EPSONM</f>
        <v>12.9375</v>
      </c>
      <c r="AC1644" s="263">
        <f>Table1[[#This Row],[Substrate SF]]*Canvas</f>
        <v>1.8975000000000002</v>
      </c>
      <c r="AD1644" s="263">
        <f>Table1[[#This Row],[Ink g/mL]]*EPSONC</f>
        <v>2.8462499999999999</v>
      </c>
      <c r="AE1644" s="278">
        <f>IF(Table1[[#This Row],[Work Center]]="SwissQ",Materials!G$37,IF(Table1[[#This Row],[Work Center]]="Inca",Materials!G$29,IF(Table1[[#This Row],[Work Center]]="Canon",Materials!G$49,Materials!G$45)))</f>
        <v>5</v>
      </c>
      <c r="AF1644" s="73">
        <f>'Cali Frames'!D495</f>
        <v>90</v>
      </c>
      <c r="AG1644" s="84"/>
      <c r="AH1644" s="67">
        <v>0</v>
      </c>
      <c r="AI1644" s="67"/>
      <c r="AJ1644" s="278">
        <f>SUM(AC1644:AH1644)</f>
        <v>99.743750000000006</v>
      </c>
      <c r="AK1644" s="661">
        <f t="shared" si="584"/>
        <v>0.50128125000000001</v>
      </c>
      <c r="AL1644" s="240">
        <f>Table1[[#This Row],[WSP/Dealer]]/Table1[[#This Row],[OD Sq Inch]]</f>
        <v>1.1363636363636365</v>
      </c>
      <c r="AM1644" s="170">
        <f>Table1[[#This Row],[OD Wdth]]*Table1[[#This Row],[OD Hgt]]</f>
        <v>176</v>
      </c>
      <c r="AN1644" s="274">
        <f>Table1[[#This Row],[Min VO]]+Table1[[#This Row],[Max VO]]</f>
        <v>25</v>
      </c>
      <c r="AO1644" s="84"/>
      <c r="AP1644" s="84"/>
      <c r="AQ1644" s="126"/>
      <c r="AR1644" s="126"/>
      <c r="AS1644" s="126"/>
      <c r="AT1644" s="74"/>
      <c r="AU1644" s="1357" t="str">
        <f t="shared" si="588"/>
        <v>-</v>
      </c>
    </row>
    <row r="1645" spans="1:47" s="103" customFormat="1" hidden="1" x14ac:dyDescent="0.2">
      <c r="A1645" s="470" t="s">
        <v>318</v>
      </c>
      <c r="B1645" s="1061" t="s">
        <v>96</v>
      </c>
      <c r="C1645" s="76" t="s">
        <v>3875</v>
      </c>
      <c r="D1645" s="94">
        <v>184560</v>
      </c>
      <c r="E1645" s="83" t="s">
        <v>3876</v>
      </c>
      <c r="F1645" s="83" t="s">
        <v>322</v>
      </c>
      <c r="G1645" s="60" t="s">
        <v>51</v>
      </c>
      <c r="H1645" s="60" t="s">
        <v>364</v>
      </c>
      <c r="I1645" s="60" t="s">
        <v>52</v>
      </c>
      <c r="J1645" s="59" t="s">
        <v>53</v>
      </c>
      <c r="K1645" s="60" t="s">
        <v>69</v>
      </c>
      <c r="L1645" s="60" t="s">
        <v>73</v>
      </c>
      <c r="M1645" s="544">
        <v>375</v>
      </c>
      <c r="N1645" s="786">
        <v>900</v>
      </c>
      <c r="O1645" s="60" t="s">
        <v>56</v>
      </c>
      <c r="P1645" s="60">
        <v>30</v>
      </c>
      <c r="Q1645" s="60">
        <v>40</v>
      </c>
      <c r="R1645" s="60">
        <v>30</v>
      </c>
      <c r="S1645" s="273">
        <v>40</v>
      </c>
      <c r="T1645" s="60">
        <v>31</v>
      </c>
      <c r="U1645" s="60">
        <v>41</v>
      </c>
      <c r="V1645" s="174">
        <f>IF(J1645="Canvas",P1645+Border,P1645)</f>
        <v>38</v>
      </c>
      <c r="W1645" s="174">
        <f>IF(J1645="Canvas",Q1645+Border,Q1645)</f>
        <v>48</v>
      </c>
      <c r="X1645" s="138">
        <v>40</v>
      </c>
      <c r="Y1645" s="60">
        <v>38</v>
      </c>
      <c r="Z1645" s="60">
        <v>48</v>
      </c>
      <c r="AA1645" s="678">
        <f>V1645*W1645/144</f>
        <v>12.666666666666666</v>
      </c>
      <c r="AB1645" s="329">
        <f>Table1[[#This Row],[Substrate SF]]*IncaC</f>
        <v>21.320533333333334</v>
      </c>
      <c r="AC1645" s="176">
        <f>AA1645*Canvas</f>
        <v>8.36</v>
      </c>
      <c r="AD1645" s="175">
        <f>Table1[[#This Row],[Substrate SF]]*IncaC</f>
        <v>21.320533333333334</v>
      </c>
      <c r="AE1645" s="69">
        <f>IF(Table1[[#This Row],[Work Center]]="SwissQ",Materials!G$37,IF(Table1[[#This Row],[Work Center]]="Inca",Materials!G$29,IF(Table1[[#This Row],[Work Center]]="Canon",Materials!G$49,Materials!G$45)))</f>
        <v>8</v>
      </c>
      <c r="AF1645" s="72">
        <f>'Cali Frames'!D430</f>
        <v>108.955</v>
      </c>
      <c r="AG1645" s="540"/>
      <c r="AH1645" s="498">
        <f t="shared" ref="AH1645:AH1658" si="589">(M1645*0.05)</f>
        <v>18.75</v>
      </c>
      <c r="AI1645" s="498"/>
      <c r="AJ1645" s="176">
        <f>SUM(AC1645:AH1645)</f>
        <v>165.38553333333334</v>
      </c>
      <c r="AK1645" s="650">
        <f t="shared" si="584"/>
        <v>0.55897191111111111</v>
      </c>
      <c r="AL1645" s="225">
        <f>Table1[[#This Row],[WSP/Dealer]]/Table1[[#This Row],[OD Sq Inch]]</f>
        <v>0.2950432730133753</v>
      </c>
      <c r="AM1645" s="173">
        <f>Table1[[#This Row],[OD Wdth]]*Table1[[#This Row],[OD Hgt]]</f>
        <v>1271</v>
      </c>
      <c r="AN1645" s="180" t="str">
        <f>Table1[[#This Row],[Color]]</f>
        <v>NF</v>
      </c>
      <c r="AO1645" s="83" t="str">
        <f>Table1[[#This Row],[Print Type]]</f>
        <v>Synograph</v>
      </c>
      <c r="AP1645" s="540"/>
      <c r="AQ1645" s="540"/>
      <c r="AR1645" s="540"/>
      <c r="AS1645" s="540"/>
      <c r="AT1645" s="69"/>
      <c r="AU1645" s="1361" t="str">
        <f t="shared" si="588"/>
        <v>-</v>
      </c>
    </row>
    <row r="1646" spans="1:47" s="103" customFormat="1" hidden="1" x14ac:dyDescent="0.2">
      <c r="A1646" s="68"/>
      <c r="B1646" s="1061"/>
      <c r="C1646" s="94" t="s">
        <v>3877</v>
      </c>
      <c r="D1646" s="94"/>
      <c r="E1646" s="84" t="s">
        <v>3878</v>
      </c>
      <c r="F1646" s="84" t="s">
        <v>960</v>
      </c>
      <c r="G1646" s="68" t="s">
        <v>3879</v>
      </c>
      <c r="H1646" s="68"/>
      <c r="I1646" s="68" t="s">
        <v>304</v>
      </c>
      <c r="J1646" s="68" t="s">
        <v>257</v>
      </c>
      <c r="K1646" s="68" t="s">
        <v>258</v>
      </c>
      <c r="L1646" s="68" t="s">
        <v>83</v>
      </c>
      <c r="M1646" s="93"/>
      <c r="N1646" s="71"/>
      <c r="O1646" s="68"/>
      <c r="P1646" s="68"/>
      <c r="Q1646" s="68"/>
      <c r="R1646" s="68"/>
      <c r="S1646" s="68"/>
      <c r="T1646" s="68"/>
      <c r="U1646" s="68"/>
      <c r="V1646" s="917"/>
      <c r="W1646" s="917"/>
      <c r="X1646" s="189"/>
      <c r="Y1646" s="68"/>
      <c r="Z1646" s="68"/>
      <c r="AA1646" s="699"/>
      <c r="AB1646" s="297"/>
      <c r="AC1646" s="74"/>
      <c r="AD1646" s="118"/>
      <c r="AE1646" s="126"/>
      <c r="AF1646" s="73"/>
      <c r="AG1646" s="126"/>
      <c r="AH1646" s="498">
        <f t="shared" si="589"/>
        <v>0</v>
      </c>
      <c r="AI1646" s="498"/>
      <c r="AJ1646" s="118"/>
      <c r="AK1646" s="650" t="e">
        <f t="shared" si="584"/>
        <v>#DIV/0!</v>
      </c>
      <c r="AL1646" s="225" t="e">
        <f>Table1[[#This Row],[WSP/Dealer]]/Table1[[#This Row],[OD Sq Inch]]</f>
        <v>#DIV/0!</v>
      </c>
      <c r="AM1646" s="119"/>
      <c r="AN1646" s="216">
        <f>Table1[[#This Row],[Min VO]]+Table1[[#This Row],[Max VO]]</f>
        <v>0</v>
      </c>
      <c r="AO1646" s="84"/>
      <c r="AP1646" s="84"/>
      <c r="AQ1646" s="126"/>
      <c r="AR1646" s="126"/>
      <c r="AS1646" s="126"/>
      <c r="AT1646" s="74"/>
      <c r="AU1646" s="1357" t="str">
        <f t="shared" si="588"/>
        <v>-</v>
      </c>
    </row>
    <row r="1647" spans="1:47" s="103" customFormat="1" hidden="1" x14ac:dyDescent="0.2">
      <c r="A1647" s="470" t="s">
        <v>318</v>
      </c>
      <c r="B1647" s="1061" t="s">
        <v>96</v>
      </c>
      <c r="C1647" s="76" t="s">
        <v>3880</v>
      </c>
      <c r="D1647" s="94">
        <v>184636</v>
      </c>
      <c r="E1647" s="83" t="s">
        <v>3881</v>
      </c>
      <c r="F1647" s="83" t="s">
        <v>322</v>
      </c>
      <c r="G1647" s="60" t="s">
        <v>51</v>
      </c>
      <c r="H1647" s="60" t="s">
        <v>364</v>
      </c>
      <c r="I1647" s="60" t="s">
        <v>52</v>
      </c>
      <c r="J1647" s="59" t="s">
        <v>53</v>
      </c>
      <c r="K1647" s="60" t="s">
        <v>69</v>
      </c>
      <c r="L1647" s="60" t="s">
        <v>73</v>
      </c>
      <c r="M1647" s="544">
        <v>375</v>
      </c>
      <c r="N1647" s="786">
        <v>900</v>
      </c>
      <c r="O1647" s="60" t="s">
        <v>56</v>
      </c>
      <c r="P1647" s="60">
        <v>30</v>
      </c>
      <c r="Q1647" s="60">
        <v>40</v>
      </c>
      <c r="R1647" s="60">
        <v>30</v>
      </c>
      <c r="S1647" s="273">
        <v>40</v>
      </c>
      <c r="T1647" s="60">
        <v>31</v>
      </c>
      <c r="U1647" s="60">
        <v>41</v>
      </c>
      <c r="V1647" s="174">
        <f t="shared" ref="V1647:V1658" si="590">IF(J1647="Canvas",P1647+Border,P1647)</f>
        <v>38</v>
      </c>
      <c r="W1647" s="174">
        <f t="shared" ref="W1647:W1658" si="591">IF(J1647="Canvas",Q1647+Border,Q1647)</f>
        <v>48</v>
      </c>
      <c r="X1647" s="138"/>
      <c r="Y1647" s="60">
        <v>38</v>
      </c>
      <c r="Z1647" s="60">
        <v>48</v>
      </c>
      <c r="AA1647" s="678">
        <f t="shared" ref="AA1647:AA1658" si="592">V1647*W1647/144</f>
        <v>12.666666666666666</v>
      </c>
      <c r="AB1647" s="329">
        <f>Table1[[#This Row],[Substrate SF]]*IncaC</f>
        <v>21.320533333333334</v>
      </c>
      <c r="AC1647" s="176">
        <f t="shared" ref="AC1647:AC1658" si="593">AA1647*Canvas</f>
        <v>8.36</v>
      </c>
      <c r="AD1647" s="175">
        <f>Table1[[#This Row],[Substrate SF]]*IncaC</f>
        <v>21.320533333333334</v>
      </c>
      <c r="AE1647" s="69">
        <f>IF(Table1[[#This Row],[Work Center]]="SwissQ",Materials!G$37,IF(Table1[[#This Row],[Work Center]]="Inca",Materials!G$29,IF(Table1[[#This Row],[Work Center]]="Canon",Materials!G$49,Materials!G$45)))</f>
        <v>8</v>
      </c>
      <c r="AF1647" s="72">
        <f>'Cali Frames'!D430</f>
        <v>108.955</v>
      </c>
      <c r="AG1647" s="540"/>
      <c r="AH1647" s="498">
        <f t="shared" si="589"/>
        <v>18.75</v>
      </c>
      <c r="AI1647" s="498"/>
      <c r="AJ1647" s="176">
        <f t="shared" ref="AJ1647:AJ1655" si="594">SUM(AC1647:AH1647)</f>
        <v>165.38553333333334</v>
      </c>
      <c r="AK1647" s="650">
        <f t="shared" si="584"/>
        <v>0.55897191111111111</v>
      </c>
      <c r="AL1647" s="225">
        <f>Table1[[#This Row],[WSP/Dealer]]/Table1[[#This Row],[OD Sq Inch]]</f>
        <v>0.2950432730133753</v>
      </c>
      <c r="AM1647" s="173">
        <f>Table1[[#This Row],[OD Wdth]]*Table1[[#This Row],[OD Hgt]]</f>
        <v>1271</v>
      </c>
      <c r="AN1647" s="180" t="str">
        <f>Table1[[#This Row],[Color]]</f>
        <v>NF</v>
      </c>
      <c r="AO1647" s="83" t="str">
        <f>Table1[[#This Row],[Print Type]]</f>
        <v>Synograph</v>
      </c>
      <c r="AP1647" s="540"/>
      <c r="AQ1647" s="540"/>
      <c r="AR1647" s="540"/>
      <c r="AS1647" s="540"/>
      <c r="AT1647" s="69"/>
      <c r="AU1647" s="1361" t="str">
        <f t="shared" si="588"/>
        <v>-</v>
      </c>
    </row>
    <row r="1648" spans="1:47" s="1430" customFormat="1" hidden="1" x14ac:dyDescent="0.2">
      <c r="A1648" s="274" t="s">
        <v>110</v>
      </c>
      <c r="B1648" s="1085" t="s">
        <v>3882</v>
      </c>
      <c r="C1648" s="323" t="s">
        <v>3883</v>
      </c>
      <c r="D1648" s="94"/>
      <c r="E1648" s="275" t="s">
        <v>3884</v>
      </c>
      <c r="F1648" s="275" t="s">
        <v>3842</v>
      </c>
      <c r="G1648" s="274" t="s">
        <v>1588</v>
      </c>
      <c r="H1648" s="274" t="s">
        <v>1588</v>
      </c>
      <c r="I1648" s="274" t="s">
        <v>52</v>
      </c>
      <c r="J1648" s="344" t="s">
        <v>53</v>
      </c>
      <c r="K1648" s="274" t="s">
        <v>54</v>
      </c>
      <c r="L1648" s="274" t="s">
        <v>55</v>
      </c>
      <c r="M1648" s="178">
        <v>540</v>
      </c>
      <c r="N1648" s="321"/>
      <c r="O1648" s="274" t="s">
        <v>64</v>
      </c>
      <c r="P1648" s="274">
        <v>30</v>
      </c>
      <c r="Q1648" s="274">
        <v>30</v>
      </c>
      <c r="R1648" s="274">
        <v>30</v>
      </c>
      <c r="S1648" s="783">
        <v>30</v>
      </c>
      <c r="T1648" s="274">
        <v>30</v>
      </c>
      <c r="U1648" s="783">
        <v>30</v>
      </c>
      <c r="V1648" s="686">
        <f t="shared" si="590"/>
        <v>38</v>
      </c>
      <c r="W1648" s="686">
        <f t="shared" si="591"/>
        <v>38</v>
      </c>
      <c r="X1648" s="343">
        <v>53</v>
      </c>
      <c r="Y1648" s="274">
        <v>38</v>
      </c>
      <c r="Z1648" s="274">
        <v>38</v>
      </c>
      <c r="AA1648" s="727">
        <f t="shared" si="592"/>
        <v>10.027777777777779</v>
      </c>
      <c r="AB1648" s="341">
        <f>AA1648*Swiss1</f>
        <v>283.78611111111115</v>
      </c>
      <c r="AC1648" s="278">
        <f t="shared" si="593"/>
        <v>6.6183333333333341</v>
      </c>
      <c r="AD1648" s="263">
        <f>Table1[[#This Row],[Substrate SF]]*SWISSC1</f>
        <v>28.077777777777779</v>
      </c>
      <c r="AE1648" s="278">
        <f>IF(Table1[[#This Row],[Work Center]]="SwissQ",Materials!G$37,IF(Table1[[#This Row],[Work Center]]="Inca",Materials!G$29,IF(Table1[[#This Row],[Work Center]]="Canon",Materials!G$49,Materials!G$45)))</f>
        <v>20</v>
      </c>
      <c r="AF1648" s="321">
        <f>'Cali FPS'!C46</f>
        <v>80.27</v>
      </c>
      <c r="AG1648" s="320"/>
      <c r="AH1648" s="278">
        <f t="shared" si="589"/>
        <v>27</v>
      </c>
      <c r="AI1648" s="278">
        <f>IF(A1648="Codarus",(M1648*0.13))</f>
        <v>70.2</v>
      </c>
      <c r="AJ1648" s="278">
        <f t="shared" si="594"/>
        <v>161.9661111111111</v>
      </c>
      <c r="AK1648" s="1192">
        <f t="shared" si="584"/>
        <v>0.70006275720164612</v>
      </c>
      <c r="AL1648" s="278">
        <f>Table1[[#This Row],[WSP/Dealer]]/Table1[[#This Row],[OD Sq Inch]]</f>
        <v>0.6</v>
      </c>
      <c r="AM1648" s="170">
        <f>Table1[[#This Row],[OD Wdth]]*Table1[[#This Row],[OD Hgt]]</f>
        <v>900</v>
      </c>
      <c r="AN1648" s="274">
        <f>Table1[[#This Row],[Min VO]]+Table1[[#This Row],[Max VO]]</f>
        <v>60</v>
      </c>
      <c r="AO1648" s="275"/>
      <c r="AP1648" s="126">
        <v>1280</v>
      </c>
      <c r="AQ1648" s="126">
        <f>(Table1[[#This Row],[Desgnr/Retail P]]*0.05)</f>
        <v>64</v>
      </c>
      <c r="AR1648" s="126">
        <f>IF(A1648="Codarus",(AP1648*0.13))</f>
        <v>166.4</v>
      </c>
      <c r="AS1648" s="126">
        <f>SUM(Table1[[#This Row],[Substrate $]:[GP FINISH]])+Table1[[#This Row],[Retail Royalty]]+Table1[[#This Row],[Retail$Comm]]</f>
        <v>365.36611111111108</v>
      </c>
      <c r="AT1648" s="1001">
        <f>IF(AP1648=0,"-",(AP1648-AS1648)/AP1648)</f>
        <v>0.71455772569444442</v>
      </c>
      <c r="AU1648" s="1368">
        <f t="shared" si="588"/>
        <v>0.98883503553602425</v>
      </c>
    </row>
    <row r="1649" spans="1:47" s="103" customFormat="1" hidden="1" x14ac:dyDescent="0.2">
      <c r="A1649" s="400" t="s">
        <v>996</v>
      </c>
      <c r="B1649" s="1062" t="s">
        <v>96</v>
      </c>
      <c r="C1649" s="1671" t="s">
        <v>3885</v>
      </c>
      <c r="D1649" s="168"/>
      <c r="E1649" s="1657" t="s">
        <v>3886</v>
      </c>
      <c r="F1649" s="1657" t="s">
        <v>3842</v>
      </c>
      <c r="G1649" s="400" t="s">
        <v>449</v>
      </c>
      <c r="H1649" s="1757" t="s">
        <v>449</v>
      </c>
      <c r="I1649" s="400" t="s">
        <v>108</v>
      </c>
      <c r="J1649" s="497" t="s">
        <v>53</v>
      </c>
      <c r="K1649" s="400" t="s">
        <v>54</v>
      </c>
      <c r="L1649" s="400" t="s">
        <v>55</v>
      </c>
      <c r="M1649" s="488">
        <v>350</v>
      </c>
      <c r="N1649" s="403"/>
      <c r="O1649" s="400" t="s">
        <v>109</v>
      </c>
      <c r="P1649" s="400">
        <v>36</v>
      </c>
      <c r="Q1649" s="400">
        <v>36</v>
      </c>
      <c r="R1649" s="400">
        <v>36</v>
      </c>
      <c r="S1649" s="1244">
        <v>36</v>
      </c>
      <c r="T1649" s="400">
        <v>36</v>
      </c>
      <c r="U1649" s="1244">
        <v>36</v>
      </c>
      <c r="V1649" s="918">
        <f t="shared" si="590"/>
        <v>44</v>
      </c>
      <c r="W1649" s="918">
        <f t="shared" si="591"/>
        <v>44</v>
      </c>
      <c r="X1649" s="525">
        <v>53</v>
      </c>
      <c r="Y1649" s="400">
        <v>44</v>
      </c>
      <c r="Z1649" s="400">
        <v>44</v>
      </c>
      <c r="AA1649" s="724">
        <f t="shared" si="592"/>
        <v>13.444444444444445</v>
      </c>
      <c r="AB1649" s="633">
        <f>AA1649*EPSONML</f>
        <v>60.5</v>
      </c>
      <c r="AC1649" s="406">
        <f t="shared" si="593"/>
        <v>8.8733333333333331</v>
      </c>
      <c r="AD1649" s="405">
        <f>Table1[[#This Row],[Substrate SF]]*EPSONC</f>
        <v>2.9577777777777778</v>
      </c>
      <c r="AE1649" s="406">
        <f>IF(Table1[[#This Row],[Work Center]]="SwissQ",Materials!G$37,IF(Table1[[#This Row],[Work Center]]="Inca",Materials!G$29,IF(Table1[[#This Row],[Work Center]]="Canon",Materials!G$49,Materials!G$45)))</f>
        <v>5</v>
      </c>
      <c r="AF1649" s="403">
        <f>'Cali FPS'!C67</f>
        <v>83.46</v>
      </c>
      <c r="AG1649" s="1000"/>
      <c r="AH1649" s="406">
        <f t="shared" si="589"/>
        <v>17.5</v>
      </c>
      <c r="AI1649" s="406"/>
      <c r="AJ1649" s="406">
        <f t="shared" si="594"/>
        <v>117.79111111111111</v>
      </c>
      <c r="AK1649" s="1065">
        <f t="shared" si="584"/>
        <v>0.6634539682539683</v>
      </c>
      <c r="AL1649" s="406">
        <f>Table1[[#This Row],[WSP/Dealer]]/Table1[[#This Row],[OD Sq Inch]]</f>
        <v>0.27006172839506171</v>
      </c>
      <c r="AM1649" s="399">
        <f>Table1[[#This Row],[OD Wdth]]*Table1[[#This Row],[OD Hgt]]</f>
        <v>1296</v>
      </c>
      <c r="AN1649" s="400">
        <f>Table1[[#This Row],[Min VO]]+Table1[[#This Row],[Max VO]]</f>
        <v>72</v>
      </c>
      <c r="AO1649" s="401"/>
      <c r="AP1649" s="1000"/>
      <c r="AQ1649" s="1000"/>
      <c r="AR1649" s="1000"/>
      <c r="AS1649" s="1000"/>
      <c r="AT1649" s="406"/>
      <c r="AU1649" s="1366" t="str">
        <f t="shared" si="588"/>
        <v>-</v>
      </c>
    </row>
    <row r="1650" spans="1:47" s="63" customFormat="1" hidden="1" x14ac:dyDescent="0.2">
      <c r="A1650" s="400" t="s">
        <v>110</v>
      </c>
      <c r="B1650" s="1062" t="s">
        <v>96</v>
      </c>
      <c r="C1650" s="1671" t="s">
        <v>3885</v>
      </c>
      <c r="D1650" s="168"/>
      <c r="E1650" s="1657" t="s">
        <v>3886</v>
      </c>
      <c r="F1650" s="1657" t="s">
        <v>3842</v>
      </c>
      <c r="G1650" s="400" t="s">
        <v>449</v>
      </c>
      <c r="H1650" s="1757" t="s">
        <v>449</v>
      </c>
      <c r="I1650" s="400" t="s">
        <v>52</v>
      </c>
      <c r="J1650" s="497" t="s">
        <v>53</v>
      </c>
      <c r="K1650" s="400" t="s">
        <v>54</v>
      </c>
      <c r="L1650" s="400" t="s">
        <v>55</v>
      </c>
      <c r="M1650" s="488">
        <v>640</v>
      </c>
      <c r="N1650" s="403"/>
      <c r="O1650" s="400" t="s">
        <v>64</v>
      </c>
      <c r="P1650" s="400">
        <v>36</v>
      </c>
      <c r="Q1650" s="400">
        <v>36</v>
      </c>
      <c r="R1650" s="400">
        <v>36</v>
      </c>
      <c r="S1650" s="1244">
        <v>36</v>
      </c>
      <c r="T1650" s="400">
        <v>36</v>
      </c>
      <c r="U1650" s="1244">
        <v>36</v>
      </c>
      <c r="V1650" s="404">
        <f t="shared" si="590"/>
        <v>44</v>
      </c>
      <c r="W1650" s="404">
        <f t="shared" si="591"/>
        <v>44</v>
      </c>
      <c r="X1650" s="525">
        <v>53</v>
      </c>
      <c r="Y1650" s="400">
        <v>44</v>
      </c>
      <c r="Z1650" s="400">
        <v>44</v>
      </c>
      <c r="AA1650" s="724">
        <f t="shared" si="592"/>
        <v>13.444444444444445</v>
      </c>
      <c r="AB1650" s="633">
        <f>AA1650*Swiss1</f>
        <v>380.47777777777782</v>
      </c>
      <c r="AC1650" s="406">
        <f t="shared" si="593"/>
        <v>8.8733333333333331</v>
      </c>
      <c r="AD1650" s="405">
        <f>Table1[[#This Row],[Substrate SF]]*SWISSC1</f>
        <v>37.644444444444446</v>
      </c>
      <c r="AE1650" s="406">
        <f>IF(Table1[[#This Row],[Work Center]]="SwissQ",Materials!G$37,IF(Table1[[#This Row],[Work Center]]="Inca",Materials!G$29,IF(Table1[[#This Row],[Work Center]]="Canon",Materials!G$49,Materials!G$45)))</f>
        <v>20</v>
      </c>
      <c r="AF1650" s="403">
        <f>'Cali FPS'!C67</f>
        <v>83.46</v>
      </c>
      <c r="AG1650" s="1000"/>
      <c r="AH1650" s="406">
        <f t="shared" si="589"/>
        <v>32</v>
      </c>
      <c r="AI1650" s="406">
        <f>IF(A1650="Codarus",(M1650*0.13))</f>
        <v>83.2</v>
      </c>
      <c r="AJ1650" s="406">
        <f t="shared" si="594"/>
        <v>181.97777777777776</v>
      </c>
      <c r="AK1650" s="1065">
        <f t="shared" si="584"/>
        <v>0.71565972222222229</v>
      </c>
      <c r="AL1650" s="406">
        <f>Table1[[#This Row],[WSP/Dealer]]/Table1[[#This Row],[OD Sq Inch]]</f>
        <v>0.49382716049382713</v>
      </c>
      <c r="AM1650" s="399">
        <f>Table1[[#This Row],[OD Wdth]]*Table1[[#This Row],[OD Hgt]]</f>
        <v>1296</v>
      </c>
      <c r="AN1650" s="400">
        <f>Table1[[#This Row],[Min VO]]+Table1[[#This Row],[Max VO]]</f>
        <v>72</v>
      </c>
      <c r="AO1650" s="401"/>
      <c r="AP1650" s="121">
        <v>1280</v>
      </c>
      <c r="AQ1650" s="121">
        <f>(Table1[[#This Row],[Desgnr/Retail P]]*0.05)</f>
        <v>64</v>
      </c>
      <c r="AR1650" s="121">
        <f>IF(A1650="Codarus",(AP1650*0.13))</f>
        <v>166.4</v>
      </c>
      <c r="AS1650" s="121">
        <f>SUM(Table1[[#This Row],[Substrate $]:[GP FINISH]])+Table1[[#This Row],[Retail Royalty]]+Table1[[#This Row],[Retail$Comm]]</f>
        <v>380.37777777777774</v>
      </c>
      <c r="AT1650" s="830">
        <f>IF(AP1650=0,"-",(AP1650-AS1650)/AP1650)</f>
        <v>0.70282986111111112</v>
      </c>
      <c r="AU1650" s="1366">
        <f t="shared" si="588"/>
        <v>0.98901828342013887</v>
      </c>
    </row>
    <row r="1651" spans="1:47" s="46" customFormat="1" hidden="1" x14ac:dyDescent="0.2">
      <c r="A1651" s="470" t="s">
        <v>318</v>
      </c>
      <c r="B1651" s="1061" t="s">
        <v>96</v>
      </c>
      <c r="C1651" s="80" t="s">
        <v>3887</v>
      </c>
      <c r="D1651" s="94"/>
      <c r="E1651" s="492" t="s">
        <v>3888</v>
      </c>
      <c r="F1651" s="492" t="s">
        <v>322</v>
      </c>
      <c r="G1651" s="60" t="s">
        <v>395</v>
      </c>
      <c r="H1651" s="60" t="s">
        <v>396</v>
      </c>
      <c r="I1651" s="60" t="s">
        <v>52</v>
      </c>
      <c r="J1651" s="59" t="s">
        <v>53</v>
      </c>
      <c r="K1651" s="60" t="s">
        <v>69</v>
      </c>
      <c r="L1651" s="60" t="s">
        <v>73</v>
      </c>
      <c r="M1651" s="124">
        <v>900</v>
      </c>
      <c r="N1651" s="786">
        <v>2100</v>
      </c>
      <c r="O1651" s="60" t="s">
        <v>64</v>
      </c>
      <c r="P1651" s="60">
        <v>60</v>
      </c>
      <c r="Q1651" s="60">
        <v>60</v>
      </c>
      <c r="R1651" s="60">
        <v>60</v>
      </c>
      <c r="S1651" s="273">
        <v>60</v>
      </c>
      <c r="T1651" s="60">
        <v>61</v>
      </c>
      <c r="U1651" s="60">
        <v>61</v>
      </c>
      <c r="V1651" s="174">
        <f t="shared" si="590"/>
        <v>68</v>
      </c>
      <c r="W1651" s="174">
        <f t="shared" si="591"/>
        <v>68</v>
      </c>
      <c r="X1651" s="138">
        <v>69</v>
      </c>
      <c r="Y1651" s="60">
        <v>68</v>
      </c>
      <c r="Z1651" s="60">
        <v>68</v>
      </c>
      <c r="AA1651" s="678">
        <f t="shared" si="592"/>
        <v>32.111111111111114</v>
      </c>
      <c r="AB1651" s="329">
        <f>Table1[[#This Row],[Substrate SF]]*Swiss1</f>
        <v>908.74444444444453</v>
      </c>
      <c r="AC1651" s="176">
        <f t="shared" si="593"/>
        <v>21.193333333333335</v>
      </c>
      <c r="AD1651" s="263">
        <f>Table1[[#This Row],[Substrate SF]]*SWISSC1</f>
        <v>89.911111111111111</v>
      </c>
      <c r="AE1651" s="69">
        <f>IF(Table1[[#This Row],[Work Center]]="SwissQ",Materials!G$37,IF(Table1[[#This Row],[Work Center]]="Inca",Materials!G$29,IF(Table1[[#This Row],[Work Center]]="Canon",Materials!G$49,Materials!G$45)))</f>
        <v>20</v>
      </c>
      <c r="AF1651" s="72">
        <f>'Cali Frames'!D481</f>
        <v>235.28749999999997</v>
      </c>
      <c r="AG1651" s="540"/>
      <c r="AH1651" s="498">
        <f t="shared" si="589"/>
        <v>45</v>
      </c>
      <c r="AI1651" s="498"/>
      <c r="AJ1651" s="176">
        <f t="shared" si="594"/>
        <v>411.39194444444445</v>
      </c>
      <c r="AK1651" s="650">
        <f t="shared" si="584"/>
        <v>0.54289783950617287</v>
      </c>
      <c r="AL1651" s="225">
        <f>Table1[[#This Row],[WSP/Dealer]]/Table1[[#This Row],[OD Sq Inch]]</f>
        <v>0.24187046492878259</v>
      </c>
      <c r="AM1651" s="173">
        <f>Table1[[#This Row],[OD Wdth]]*Table1[[#This Row],[OD Hgt]]</f>
        <v>3721</v>
      </c>
      <c r="AN1651" s="180" t="str">
        <f>Table1[[#This Row],[Color]]</f>
        <v>NF</v>
      </c>
      <c r="AO1651" s="83" t="str">
        <f>Table1[[#This Row],[Print Type]]</f>
        <v>Synograph</v>
      </c>
      <c r="AP1651" s="540"/>
      <c r="AQ1651" s="540"/>
      <c r="AR1651" s="540"/>
      <c r="AS1651" s="540"/>
      <c r="AT1651" s="69"/>
      <c r="AU1651" s="1355" t="str">
        <f t="shared" si="588"/>
        <v>-</v>
      </c>
    </row>
    <row r="1652" spans="1:47" s="46" customFormat="1" x14ac:dyDescent="0.2">
      <c r="A1652" s="60" t="s">
        <v>58</v>
      </c>
      <c r="B1652" s="1071" t="s">
        <v>305</v>
      </c>
      <c r="C1652" s="80" t="s">
        <v>3889</v>
      </c>
      <c r="D1652" s="79"/>
      <c r="E1652" s="492" t="s">
        <v>3890</v>
      </c>
      <c r="F1652" s="492" t="s">
        <v>308</v>
      </c>
      <c r="G1652" s="60" t="s">
        <v>819</v>
      </c>
      <c r="H1652" s="60" t="s">
        <v>819</v>
      </c>
      <c r="I1652" s="60" t="s">
        <v>52</v>
      </c>
      <c r="J1652" s="59" t="s">
        <v>53</v>
      </c>
      <c r="K1652" s="60" t="s">
        <v>54</v>
      </c>
      <c r="L1652" s="60" t="s">
        <v>55</v>
      </c>
      <c r="M1652" s="124">
        <v>575</v>
      </c>
      <c r="N1652" s="124"/>
      <c r="O1652" s="60" t="s">
        <v>56</v>
      </c>
      <c r="P1652" s="60">
        <v>32</v>
      </c>
      <c r="Q1652" s="60">
        <v>40</v>
      </c>
      <c r="R1652" s="60">
        <v>32</v>
      </c>
      <c r="S1652" s="273">
        <v>40</v>
      </c>
      <c r="T1652" s="60">
        <v>32</v>
      </c>
      <c r="U1652" s="60">
        <v>40</v>
      </c>
      <c r="V1652" s="47">
        <f t="shared" si="590"/>
        <v>40</v>
      </c>
      <c r="W1652" s="47">
        <f t="shared" si="591"/>
        <v>48</v>
      </c>
      <c r="X1652" s="60">
        <v>40</v>
      </c>
      <c r="Y1652" s="60">
        <v>40</v>
      </c>
      <c r="Z1652" s="60">
        <v>48</v>
      </c>
      <c r="AA1652" s="678">
        <f t="shared" si="592"/>
        <v>13.333333333333334</v>
      </c>
      <c r="AB1652" s="329">
        <f>Table1[[#This Row],[Substrate SF]]*IncaC</f>
        <v>22.442666666666668</v>
      </c>
      <c r="AC1652" s="176">
        <f t="shared" si="593"/>
        <v>8.8000000000000007</v>
      </c>
      <c r="AD1652" s="175">
        <f>Table1[[#This Row],[Substrate SF]]*IncaC</f>
        <v>22.442666666666668</v>
      </c>
      <c r="AE1652" s="69">
        <f>IF(Table1[[#This Row],[Work Center]]="SwissQ",Materials!G$37,IF(Table1[[#This Row],[Work Center]]="Inca",Materials!G$29,IF(Table1[[#This Row],[Work Center]]="Canon",Materials!G$49,Materials!G$45)))</f>
        <v>8</v>
      </c>
      <c r="AF1652" s="72">
        <f>'Cali FPS'!C58</f>
        <v>83.3</v>
      </c>
      <c r="AG1652" s="540"/>
      <c r="AH1652" s="69">
        <f t="shared" si="589"/>
        <v>28.75</v>
      </c>
      <c r="AI1652" s="69"/>
      <c r="AJ1652" s="176">
        <f t="shared" si="594"/>
        <v>151.29266666666666</v>
      </c>
      <c r="AK1652" s="650">
        <f t="shared" si="584"/>
        <v>0.73688231884057975</v>
      </c>
      <c r="AL1652" s="225">
        <f>Table1[[#This Row],[WSP/Dealer]]/Table1[[#This Row],[OD Sq Inch]]</f>
        <v>0.44921875</v>
      </c>
      <c r="AM1652" s="173">
        <f>Table1[[#This Row],[OD Wdth]]*Table1[[#This Row],[OD Hgt]]</f>
        <v>1280</v>
      </c>
      <c r="AN1652" s="180" t="str">
        <f>Table1[[#This Row],[Color]]</f>
        <v>GW</v>
      </c>
      <c r="AO1652" s="83" t="str">
        <f>Table1[[#This Row],[Print Type]]</f>
        <v>Synograph</v>
      </c>
      <c r="AP1652" s="540"/>
      <c r="AQ1652" s="540"/>
      <c r="AR1652" s="540"/>
      <c r="AS1652" s="540"/>
      <c r="AT1652" s="69"/>
      <c r="AU1652" s="1361" t="str">
        <f t="shared" si="588"/>
        <v>-</v>
      </c>
    </row>
    <row r="1653" spans="1:47" s="63" customFormat="1" x14ac:dyDescent="0.2">
      <c r="A1653" s="60" t="s">
        <v>58</v>
      </c>
      <c r="B1653" s="1071" t="s">
        <v>305</v>
      </c>
      <c r="C1653" s="80" t="s">
        <v>3891</v>
      </c>
      <c r="D1653" s="79"/>
      <c r="E1653" s="492" t="s">
        <v>3892</v>
      </c>
      <c r="F1653" s="492" t="s">
        <v>308</v>
      </c>
      <c r="G1653" s="60" t="s">
        <v>819</v>
      </c>
      <c r="H1653" s="60" t="s">
        <v>819</v>
      </c>
      <c r="I1653" s="60" t="s">
        <v>52</v>
      </c>
      <c r="J1653" s="59" t="s">
        <v>53</v>
      </c>
      <c r="K1653" s="60" t="s">
        <v>54</v>
      </c>
      <c r="L1653" s="60" t="s">
        <v>55</v>
      </c>
      <c r="M1653" s="124">
        <v>575</v>
      </c>
      <c r="N1653" s="124"/>
      <c r="O1653" s="60" t="s">
        <v>56</v>
      </c>
      <c r="P1653" s="60">
        <v>32</v>
      </c>
      <c r="Q1653" s="60">
        <v>40</v>
      </c>
      <c r="R1653" s="60">
        <v>32</v>
      </c>
      <c r="S1653" s="273">
        <v>40</v>
      </c>
      <c r="T1653" s="60">
        <v>32</v>
      </c>
      <c r="U1653" s="60">
        <v>40</v>
      </c>
      <c r="V1653" s="946">
        <f t="shared" si="590"/>
        <v>40</v>
      </c>
      <c r="W1653" s="946">
        <f t="shared" si="591"/>
        <v>48</v>
      </c>
      <c r="X1653" s="60">
        <v>40</v>
      </c>
      <c r="Y1653" s="60">
        <v>40</v>
      </c>
      <c r="Z1653" s="60">
        <v>48</v>
      </c>
      <c r="AA1653" s="678">
        <f t="shared" si="592"/>
        <v>13.333333333333334</v>
      </c>
      <c r="AB1653" s="329">
        <f>Table1[[#This Row],[Substrate SF]]*IncaC</f>
        <v>22.442666666666668</v>
      </c>
      <c r="AC1653" s="176">
        <f t="shared" si="593"/>
        <v>8.8000000000000007</v>
      </c>
      <c r="AD1653" s="175">
        <f>Table1[[#This Row],[Substrate SF]]*IncaC</f>
        <v>22.442666666666668</v>
      </c>
      <c r="AE1653" s="69">
        <f>IF(Table1[[#This Row],[Work Center]]="SwissQ",Materials!G$37,IF(Table1[[#This Row],[Work Center]]="Inca",Materials!G$29,IF(Table1[[#This Row],[Work Center]]="Canon",Materials!G$49,Materials!G$45)))</f>
        <v>8</v>
      </c>
      <c r="AF1653" s="72">
        <f>'Cali FPS'!C58</f>
        <v>83.3</v>
      </c>
      <c r="AG1653" s="540"/>
      <c r="AH1653" s="48">
        <f t="shared" si="589"/>
        <v>28.75</v>
      </c>
      <c r="AI1653" s="48"/>
      <c r="AJ1653" s="176">
        <f t="shared" si="594"/>
        <v>151.29266666666666</v>
      </c>
      <c r="AK1653" s="62">
        <f t="shared" si="584"/>
        <v>0.73688231884057975</v>
      </c>
      <c r="AL1653" s="225">
        <f>Table1[[#This Row],[WSP/Dealer]]/Table1[[#This Row],[OD Sq Inch]]</f>
        <v>0.44921875</v>
      </c>
      <c r="AM1653" s="173">
        <f>Table1[[#This Row],[OD Wdth]]*Table1[[#This Row],[OD Hgt]]</f>
        <v>1280</v>
      </c>
      <c r="AN1653" s="180" t="str">
        <f>Table1[[#This Row],[Color]]</f>
        <v>GW</v>
      </c>
      <c r="AO1653" s="83" t="str">
        <f>Table1[[#This Row],[Print Type]]</f>
        <v>Synograph</v>
      </c>
      <c r="AP1653" s="540"/>
      <c r="AQ1653" s="540"/>
      <c r="AR1653" s="540"/>
      <c r="AS1653" s="540"/>
      <c r="AT1653" s="69"/>
      <c r="AU1653" s="1361" t="str">
        <f t="shared" si="588"/>
        <v>-</v>
      </c>
    </row>
    <row r="1654" spans="1:47" s="103" customFormat="1" hidden="1" x14ac:dyDescent="0.2">
      <c r="A1654" s="373"/>
      <c r="B1654" s="1061"/>
      <c r="C1654" s="78"/>
      <c r="D1654" s="94"/>
      <c r="E1654" s="84" t="s">
        <v>3893</v>
      </c>
      <c r="F1654" s="378" t="s">
        <v>322</v>
      </c>
      <c r="G1654" s="68" t="s">
        <v>395</v>
      </c>
      <c r="H1654" s="68" t="s">
        <v>396</v>
      </c>
      <c r="I1654" s="68" t="s">
        <v>52</v>
      </c>
      <c r="J1654" s="140" t="s">
        <v>53</v>
      </c>
      <c r="K1654" s="68" t="s">
        <v>69</v>
      </c>
      <c r="L1654" s="68" t="s">
        <v>73</v>
      </c>
      <c r="M1654" s="141">
        <v>925</v>
      </c>
      <c r="N1654" s="71"/>
      <c r="O1654" s="63" t="s">
        <v>64</v>
      </c>
      <c r="P1654" s="63">
        <v>60</v>
      </c>
      <c r="Q1654" s="63">
        <v>60</v>
      </c>
      <c r="R1654" s="68">
        <v>60</v>
      </c>
      <c r="S1654" s="65">
        <v>60</v>
      </c>
      <c r="T1654" s="63">
        <v>61</v>
      </c>
      <c r="U1654" s="63">
        <v>61</v>
      </c>
      <c r="V1654" s="277">
        <f t="shared" si="590"/>
        <v>68</v>
      </c>
      <c r="W1654" s="277">
        <f t="shared" si="591"/>
        <v>68</v>
      </c>
      <c r="X1654" s="189"/>
      <c r="Y1654" s="68">
        <v>68</v>
      </c>
      <c r="Z1654" s="68">
        <v>68</v>
      </c>
      <c r="AA1654" s="727">
        <f t="shared" si="592"/>
        <v>32.111111111111114</v>
      </c>
      <c r="AB1654" s="341">
        <f>Table1[[#This Row],[Substrate SF]]*Swiss1</f>
        <v>908.74444444444453</v>
      </c>
      <c r="AC1654" s="278">
        <f t="shared" si="593"/>
        <v>21.193333333333335</v>
      </c>
      <c r="AD1654" s="263">
        <f>Table1[[#This Row],[Substrate SF]]*SWISSC1</f>
        <v>89.911111111111111</v>
      </c>
      <c r="AE1654" s="74">
        <f>IF(Table1[[#This Row],[Work Center]]="SwissQ",Materials!G$37,IF(Table1[[#This Row],[Work Center]]="Inca",Materials!G$29,IF(Table1[[#This Row],[Work Center]]="Canon",Materials!G$49,Materials!G$45)))</f>
        <v>20</v>
      </c>
      <c r="AF1654" s="73">
        <f>'Cali Frames'!D481</f>
        <v>235.28749999999997</v>
      </c>
      <c r="AG1654" s="126"/>
      <c r="AH1654" s="112">
        <f t="shared" si="589"/>
        <v>46.25</v>
      </c>
      <c r="AI1654" s="112"/>
      <c r="AJ1654" s="278">
        <f t="shared" si="594"/>
        <v>412.64194444444445</v>
      </c>
      <c r="AK1654" s="62">
        <f t="shared" si="584"/>
        <v>0.55390060060060065</v>
      </c>
      <c r="AL1654" s="225">
        <f>Table1[[#This Row],[WSP/Dealer]]/Table1[[#This Row],[OD Sq Inch]]</f>
        <v>0.24858908895458209</v>
      </c>
      <c r="AM1654" s="170">
        <f>Table1[[#This Row],[OD Wdth]]*Table1[[#This Row],[OD Hgt]]</f>
        <v>3721</v>
      </c>
      <c r="AN1654" s="274" t="str">
        <f>Table1[[#This Row],[Color]]</f>
        <v>NF</v>
      </c>
      <c r="AO1654" s="119" t="str">
        <f>Table1[[#This Row],[Print Type]]</f>
        <v>Synograph</v>
      </c>
      <c r="AP1654" s="84"/>
      <c r="AQ1654" s="126"/>
      <c r="AR1654" s="126"/>
      <c r="AS1654" s="126"/>
      <c r="AT1654" s="74"/>
      <c r="AU1654" s="1356" t="str">
        <f t="shared" si="588"/>
        <v>-</v>
      </c>
    </row>
    <row r="1655" spans="1:47" s="103" customFormat="1" hidden="1" x14ac:dyDescent="0.2">
      <c r="A1655" s="470" t="s">
        <v>318</v>
      </c>
      <c r="B1655" s="1061" t="s">
        <v>96</v>
      </c>
      <c r="C1655" s="76" t="s">
        <v>3894</v>
      </c>
      <c r="D1655" s="94">
        <v>180938</v>
      </c>
      <c r="E1655" s="83" t="s">
        <v>3895</v>
      </c>
      <c r="F1655" s="492" t="s">
        <v>322</v>
      </c>
      <c r="G1655" s="60" t="s">
        <v>395</v>
      </c>
      <c r="H1655" s="60" t="s">
        <v>396</v>
      </c>
      <c r="I1655" s="60" t="s">
        <v>52</v>
      </c>
      <c r="J1655" s="59" t="s">
        <v>53</v>
      </c>
      <c r="K1655" s="60" t="s">
        <v>69</v>
      </c>
      <c r="L1655" s="60" t="s">
        <v>73</v>
      </c>
      <c r="M1655" s="124">
        <v>900</v>
      </c>
      <c r="N1655" s="786">
        <v>2100</v>
      </c>
      <c r="O1655" s="60" t="s">
        <v>64</v>
      </c>
      <c r="P1655" s="60">
        <v>60</v>
      </c>
      <c r="Q1655" s="60">
        <v>60</v>
      </c>
      <c r="R1655" s="60">
        <v>60</v>
      </c>
      <c r="S1655" s="273">
        <v>60</v>
      </c>
      <c r="T1655" s="60">
        <v>61</v>
      </c>
      <c r="U1655" s="60">
        <v>61</v>
      </c>
      <c r="V1655" s="174">
        <f t="shared" si="590"/>
        <v>68</v>
      </c>
      <c r="W1655" s="174">
        <f t="shared" si="591"/>
        <v>68</v>
      </c>
      <c r="X1655" s="138">
        <v>69</v>
      </c>
      <c r="Y1655" s="60">
        <v>68</v>
      </c>
      <c r="Z1655" s="60">
        <v>68</v>
      </c>
      <c r="AA1655" s="678">
        <f t="shared" si="592"/>
        <v>32.111111111111114</v>
      </c>
      <c r="AB1655" s="341">
        <f>Table1[[#This Row],[Substrate SF]]*Swiss1</f>
        <v>908.74444444444453</v>
      </c>
      <c r="AC1655" s="176">
        <f t="shared" si="593"/>
        <v>21.193333333333335</v>
      </c>
      <c r="AD1655" s="263">
        <f>Table1[[#This Row],[Substrate SF]]*SWISSC1</f>
        <v>89.911111111111111</v>
      </c>
      <c r="AE1655" s="69">
        <f>IF(Table1[[#This Row],[Work Center]]="SwissQ",Materials!G$37,IF(Table1[[#This Row],[Work Center]]="Inca",Materials!G$29,IF(Table1[[#This Row],[Work Center]]="Canon",Materials!G$49,Materials!G$45)))</f>
        <v>20</v>
      </c>
      <c r="AF1655" s="72">
        <f>'Cali Frames'!D481</f>
        <v>235.28749999999997</v>
      </c>
      <c r="AG1655" s="540"/>
      <c r="AH1655" s="112">
        <f t="shared" si="589"/>
        <v>45</v>
      </c>
      <c r="AI1655" s="112"/>
      <c r="AJ1655" s="175">
        <f t="shared" si="594"/>
        <v>411.39194444444445</v>
      </c>
      <c r="AK1655" s="62">
        <f t="shared" si="584"/>
        <v>0.54289783950617287</v>
      </c>
      <c r="AL1655" s="225">
        <f>Table1[[#This Row],[WSP/Dealer]]/Table1[[#This Row],[OD Sq Inch]]</f>
        <v>0.24187046492878259</v>
      </c>
      <c r="AM1655" s="173">
        <f>Table1[[#This Row],[OD Wdth]]*Table1[[#This Row],[OD Hgt]]</f>
        <v>3721</v>
      </c>
      <c r="AN1655" s="180" t="str">
        <f>Table1[[#This Row],[Color]]</f>
        <v>NF</v>
      </c>
      <c r="AO1655" s="83" t="str">
        <f>Table1[[#This Row],[Print Type]]</f>
        <v>Synograph</v>
      </c>
      <c r="AP1655" s="540"/>
      <c r="AQ1655" s="540"/>
      <c r="AR1655" s="540"/>
      <c r="AS1655" s="540"/>
      <c r="AT1655" s="69"/>
      <c r="AU1655" s="1361" t="str">
        <f t="shared" si="588"/>
        <v>-</v>
      </c>
    </row>
    <row r="1656" spans="1:47" s="103" customFormat="1" hidden="1" x14ac:dyDescent="0.2">
      <c r="A1656" s="101" t="s">
        <v>110</v>
      </c>
      <c r="B1656" s="1062" t="s">
        <v>134</v>
      </c>
      <c r="C1656" s="100" t="s">
        <v>3896</v>
      </c>
      <c r="D1656" s="168"/>
      <c r="E1656" s="115" t="s">
        <v>3895</v>
      </c>
      <c r="F1656" s="327" t="s">
        <v>322</v>
      </c>
      <c r="G1656" s="101" t="s">
        <v>395</v>
      </c>
      <c r="H1656" s="101" t="s">
        <v>395</v>
      </c>
      <c r="I1656" s="101" t="s">
        <v>52</v>
      </c>
      <c r="J1656" s="487" t="s">
        <v>53</v>
      </c>
      <c r="K1656" s="101" t="s">
        <v>54</v>
      </c>
      <c r="L1656" s="101" t="s">
        <v>55</v>
      </c>
      <c r="M1656" s="299">
        <v>1000</v>
      </c>
      <c r="N1656" s="1391"/>
      <c r="O1656" s="101" t="s">
        <v>64</v>
      </c>
      <c r="P1656" s="101">
        <v>60</v>
      </c>
      <c r="Q1656" s="101">
        <v>60</v>
      </c>
      <c r="R1656" s="101">
        <v>60</v>
      </c>
      <c r="S1656" s="697">
        <v>60</v>
      </c>
      <c r="T1656" s="101">
        <v>61</v>
      </c>
      <c r="U1656" s="101">
        <v>61</v>
      </c>
      <c r="V1656" s="608">
        <f t="shared" si="590"/>
        <v>68</v>
      </c>
      <c r="W1656" s="608">
        <f t="shared" si="591"/>
        <v>68</v>
      </c>
      <c r="X1656" s="137">
        <v>69</v>
      </c>
      <c r="Y1656" s="101">
        <v>68</v>
      </c>
      <c r="Z1656" s="101">
        <v>68</v>
      </c>
      <c r="AA1656" s="724">
        <f t="shared" si="592"/>
        <v>32.111111111111114</v>
      </c>
      <c r="AB1656" s="633">
        <f>Table1[[#This Row],[Substrate SF]]*Swiss1</f>
        <v>908.74444444444453</v>
      </c>
      <c r="AC1656" s="406">
        <f t="shared" si="593"/>
        <v>21.193333333333335</v>
      </c>
      <c r="AD1656" s="405">
        <f>Table1[[#This Row],[Substrate SF]]*SWISSC1</f>
        <v>89.911111111111111</v>
      </c>
      <c r="AE1656" s="104">
        <f>IF(Table1[[#This Row],[Work Center]]="SwissQ",Materials!G$37,IF(Table1[[#This Row],[Work Center]]="Inca",Materials!G$29,IF(Table1[[#This Row],[Work Center]]="Canon",Materials!G$49,Materials!G$45)))</f>
        <v>20</v>
      </c>
      <c r="AF1656" s="102">
        <f>'Cali FPS'!C158</f>
        <v>196.875</v>
      </c>
      <c r="AG1656" s="121"/>
      <c r="AH1656" s="104">
        <f t="shared" si="589"/>
        <v>50</v>
      </c>
      <c r="AI1656" s="405">
        <f>IF(A1656="Codarus",(M1656*0.13))</f>
        <v>130</v>
      </c>
      <c r="AJ1656" s="104">
        <f>SUM(AC1656:AI1656)</f>
        <v>507.97944444444443</v>
      </c>
      <c r="AK1656" s="830">
        <f t="shared" si="584"/>
        <v>0.49202055555555557</v>
      </c>
      <c r="AL1656" s="660">
        <f>Table1[[#This Row],[WSP/Dealer]]/Table1[[#This Row],[OD Sq Inch]]</f>
        <v>0.26874496103198064</v>
      </c>
      <c r="AM1656" s="399">
        <f>Table1[[#This Row],[OD Wdth]]*Table1[[#This Row],[OD Hgt]]</f>
        <v>3721</v>
      </c>
      <c r="AN1656" s="400" t="str">
        <f>Table1[[#This Row],[Color]]</f>
        <v>GW</v>
      </c>
      <c r="AO1656" s="115" t="str">
        <f>Table1[[#This Row],[Print Type]]</f>
        <v>Synograph</v>
      </c>
      <c r="AP1656" s="121">
        <v>2000</v>
      </c>
      <c r="AQ1656" s="121">
        <f>(Table1[[#This Row],[Desgnr/Retail P]]*0.05)</f>
        <v>100</v>
      </c>
      <c r="AR1656" s="121">
        <f>IF(A1656="Codarus",(AP1656*0.13))</f>
        <v>260</v>
      </c>
      <c r="AS1656" s="121">
        <f>SUM(Table1[[#This Row],[Substrate $]:[GP FINISH]])+Table1[[#This Row],[Retail Royalty]]+Table1[[#This Row],[Retail$Comm]]</f>
        <v>687.97944444444443</v>
      </c>
      <c r="AT1656" s="830">
        <f>IF(AP1656=0,"-",(AP1656-AS1656)/AP1656)</f>
        <v>0.65601027777777776</v>
      </c>
      <c r="AU1656" s="1359">
        <f t="shared" si="588"/>
        <v>0.99343989722222215</v>
      </c>
    </row>
    <row r="1657" spans="1:47" s="103" customFormat="1" hidden="1" x14ac:dyDescent="0.2">
      <c r="A1657" s="400" t="s">
        <v>110</v>
      </c>
      <c r="B1657" s="1062" t="s">
        <v>134</v>
      </c>
      <c r="C1657" s="496" t="s">
        <v>3897</v>
      </c>
      <c r="D1657" s="168"/>
      <c r="E1657" s="401" t="s">
        <v>3898</v>
      </c>
      <c r="F1657" s="1657" t="s">
        <v>1364</v>
      </c>
      <c r="G1657" s="400" t="s">
        <v>1290</v>
      </c>
      <c r="H1657" s="400" t="s">
        <v>1290</v>
      </c>
      <c r="I1657" s="400" t="s">
        <v>52</v>
      </c>
      <c r="J1657" s="497" t="s">
        <v>53</v>
      </c>
      <c r="K1657" s="400" t="s">
        <v>54</v>
      </c>
      <c r="L1657" s="400" t="s">
        <v>55</v>
      </c>
      <c r="M1657" s="488">
        <v>400</v>
      </c>
      <c r="N1657" s="403"/>
      <c r="O1657" s="400" t="s">
        <v>64</v>
      </c>
      <c r="P1657" s="399">
        <v>20</v>
      </c>
      <c r="Q1657" s="399">
        <v>30</v>
      </c>
      <c r="R1657" s="400">
        <v>20</v>
      </c>
      <c r="S1657" s="1773">
        <v>30</v>
      </c>
      <c r="T1657" s="399">
        <v>21</v>
      </c>
      <c r="U1657" s="399">
        <v>31</v>
      </c>
      <c r="V1657" s="106">
        <f t="shared" si="590"/>
        <v>28</v>
      </c>
      <c r="W1657" s="106">
        <f t="shared" si="591"/>
        <v>38</v>
      </c>
      <c r="X1657" s="525">
        <v>40</v>
      </c>
      <c r="Y1657" s="400">
        <v>28</v>
      </c>
      <c r="Z1657" s="400">
        <v>38</v>
      </c>
      <c r="AA1657" s="724">
        <f t="shared" si="592"/>
        <v>7.3888888888888893</v>
      </c>
      <c r="AB1657" s="633">
        <f>AA1657*Swiss1</f>
        <v>209.10555555555558</v>
      </c>
      <c r="AC1657" s="406">
        <f t="shared" si="593"/>
        <v>4.8766666666666669</v>
      </c>
      <c r="AD1657" s="405">
        <f>Table1[[#This Row],[Substrate SF]]*Materials!C$37</f>
        <v>20.68888888888889</v>
      </c>
      <c r="AE1657" s="406">
        <f>IF(Table1[[#This Row],[Work Center]]="SwissQ",Materials!G$37,IF(Table1[[#This Row],[Work Center]]="Inca",Materials!G$29,IF(Table1[[#This Row],[Work Center]]="Canon",Materials!G$49,Materials!G$45)))</f>
        <v>20</v>
      </c>
      <c r="AF1657" s="403">
        <f>'Cali FPS'!C35</f>
        <v>74.2</v>
      </c>
      <c r="AG1657" s="1000"/>
      <c r="AH1657" s="405">
        <f t="shared" si="589"/>
        <v>20</v>
      </c>
      <c r="AI1657" s="405">
        <f>IF(A1657="Codarus",(M1657*0.13))</f>
        <v>52</v>
      </c>
      <c r="AJ1657" s="104">
        <f>SUM(AC1657:AI1657)</f>
        <v>191.76555555555555</v>
      </c>
      <c r="AK1657" s="1068">
        <f t="shared" si="584"/>
        <v>0.52058611111111108</v>
      </c>
      <c r="AL1657" s="406">
        <f>Table1[[#This Row],[WSP/Dealer]]/Table1[[#This Row],[OD Sq Inch]]</f>
        <v>0.61443932411674351</v>
      </c>
      <c r="AM1657" s="399">
        <f>Table1[[#This Row],[OD Wdth]]*Table1[[#This Row],[OD Hgt]]</f>
        <v>651</v>
      </c>
      <c r="AN1657" s="400">
        <f>Table1[[#This Row],[Min VO]]+Table1[[#This Row],[Max VO]]</f>
        <v>50</v>
      </c>
      <c r="AO1657" s="402"/>
      <c r="AP1657" s="1000">
        <v>800</v>
      </c>
      <c r="AQ1657" s="1000">
        <f>(Table1[[#This Row],[Desgnr/Retail P]]*0.05)</f>
        <v>40</v>
      </c>
      <c r="AR1657" s="121">
        <f>IF(A1657="Codarus",(AP1657*0.13))</f>
        <v>104</v>
      </c>
      <c r="AS1657" s="121">
        <f>SUM(Table1[[#This Row],[Substrate $]:[GP FINISH]])+Table1[[#This Row],[Retail Royalty]]+Table1[[#This Row],[Retail$Comm]]</f>
        <v>263.76555555555558</v>
      </c>
      <c r="AT1657" s="830">
        <f>IF(AP1657=0,"-",(AP1657-AS1657)/AP1657)</f>
        <v>0.67029305555555552</v>
      </c>
      <c r="AU1657" s="1818">
        <f t="shared" si="588"/>
        <v>0.98324267361111117</v>
      </c>
    </row>
    <row r="1658" spans="1:47" s="170" customFormat="1" hidden="1" x14ac:dyDescent="0.2">
      <c r="A1658" s="180" t="s">
        <v>95</v>
      </c>
      <c r="B1658" s="1061" t="s">
        <v>96</v>
      </c>
      <c r="C1658" s="302" t="s">
        <v>3899</v>
      </c>
      <c r="D1658" s="94"/>
      <c r="E1658" s="284" t="s">
        <v>3900</v>
      </c>
      <c r="F1658" s="642" t="s">
        <v>1364</v>
      </c>
      <c r="G1658" s="180" t="s">
        <v>1290</v>
      </c>
      <c r="H1658" s="180" t="s">
        <v>3143</v>
      </c>
      <c r="I1658" s="180" t="s">
        <v>52</v>
      </c>
      <c r="J1658" s="310" t="s">
        <v>53</v>
      </c>
      <c r="K1658" s="180" t="s">
        <v>69</v>
      </c>
      <c r="L1658" s="180" t="s">
        <v>73</v>
      </c>
      <c r="M1658" s="292">
        <v>400</v>
      </c>
      <c r="N1658" s="290"/>
      <c r="O1658" s="180" t="s">
        <v>64</v>
      </c>
      <c r="P1658" s="173">
        <v>20</v>
      </c>
      <c r="Q1658" s="173">
        <v>30</v>
      </c>
      <c r="R1658" s="180">
        <v>20</v>
      </c>
      <c r="S1658" s="1692">
        <v>30</v>
      </c>
      <c r="T1658" s="180">
        <v>21</v>
      </c>
      <c r="U1658" s="173">
        <v>31</v>
      </c>
      <c r="V1658" s="174">
        <f t="shared" si="590"/>
        <v>28</v>
      </c>
      <c r="W1658" s="174">
        <f t="shared" si="591"/>
        <v>38</v>
      </c>
      <c r="X1658" s="289">
        <v>40</v>
      </c>
      <c r="Y1658" s="180">
        <v>28</v>
      </c>
      <c r="Z1658" s="180">
        <v>38</v>
      </c>
      <c r="AA1658" s="678">
        <f t="shared" si="592"/>
        <v>7.3888888888888893</v>
      </c>
      <c r="AB1658" s="329">
        <f>AA1658*Swiss1</f>
        <v>209.10555555555558</v>
      </c>
      <c r="AC1658" s="176">
        <f t="shared" si="593"/>
        <v>4.8766666666666669</v>
      </c>
      <c r="AD1658" s="175">
        <f>Table1[[#This Row],[Substrate SF]]*Materials!C$37</f>
        <v>20.68888888888889</v>
      </c>
      <c r="AE1658" s="176">
        <f>IF(Table1[[#This Row],[Work Center]]="SwissQ",Materials!G$37,IF(Table1[[#This Row],[Work Center]]="Inca",Materials!G$29,IF(Table1[[#This Row],[Work Center]]="Canon",Materials!G$49,Materials!G$45)))</f>
        <v>20</v>
      </c>
      <c r="AF1658" s="290">
        <f>'Cali Frames'!D419</f>
        <v>83.685000000000002</v>
      </c>
      <c r="AG1658" s="296"/>
      <c r="AH1658" s="175">
        <f t="shared" si="589"/>
        <v>20</v>
      </c>
      <c r="AI1658" s="175"/>
      <c r="AJ1658" s="176">
        <f>SUM(AC1658:AH1658)</f>
        <v>149.25055555555556</v>
      </c>
      <c r="AK1658" s="676">
        <f t="shared" si="584"/>
        <v>0.62687361111111106</v>
      </c>
      <c r="AL1658" s="176">
        <f>Table1[[#This Row],[WSP/Dealer]]/Table1[[#This Row],[OD Sq Inch]]</f>
        <v>0.61443932411674351</v>
      </c>
      <c r="AM1658" s="173">
        <f>Table1[[#This Row],[OD Wdth]]*Table1[[#This Row],[OD Hgt]]</f>
        <v>651</v>
      </c>
      <c r="AN1658" s="180">
        <f>Table1[[#This Row],[Min VO]]+Table1[[#This Row],[Max VO]]</f>
        <v>50</v>
      </c>
      <c r="AO1658" s="286"/>
      <c r="AP1658" s="296"/>
      <c r="AQ1658" s="296"/>
      <c r="AR1658" s="296"/>
      <c r="AS1658" s="296"/>
      <c r="AT1658" s="176"/>
      <c r="AU1658" s="1358" t="str">
        <f t="shared" si="588"/>
        <v>-</v>
      </c>
    </row>
    <row r="1659" spans="1:47" s="103" customFormat="1" hidden="1" x14ac:dyDescent="0.2">
      <c r="A1659" s="68" t="s">
        <v>95</v>
      </c>
      <c r="B1659" s="279" t="s">
        <v>96</v>
      </c>
      <c r="C1659" s="78" t="s">
        <v>3901</v>
      </c>
      <c r="D1659" s="94"/>
      <c r="E1659" s="84" t="s">
        <v>3902</v>
      </c>
      <c r="F1659" s="378" t="s">
        <v>1364</v>
      </c>
      <c r="G1659" s="68"/>
      <c r="H1659" s="68"/>
      <c r="I1659" s="68"/>
      <c r="J1659" s="140"/>
      <c r="K1659" s="68"/>
      <c r="L1659" s="68" t="s">
        <v>73</v>
      </c>
      <c r="M1659" s="141">
        <v>3000</v>
      </c>
      <c r="N1659" s="93"/>
      <c r="O1659" s="68"/>
      <c r="P1659" s="68"/>
      <c r="Q1659" s="68"/>
      <c r="R1659" s="68"/>
      <c r="S1659" s="623"/>
      <c r="T1659" s="68"/>
      <c r="U1659" s="68"/>
      <c r="V1659" s="917"/>
      <c r="W1659" s="917"/>
      <c r="X1659" s="189"/>
      <c r="Y1659" s="68"/>
      <c r="Z1659" s="68"/>
      <c r="AA1659" s="699"/>
      <c r="AB1659" s="297"/>
      <c r="AC1659" s="74"/>
      <c r="AD1659" s="118"/>
      <c r="AE1659" s="126"/>
      <c r="AF1659" s="73"/>
      <c r="AG1659" s="126"/>
      <c r="AH1659" s="126"/>
      <c r="AI1659" s="126"/>
      <c r="AJ1659" s="126"/>
      <c r="AK1659" s="1001"/>
      <c r="AL1659" s="126"/>
      <c r="AM1659" s="119"/>
      <c r="AN1659" s="84"/>
      <c r="AO1659" s="84"/>
      <c r="AP1659" s="126"/>
      <c r="AQ1659" s="126"/>
      <c r="AR1659" s="126"/>
      <c r="AS1659" s="126"/>
      <c r="AT1659" s="74"/>
      <c r="AU1659" s="1357" t="str">
        <f t="shared" si="588"/>
        <v>-</v>
      </c>
    </row>
    <row r="1660" spans="1:47" s="103" customFormat="1" hidden="1" x14ac:dyDescent="0.2">
      <c r="A1660" s="180" t="s">
        <v>95</v>
      </c>
      <c r="B1660" s="279" t="s">
        <v>96</v>
      </c>
      <c r="C1660" s="302" t="s">
        <v>3903</v>
      </c>
      <c r="D1660" s="94"/>
      <c r="E1660" s="284" t="s">
        <v>3904</v>
      </c>
      <c r="F1660" s="642" t="s">
        <v>1364</v>
      </c>
      <c r="G1660" s="180" t="s">
        <v>1290</v>
      </c>
      <c r="H1660" s="180" t="s">
        <v>3143</v>
      </c>
      <c r="I1660" s="180" t="s">
        <v>52</v>
      </c>
      <c r="J1660" s="310" t="s">
        <v>53</v>
      </c>
      <c r="K1660" s="180" t="s">
        <v>69</v>
      </c>
      <c r="L1660" s="180" t="s">
        <v>73</v>
      </c>
      <c r="M1660" s="292">
        <v>400</v>
      </c>
      <c r="N1660" s="290"/>
      <c r="O1660" s="180" t="s">
        <v>64</v>
      </c>
      <c r="P1660" s="180">
        <v>20</v>
      </c>
      <c r="Q1660" s="180">
        <v>30</v>
      </c>
      <c r="R1660" s="180">
        <v>20</v>
      </c>
      <c r="S1660" s="813">
        <v>30</v>
      </c>
      <c r="T1660" s="180">
        <v>21</v>
      </c>
      <c r="U1660" s="180">
        <v>31</v>
      </c>
      <c r="V1660" s="947">
        <f t="shared" ref="V1660:V1665" si="595">IF(J1660="Canvas",P1660+Border,P1660)</f>
        <v>28</v>
      </c>
      <c r="W1660" s="947">
        <f t="shared" ref="W1660:W1665" si="596">IF(J1660="Canvas",Q1660+Border,Q1660)</f>
        <v>38</v>
      </c>
      <c r="X1660" s="289">
        <v>40</v>
      </c>
      <c r="Y1660" s="180">
        <v>28</v>
      </c>
      <c r="Z1660" s="180">
        <v>38</v>
      </c>
      <c r="AA1660" s="678">
        <f t="shared" ref="AA1660:AA1681" si="597">V1660*W1660/144</f>
        <v>7.3888888888888893</v>
      </c>
      <c r="AB1660" s="329">
        <f>AA1660*Swiss1</f>
        <v>209.10555555555558</v>
      </c>
      <c r="AC1660" s="176">
        <f t="shared" ref="AC1660:AC1665" si="598">AA1660*Canvas</f>
        <v>4.8766666666666669</v>
      </c>
      <c r="AD1660" s="175">
        <f>Table1[[#This Row],[Substrate SF]]*Materials!C$37</f>
        <v>20.68888888888889</v>
      </c>
      <c r="AE1660" s="176">
        <f>IF(Table1[[#This Row],[Work Center]]="SwissQ",Materials!G$37,IF(Table1[[#This Row],[Work Center]]="Inca",Materials!G$29,IF(Table1[[#This Row],[Work Center]]="Canon",Materials!G$49,Materials!G$45)))</f>
        <v>20</v>
      </c>
      <c r="AF1660" s="290">
        <f>'Cali Frames'!D419</f>
        <v>83.685000000000002</v>
      </c>
      <c r="AG1660" s="296"/>
      <c r="AH1660" s="176">
        <f t="shared" ref="AH1660:AH1691" si="599">(M1660*0.05)</f>
        <v>20</v>
      </c>
      <c r="AI1660" s="176"/>
      <c r="AJ1660" s="176">
        <f t="shared" ref="AJ1660:AJ1674" si="600">SUM(AC1660:AH1660)</f>
        <v>149.25055555555556</v>
      </c>
      <c r="AK1660" s="1201">
        <f t="shared" ref="AK1660:AK1691" si="601">(M1660-AJ1660)/M1660</f>
        <v>0.62687361111111106</v>
      </c>
      <c r="AL1660" s="176">
        <f>Table1[[#This Row],[WSP/Dealer]]/Table1[[#This Row],[OD Sq Inch]]</f>
        <v>0.61443932411674351</v>
      </c>
      <c r="AM1660" s="173">
        <f>Table1[[#This Row],[OD Wdth]]*Table1[[#This Row],[OD Hgt]]</f>
        <v>651</v>
      </c>
      <c r="AN1660" s="180">
        <f>Table1[[#This Row],[Min VO]]+Table1[[#This Row],[Max VO]]</f>
        <v>50</v>
      </c>
      <c r="AO1660" s="284"/>
      <c r="AP1660" s="296"/>
      <c r="AQ1660" s="296"/>
      <c r="AR1660" s="296"/>
      <c r="AS1660" s="296"/>
      <c r="AT1660" s="176"/>
      <c r="AU1660" s="1358" t="str">
        <f t="shared" si="588"/>
        <v>-</v>
      </c>
    </row>
    <row r="1661" spans="1:47" s="103" customFormat="1" hidden="1" x14ac:dyDescent="0.2">
      <c r="A1661" s="180" t="s">
        <v>95</v>
      </c>
      <c r="B1661" s="1061" t="s">
        <v>96</v>
      </c>
      <c r="C1661" s="302" t="s">
        <v>3905</v>
      </c>
      <c r="D1661" s="94"/>
      <c r="E1661" s="284" t="s">
        <v>3906</v>
      </c>
      <c r="F1661" s="642" t="s">
        <v>1364</v>
      </c>
      <c r="G1661" s="180" t="s">
        <v>1290</v>
      </c>
      <c r="H1661" s="180" t="s">
        <v>3143</v>
      </c>
      <c r="I1661" s="180" t="s">
        <v>52</v>
      </c>
      <c r="J1661" s="310" t="s">
        <v>53</v>
      </c>
      <c r="K1661" s="180" t="s">
        <v>69</v>
      </c>
      <c r="L1661" s="180" t="s">
        <v>73</v>
      </c>
      <c r="M1661" s="292">
        <v>400</v>
      </c>
      <c r="N1661" s="290"/>
      <c r="O1661" s="180" t="s">
        <v>64</v>
      </c>
      <c r="P1661" s="180">
        <v>20</v>
      </c>
      <c r="Q1661" s="180">
        <v>30</v>
      </c>
      <c r="R1661" s="180">
        <v>20</v>
      </c>
      <c r="S1661" s="813">
        <v>30</v>
      </c>
      <c r="T1661" s="180">
        <v>21</v>
      </c>
      <c r="U1661" s="180">
        <v>31</v>
      </c>
      <c r="V1661" s="947">
        <f t="shared" si="595"/>
        <v>28</v>
      </c>
      <c r="W1661" s="947">
        <f t="shared" si="596"/>
        <v>38</v>
      </c>
      <c r="X1661" s="289">
        <v>40</v>
      </c>
      <c r="Y1661" s="180">
        <v>28</v>
      </c>
      <c r="Z1661" s="180">
        <v>38</v>
      </c>
      <c r="AA1661" s="678">
        <f t="shared" si="597"/>
        <v>7.3888888888888893</v>
      </c>
      <c r="AB1661" s="329">
        <f>AA1661*Swiss1</f>
        <v>209.10555555555558</v>
      </c>
      <c r="AC1661" s="176">
        <f t="shared" si="598"/>
        <v>4.8766666666666669</v>
      </c>
      <c r="AD1661" s="175">
        <f>Table1[[#This Row],[Substrate SF]]*Materials!C$37</f>
        <v>20.68888888888889</v>
      </c>
      <c r="AE1661" s="176">
        <f>IF(Table1[[#This Row],[Work Center]]="SwissQ",Materials!G$37,IF(Table1[[#This Row],[Work Center]]="Inca",Materials!G$29,IF(Table1[[#This Row],[Work Center]]="Canon",Materials!G$49,Materials!G$45)))</f>
        <v>20</v>
      </c>
      <c r="AF1661" s="290">
        <f>'Cali Frames'!D419</f>
        <v>83.685000000000002</v>
      </c>
      <c r="AG1661" s="296"/>
      <c r="AH1661" s="176">
        <f t="shared" si="599"/>
        <v>20</v>
      </c>
      <c r="AI1661" s="176"/>
      <c r="AJ1661" s="176">
        <f t="shared" si="600"/>
        <v>149.25055555555556</v>
      </c>
      <c r="AK1661" s="1201">
        <f t="shared" si="601"/>
        <v>0.62687361111111106</v>
      </c>
      <c r="AL1661" s="176">
        <f>Table1[[#This Row],[WSP/Dealer]]/Table1[[#This Row],[OD Sq Inch]]</f>
        <v>0.61443932411674351</v>
      </c>
      <c r="AM1661" s="173">
        <f>Table1[[#This Row],[OD Wdth]]*Table1[[#This Row],[OD Hgt]]</f>
        <v>651</v>
      </c>
      <c r="AN1661" s="180">
        <f>Table1[[#This Row],[Min VO]]+Table1[[#This Row],[Max VO]]</f>
        <v>50</v>
      </c>
      <c r="AO1661" s="284"/>
      <c r="AP1661" s="296"/>
      <c r="AQ1661" s="296"/>
      <c r="AR1661" s="296"/>
      <c r="AS1661" s="296"/>
      <c r="AT1661" s="176"/>
      <c r="AU1661" s="1358" t="str">
        <f t="shared" si="588"/>
        <v>-</v>
      </c>
    </row>
    <row r="1662" spans="1:47" s="63" customFormat="1" hidden="1" x14ac:dyDescent="0.2">
      <c r="A1662" s="400" t="s">
        <v>996</v>
      </c>
      <c r="B1662" s="1062" t="s">
        <v>96</v>
      </c>
      <c r="C1662" s="496" t="s">
        <v>3907</v>
      </c>
      <c r="D1662" s="168"/>
      <c r="E1662" s="401" t="s">
        <v>3908</v>
      </c>
      <c r="F1662" s="1657" t="s">
        <v>1364</v>
      </c>
      <c r="G1662" s="400" t="s">
        <v>1290</v>
      </c>
      <c r="H1662" s="400" t="s">
        <v>1290</v>
      </c>
      <c r="I1662" s="400" t="s">
        <v>108</v>
      </c>
      <c r="J1662" s="497" t="s">
        <v>53</v>
      </c>
      <c r="K1662" s="400" t="s">
        <v>54</v>
      </c>
      <c r="L1662" s="400" t="s">
        <v>55</v>
      </c>
      <c r="M1662" s="488">
        <v>225</v>
      </c>
      <c r="N1662" s="403"/>
      <c r="O1662" s="400" t="s">
        <v>109</v>
      </c>
      <c r="P1662" s="400">
        <v>20</v>
      </c>
      <c r="Q1662" s="400">
        <v>30</v>
      </c>
      <c r="R1662" s="400">
        <v>20</v>
      </c>
      <c r="S1662" s="1244">
        <v>30</v>
      </c>
      <c r="T1662" s="400">
        <v>20</v>
      </c>
      <c r="U1662" s="1244">
        <v>30</v>
      </c>
      <c r="V1662" s="918">
        <f t="shared" si="595"/>
        <v>28</v>
      </c>
      <c r="W1662" s="918">
        <f t="shared" si="596"/>
        <v>38</v>
      </c>
      <c r="X1662" s="1028">
        <v>40</v>
      </c>
      <c r="Y1662" s="400">
        <v>28</v>
      </c>
      <c r="Z1662" s="400">
        <v>38</v>
      </c>
      <c r="AA1662" s="724">
        <f t="shared" si="597"/>
        <v>7.3888888888888893</v>
      </c>
      <c r="AB1662" s="633">
        <f>AA1662*EPSONML</f>
        <v>33.25</v>
      </c>
      <c r="AC1662" s="406">
        <f t="shared" si="598"/>
        <v>4.8766666666666669</v>
      </c>
      <c r="AD1662" s="107">
        <f>AA1662*EPSONC</f>
        <v>1.6255555555555556</v>
      </c>
      <c r="AE1662" s="406">
        <f>IF(Table1[[#This Row],[Work Center]]="SwissQ",Materials!G$37,IF(Table1[[#This Row],[Work Center]]="Inca",Materials!G$29,IF(Table1[[#This Row],[Work Center]]="Canon",Materials!G$49,Materials!G$45)))</f>
        <v>5</v>
      </c>
      <c r="AF1662" s="403">
        <f>'Cali FPS'!C28</f>
        <v>62.93</v>
      </c>
      <c r="AG1662" s="1000"/>
      <c r="AH1662" s="406">
        <f t="shared" si="599"/>
        <v>11.25</v>
      </c>
      <c r="AI1662" s="406"/>
      <c r="AJ1662" s="406">
        <f t="shared" si="600"/>
        <v>85.682222222222222</v>
      </c>
      <c r="AK1662" s="1065">
        <f t="shared" si="601"/>
        <v>0.61919012345679014</v>
      </c>
      <c r="AL1662" s="406">
        <f>Table1[[#This Row],[WSP/Dealer]]/Table1[[#This Row],[OD Sq Inch]]</f>
        <v>0.375</v>
      </c>
      <c r="AM1662" s="399">
        <f>Table1[[#This Row],[OD Wdth]]*Table1[[#This Row],[OD Hgt]]</f>
        <v>600</v>
      </c>
      <c r="AN1662" s="400">
        <f>Table1[[#This Row],[Min VO]]+Table1[[#This Row],[Max VO]]</f>
        <v>50</v>
      </c>
      <c r="AO1662" s="401"/>
      <c r="AP1662" s="1000"/>
      <c r="AQ1662" s="1000"/>
      <c r="AR1662" s="1000"/>
      <c r="AS1662" s="1000"/>
      <c r="AT1662" s="406"/>
      <c r="AU1662" s="1366" t="str">
        <f t="shared" si="588"/>
        <v>-</v>
      </c>
    </row>
    <row r="1663" spans="1:47" s="63" customFormat="1" hidden="1" x14ac:dyDescent="0.2">
      <c r="A1663" s="101" t="s">
        <v>996</v>
      </c>
      <c r="B1663" s="1062" t="s">
        <v>96</v>
      </c>
      <c r="C1663" s="100" t="s">
        <v>3909</v>
      </c>
      <c r="D1663" s="168"/>
      <c r="E1663" s="115" t="s">
        <v>3908</v>
      </c>
      <c r="F1663" s="327" t="s">
        <v>1364</v>
      </c>
      <c r="G1663" s="101" t="s">
        <v>1290</v>
      </c>
      <c r="H1663" s="101" t="s">
        <v>3143</v>
      </c>
      <c r="I1663" s="101" t="s">
        <v>52</v>
      </c>
      <c r="J1663" s="487" t="s">
        <v>53</v>
      </c>
      <c r="K1663" s="101" t="s">
        <v>69</v>
      </c>
      <c r="L1663" s="101" t="s">
        <v>73</v>
      </c>
      <c r="M1663" s="299">
        <v>400</v>
      </c>
      <c r="N1663" s="102"/>
      <c r="O1663" s="101" t="s">
        <v>64</v>
      </c>
      <c r="P1663" s="101">
        <v>20</v>
      </c>
      <c r="Q1663" s="101">
        <v>30</v>
      </c>
      <c r="R1663" s="101">
        <v>20</v>
      </c>
      <c r="S1663" s="697">
        <v>30</v>
      </c>
      <c r="T1663" s="101">
        <v>21</v>
      </c>
      <c r="U1663" s="101">
        <v>31</v>
      </c>
      <c r="V1663" s="608">
        <f t="shared" si="595"/>
        <v>28</v>
      </c>
      <c r="W1663" s="608">
        <f t="shared" si="596"/>
        <v>38</v>
      </c>
      <c r="X1663" s="1010">
        <v>40</v>
      </c>
      <c r="Y1663" s="101">
        <v>28</v>
      </c>
      <c r="Z1663" s="101">
        <v>38</v>
      </c>
      <c r="AA1663" s="649">
        <f t="shared" si="597"/>
        <v>7.3888888888888893</v>
      </c>
      <c r="AB1663" s="184">
        <f>AA1663*Swiss1</f>
        <v>209.10555555555558</v>
      </c>
      <c r="AC1663" s="104">
        <f t="shared" si="598"/>
        <v>4.8766666666666669</v>
      </c>
      <c r="AD1663" s="107">
        <f>Table1[[#This Row],[Substrate SF]]*Materials!C$37</f>
        <v>20.68888888888889</v>
      </c>
      <c r="AE1663" s="104">
        <f>IF(Table1[[#This Row],[Work Center]]="SwissQ",Materials!G$37,IF(Table1[[#This Row],[Work Center]]="Inca",Materials!G$29,IF(Table1[[#This Row],[Work Center]]="Canon",Materials!G$49,Materials!G$45)))</f>
        <v>20</v>
      </c>
      <c r="AF1663" s="102">
        <f>'Cali Frames'!D419</f>
        <v>83.685000000000002</v>
      </c>
      <c r="AG1663" s="121"/>
      <c r="AH1663" s="104">
        <f t="shared" si="599"/>
        <v>20</v>
      </c>
      <c r="AI1663" s="104"/>
      <c r="AJ1663" s="104">
        <f t="shared" si="600"/>
        <v>149.25055555555556</v>
      </c>
      <c r="AK1663" s="830">
        <f t="shared" si="601"/>
        <v>0.62687361111111106</v>
      </c>
      <c r="AL1663" s="660">
        <f>Table1[[#This Row],[WSP/Dealer]]/Table1[[#This Row],[OD Sq Inch]]</f>
        <v>0.61443932411674351</v>
      </c>
      <c r="AM1663" s="229">
        <f>Table1[[#This Row],[OD Wdth]]*Table1[[#This Row],[OD Hgt]]</f>
        <v>651</v>
      </c>
      <c r="AN1663" s="266">
        <f>Table1[[#This Row],[Min VO]]+Table1[[#This Row],[Max VO]]</f>
        <v>50</v>
      </c>
      <c r="AO1663" s="115"/>
      <c r="AP1663" s="121"/>
      <c r="AQ1663" s="121"/>
      <c r="AR1663" s="121"/>
      <c r="AS1663" s="121"/>
      <c r="AT1663" s="104"/>
      <c r="AU1663" s="1359" t="str">
        <f t="shared" si="588"/>
        <v>-</v>
      </c>
    </row>
    <row r="1664" spans="1:47" s="63" customFormat="1" hidden="1" x14ac:dyDescent="0.2">
      <c r="A1664" s="180" t="s">
        <v>95</v>
      </c>
      <c r="B1664" s="1061" t="s">
        <v>96</v>
      </c>
      <c r="C1664" s="302" t="s">
        <v>3910</v>
      </c>
      <c r="D1664" s="94"/>
      <c r="E1664" s="284" t="s">
        <v>3911</v>
      </c>
      <c r="F1664" s="642" t="s">
        <v>1364</v>
      </c>
      <c r="G1664" s="180" t="s">
        <v>1290</v>
      </c>
      <c r="H1664" s="180" t="s">
        <v>3143</v>
      </c>
      <c r="I1664" s="180" t="s">
        <v>52</v>
      </c>
      <c r="J1664" s="310" t="s">
        <v>53</v>
      </c>
      <c r="K1664" s="180" t="s">
        <v>69</v>
      </c>
      <c r="L1664" s="180" t="s">
        <v>73</v>
      </c>
      <c r="M1664" s="292">
        <v>400</v>
      </c>
      <c r="N1664" s="290"/>
      <c r="O1664" s="180" t="s">
        <v>64</v>
      </c>
      <c r="P1664" s="180">
        <v>20</v>
      </c>
      <c r="Q1664" s="180">
        <v>30</v>
      </c>
      <c r="R1664" s="180">
        <v>20</v>
      </c>
      <c r="S1664" s="813">
        <v>30</v>
      </c>
      <c r="T1664" s="180">
        <v>21</v>
      </c>
      <c r="U1664" s="180">
        <v>31</v>
      </c>
      <c r="V1664" s="174">
        <f t="shared" si="595"/>
        <v>28</v>
      </c>
      <c r="W1664" s="174">
        <f t="shared" si="596"/>
        <v>38</v>
      </c>
      <c r="X1664" s="289">
        <v>40</v>
      </c>
      <c r="Y1664" s="180">
        <v>28</v>
      </c>
      <c r="Z1664" s="180">
        <v>38</v>
      </c>
      <c r="AA1664" s="678">
        <f t="shared" si="597"/>
        <v>7.3888888888888893</v>
      </c>
      <c r="AB1664" s="329">
        <f>AA1664*Swiss1</f>
        <v>209.10555555555558</v>
      </c>
      <c r="AC1664" s="176">
        <f t="shared" si="598"/>
        <v>4.8766666666666669</v>
      </c>
      <c r="AD1664" s="175">
        <f>Table1[[#This Row],[Substrate SF]]*Materials!C$37</f>
        <v>20.68888888888889</v>
      </c>
      <c r="AE1664" s="176">
        <f>IF(Table1[[#This Row],[Work Center]]="SwissQ",Materials!G$37,IF(Table1[[#This Row],[Work Center]]="Inca",Materials!G$29,IF(Table1[[#This Row],[Work Center]]="Canon",Materials!G$49,Materials!G$45)))</f>
        <v>20</v>
      </c>
      <c r="AF1664" s="290">
        <f>'Cali Frames'!D419</f>
        <v>83.685000000000002</v>
      </c>
      <c r="AG1664" s="296"/>
      <c r="AH1664" s="176">
        <f t="shared" si="599"/>
        <v>20</v>
      </c>
      <c r="AI1664" s="176"/>
      <c r="AJ1664" s="175">
        <f t="shared" si="600"/>
        <v>149.25055555555556</v>
      </c>
      <c r="AK1664" s="1201">
        <f t="shared" si="601"/>
        <v>0.62687361111111106</v>
      </c>
      <c r="AL1664" s="176">
        <f>Table1[[#This Row],[WSP/Dealer]]/Table1[[#This Row],[OD Sq Inch]]</f>
        <v>0.61443932411674351</v>
      </c>
      <c r="AM1664" s="173">
        <f>Table1[[#This Row],[OD Wdth]]*Table1[[#This Row],[OD Hgt]]</f>
        <v>651</v>
      </c>
      <c r="AN1664" s="180">
        <f>Table1[[#This Row],[Min VO]]+Table1[[#This Row],[Max VO]]</f>
        <v>50</v>
      </c>
      <c r="AO1664" s="284"/>
      <c r="AP1664" s="296"/>
      <c r="AQ1664" s="296"/>
      <c r="AR1664" s="296"/>
      <c r="AS1664" s="296"/>
      <c r="AT1664" s="176"/>
      <c r="AU1664" s="1358" t="str">
        <f t="shared" si="588"/>
        <v>-</v>
      </c>
    </row>
    <row r="1665" spans="1:47" s="63" customFormat="1" hidden="1" x14ac:dyDescent="0.2">
      <c r="A1665" s="180" t="s">
        <v>95</v>
      </c>
      <c r="B1665" s="1061" t="s">
        <v>96</v>
      </c>
      <c r="C1665" s="302" t="s">
        <v>3912</v>
      </c>
      <c r="D1665" s="94"/>
      <c r="E1665" s="284" t="s">
        <v>3913</v>
      </c>
      <c r="F1665" s="642" t="s">
        <v>1364</v>
      </c>
      <c r="G1665" s="180" t="s">
        <v>1290</v>
      </c>
      <c r="H1665" s="180" t="s">
        <v>3143</v>
      </c>
      <c r="I1665" s="180" t="s">
        <v>52</v>
      </c>
      <c r="J1665" s="310" t="s">
        <v>53</v>
      </c>
      <c r="K1665" s="180" t="s">
        <v>69</v>
      </c>
      <c r="L1665" s="180" t="s">
        <v>73</v>
      </c>
      <c r="M1665" s="292">
        <v>400</v>
      </c>
      <c r="N1665" s="290"/>
      <c r="O1665" s="180" t="s">
        <v>64</v>
      </c>
      <c r="P1665" s="180">
        <v>20</v>
      </c>
      <c r="Q1665" s="180">
        <v>30</v>
      </c>
      <c r="R1665" s="180">
        <v>20</v>
      </c>
      <c r="S1665" s="813">
        <v>30</v>
      </c>
      <c r="T1665" s="180">
        <v>21</v>
      </c>
      <c r="U1665" s="180">
        <v>31</v>
      </c>
      <c r="V1665" s="947">
        <f t="shared" si="595"/>
        <v>28</v>
      </c>
      <c r="W1665" s="947">
        <f t="shared" si="596"/>
        <v>38</v>
      </c>
      <c r="X1665" s="289">
        <v>40</v>
      </c>
      <c r="Y1665" s="180">
        <v>28</v>
      </c>
      <c r="Z1665" s="180">
        <v>38</v>
      </c>
      <c r="AA1665" s="678">
        <f t="shared" si="597"/>
        <v>7.3888888888888893</v>
      </c>
      <c r="AB1665" s="329">
        <f>AA1665*Swiss1</f>
        <v>209.10555555555558</v>
      </c>
      <c r="AC1665" s="176">
        <f t="shared" si="598"/>
        <v>4.8766666666666669</v>
      </c>
      <c r="AD1665" s="175">
        <f>Table1[[#This Row],[Substrate SF]]*Materials!C$37</f>
        <v>20.68888888888889</v>
      </c>
      <c r="AE1665" s="176">
        <f>IF(Table1[[#This Row],[Work Center]]="SwissQ",Materials!G$37,IF(Table1[[#This Row],[Work Center]]="Inca",Materials!G$29,IF(Table1[[#This Row],[Work Center]]="Canon",Materials!G$49,Materials!G$45)))</f>
        <v>20</v>
      </c>
      <c r="AF1665" s="290">
        <f>'Cali Frames'!D419</f>
        <v>83.685000000000002</v>
      </c>
      <c r="AG1665" s="296"/>
      <c r="AH1665" s="175">
        <f t="shared" si="599"/>
        <v>20</v>
      </c>
      <c r="AI1665" s="175"/>
      <c r="AJ1665" s="176">
        <f t="shared" si="600"/>
        <v>149.25055555555556</v>
      </c>
      <c r="AK1665" s="676">
        <f t="shared" si="601"/>
        <v>0.62687361111111106</v>
      </c>
      <c r="AL1665" s="176">
        <f>Table1[[#This Row],[WSP/Dealer]]/Table1[[#This Row],[OD Sq Inch]]</f>
        <v>0.61443932411674351</v>
      </c>
      <c r="AM1665" s="173">
        <f>Table1[[#This Row],[OD Wdth]]*Table1[[#This Row],[OD Hgt]]</f>
        <v>651</v>
      </c>
      <c r="AN1665" s="180">
        <f>Table1[[#This Row],[Min VO]]+Table1[[#This Row],[Max VO]]</f>
        <v>50</v>
      </c>
      <c r="AO1665" s="284"/>
      <c r="AP1665" s="296"/>
      <c r="AQ1665" s="296"/>
      <c r="AR1665" s="296"/>
      <c r="AS1665" s="296"/>
      <c r="AT1665" s="176"/>
      <c r="AU1665" s="1358" t="str">
        <f t="shared" si="588"/>
        <v>-</v>
      </c>
    </row>
    <row r="1666" spans="1:47" s="63" customFormat="1" x14ac:dyDescent="0.2">
      <c r="A1666" s="86" t="s">
        <v>58</v>
      </c>
      <c r="B1666" s="1061" t="s">
        <v>88</v>
      </c>
      <c r="C1666" s="100" t="s">
        <v>3914</v>
      </c>
      <c r="D1666" s="94" t="s">
        <v>3915</v>
      </c>
      <c r="E1666" s="85" t="s">
        <v>3916</v>
      </c>
      <c r="F1666" s="85" t="s">
        <v>3917</v>
      </c>
      <c r="G1666" s="86" t="s">
        <v>118</v>
      </c>
      <c r="H1666" s="86" t="s">
        <v>3918</v>
      </c>
      <c r="I1666" s="86" t="s">
        <v>52</v>
      </c>
      <c r="J1666" s="86" t="s">
        <v>257</v>
      </c>
      <c r="K1666" s="86" t="s">
        <v>1315</v>
      </c>
      <c r="L1666" s="101" t="s">
        <v>259</v>
      </c>
      <c r="M1666" s="87">
        <v>150</v>
      </c>
      <c r="N1666" s="639">
        <v>175</v>
      </c>
      <c r="O1666" s="68" t="s">
        <v>64</v>
      </c>
      <c r="P1666" s="101">
        <v>9</v>
      </c>
      <c r="Q1666" s="101">
        <v>12</v>
      </c>
      <c r="R1666" s="101">
        <v>9</v>
      </c>
      <c r="S1666" s="101">
        <v>12</v>
      </c>
      <c r="T1666" s="101">
        <v>17</v>
      </c>
      <c r="U1666" s="101">
        <v>20</v>
      </c>
      <c r="V1666" s="106">
        <f>Table1[[#This Row],[VO Wdth]]</f>
        <v>9</v>
      </c>
      <c r="W1666" s="106">
        <f>Table1[[#This Row],[VO Hgt]]</f>
        <v>12</v>
      </c>
      <c r="X1666" s="634" t="s">
        <v>257</v>
      </c>
      <c r="Y1666" s="608"/>
      <c r="Z1666" s="608"/>
      <c r="AA1666" s="649">
        <f t="shared" si="597"/>
        <v>0.75</v>
      </c>
      <c r="AB1666" s="184">
        <f t="shared" ref="AB1666:AB1681" si="602">AA1666*IncaG</f>
        <v>15.78</v>
      </c>
      <c r="AC1666" s="104">
        <f>Table1[[#This Row],[Substrate SF]]*Paper</f>
        <v>1.01475</v>
      </c>
      <c r="AD1666" s="107">
        <f t="shared" ref="AD1666:AD1674" si="603">AA1666*SWISSC1</f>
        <v>2.0999999999999996</v>
      </c>
      <c r="AE1666" s="104">
        <f>IF(Table1[[#This Row],[Work Center]]="SwissQ",Materials!G$37,IF(Table1[[#This Row],[Work Center]]="Inca",Materials!G$29,IF(Table1[[#This Row],[Work Center]]="Canon",Materials!G$49,Materials!G$45)))</f>
        <v>20</v>
      </c>
      <c r="AF1666" s="104">
        <f>'Cali Frames'!D$99</f>
        <v>73.150000000000006</v>
      </c>
      <c r="AG1666" s="115"/>
      <c r="AH1666" s="498">
        <f t="shared" si="599"/>
        <v>7.5</v>
      </c>
      <c r="AI1666" s="498"/>
      <c r="AJ1666" s="104">
        <f t="shared" si="600"/>
        <v>103.76475000000001</v>
      </c>
      <c r="AK1666" s="650">
        <f t="shared" si="601"/>
        <v>0.30823499999999998</v>
      </c>
      <c r="AL1666" s="225">
        <f>Table1[[#This Row],[WSP/Dealer]]/Table1[[#This Row],[OD Sq Inch]]</f>
        <v>0.44117647058823528</v>
      </c>
      <c r="AM1666" s="218">
        <f>Table1[[#This Row],[OD Wdth]]*Table1[[#This Row],[OD Hgt]]</f>
        <v>340</v>
      </c>
      <c r="AN1666" s="216">
        <f>Table1[[#This Row],[Min VO]]+Table1[[#This Row],[Max VO]]</f>
        <v>21</v>
      </c>
      <c r="AO1666" s="103"/>
      <c r="AP1666" s="101"/>
      <c r="AQ1666" s="104"/>
      <c r="AR1666" s="104"/>
      <c r="AS1666" s="104"/>
      <c r="AT1666" s="104"/>
      <c r="AU1666" s="108" t="str">
        <f t="shared" si="588"/>
        <v>-</v>
      </c>
    </row>
    <row r="1667" spans="1:47" s="63" customFormat="1" x14ac:dyDescent="0.2">
      <c r="A1667" s="86" t="s">
        <v>58</v>
      </c>
      <c r="B1667" s="274"/>
      <c r="C1667" s="100" t="s">
        <v>3919</v>
      </c>
      <c r="D1667" s="94" t="s">
        <v>3920</v>
      </c>
      <c r="E1667" s="85" t="s">
        <v>3921</v>
      </c>
      <c r="F1667" s="85" t="s">
        <v>3917</v>
      </c>
      <c r="G1667" s="86" t="s">
        <v>118</v>
      </c>
      <c r="H1667" s="86" t="s">
        <v>3918</v>
      </c>
      <c r="I1667" s="86" t="s">
        <v>52</v>
      </c>
      <c r="J1667" s="86" t="s">
        <v>257</v>
      </c>
      <c r="K1667" s="86" t="s">
        <v>1315</v>
      </c>
      <c r="L1667" s="101" t="s">
        <v>259</v>
      </c>
      <c r="M1667" s="87">
        <v>150</v>
      </c>
      <c r="N1667" s="639">
        <v>175</v>
      </c>
      <c r="O1667" s="68" t="s">
        <v>64</v>
      </c>
      <c r="P1667" s="101">
        <v>9</v>
      </c>
      <c r="Q1667" s="101">
        <v>12</v>
      </c>
      <c r="R1667" s="101">
        <v>9</v>
      </c>
      <c r="S1667" s="101">
        <v>12</v>
      </c>
      <c r="T1667" s="101">
        <v>17</v>
      </c>
      <c r="U1667" s="101">
        <v>20</v>
      </c>
      <c r="V1667" s="608">
        <f>Table1[[#This Row],[VO Wdth]]</f>
        <v>9</v>
      </c>
      <c r="W1667" s="608">
        <f>Table1[[#This Row],[VO Hgt]]</f>
        <v>12</v>
      </c>
      <c r="X1667" s="634" t="s">
        <v>257</v>
      </c>
      <c r="Y1667" s="608"/>
      <c r="Z1667" s="608"/>
      <c r="AA1667" s="649">
        <f t="shared" si="597"/>
        <v>0.75</v>
      </c>
      <c r="AB1667" s="184">
        <f t="shared" si="602"/>
        <v>15.78</v>
      </c>
      <c r="AC1667" s="104">
        <f>Table1[[#This Row],[Substrate SF]]*Paper</f>
        <v>1.01475</v>
      </c>
      <c r="AD1667" s="107">
        <f t="shared" si="603"/>
        <v>2.0999999999999996</v>
      </c>
      <c r="AE1667" s="104">
        <f>IF(Table1[[#This Row],[Work Center]]="SwissQ",Materials!G$37,IF(Table1[[#This Row],[Work Center]]="Inca",Materials!G$29,IF(Table1[[#This Row],[Work Center]]="Canon",Materials!G$49,Materials!G$45)))</f>
        <v>20</v>
      </c>
      <c r="AF1667" s="104">
        <f>'Cali Frames'!D$99</f>
        <v>73.150000000000006</v>
      </c>
      <c r="AG1667" s="115"/>
      <c r="AH1667" s="498">
        <f t="shared" si="599"/>
        <v>7.5</v>
      </c>
      <c r="AI1667" s="498"/>
      <c r="AJ1667" s="104">
        <f t="shared" si="600"/>
        <v>103.76475000000001</v>
      </c>
      <c r="AK1667" s="650">
        <f t="shared" si="601"/>
        <v>0.30823499999999998</v>
      </c>
      <c r="AL1667" s="225">
        <f>Table1[[#This Row],[WSP/Dealer]]/Table1[[#This Row],[OD Sq Inch]]</f>
        <v>0.44117647058823528</v>
      </c>
      <c r="AM1667" s="218">
        <f>Table1[[#This Row],[OD Wdth]]*Table1[[#This Row],[OD Hgt]]</f>
        <v>340</v>
      </c>
      <c r="AN1667" s="216">
        <f>Table1[[#This Row],[Min VO]]+Table1[[#This Row],[Max VO]]</f>
        <v>21</v>
      </c>
      <c r="AO1667" s="101"/>
      <c r="AP1667" s="101"/>
      <c r="AQ1667" s="104"/>
      <c r="AR1667" s="104"/>
      <c r="AS1667" s="104"/>
      <c r="AT1667" s="104"/>
      <c r="AU1667" s="830" t="str">
        <f t="shared" si="588"/>
        <v>-</v>
      </c>
    </row>
    <row r="1668" spans="1:47" s="63" customFormat="1" x14ac:dyDescent="0.2">
      <c r="A1668" s="86" t="s">
        <v>58</v>
      </c>
      <c r="B1668" s="170"/>
      <c r="C1668" s="100" t="s">
        <v>3922</v>
      </c>
      <c r="D1668" s="94" t="s">
        <v>3923</v>
      </c>
      <c r="E1668" s="85" t="s">
        <v>3924</v>
      </c>
      <c r="F1668" s="85" t="s">
        <v>3917</v>
      </c>
      <c r="G1668" s="86" t="s">
        <v>118</v>
      </c>
      <c r="H1668" s="86" t="s">
        <v>3918</v>
      </c>
      <c r="I1668" s="86" t="s">
        <v>52</v>
      </c>
      <c r="J1668" s="86" t="s">
        <v>257</v>
      </c>
      <c r="K1668" s="86" t="s">
        <v>1315</v>
      </c>
      <c r="L1668" s="101" t="s">
        <v>259</v>
      </c>
      <c r="M1668" s="87">
        <v>150</v>
      </c>
      <c r="N1668" s="639">
        <v>175</v>
      </c>
      <c r="O1668" s="68" t="s">
        <v>64</v>
      </c>
      <c r="P1668" s="103">
        <v>9</v>
      </c>
      <c r="Q1668" s="103">
        <v>12</v>
      </c>
      <c r="R1668" s="101">
        <v>9</v>
      </c>
      <c r="S1668" s="103">
        <v>12</v>
      </c>
      <c r="T1668" s="103">
        <v>17</v>
      </c>
      <c r="U1668" s="103">
        <v>20</v>
      </c>
      <c r="V1668" s="106">
        <f>Table1[[#This Row],[VO Wdth]]</f>
        <v>9</v>
      </c>
      <c r="W1668" s="106">
        <f>Table1[[#This Row],[VO Hgt]]</f>
        <v>12</v>
      </c>
      <c r="X1668" s="634" t="s">
        <v>257</v>
      </c>
      <c r="Y1668" s="608"/>
      <c r="Z1668" s="608"/>
      <c r="AA1668" s="649">
        <f t="shared" si="597"/>
        <v>0.75</v>
      </c>
      <c r="AB1668" s="184">
        <f t="shared" si="602"/>
        <v>15.78</v>
      </c>
      <c r="AC1668" s="104">
        <f>Table1[[#This Row],[Substrate SF]]*Paper</f>
        <v>1.01475</v>
      </c>
      <c r="AD1668" s="107">
        <f t="shared" si="603"/>
        <v>2.0999999999999996</v>
      </c>
      <c r="AE1668" s="104">
        <f>IF(Table1[[#This Row],[Work Center]]="SwissQ",Materials!G$37,IF(Table1[[#This Row],[Work Center]]="Inca",Materials!G$29,IF(Table1[[#This Row],[Work Center]]="Canon",Materials!G$49,Materials!G$45)))</f>
        <v>20</v>
      </c>
      <c r="AF1668" s="104">
        <f>'Cali Frames'!D$99</f>
        <v>73.150000000000006</v>
      </c>
      <c r="AG1668" s="115"/>
      <c r="AH1668" s="112">
        <f t="shared" si="599"/>
        <v>7.5</v>
      </c>
      <c r="AI1668" s="112"/>
      <c r="AJ1668" s="104">
        <f t="shared" si="600"/>
        <v>103.76475000000001</v>
      </c>
      <c r="AK1668" s="62">
        <f t="shared" si="601"/>
        <v>0.30823499999999998</v>
      </c>
      <c r="AL1668" s="225">
        <f>Table1[[#This Row],[WSP/Dealer]]/Table1[[#This Row],[OD Sq Inch]]</f>
        <v>0.44117647058823528</v>
      </c>
      <c r="AM1668" s="103">
        <f>Table1[[#This Row],[OD Wdth]]*Table1[[#This Row],[OD Hgt]]</f>
        <v>340</v>
      </c>
      <c r="AN1668" s="216">
        <f>Table1[[#This Row],[Min VO]]+Table1[[#This Row],[Max VO]]</f>
        <v>21</v>
      </c>
      <c r="AO1668" s="101"/>
      <c r="AP1668" s="101"/>
      <c r="AQ1668" s="104"/>
      <c r="AR1668" s="104"/>
      <c r="AS1668" s="104"/>
      <c r="AT1668" s="104"/>
      <c r="AU1668" s="830" t="str">
        <f t="shared" si="588"/>
        <v>-</v>
      </c>
    </row>
    <row r="1669" spans="1:47" s="63" customFormat="1" x14ac:dyDescent="0.2">
      <c r="A1669" s="86" t="s">
        <v>58</v>
      </c>
      <c r="B1669" s="170"/>
      <c r="C1669" s="100" t="s">
        <v>3925</v>
      </c>
      <c r="D1669" s="94" t="s">
        <v>3926</v>
      </c>
      <c r="E1669" s="85" t="s">
        <v>3927</v>
      </c>
      <c r="F1669" s="85" t="s">
        <v>3917</v>
      </c>
      <c r="G1669" s="86" t="s">
        <v>118</v>
      </c>
      <c r="H1669" s="86" t="s">
        <v>3918</v>
      </c>
      <c r="I1669" s="86" t="s">
        <v>52</v>
      </c>
      <c r="J1669" s="86" t="s">
        <v>257</v>
      </c>
      <c r="K1669" s="86" t="s">
        <v>1315</v>
      </c>
      <c r="L1669" s="101" t="s">
        <v>259</v>
      </c>
      <c r="M1669" s="87">
        <v>150</v>
      </c>
      <c r="N1669" s="639">
        <v>175</v>
      </c>
      <c r="O1669" s="68" t="s">
        <v>64</v>
      </c>
      <c r="P1669" s="101">
        <v>9</v>
      </c>
      <c r="Q1669" s="101">
        <v>12</v>
      </c>
      <c r="R1669" s="101">
        <v>9</v>
      </c>
      <c r="S1669" s="101">
        <v>12</v>
      </c>
      <c r="T1669" s="101">
        <v>17</v>
      </c>
      <c r="U1669" s="101">
        <v>20</v>
      </c>
      <c r="V1669" s="608">
        <f>Table1[[#This Row],[VO Wdth]]</f>
        <v>9</v>
      </c>
      <c r="W1669" s="608">
        <f>Table1[[#This Row],[VO Hgt]]</f>
        <v>12</v>
      </c>
      <c r="X1669" s="634" t="s">
        <v>257</v>
      </c>
      <c r="Y1669" s="608"/>
      <c r="Z1669" s="608"/>
      <c r="AA1669" s="649">
        <f t="shared" si="597"/>
        <v>0.75</v>
      </c>
      <c r="AB1669" s="184">
        <f t="shared" si="602"/>
        <v>15.78</v>
      </c>
      <c r="AC1669" s="104">
        <f>Table1[[#This Row],[Substrate SF]]*Paper</f>
        <v>1.01475</v>
      </c>
      <c r="AD1669" s="107">
        <f t="shared" si="603"/>
        <v>2.0999999999999996</v>
      </c>
      <c r="AE1669" s="104">
        <f>IF(Table1[[#This Row],[Work Center]]="SwissQ",Materials!G$37,IF(Table1[[#This Row],[Work Center]]="Inca",Materials!G$29,IF(Table1[[#This Row],[Work Center]]="Canon",Materials!G$49,Materials!G$45)))</f>
        <v>20</v>
      </c>
      <c r="AF1669" s="104">
        <f>'Cali Frames'!D$99</f>
        <v>73.150000000000006</v>
      </c>
      <c r="AG1669" s="115"/>
      <c r="AH1669" s="112">
        <f t="shared" si="599"/>
        <v>7.5</v>
      </c>
      <c r="AI1669" s="112"/>
      <c r="AJ1669" s="104">
        <f t="shared" si="600"/>
        <v>103.76475000000001</v>
      </c>
      <c r="AK1669" s="62">
        <f t="shared" si="601"/>
        <v>0.30823499999999998</v>
      </c>
      <c r="AL1669" s="225">
        <f>Table1[[#This Row],[WSP/Dealer]]/Table1[[#This Row],[OD Sq Inch]]</f>
        <v>0.44117647058823528</v>
      </c>
      <c r="AM1669" s="103">
        <f>Table1[[#This Row],[OD Wdth]]*Table1[[#This Row],[OD Hgt]]</f>
        <v>340</v>
      </c>
      <c r="AN1669" s="216">
        <f>Table1[[#This Row],[Min VO]]+Table1[[#This Row],[Max VO]]</f>
        <v>21</v>
      </c>
      <c r="AO1669" s="101"/>
      <c r="AP1669" s="101"/>
      <c r="AQ1669" s="104"/>
      <c r="AR1669" s="104"/>
      <c r="AS1669" s="104"/>
      <c r="AT1669" s="104"/>
      <c r="AU1669" s="830" t="str">
        <f t="shared" si="588"/>
        <v>-</v>
      </c>
    </row>
    <row r="1670" spans="1:47" s="63" customFormat="1" x14ac:dyDescent="0.2">
      <c r="A1670" s="86" t="s">
        <v>58</v>
      </c>
      <c r="B1670" s="1061" t="s">
        <v>88</v>
      </c>
      <c r="C1670" s="100" t="s">
        <v>3928</v>
      </c>
      <c r="D1670" s="94" t="s">
        <v>3929</v>
      </c>
      <c r="E1670" s="85" t="s">
        <v>3930</v>
      </c>
      <c r="F1670" s="85" t="s">
        <v>3917</v>
      </c>
      <c r="G1670" s="86" t="s">
        <v>118</v>
      </c>
      <c r="H1670" s="86" t="s">
        <v>3918</v>
      </c>
      <c r="I1670" s="86" t="s">
        <v>52</v>
      </c>
      <c r="J1670" s="86" t="s">
        <v>257</v>
      </c>
      <c r="K1670" s="86" t="s">
        <v>1315</v>
      </c>
      <c r="L1670" s="101" t="s">
        <v>259</v>
      </c>
      <c r="M1670" s="87">
        <v>150</v>
      </c>
      <c r="N1670" s="639">
        <v>175</v>
      </c>
      <c r="O1670" s="68" t="s">
        <v>64</v>
      </c>
      <c r="P1670" s="101">
        <v>9</v>
      </c>
      <c r="Q1670" s="101">
        <v>12</v>
      </c>
      <c r="R1670" s="101">
        <v>9</v>
      </c>
      <c r="S1670" s="101">
        <v>12</v>
      </c>
      <c r="T1670" s="101">
        <v>17</v>
      </c>
      <c r="U1670" s="101">
        <v>20</v>
      </c>
      <c r="V1670" s="608">
        <f>Table1[[#This Row],[VO Wdth]]</f>
        <v>9</v>
      </c>
      <c r="W1670" s="608">
        <f>Table1[[#This Row],[VO Hgt]]</f>
        <v>12</v>
      </c>
      <c r="X1670" s="634" t="s">
        <v>257</v>
      </c>
      <c r="Y1670" s="608"/>
      <c r="Z1670" s="608"/>
      <c r="AA1670" s="649">
        <f t="shared" si="597"/>
        <v>0.75</v>
      </c>
      <c r="AB1670" s="184">
        <f t="shared" si="602"/>
        <v>15.78</v>
      </c>
      <c r="AC1670" s="104">
        <f>Table1[[#This Row],[Substrate SF]]*Paper</f>
        <v>1.01475</v>
      </c>
      <c r="AD1670" s="104">
        <f t="shared" si="603"/>
        <v>2.0999999999999996</v>
      </c>
      <c r="AE1670" s="104">
        <f>IF(Table1[[#This Row],[Work Center]]="SwissQ",Materials!G$37,IF(Table1[[#This Row],[Work Center]]="Inca",Materials!G$29,IF(Table1[[#This Row],[Work Center]]="Canon",Materials!G$49,Materials!G$45)))</f>
        <v>20</v>
      </c>
      <c r="AF1670" s="104">
        <f>'Cali Frames'!D$99</f>
        <v>73.150000000000006</v>
      </c>
      <c r="AG1670" s="115"/>
      <c r="AH1670" s="498">
        <f t="shared" si="599"/>
        <v>7.5</v>
      </c>
      <c r="AI1670" s="498"/>
      <c r="AJ1670" s="104">
        <f t="shared" si="600"/>
        <v>103.76475000000001</v>
      </c>
      <c r="AK1670" s="650">
        <f t="shared" si="601"/>
        <v>0.30823499999999998</v>
      </c>
      <c r="AL1670" s="225">
        <f>Table1[[#This Row],[WSP/Dealer]]/Table1[[#This Row],[OD Sq Inch]]</f>
        <v>0.44117647058823528</v>
      </c>
      <c r="AM1670" s="216">
        <f>Table1[[#This Row],[OD Wdth]]*Table1[[#This Row],[OD Hgt]]</f>
        <v>340</v>
      </c>
      <c r="AN1670" s="216">
        <f>Table1[[#This Row],[Min VO]]+Table1[[#This Row],[Max VO]]</f>
        <v>21</v>
      </c>
      <c r="AO1670" s="101"/>
      <c r="AP1670" s="101"/>
      <c r="AQ1670" s="104"/>
      <c r="AR1670" s="104"/>
      <c r="AS1670" s="104"/>
      <c r="AT1670" s="104"/>
      <c r="AU1670" s="830" t="str">
        <f t="shared" si="588"/>
        <v>-</v>
      </c>
    </row>
    <row r="1671" spans="1:47" s="63" customFormat="1" x14ac:dyDescent="0.2">
      <c r="A1671" s="86" t="s">
        <v>58</v>
      </c>
      <c r="B1671" s="1061" t="s">
        <v>88</v>
      </c>
      <c r="C1671" s="100" t="s">
        <v>3931</v>
      </c>
      <c r="D1671" s="94" t="s">
        <v>3932</v>
      </c>
      <c r="E1671" s="85" t="s">
        <v>3933</v>
      </c>
      <c r="F1671" s="85" t="s">
        <v>3917</v>
      </c>
      <c r="G1671" s="86" t="s">
        <v>118</v>
      </c>
      <c r="H1671" s="86" t="s">
        <v>3918</v>
      </c>
      <c r="I1671" s="86" t="s">
        <v>52</v>
      </c>
      <c r="J1671" s="86" t="s">
        <v>257</v>
      </c>
      <c r="K1671" s="86" t="s">
        <v>1315</v>
      </c>
      <c r="L1671" s="101" t="s">
        <v>259</v>
      </c>
      <c r="M1671" s="87">
        <v>150</v>
      </c>
      <c r="N1671" s="639">
        <v>175</v>
      </c>
      <c r="O1671" s="68" t="s">
        <v>64</v>
      </c>
      <c r="P1671" s="101">
        <v>9</v>
      </c>
      <c r="Q1671" s="101">
        <v>12</v>
      </c>
      <c r="R1671" s="101">
        <v>9</v>
      </c>
      <c r="S1671" s="101">
        <v>12</v>
      </c>
      <c r="T1671" s="101">
        <v>17</v>
      </c>
      <c r="U1671" s="101">
        <v>20</v>
      </c>
      <c r="V1671" s="608">
        <f>Table1[[#This Row],[VO Wdth]]</f>
        <v>9</v>
      </c>
      <c r="W1671" s="608">
        <f>Table1[[#This Row],[VO Hgt]]</f>
        <v>12</v>
      </c>
      <c r="X1671" s="634" t="s">
        <v>257</v>
      </c>
      <c r="Y1671" s="608"/>
      <c r="Z1671" s="608"/>
      <c r="AA1671" s="649">
        <f t="shared" si="597"/>
        <v>0.75</v>
      </c>
      <c r="AB1671" s="184">
        <f t="shared" si="602"/>
        <v>15.78</v>
      </c>
      <c r="AC1671" s="104">
        <f>Table1[[#This Row],[Substrate SF]]*Paper</f>
        <v>1.01475</v>
      </c>
      <c r="AD1671" s="104">
        <f t="shared" si="603"/>
        <v>2.0999999999999996</v>
      </c>
      <c r="AE1671" s="104">
        <f>IF(Table1[[#This Row],[Work Center]]="SwissQ",Materials!G$37,IF(Table1[[#This Row],[Work Center]]="Inca",Materials!G$29,IF(Table1[[#This Row],[Work Center]]="Canon",Materials!G$49,Materials!G$45)))</f>
        <v>20</v>
      </c>
      <c r="AF1671" s="104">
        <f>'Cali Frames'!D$99</f>
        <v>73.150000000000006</v>
      </c>
      <c r="AG1671" s="115"/>
      <c r="AH1671" s="112">
        <f t="shared" si="599"/>
        <v>7.5</v>
      </c>
      <c r="AI1671" s="112"/>
      <c r="AJ1671" s="104">
        <f t="shared" si="600"/>
        <v>103.76475000000001</v>
      </c>
      <c r="AK1671" s="62">
        <f t="shared" si="601"/>
        <v>0.30823499999999998</v>
      </c>
      <c r="AL1671" s="225">
        <f>Table1[[#This Row],[WSP/Dealer]]/Table1[[#This Row],[OD Sq Inch]]</f>
        <v>0.44117647058823528</v>
      </c>
      <c r="AM1671" s="101">
        <f>Table1[[#This Row],[OD Wdth]]*Table1[[#This Row],[OD Hgt]]</f>
        <v>340</v>
      </c>
      <c r="AN1671" s="216">
        <f>Table1[[#This Row],[Min VO]]+Table1[[#This Row],[Max VO]]</f>
        <v>21</v>
      </c>
      <c r="AO1671" s="101"/>
      <c r="AP1671" s="101"/>
      <c r="AQ1671" s="104"/>
      <c r="AR1671" s="104"/>
      <c r="AS1671" s="104"/>
      <c r="AT1671" s="104"/>
      <c r="AU1671" s="830" t="str">
        <f t="shared" si="588"/>
        <v>-</v>
      </c>
    </row>
    <row r="1672" spans="1:47" s="63" customFormat="1" x14ac:dyDescent="0.2">
      <c r="A1672" s="86" t="s">
        <v>58</v>
      </c>
      <c r="B1672" s="1061" t="s">
        <v>88</v>
      </c>
      <c r="C1672" s="100" t="s">
        <v>3934</v>
      </c>
      <c r="D1672" s="94" t="s">
        <v>3935</v>
      </c>
      <c r="E1672" s="85" t="s">
        <v>3936</v>
      </c>
      <c r="F1672" s="85" t="s">
        <v>3917</v>
      </c>
      <c r="G1672" s="86" t="s">
        <v>118</v>
      </c>
      <c r="H1672" s="86" t="s">
        <v>3918</v>
      </c>
      <c r="I1672" s="86" t="s">
        <v>52</v>
      </c>
      <c r="J1672" s="86" t="s">
        <v>257</v>
      </c>
      <c r="K1672" s="86" t="s">
        <v>1315</v>
      </c>
      <c r="L1672" s="101" t="s">
        <v>259</v>
      </c>
      <c r="M1672" s="87">
        <v>150</v>
      </c>
      <c r="N1672" s="639">
        <v>175</v>
      </c>
      <c r="O1672" s="68" t="s">
        <v>64</v>
      </c>
      <c r="P1672" s="101">
        <v>9</v>
      </c>
      <c r="Q1672" s="101">
        <v>12</v>
      </c>
      <c r="R1672" s="101">
        <v>9</v>
      </c>
      <c r="S1672" s="101">
        <v>12</v>
      </c>
      <c r="T1672" s="101">
        <v>17</v>
      </c>
      <c r="U1672" s="101">
        <v>20</v>
      </c>
      <c r="V1672" s="106">
        <f>Table1[[#This Row],[VO Wdth]]</f>
        <v>9</v>
      </c>
      <c r="W1672" s="106">
        <f>Table1[[#This Row],[VO Hgt]]</f>
        <v>12</v>
      </c>
      <c r="X1672" s="634" t="s">
        <v>257</v>
      </c>
      <c r="Y1672" s="608"/>
      <c r="Z1672" s="608"/>
      <c r="AA1672" s="649">
        <f t="shared" si="597"/>
        <v>0.75</v>
      </c>
      <c r="AB1672" s="184">
        <f t="shared" si="602"/>
        <v>15.78</v>
      </c>
      <c r="AC1672" s="104">
        <f>Table1[[#This Row],[Substrate SF]]*Paper</f>
        <v>1.01475</v>
      </c>
      <c r="AD1672" s="107">
        <f t="shared" si="603"/>
        <v>2.0999999999999996</v>
      </c>
      <c r="AE1672" s="104">
        <f>IF(Table1[[#This Row],[Work Center]]="SwissQ",Materials!G$37,IF(Table1[[#This Row],[Work Center]]="Inca",Materials!G$29,IF(Table1[[#This Row],[Work Center]]="Canon",Materials!G$49,Materials!G$45)))</f>
        <v>20</v>
      </c>
      <c r="AF1672" s="104">
        <f>'Cali Frames'!D$99</f>
        <v>73.150000000000006</v>
      </c>
      <c r="AG1672" s="115"/>
      <c r="AH1672" s="498">
        <f t="shared" si="599"/>
        <v>7.5</v>
      </c>
      <c r="AI1672" s="112"/>
      <c r="AJ1672" s="104">
        <f t="shared" si="600"/>
        <v>103.76475000000001</v>
      </c>
      <c r="AK1672" s="62">
        <f t="shared" si="601"/>
        <v>0.30823499999999998</v>
      </c>
      <c r="AL1672" s="225">
        <f>Table1[[#This Row],[WSP/Dealer]]/Table1[[#This Row],[OD Sq Inch]]</f>
        <v>0.44117647058823528</v>
      </c>
      <c r="AM1672" s="103">
        <f>Table1[[#This Row],[OD Wdth]]*Table1[[#This Row],[OD Hgt]]</f>
        <v>340</v>
      </c>
      <c r="AN1672" s="216">
        <f>Table1[[#This Row],[Min VO]]+Table1[[#This Row],[Max VO]]</f>
        <v>21</v>
      </c>
      <c r="AO1672" s="103"/>
      <c r="AP1672" s="101"/>
      <c r="AQ1672" s="104"/>
      <c r="AR1672" s="104"/>
      <c r="AS1672" s="104"/>
      <c r="AT1672" s="104"/>
      <c r="AU1672" s="108" t="str">
        <f t="shared" si="588"/>
        <v>-</v>
      </c>
    </row>
    <row r="1673" spans="1:47" s="103" customFormat="1" x14ac:dyDescent="0.2">
      <c r="A1673" s="86" t="s">
        <v>58</v>
      </c>
      <c r="B1673" s="170"/>
      <c r="C1673" s="100" t="s">
        <v>3937</v>
      </c>
      <c r="D1673" s="94" t="s">
        <v>3938</v>
      </c>
      <c r="E1673" s="85" t="s">
        <v>3939</v>
      </c>
      <c r="F1673" s="85" t="s">
        <v>3917</v>
      </c>
      <c r="G1673" s="86" t="s">
        <v>118</v>
      </c>
      <c r="H1673" s="86" t="s">
        <v>3918</v>
      </c>
      <c r="I1673" s="86" t="s">
        <v>52</v>
      </c>
      <c r="J1673" s="86" t="s">
        <v>257</v>
      </c>
      <c r="K1673" s="86" t="s">
        <v>1315</v>
      </c>
      <c r="L1673" s="101" t="s">
        <v>259</v>
      </c>
      <c r="M1673" s="87">
        <v>150</v>
      </c>
      <c r="N1673" s="639">
        <v>175</v>
      </c>
      <c r="O1673" s="68" t="s">
        <v>64</v>
      </c>
      <c r="P1673" s="101">
        <v>9</v>
      </c>
      <c r="Q1673" s="101">
        <v>12</v>
      </c>
      <c r="R1673" s="101">
        <v>9</v>
      </c>
      <c r="S1673" s="101">
        <v>12</v>
      </c>
      <c r="T1673" s="101">
        <v>17</v>
      </c>
      <c r="U1673" s="101">
        <v>20</v>
      </c>
      <c r="V1673" s="106">
        <f>Table1[[#This Row],[VO Wdth]]</f>
        <v>9</v>
      </c>
      <c r="W1673" s="106">
        <f>Table1[[#This Row],[VO Hgt]]</f>
        <v>12</v>
      </c>
      <c r="X1673" s="634" t="s">
        <v>257</v>
      </c>
      <c r="Y1673" s="608"/>
      <c r="Z1673" s="608"/>
      <c r="AA1673" s="649">
        <f t="shared" si="597"/>
        <v>0.75</v>
      </c>
      <c r="AB1673" s="184">
        <f t="shared" si="602"/>
        <v>15.78</v>
      </c>
      <c r="AC1673" s="104">
        <f>Table1[[#This Row],[Substrate SF]]*Paper</f>
        <v>1.01475</v>
      </c>
      <c r="AD1673" s="107">
        <f t="shared" si="603"/>
        <v>2.0999999999999996</v>
      </c>
      <c r="AE1673" s="104">
        <f>IF(Table1[[#This Row],[Work Center]]="SwissQ",Materials!G$37,IF(Table1[[#This Row],[Work Center]]="Inca",Materials!G$29,IF(Table1[[#This Row],[Work Center]]="Canon",Materials!G$49,Materials!G$45)))</f>
        <v>20</v>
      </c>
      <c r="AF1673" s="104">
        <f>'Cali Frames'!D$99</f>
        <v>73.150000000000006</v>
      </c>
      <c r="AG1673" s="115"/>
      <c r="AH1673" s="112">
        <f t="shared" si="599"/>
        <v>7.5</v>
      </c>
      <c r="AI1673" s="112"/>
      <c r="AJ1673" s="104">
        <f t="shared" si="600"/>
        <v>103.76475000000001</v>
      </c>
      <c r="AK1673" s="62">
        <f t="shared" si="601"/>
        <v>0.30823499999999998</v>
      </c>
      <c r="AL1673" s="225">
        <f>Table1[[#This Row],[WSP/Dealer]]/Table1[[#This Row],[OD Sq Inch]]</f>
        <v>0.44117647058823528</v>
      </c>
      <c r="AM1673" s="218">
        <f>Table1[[#This Row],[OD Wdth]]*Table1[[#This Row],[OD Hgt]]</f>
        <v>340</v>
      </c>
      <c r="AN1673" s="216">
        <f>Table1[[#This Row],[Min VO]]+Table1[[#This Row],[Max VO]]</f>
        <v>21</v>
      </c>
      <c r="AO1673" s="101"/>
      <c r="AP1673" s="101"/>
      <c r="AQ1673" s="104"/>
      <c r="AR1673" s="104"/>
      <c r="AS1673" s="104"/>
      <c r="AT1673" s="104"/>
      <c r="AU1673" s="830" t="str">
        <f t="shared" si="588"/>
        <v>-</v>
      </c>
    </row>
    <row r="1674" spans="1:47" s="1513" customFormat="1" x14ac:dyDescent="0.2">
      <c r="A1674" s="86" t="s">
        <v>58</v>
      </c>
      <c r="B1674" s="279" t="s">
        <v>88</v>
      </c>
      <c r="C1674" s="100" t="s">
        <v>3940</v>
      </c>
      <c r="D1674" s="94" t="s">
        <v>3941</v>
      </c>
      <c r="E1674" s="85" t="s">
        <v>3942</v>
      </c>
      <c r="F1674" s="85" t="s">
        <v>3917</v>
      </c>
      <c r="G1674" s="86" t="s">
        <v>118</v>
      </c>
      <c r="H1674" s="86" t="s">
        <v>3918</v>
      </c>
      <c r="I1674" s="86" t="s">
        <v>52</v>
      </c>
      <c r="J1674" s="86" t="s">
        <v>257</v>
      </c>
      <c r="K1674" s="86" t="s">
        <v>1315</v>
      </c>
      <c r="L1674" s="101" t="s">
        <v>259</v>
      </c>
      <c r="M1674" s="87">
        <v>150</v>
      </c>
      <c r="N1674" s="639">
        <v>175</v>
      </c>
      <c r="O1674" s="68" t="s">
        <v>64</v>
      </c>
      <c r="P1674" s="101">
        <v>9</v>
      </c>
      <c r="Q1674" s="101">
        <v>12</v>
      </c>
      <c r="R1674" s="101">
        <v>9</v>
      </c>
      <c r="S1674" s="101">
        <v>12</v>
      </c>
      <c r="T1674" s="101">
        <v>17</v>
      </c>
      <c r="U1674" s="101">
        <v>20</v>
      </c>
      <c r="V1674" s="608">
        <f>Table1[[#This Row],[VO Wdth]]</f>
        <v>9</v>
      </c>
      <c r="W1674" s="608">
        <f>Table1[[#This Row],[VO Hgt]]</f>
        <v>12</v>
      </c>
      <c r="X1674" s="634" t="s">
        <v>257</v>
      </c>
      <c r="Y1674" s="608"/>
      <c r="Z1674" s="608"/>
      <c r="AA1674" s="649">
        <f t="shared" si="597"/>
        <v>0.75</v>
      </c>
      <c r="AB1674" s="184">
        <f t="shared" si="602"/>
        <v>15.78</v>
      </c>
      <c r="AC1674" s="104">
        <f>Table1[[#This Row],[Substrate SF]]*Paper</f>
        <v>1.01475</v>
      </c>
      <c r="AD1674" s="104">
        <f t="shared" si="603"/>
        <v>2.0999999999999996</v>
      </c>
      <c r="AE1674" s="104">
        <f>IF(Table1[[#This Row],[Work Center]]="SwissQ",Materials!G$37,IF(Table1[[#This Row],[Work Center]]="Inca",Materials!G$29,IF(Table1[[#This Row],[Work Center]]="Canon",Materials!G$49,Materials!G$45)))</f>
        <v>20</v>
      </c>
      <c r="AF1674" s="104">
        <f>'Cali Frames'!D$99</f>
        <v>73.150000000000006</v>
      </c>
      <c r="AG1674" s="115"/>
      <c r="AH1674" s="498">
        <f t="shared" si="599"/>
        <v>7.5</v>
      </c>
      <c r="AI1674" s="112"/>
      <c r="AJ1674" s="104">
        <f t="shared" si="600"/>
        <v>103.76475000000001</v>
      </c>
      <c r="AK1674" s="650">
        <f t="shared" si="601"/>
        <v>0.30823499999999998</v>
      </c>
      <c r="AL1674" s="225">
        <f>Table1[[#This Row],[WSP/Dealer]]/Table1[[#This Row],[OD Sq Inch]]</f>
        <v>0.44117647058823528</v>
      </c>
      <c r="AM1674" s="60">
        <f>Table1[[#This Row],[OD Wdth]]*Table1[[#This Row],[OD Hgt]]</f>
        <v>340</v>
      </c>
      <c r="AN1674" s="216">
        <f>Table1[[#This Row],[Min VO]]+Table1[[#This Row],[Max VO]]</f>
        <v>21</v>
      </c>
      <c r="AO1674" s="101"/>
      <c r="AP1674" s="101"/>
      <c r="AQ1674" s="104"/>
      <c r="AR1674" s="104"/>
      <c r="AS1674" s="104"/>
      <c r="AT1674" s="104"/>
      <c r="AU1674" s="830" t="str">
        <f t="shared" si="588"/>
        <v>-</v>
      </c>
    </row>
    <row r="1675" spans="1:47" s="46" customFormat="1" hidden="1" x14ac:dyDescent="0.2">
      <c r="A1675" s="685" t="s">
        <v>318</v>
      </c>
      <c r="B1675" s="1501" t="s">
        <v>305</v>
      </c>
      <c r="C1675" s="1502" t="s">
        <v>3943</v>
      </c>
      <c r="D1675" s="1502"/>
      <c r="E1675" s="1478" t="s">
        <v>3944</v>
      </c>
      <c r="F1675" s="1478" t="s">
        <v>3945</v>
      </c>
      <c r="G1675" s="685" t="s">
        <v>2711</v>
      </c>
      <c r="H1675" s="685" t="s">
        <v>1171</v>
      </c>
      <c r="I1675" s="685" t="s">
        <v>52</v>
      </c>
      <c r="J1675" s="1503" t="s">
        <v>53</v>
      </c>
      <c r="K1675" s="685" t="s">
        <v>69</v>
      </c>
      <c r="L1675" s="685" t="s">
        <v>70</v>
      </c>
      <c r="M1675" s="179">
        <v>210</v>
      </c>
      <c r="N1675" s="179"/>
      <c r="O1675" s="685" t="s">
        <v>56</v>
      </c>
      <c r="P1675" s="685">
        <v>12</v>
      </c>
      <c r="Q1675" s="685">
        <v>10</v>
      </c>
      <c r="R1675" s="685">
        <v>10</v>
      </c>
      <c r="S1675" s="685">
        <v>12</v>
      </c>
      <c r="T1675" s="685">
        <v>13</v>
      </c>
      <c r="U1675" s="685">
        <v>11</v>
      </c>
      <c r="V1675" s="1504">
        <f t="shared" ref="V1675:V1681" si="604">IF(J1675="Canvas",P1675+Border,P1675)</f>
        <v>20</v>
      </c>
      <c r="W1675" s="1504">
        <f t="shared" ref="W1675:W1681" si="605">IF(J1675="Canvas",Q1675+Border,Q1675)</f>
        <v>18</v>
      </c>
      <c r="X1675" s="1505">
        <v>40</v>
      </c>
      <c r="Y1675" s="1506">
        <v>20</v>
      </c>
      <c r="Z1675" s="1506">
        <v>18</v>
      </c>
      <c r="AA1675" s="1507">
        <f t="shared" si="597"/>
        <v>2.5</v>
      </c>
      <c r="AB1675" s="1508">
        <f t="shared" si="602"/>
        <v>52.599999999999994</v>
      </c>
      <c r="AC1675" s="1333">
        <f t="shared" ref="AC1675:AC1681" si="606">AA1675*Canvas</f>
        <v>1.6500000000000001</v>
      </c>
      <c r="AD1675" s="1526">
        <f t="shared" ref="AD1675:AD1681" si="607">AA1675*IncaC</f>
        <v>4.2080000000000002</v>
      </c>
      <c r="AE1675" s="1333">
        <f>IF(Table1[[#This Row],[Work Center]]="SwissQ",Materials!G$37,IF(Table1[[#This Row],[Work Center]]="Inca",Materials!G$29,IF(Table1[[#This Row],[Work Center]]="Canon",Materials!G$49,Materials!G$45)))</f>
        <v>8</v>
      </c>
      <c r="AF1675" s="1510">
        <f>'Cali Frames'!D255</f>
        <v>81.87</v>
      </c>
      <c r="AG1675" s="1449"/>
      <c r="AH1675" s="1333">
        <f t="shared" si="599"/>
        <v>10.5</v>
      </c>
      <c r="AI1675" s="1333"/>
      <c r="AJ1675" s="1509">
        <f t="shared" ref="AJ1675:AJ1681" si="608">SUM(AC1675:AI1675)</f>
        <v>106.22800000000001</v>
      </c>
      <c r="AK1675" s="1808">
        <f t="shared" si="601"/>
        <v>0.4941523809523809</v>
      </c>
      <c r="AL1675" s="923">
        <f>Table1[[#This Row],[WSP/Dealer]]/Table1[[#This Row],[OD Sq Inch]]</f>
        <v>1.4685314685314685</v>
      </c>
      <c r="AM1675" s="1511">
        <f>Table1[[#This Row],[OD Wdth]]*Table1[[#This Row],[OD Hgt]]</f>
        <v>143</v>
      </c>
      <c r="AN1675" s="1511">
        <f>Table1[[#This Row],[Min VO]]+Table1[[#This Row],[Max VO]]</f>
        <v>22</v>
      </c>
      <c r="AO1675" s="1478"/>
      <c r="AP1675" s="1449"/>
      <c r="AQ1675" s="1449">
        <f>(Table1[[#This Row],[Desgnr/Retail P]]*0.05)</f>
        <v>0</v>
      </c>
      <c r="AR1675" s="1449" t="b">
        <f t="shared" ref="AR1675:AR1681" si="609">IF(A1675="Codarus",(AP1675*0.13))</f>
        <v>0</v>
      </c>
      <c r="AS1675" s="1449" t="e" cm="1">
        <f t="array" ref="AS1675">SUM(AC1675:AG1675+AQ+AR)</f>
        <v>#NAME?</v>
      </c>
      <c r="AT1675" s="1509" t="e">
        <f>(AP1675-AS1675)/AP1675</f>
        <v>#NAME?</v>
      </c>
      <c r="AU1675" s="1512" t="str">
        <f t="shared" si="588"/>
        <v>-</v>
      </c>
    </row>
    <row r="1676" spans="1:47" s="103" customFormat="1" hidden="1" x14ac:dyDescent="0.2">
      <c r="A1676" s="101" t="s">
        <v>110</v>
      </c>
      <c r="B1676" s="1064" t="s">
        <v>134</v>
      </c>
      <c r="C1676" s="100" t="s">
        <v>3946</v>
      </c>
      <c r="D1676" s="168"/>
      <c r="E1676" s="115" t="s">
        <v>3944</v>
      </c>
      <c r="F1676" s="115" t="s">
        <v>3945</v>
      </c>
      <c r="G1676" s="101" t="s">
        <v>2711</v>
      </c>
      <c r="H1676" s="101" t="s">
        <v>2711</v>
      </c>
      <c r="I1676" s="101" t="s">
        <v>52</v>
      </c>
      <c r="J1676" s="487" t="s">
        <v>53</v>
      </c>
      <c r="K1676" s="101" t="s">
        <v>54</v>
      </c>
      <c r="L1676" s="101" t="s">
        <v>55</v>
      </c>
      <c r="M1676" s="299">
        <v>225</v>
      </c>
      <c r="N1676" s="114"/>
      <c r="O1676" s="101" t="s">
        <v>56</v>
      </c>
      <c r="P1676" s="101">
        <v>12</v>
      </c>
      <c r="Q1676" s="101">
        <v>10</v>
      </c>
      <c r="R1676" s="101">
        <v>10</v>
      </c>
      <c r="S1676" s="101">
        <v>12</v>
      </c>
      <c r="T1676" s="101">
        <v>12</v>
      </c>
      <c r="U1676" s="101">
        <v>10</v>
      </c>
      <c r="V1676" s="917">
        <f t="shared" si="604"/>
        <v>20</v>
      </c>
      <c r="W1676" s="917">
        <f t="shared" si="605"/>
        <v>18</v>
      </c>
      <c r="X1676" s="634" t="s">
        <v>57</v>
      </c>
      <c r="Y1676" s="697">
        <v>20</v>
      </c>
      <c r="Z1676" s="697">
        <v>18</v>
      </c>
      <c r="AA1676" s="724">
        <f t="shared" si="597"/>
        <v>2.5</v>
      </c>
      <c r="AB1676" s="633">
        <f t="shared" si="602"/>
        <v>52.599999999999994</v>
      </c>
      <c r="AC1676" s="406">
        <f t="shared" si="606"/>
        <v>1.6500000000000001</v>
      </c>
      <c r="AD1676" s="107">
        <f t="shared" si="607"/>
        <v>4.2080000000000002</v>
      </c>
      <c r="AE1676" s="406">
        <f>IF(Table1[[#This Row],[Work Center]]="SwissQ",Materials!G$37,IF(Table1[[#This Row],[Work Center]]="Inca",Materials!G$29,IF(Table1[[#This Row],[Work Center]]="Canon",Materials!G$49,Materials!G$45)))</f>
        <v>8</v>
      </c>
      <c r="AF1676" s="102">
        <f>'Cali FPS'!C6</f>
        <v>58.73</v>
      </c>
      <c r="AG1676" s="115"/>
      <c r="AH1676" s="406">
        <f t="shared" si="599"/>
        <v>11.25</v>
      </c>
      <c r="AI1676" s="406">
        <f>IF(A1676="Codarus",(M1676*0.13))</f>
        <v>29.25</v>
      </c>
      <c r="AJ1676" s="104">
        <f t="shared" si="608"/>
        <v>113.08799999999999</v>
      </c>
      <c r="AK1676" s="1065">
        <f t="shared" si="601"/>
        <v>0.4973866666666667</v>
      </c>
      <c r="AL1676" s="406">
        <f>Table1[[#This Row],[WSP/Dealer]]/Table1[[#This Row],[OD Sq Inch]]</f>
        <v>1.875</v>
      </c>
      <c r="AM1676" s="400">
        <f>Table1[[#This Row],[OD Wdth]]*Table1[[#This Row],[OD Hgt]]</f>
        <v>120</v>
      </c>
      <c r="AN1676" s="400">
        <f>Table1[[#This Row],[Min VO]]+Table1[[#This Row],[Max VO]]</f>
        <v>22</v>
      </c>
      <c r="AO1676" s="115"/>
      <c r="AP1676" s="1307">
        <f>(M1676*2)</f>
        <v>450</v>
      </c>
      <c r="AQ1676" s="121">
        <f>(Table1[[#This Row],[Desgnr/Retail P]]*0.05)</f>
        <v>22.5</v>
      </c>
      <c r="AR1676" s="121">
        <f t="shared" si="609"/>
        <v>58.5</v>
      </c>
      <c r="AS1676" s="121">
        <f>SUM(Table1[[#This Row],[Substrate $]:[GP FINISH]])+Table1[[#This Row],[Retail Royalty]]+Table1[[#This Row],[Retail$Comm]]</f>
        <v>153.58799999999999</v>
      </c>
      <c r="AT1676" s="830">
        <f>IF(AP1676=0,"-",(AP1676-AS1676)/AP1676)</f>
        <v>0.65869333333333346</v>
      </c>
      <c r="AU1676" s="1359">
        <f t="shared" si="588"/>
        <v>0.97072474074074078</v>
      </c>
    </row>
    <row r="1677" spans="1:47" s="103" customFormat="1" hidden="1" x14ac:dyDescent="0.2">
      <c r="A1677" s="101" t="s">
        <v>110</v>
      </c>
      <c r="B1677" s="1064" t="s">
        <v>134</v>
      </c>
      <c r="C1677" s="100" t="s">
        <v>3943</v>
      </c>
      <c r="D1677" s="100"/>
      <c r="E1677" s="115" t="s">
        <v>3944</v>
      </c>
      <c r="F1677" s="115" t="s">
        <v>3945</v>
      </c>
      <c r="G1677" s="101" t="s">
        <v>2711</v>
      </c>
      <c r="H1677" s="101" t="s">
        <v>1171</v>
      </c>
      <c r="I1677" s="101" t="s">
        <v>52</v>
      </c>
      <c r="J1677" s="487" t="s">
        <v>53</v>
      </c>
      <c r="K1677" s="101" t="s">
        <v>69</v>
      </c>
      <c r="L1677" s="101" t="s">
        <v>70</v>
      </c>
      <c r="M1677" s="114">
        <v>275</v>
      </c>
      <c r="N1677" s="114"/>
      <c r="O1677" s="101" t="s">
        <v>56</v>
      </c>
      <c r="P1677" s="101">
        <v>12</v>
      </c>
      <c r="Q1677" s="101">
        <v>10</v>
      </c>
      <c r="R1677" s="101">
        <v>10</v>
      </c>
      <c r="S1677" s="101">
        <v>12</v>
      </c>
      <c r="T1677" s="101">
        <v>13</v>
      </c>
      <c r="U1677" s="101">
        <v>11</v>
      </c>
      <c r="V1677" s="917">
        <f t="shared" si="604"/>
        <v>20</v>
      </c>
      <c r="W1677" s="917">
        <f t="shared" si="605"/>
        <v>18</v>
      </c>
      <c r="X1677" s="634" t="s">
        <v>57</v>
      </c>
      <c r="Y1677" s="697">
        <v>20</v>
      </c>
      <c r="Z1677" s="697">
        <v>18</v>
      </c>
      <c r="AA1677" s="724">
        <f t="shared" si="597"/>
        <v>2.5</v>
      </c>
      <c r="AB1677" s="633">
        <f t="shared" si="602"/>
        <v>52.599999999999994</v>
      </c>
      <c r="AC1677" s="406">
        <f t="shared" si="606"/>
        <v>1.6500000000000001</v>
      </c>
      <c r="AD1677" s="107">
        <f t="shared" si="607"/>
        <v>4.2080000000000002</v>
      </c>
      <c r="AE1677" s="406">
        <f>IF(Table1[[#This Row],[Work Center]]="SwissQ",Materials!G$37,IF(Table1[[#This Row],[Work Center]]="Inca",Materials!G$29,IF(Table1[[#This Row],[Work Center]]="Canon",Materials!G$49,Materials!G$45)))</f>
        <v>8</v>
      </c>
      <c r="AF1677" s="102">
        <f>'Cali Frames'!D255</f>
        <v>81.87</v>
      </c>
      <c r="AG1677" s="121"/>
      <c r="AH1677" s="406">
        <f t="shared" si="599"/>
        <v>13.75</v>
      </c>
      <c r="AI1677" s="406">
        <f>IF(A1677="Codarus",(M1677*0.13))</f>
        <v>35.75</v>
      </c>
      <c r="AJ1677" s="104">
        <f t="shared" si="608"/>
        <v>145.22800000000001</v>
      </c>
      <c r="AK1677" s="830">
        <f t="shared" si="601"/>
        <v>0.47189818181818177</v>
      </c>
      <c r="AL1677" s="660">
        <f>Table1[[#This Row],[WSP/Dealer]]/Table1[[#This Row],[OD Sq Inch]]</f>
        <v>1.9230769230769231</v>
      </c>
      <c r="AM1677" s="400">
        <f>Table1[[#This Row],[OD Wdth]]*Table1[[#This Row],[OD Hgt]]</f>
        <v>143</v>
      </c>
      <c r="AN1677" s="400">
        <f>Table1[[#This Row],[Min VO]]+Table1[[#This Row],[Max VO]]</f>
        <v>22</v>
      </c>
      <c r="AO1677" s="115"/>
      <c r="AP1677" s="121"/>
      <c r="AQ1677" s="121">
        <f>(Table1[[#This Row],[Desgnr/Retail P]]*0.05)</f>
        <v>0</v>
      </c>
      <c r="AR1677" s="121">
        <f t="shared" si="609"/>
        <v>0</v>
      </c>
      <c r="AS1677" s="121">
        <f>SUM(Table1[[#This Row],[Substrate $]:[GP FINISH]])+Table1[[#This Row],[Retail Royalty]]+Table1[[#This Row],[Retail$Comm]]</f>
        <v>95.728000000000009</v>
      </c>
      <c r="AT1677" s="830" t="str">
        <f>IF(AP1677=0,"-",(AP1677-AS1677)/AP1677)</f>
        <v>-</v>
      </c>
      <c r="AU1677" s="1359" t="str">
        <f t="shared" si="588"/>
        <v>-</v>
      </c>
    </row>
    <row r="1678" spans="1:47" s="1513" customFormat="1" hidden="1" x14ac:dyDescent="0.2">
      <c r="A1678" s="101" t="s">
        <v>110</v>
      </c>
      <c r="B1678" s="1064" t="s">
        <v>134</v>
      </c>
      <c r="C1678" s="100" t="s">
        <v>3947</v>
      </c>
      <c r="D1678" s="100"/>
      <c r="E1678" s="115" t="s">
        <v>3944</v>
      </c>
      <c r="F1678" s="115" t="s">
        <v>3945</v>
      </c>
      <c r="G1678" s="101" t="s">
        <v>2711</v>
      </c>
      <c r="H1678" s="101" t="s">
        <v>1171</v>
      </c>
      <c r="I1678" s="101" t="s">
        <v>52</v>
      </c>
      <c r="J1678" s="487" t="s">
        <v>53</v>
      </c>
      <c r="K1678" s="101" t="s">
        <v>69</v>
      </c>
      <c r="L1678" s="101" t="s">
        <v>73</v>
      </c>
      <c r="M1678" s="114">
        <v>275</v>
      </c>
      <c r="N1678" s="114"/>
      <c r="O1678" s="101" t="s">
        <v>56</v>
      </c>
      <c r="P1678" s="101">
        <v>12</v>
      </c>
      <c r="Q1678" s="101">
        <v>10</v>
      </c>
      <c r="R1678" s="101">
        <v>10</v>
      </c>
      <c r="S1678" s="101">
        <v>12</v>
      </c>
      <c r="T1678" s="101">
        <v>13</v>
      </c>
      <c r="U1678" s="101">
        <v>11</v>
      </c>
      <c r="V1678" s="917">
        <f t="shared" si="604"/>
        <v>20</v>
      </c>
      <c r="W1678" s="917">
        <f t="shared" si="605"/>
        <v>18</v>
      </c>
      <c r="X1678" s="634" t="s">
        <v>57</v>
      </c>
      <c r="Y1678" s="697">
        <v>20</v>
      </c>
      <c r="Z1678" s="697">
        <v>18</v>
      </c>
      <c r="AA1678" s="724">
        <f t="shared" si="597"/>
        <v>2.5</v>
      </c>
      <c r="AB1678" s="633">
        <f t="shared" si="602"/>
        <v>52.599999999999994</v>
      </c>
      <c r="AC1678" s="405">
        <f t="shared" si="606"/>
        <v>1.6500000000000001</v>
      </c>
      <c r="AD1678" s="107">
        <f t="shared" si="607"/>
        <v>4.2080000000000002</v>
      </c>
      <c r="AE1678" s="406">
        <f>IF(Table1[[#This Row],[Work Center]]="SwissQ",Materials!G$37,IF(Table1[[#This Row],[Work Center]]="Inca",Materials!G$29,IF(Table1[[#This Row],[Work Center]]="Canon",Materials!G$49,Materials!G$45)))</f>
        <v>8</v>
      </c>
      <c r="AF1678" s="102">
        <f>'Cali Frames'!D408</f>
        <v>75</v>
      </c>
      <c r="AG1678" s="121"/>
      <c r="AH1678" s="406">
        <f t="shared" si="599"/>
        <v>13.75</v>
      </c>
      <c r="AI1678" s="406">
        <f>IF(A1678="Codarus",(M1678*0.13))</f>
        <v>35.75</v>
      </c>
      <c r="AJ1678" s="104">
        <f t="shared" si="608"/>
        <v>138.358</v>
      </c>
      <c r="AK1678" s="830">
        <f t="shared" si="601"/>
        <v>0.49687999999999999</v>
      </c>
      <c r="AL1678" s="660">
        <f>Table1[[#This Row],[WSP/Dealer]]/Table1[[#This Row],[OD Sq Inch]]</f>
        <v>1.9230769230769231</v>
      </c>
      <c r="AM1678" s="399">
        <f>Table1[[#This Row],[OD Wdth]]*Table1[[#This Row],[OD Hgt]]</f>
        <v>143</v>
      </c>
      <c r="AN1678" s="400">
        <f>Table1[[#This Row],[Min VO]]+Table1[[#This Row],[Max VO]]</f>
        <v>22</v>
      </c>
      <c r="AO1678" s="115"/>
      <c r="AP1678" s="121"/>
      <c r="AQ1678" s="121">
        <f>(Table1[[#This Row],[Desgnr/Retail P]]*0.05)</f>
        <v>0</v>
      </c>
      <c r="AR1678" s="121">
        <f t="shared" si="609"/>
        <v>0</v>
      </c>
      <c r="AS1678" s="121">
        <f>SUM(Table1[[#This Row],[Substrate $]:[GP FINISH]])+Table1[[#This Row],[Retail Royalty]]+Table1[[#This Row],[Retail$Comm]]</f>
        <v>88.858000000000004</v>
      </c>
      <c r="AT1678" s="830" t="str">
        <f>IF(AP1678=0,"-",(AP1678-AS1678)/AP1678)</f>
        <v>-</v>
      </c>
      <c r="AU1678" s="1359" t="str">
        <f t="shared" si="588"/>
        <v>-</v>
      </c>
    </row>
    <row r="1679" spans="1:47" s="63" customFormat="1" hidden="1" x14ac:dyDescent="0.2">
      <c r="A1679" s="101" t="s">
        <v>110</v>
      </c>
      <c r="B1679" s="1064" t="s">
        <v>134</v>
      </c>
      <c r="C1679" s="100" t="s">
        <v>3948</v>
      </c>
      <c r="D1679" s="100"/>
      <c r="E1679" s="115" t="s">
        <v>3944</v>
      </c>
      <c r="F1679" s="115" t="s">
        <v>3945</v>
      </c>
      <c r="G1679" s="101" t="s">
        <v>2711</v>
      </c>
      <c r="H1679" s="101" t="s">
        <v>3775</v>
      </c>
      <c r="I1679" s="101" t="s">
        <v>52</v>
      </c>
      <c r="J1679" s="487" t="s">
        <v>53</v>
      </c>
      <c r="K1679" s="101" t="s">
        <v>82</v>
      </c>
      <c r="L1679" s="101" t="s">
        <v>83</v>
      </c>
      <c r="M1679" s="114">
        <v>275</v>
      </c>
      <c r="N1679" s="114"/>
      <c r="O1679" s="101" t="s">
        <v>56</v>
      </c>
      <c r="P1679" s="101">
        <v>12</v>
      </c>
      <c r="Q1679" s="101">
        <v>10</v>
      </c>
      <c r="R1679" s="101">
        <v>10</v>
      </c>
      <c r="S1679" s="101">
        <v>12</v>
      </c>
      <c r="T1679" s="101">
        <v>14</v>
      </c>
      <c r="U1679" s="101">
        <v>12</v>
      </c>
      <c r="V1679" s="917">
        <f t="shared" si="604"/>
        <v>20</v>
      </c>
      <c r="W1679" s="917">
        <f t="shared" si="605"/>
        <v>18</v>
      </c>
      <c r="X1679" s="608" t="s">
        <v>57</v>
      </c>
      <c r="Y1679" s="697">
        <v>20</v>
      </c>
      <c r="Z1679" s="697">
        <v>18</v>
      </c>
      <c r="AA1679" s="724">
        <f t="shared" si="597"/>
        <v>2.5</v>
      </c>
      <c r="AB1679" s="633">
        <f t="shared" si="602"/>
        <v>52.599999999999994</v>
      </c>
      <c r="AC1679" s="406">
        <f t="shared" si="606"/>
        <v>1.6500000000000001</v>
      </c>
      <c r="AD1679" s="107">
        <f t="shared" si="607"/>
        <v>4.2080000000000002</v>
      </c>
      <c r="AE1679" s="406">
        <f>IF(Table1[[#This Row],[Work Center]]="SwissQ",Materials!G$37,IF(Table1[[#This Row],[Work Center]]="Inca",Materials!G$29,IF(Table1[[#This Row],[Work Center]]="Canon",Materials!G$49,Materials!G$45)))</f>
        <v>8</v>
      </c>
      <c r="AF1679" s="102">
        <f>'Cali Frames'!D108</f>
        <v>70.81</v>
      </c>
      <c r="AG1679" s="121"/>
      <c r="AH1679" s="120">
        <f t="shared" si="599"/>
        <v>13.75</v>
      </c>
      <c r="AI1679" s="405">
        <f>IF(A1679="Codarus",(M1679*0.13))</f>
        <v>35.75</v>
      </c>
      <c r="AJ1679" s="104">
        <f t="shared" si="608"/>
        <v>134.16800000000001</v>
      </c>
      <c r="AK1679" s="108">
        <f t="shared" si="601"/>
        <v>0.51211636363636359</v>
      </c>
      <c r="AL1679" s="121">
        <f>Table1[[#This Row],[WSP/Dealer]]/Table1[[#This Row],[OD Sq Inch]]</f>
        <v>1.6369047619047619</v>
      </c>
      <c r="AM1679" s="103">
        <f>Table1[[#This Row],[OD Wdth]]*Table1[[#This Row],[OD Hgt]]</f>
        <v>168</v>
      </c>
      <c r="AN1679" s="101">
        <v>0</v>
      </c>
      <c r="AO1679" s="115"/>
      <c r="AP1679" s="121">
        <f>(M1679*2)</f>
        <v>550</v>
      </c>
      <c r="AQ1679" s="121">
        <f>(Table1[[#This Row],[Desgnr/Retail P]]*0.05)</f>
        <v>27.5</v>
      </c>
      <c r="AR1679" s="121">
        <f t="shared" si="609"/>
        <v>71.5</v>
      </c>
      <c r="AS1679" s="121">
        <f>SUM(Table1[[#This Row],[Substrate $]:[GP FINISH]])+Table1[[#This Row],[Retail Royalty]]+Table1[[#This Row],[Retail$Comm]]</f>
        <v>183.66800000000001</v>
      </c>
      <c r="AT1679" s="830">
        <f>IF(AP1679=0,"-",(AP1679-AS1679)/AP1679)</f>
        <v>0.66605818181818177</v>
      </c>
      <c r="AU1679" s="1359">
        <f t="shared" si="588"/>
        <v>0.97577970247933876</v>
      </c>
    </row>
    <row r="1680" spans="1:47" s="1517" customFormat="1" hidden="1" x14ac:dyDescent="0.2">
      <c r="A1680" s="101" t="s">
        <v>110</v>
      </c>
      <c r="B1680" s="1064" t="s">
        <v>134</v>
      </c>
      <c r="C1680" s="100" t="s">
        <v>3949</v>
      </c>
      <c r="D1680" s="100"/>
      <c r="E1680" s="115" t="s">
        <v>3944</v>
      </c>
      <c r="F1680" s="115" t="s">
        <v>3945</v>
      </c>
      <c r="G1680" s="101" t="s">
        <v>2711</v>
      </c>
      <c r="H1680" s="101" t="s">
        <v>3775</v>
      </c>
      <c r="I1680" s="101" t="s">
        <v>52</v>
      </c>
      <c r="J1680" s="487" t="s">
        <v>53</v>
      </c>
      <c r="K1680" s="101" t="s">
        <v>82</v>
      </c>
      <c r="L1680" s="101" t="s">
        <v>334</v>
      </c>
      <c r="M1680" s="299">
        <v>275</v>
      </c>
      <c r="N1680" s="114"/>
      <c r="O1680" s="101" t="s">
        <v>56</v>
      </c>
      <c r="P1680" s="101">
        <v>12</v>
      </c>
      <c r="Q1680" s="101">
        <v>10</v>
      </c>
      <c r="R1680" s="101">
        <v>10</v>
      </c>
      <c r="S1680" s="101">
        <v>12</v>
      </c>
      <c r="T1680" s="101">
        <v>14</v>
      </c>
      <c r="U1680" s="101">
        <v>12</v>
      </c>
      <c r="V1680" s="917">
        <f t="shared" si="604"/>
        <v>20</v>
      </c>
      <c r="W1680" s="917">
        <f t="shared" si="605"/>
        <v>18</v>
      </c>
      <c r="X1680" s="634" t="s">
        <v>57</v>
      </c>
      <c r="Y1680" s="697">
        <v>20</v>
      </c>
      <c r="Z1680" s="697">
        <v>18</v>
      </c>
      <c r="AA1680" s="724">
        <f t="shared" si="597"/>
        <v>2.5</v>
      </c>
      <c r="AB1680" s="633">
        <f t="shared" si="602"/>
        <v>52.599999999999994</v>
      </c>
      <c r="AC1680" s="406">
        <f t="shared" si="606"/>
        <v>1.6500000000000001</v>
      </c>
      <c r="AD1680" s="107">
        <f t="shared" si="607"/>
        <v>4.2080000000000002</v>
      </c>
      <c r="AE1680" s="406">
        <f>IF(Table1[[#This Row],[Work Center]]="SwissQ",Materials!G$37,IF(Table1[[#This Row],[Work Center]]="Inca",Materials!G$29,IF(Table1[[#This Row],[Work Center]]="Canon",Materials!G$49,Materials!G$45)))</f>
        <v>8</v>
      </c>
      <c r="AF1680" s="102">
        <f>'Cali Frames'!D206</f>
        <v>70</v>
      </c>
      <c r="AG1680" s="121"/>
      <c r="AH1680" s="120">
        <f t="shared" si="599"/>
        <v>13.75</v>
      </c>
      <c r="AI1680" s="405">
        <f>IF(A1680="Codarus",(M1680*0.13))</f>
        <v>35.75</v>
      </c>
      <c r="AJ1680" s="104">
        <f t="shared" si="608"/>
        <v>133.358</v>
      </c>
      <c r="AK1680" s="108">
        <f t="shared" si="601"/>
        <v>0.51506181818181818</v>
      </c>
      <c r="AL1680" s="121">
        <f>Table1[[#This Row],[WSP/Dealer]]/Table1[[#This Row],[OD Sq Inch]]</f>
        <v>1.6369047619047619</v>
      </c>
      <c r="AM1680" s="103">
        <f>Table1[[#This Row],[OD Wdth]]*Table1[[#This Row],[OD Hgt]]</f>
        <v>168</v>
      </c>
      <c r="AN1680" s="101">
        <v>0</v>
      </c>
      <c r="AO1680" s="113"/>
      <c r="AP1680" s="1307">
        <f>(M1680*2)</f>
        <v>550</v>
      </c>
      <c r="AQ1680" s="121">
        <f>(Table1[[#This Row],[Desgnr/Retail P]]*0.05)</f>
        <v>27.5</v>
      </c>
      <c r="AR1680" s="121">
        <f t="shared" si="609"/>
        <v>71.5</v>
      </c>
      <c r="AS1680" s="121">
        <f>SUM(Table1[[#This Row],[Substrate $]:[GP FINISH]])+Table1[[#This Row],[Retail Royalty]]+Table1[[#This Row],[Retail$Comm]]</f>
        <v>182.858</v>
      </c>
      <c r="AT1680" s="830">
        <f>IF(AP1680=0,"-",(AP1680-AS1680)/AP1680)</f>
        <v>0.66753090909090906</v>
      </c>
      <c r="AU1680" s="1367">
        <f t="shared" si="588"/>
        <v>0.97572614876033048</v>
      </c>
    </row>
    <row r="1681" spans="1:47" s="46" customFormat="1" hidden="1" x14ac:dyDescent="0.2">
      <c r="A1681" s="974" t="s">
        <v>318</v>
      </c>
      <c r="B1681" s="1528" t="s">
        <v>310</v>
      </c>
      <c r="C1681" s="1514" t="s">
        <v>3950</v>
      </c>
      <c r="D1681" s="1514"/>
      <c r="E1681" s="1515" t="s">
        <v>3951</v>
      </c>
      <c r="F1681" s="1515" t="s">
        <v>3945</v>
      </c>
      <c r="G1681" s="974" t="s">
        <v>3716</v>
      </c>
      <c r="H1681" s="974" t="s">
        <v>1213</v>
      </c>
      <c r="I1681" s="974" t="s">
        <v>52</v>
      </c>
      <c r="J1681" s="1516" t="s">
        <v>53</v>
      </c>
      <c r="K1681" s="974" t="s">
        <v>69</v>
      </c>
      <c r="L1681" s="974" t="s">
        <v>70</v>
      </c>
      <c r="M1681" s="141">
        <v>250</v>
      </c>
      <c r="N1681" s="141"/>
      <c r="O1681" s="974" t="s">
        <v>56</v>
      </c>
      <c r="P1681" s="974">
        <v>20</v>
      </c>
      <c r="Q1681" s="974">
        <v>24</v>
      </c>
      <c r="R1681" s="974">
        <v>20</v>
      </c>
      <c r="S1681" s="974">
        <v>24</v>
      </c>
      <c r="T1681" s="974">
        <v>21</v>
      </c>
      <c r="U1681" s="974">
        <v>25</v>
      </c>
      <c r="V1681" s="1504">
        <f t="shared" si="604"/>
        <v>28</v>
      </c>
      <c r="W1681" s="1504">
        <f t="shared" si="605"/>
        <v>32</v>
      </c>
      <c r="X1681" s="1504" t="s">
        <v>57</v>
      </c>
      <c r="Y1681" s="1518">
        <v>28</v>
      </c>
      <c r="Z1681" s="1518">
        <v>32</v>
      </c>
      <c r="AA1681" s="1519">
        <f t="shared" si="597"/>
        <v>6.2222222222222223</v>
      </c>
      <c r="AB1681" s="1520">
        <f t="shared" si="602"/>
        <v>130.91555555555556</v>
      </c>
      <c r="AC1681" s="1425">
        <f t="shared" si="606"/>
        <v>4.1066666666666674</v>
      </c>
      <c r="AD1681" s="1521">
        <f t="shared" si="607"/>
        <v>10.473244444444445</v>
      </c>
      <c r="AE1681" s="1425">
        <f>IF(Table1[[#This Row],[Work Center]]="SwissQ",Materials!G$37,IF(Table1[[#This Row],[Work Center]]="Inca",Materials!G$29,IF(Table1[[#This Row],[Work Center]]="Canon",Materials!G$49,Materials!G$45)))</f>
        <v>8</v>
      </c>
      <c r="AF1681" s="1277">
        <f>'Cali Frames'!D273</f>
        <v>90.53</v>
      </c>
      <c r="AG1681" s="1029"/>
      <c r="AH1681" s="1029">
        <f t="shared" si="599"/>
        <v>12.5</v>
      </c>
      <c r="AI1681" s="1425"/>
      <c r="AJ1681" s="819">
        <f t="shared" si="608"/>
        <v>125.60991111111112</v>
      </c>
      <c r="AK1681" s="1641">
        <f t="shared" si="601"/>
        <v>0.49756035555555556</v>
      </c>
      <c r="AL1681" s="1029">
        <f>Table1[[#This Row],[WSP/Dealer]]/Table1[[#This Row],[OD Sq Inch]]</f>
        <v>0.47619047619047616</v>
      </c>
      <c r="AM1681" s="974">
        <f>Table1[[#This Row],[OD Wdth]]*Table1[[#This Row],[OD Hgt]]</f>
        <v>525</v>
      </c>
      <c r="AN1681" s="974">
        <v>0</v>
      </c>
      <c r="AO1681" s="1515"/>
      <c r="AP1681" s="1029"/>
      <c r="AQ1681" s="1029">
        <f>(Table1[[#This Row],[Desgnr/Retail P]]*0.05)</f>
        <v>0</v>
      </c>
      <c r="AR1681" s="1029" t="b">
        <f t="shared" si="609"/>
        <v>0</v>
      </c>
      <c r="AS1681" s="1029" t="e" cm="1">
        <f t="array" ref="AS1681">SUM(AC1681:AG1681+AQ+AR)</f>
        <v>#NAME?</v>
      </c>
      <c r="AT1681" s="819" t="e">
        <f>(AP1681-AS1681)/AP1681</f>
        <v>#NAME?</v>
      </c>
      <c r="AU1681" s="1645" t="str">
        <f t="shared" si="588"/>
        <v>-</v>
      </c>
    </row>
    <row r="1682" spans="1:47" s="63" customFormat="1" hidden="1" x14ac:dyDescent="0.2">
      <c r="A1682" s="68"/>
      <c r="B1682" s="279"/>
      <c r="C1682" s="94" t="s">
        <v>3952</v>
      </c>
      <c r="D1682" s="94"/>
      <c r="E1682" s="84" t="s">
        <v>3953</v>
      </c>
      <c r="F1682" s="84" t="s">
        <v>131</v>
      </c>
      <c r="G1682" s="68" t="s">
        <v>100</v>
      </c>
      <c r="H1682" s="68"/>
      <c r="I1682" s="68" t="s">
        <v>52</v>
      </c>
      <c r="J1682" s="68" t="s">
        <v>53</v>
      </c>
      <c r="K1682" s="68" t="s">
        <v>54</v>
      </c>
      <c r="L1682" s="68" t="s">
        <v>55</v>
      </c>
      <c r="M1682" s="93"/>
      <c r="N1682" s="71"/>
      <c r="O1682" s="68"/>
      <c r="P1682" s="68"/>
      <c r="Q1682" s="68"/>
      <c r="R1682" s="68"/>
      <c r="S1682" s="68"/>
      <c r="T1682" s="68"/>
      <c r="U1682" s="68"/>
      <c r="V1682" s="917"/>
      <c r="W1682" s="917"/>
      <c r="X1682" s="189"/>
      <c r="Y1682" s="68"/>
      <c r="Z1682" s="68"/>
      <c r="AA1682" s="699"/>
      <c r="AB1682" s="297"/>
      <c r="AC1682" s="74"/>
      <c r="AD1682" s="118"/>
      <c r="AE1682" s="126"/>
      <c r="AF1682" s="73"/>
      <c r="AG1682" s="126"/>
      <c r="AH1682" s="498">
        <f t="shared" si="599"/>
        <v>0</v>
      </c>
      <c r="AI1682" s="498"/>
      <c r="AJ1682" s="126"/>
      <c r="AK1682" s="650" t="e">
        <f t="shared" si="601"/>
        <v>#DIV/0!</v>
      </c>
      <c r="AL1682" s="225" t="e">
        <f>Table1[[#This Row],[WSP/Dealer]]/Table1[[#This Row],[OD Sq Inch]]</f>
        <v>#DIV/0!</v>
      </c>
      <c r="AM1682" s="119"/>
      <c r="AN1682" s="216">
        <f>Table1[[#This Row],[Min VO]]+Table1[[#This Row],[Max VO]]</f>
        <v>0</v>
      </c>
      <c r="AO1682" s="84"/>
      <c r="AP1682" s="84"/>
      <c r="AQ1682" s="126"/>
      <c r="AR1682" s="126"/>
      <c r="AS1682" s="126"/>
      <c r="AT1682" s="74"/>
      <c r="AU1682" s="1357" t="str">
        <f t="shared" si="588"/>
        <v>-</v>
      </c>
    </row>
    <row r="1683" spans="1:47" s="46" customFormat="1" hidden="1" x14ac:dyDescent="0.2">
      <c r="A1683" s="216" t="s">
        <v>272</v>
      </c>
      <c r="B1683" s="1061" t="s">
        <v>273</v>
      </c>
      <c r="C1683" s="232" t="s">
        <v>3954</v>
      </c>
      <c r="D1683" s="94" t="s">
        <v>3955</v>
      </c>
      <c r="E1683" s="217" t="s">
        <v>3956</v>
      </c>
      <c r="F1683" s="217" t="s">
        <v>131</v>
      </c>
      <c r="G1683" s="216" t="s">
        <v>3957</v>
      </c>
      <c r="H1683" s="216" t="s">
        <v>3957</v>
      </c>
      <c r="I1683" s="216" t="s">
        <v>52</v>
      </c>
      <c r="J1683" s="216" t="s">
        <v>53</v>
      </c>
      <c r="K1683" s="216" t="s">
        <v>54</v>
      </c>
      <c r="L1683" s="216" t="s">
        <v>55</v>
      </c>
      <c r="M1683" s="219">
        <v>400</v>
      </c>
      <c r="N1683" s="219"/>
      <c r="O1683" s="216" t="s">
        <v>56</v>
      </c>
      <c r="P1683" s="216">
        <v>53</v>
      </c>
      <c r="Q1683" s="216">
        <v>35</v>
      </c>
      <c r="R1683" s="216">
        <v>35</v>
      </c>
      <c r="S1683" s="626">
        <v>53</v>
      </c>
      <c r="T1683" s="216">
        <f t="shared" ref="T1683:U1686" si="610">P1683</f>
        <v>53</v>
      </c>
      <c r="U1683" s="216">
        <f t="shared" si="610"/>
        <v>35</v>
      </c>
      <c r="V1683" s="907">
        <f>IF(J1683="Canvas",P1683+BorderGW,P1683)</f>
        <v>61</v>
      </c>
      <c r="W1683" s="907">
        <f>IF(J1683="Canvas",Q1683+BorderGW,Q1683)</f>
        <v>43</v>
      </c>
      <c r="X1683" s="997">
        <v>63</v>
      </c>
      <c r="Y1683" s="907"/>
      <c r="Z1683" s="907"/>
      <c r="AA1683" s="718">
        <f>V1683*W1683/144</f>
        <v>18.215277777777779</v>
      </c>
      <c r="AB1683" s="233">
        <f>AA1683*IncaG</f>
        <v>383.24944444444446</v>
      </c>
      <c r="AC1683" s="225">
        <f>AA1683*Canvas</f>
        <v>12.022083333333335</v>
      </c>
      <c r="AD1683" s="986">
        <f>Table1[[#This Row],[Ink g/mL]]*Materials!$C$29</f>
        <v>30.659955555555559</v>
      </c>
      <c r="AE1683" s="104">
        <f>IF(Table1[[#This Row],[Work Center]]="SwissQ",Materials!G$37,IF(Table1[[#This Row],[Work Center]]="Inca",Materials!G$29,IF(Table1[[#This Row],[Work Center]]="Canon",Materials!G$49,Materials!G$45)))</f>
        <v>8</v>
      </c>
      <c r="AF1683" s="225"/>
      <c r="AG1683" s="115"/>
      <c r="AH1683" s="498">
        <f t="shared" si="599"/>
        <v>20</v>
      </c>
      <c r="AI1683" s="498"/>
      <c r="AJ1683" s="225">
        <f>SUM(AC1683:AH1683)</f>
        <v>70.682038888888897</v>
      </c>
      <c r="AK1683" s="650">
        <f t="shared" si="601"/>
        <v>0.82329490277777784</v>
      </c>
      <c r="AL1683" s="225">
        <f>Table1[[#This Row],[WSP/Dealer]]/Table1[[#This Row],[OD Sq Inch]]</f>
        <v>0.215633423180593</v>
      </c>
      <c r="AM1683" s="110">
        <f>Table1[[#This Row],[OD Wdth]]*Table1[[#This Row],[OD Hgt]]</f>
        <v>1855</v>
      </c>
      <c r="AN1683" s="216">
        <f>Table1[[#This Row],[Min VO]]+Table1[[#This Row],[Max VO]]</f>
        <v>88</v>
      </c>
      <c r="AO1683" s="216" t="s">
        <v>467</v>
      </c>
      <c r="AP1683" s="226"/>
      <c r="AQ1683" s="226"/>
      <c r="AR1683" s="226"/>
      <c r="AS1683" s="226"/>
      <c r="AT1683" s="226"/>
      <c r="AU1683" s="1365" t="str">
        <f t="shared" si="588"/>
        <v>-</v>
      </c>
    </row>
    <row r="1684" spans="1:47" s="63" customFormat="1" hidden="1" x14ac:dyDescent="0.2">
      <c r="A1684" s="216" t="s">
        <v>272</v>
      </c>
      <c r="B1684" s="1061" t="s">
        <v>273</v>
      </c>
      <c r="C1684" s="243" t="s">
        <v>3958</v>
      </c>
      <c r="D1684" s="94" t="s">
        <v>3955</v>
      </c>
      <c r="E1684" s="217" t="s">
        <v>3959</v>
      </c>
      <c r="F1684" s="217" t="s">
        <v>131</v>
      </c>
      <c r="G1684" s="216" t="s">
        <v>3957</v>
      </c>
      <c r="H1684" s="216" t="s">
        <v>3957</v>
      </c>
      <c r="I1684" s="216" t="s">
        <v>108</v>
      </c>
      <c r="J1684" s="216" t="s">
        <v>53</v>
      </c>
      <c r="K1684" s="216" t="s">
        <v>54</v>
      </c>
      <c r="L1684" s="216" t="s">
        <v>55</v>
      </c>
      <c r="M1684" s="219">
        <v>350</v>
      </c>
      <c r="N1684" s="219"/>
      <c r="O1684" s="216" t="s">
        <v>109</v>
      </c>
      <c r="P1684" s="216">
        <v>53</v>
      </c>
      <c r="Q1684" s="216">
        <v>35</v>
      </c>
      <c r="R1684" s="216">
        <v>35</v>
      </c>
      <c r="S1684" s="626">
        <v>53</v>
      </c>
      <c r="T1684" s="218">
        <f t="shared" si="610"/>
        <v>53</v>
      </c>
      <c r="U1684" s="218">
        <f t="shared" si="610"/>
        <v>35</v>
      </c>
      <c r="V1684" s="222">
        <f>IF(J1684="Canvas",P1684+BorderGW,P1684)</f>
        <v>61</v>
      </c>
      <c r="W1684" s="222">
        <f>IF(J1684="Canvas",Q1684+BorderGW,Q1684)</f>
        <v>43</v>
      </c>
      <c r="X1684" s="223">
        <v>63</v>
      </c>
      <c r="Y1684" s="216"/>
      <c r="Z1684" s="216"/>
      <c r="AA1684" s="718">
        <f>V1684*W1684/144</f>
        <v>18.215277777777779</v>
      </c>
      <c r="AB1684" s="233">
        <f>AA1684*EPSONM</f>
        <v>81.96875</v>
      </c>
      <c r="AC1684" s="207">
        <f>AA1684*Canvas</f>
        <v>12.022083333333335</v>
      </c>
      <c r="AD1684" s="207">
        <f>Table1[[#This Row],[Ink g/mL]]*EPSONC</f>
        <v>18.033125000000002</v>
      </c>
      <c r="AE1684" s="104">
        <f>IF(Table1[[#This Row],[Work Center]]="SwissQ",Materials!G$37,IF(Table1[[#This Row],[Work Center]]="Inca",Materials!G$29,IF(Table1[[#This Row],[Work Center]]="Canon",Materials!G$49,Materials!G$45)))</f>
        <v>5</v>
      </c>
      <c r="AF1684" s="225">
        <f>'Cali FPS'!C66</f>
        <v>107.55500000000001</v>
      </c>
      <c r="AG1684" s="115"/>
      <c r="AH1684" s="112">
        <f t="shared" si="599"/>
        <v>17.5</v>
      </c>
      <c r="AI1684" s="112"/>
      <c r="AJ1684" s="225">
        <f>SUM(AC1684:AH1684)</f>
        <v>160.11020833333333</v>
      </c>
      <c r="AK1684" s="62">
        <f t="shared" si="601"/>
        <v>0.54254226190476196</v>
      </c>
      <c r="AL1684" s="225">
        <f>Table1[[#This Row],[WSP/Dealer]]/Table1[[#This Row],[OD Sq Inch]]</f>
        <v>0.18867924528301888</v>
      </c>
      <c r="AM1684" s="218">
        <f>Table1[[#This Row],[OD Wdth]]*Table1[[#This Row],[OD Hgt]]</f>
        <v>1855</v>
      </c>
      <c r="AN1684" s="216">
        <f>Table1[[#This Row],[Min VO]]+Table1[[#This Row],[Max VO]]</f>
        <v>88</v>
      </c>
      <c r="AO1684" s="218" t="s">
        <v>467</v>
      </c>
      <c r="AP1684" s="226"/>
      <c r="AQ1684" s="226"/>
      <c r="AR1684" s="226"/>
      <c r="AS1684" s="226"/>
      <c r="AT1684" s="226"/>
      <c r="AU1684" s="1369" t="str">
        <f t="shared" si="588"/>
        <v>-</v>
      </c>
    </row>
    <row r="1685" spans="1:47" s="63" customFormat="1" hidden="1" x14ac:dyDescent="0.2">
      <c r="A1685" s="216" t="s">
        <v>272</v>
      </c>
      <c r="B1685" s="1061" t="s">
        <v>273</v>
      </c>
      <c r="C1685" s="243" t="s">
        <v>3960</v>
      </c>
      <c r="D1685" s="94"/>
      <c r="E1685" s="217" t="s">
        <v>3961</v>
      </c>
      <c r="F1685" s="217" t="s">
        <v>131</v>
      </c>
      <c r="G1685" s="216" t="s">
        <v>660</v>
      </c>
      <c r="H1685" s="216" t="s">
        <v>660</v>
      </c>
      <c r="I1685" s="216" t="s">
        <v>52</v>
      </c>
      <c r="J1685" s="216" t="s">
        <v>53</v>
      </c>
      <c r="K1685" s="216" t="s">
        <v>54</v>
      </c>
      <c r="L1685" s="216" t="s">
        <v>55</v>
      </c>
      <c r="M1685" s="219">
        <f>Table1[[#This Row],[Desgnr/Retail P]]</f>
        <v>0</v>
      </c>
      <c r="N1685" s="219"/>
      <c r="O1685" s="216" t="s">
        <v>56</v>
      </c>
      <c r="P1685" s="216">
        <v>60</v>
      </c>
      <c r="Q1685" s="216">
        <v>40</v>
      </c>
      <c r="R1685" s="216">
        <v>40</v>
      </c>
      <c r="S1685" s="221">
        <v>60</v>
      </c>
      <c r="T1685" s="218">
        <f t="shared" si="610"/>
        <v>60</v>
      </c>
      <c r="U1685" s="218">
        <f t="shared" si="610"/>
        <v>40</v>
      </c>
      <c r="V1685" s="222">
        <f>IF(J1685="Canvas",P1685+BorderGW,P1685)</f>
        <v>68</v>
      </c>
      <c r="W1685" s="222">
        <f>IF(J1685="Canvas",Q1685+BorderGW,Q1685)</f>
        <v>48</v>
      </c>
      <c r="X1685" s="223">
        <v>69</v>
      </c>
      <c r="Y1685" s="216"/>
      <c r="Z1685" s="216"/>
      <c r="AA1685" s="718">
        <f>V1685*W1685/144</f>
        <v>22.666666666666668</v>
      </c>
      <c r="AB1685" s="233">
        <f>AA1685*IncaG</f>
        <v>476.90666666666669</v>
      </c>
      <c r="AC1685" s="225">
        <f>AA1685*Canvas</f>
        <v>14.96</v>
      </c>
      <c r="AD1685" s="206">
        <f>Table1[[#This Row],[Ink g/mL]]*Materials!$C$29</f>
        <v>38.152533333333338</v>
      </c>
      <c r="AE1685" s="104">
        <f>IF(Table1[[#This Row],[Work Center]]="SwissQ",Materials!G$37,IF(Table1[[#This Row],[Work Center]]="Inca",Materials!G$29,IF(Table1[[#This Row],[Work Center]]="Canon",Materials!G$49,Materials!G$45)))</f>
        <v>8</v>
      </c>
      <c r="AF1685" s="225"/>
      <c r="AG1685" s="115"/>
      <c r="AH1685" s="498">
        <f t="shared" si="599"/>
        <v>0</v>
      </c>
      <c r="AI1685" s="498"/>
      <c r="AJ1685" s="225">
        <f>SUM(AC1685:AH1685)</f>
        <v>61.112533333333339</v>
      </c>
      <c r="AK1685" s="650" t="e">
        <f t="shared" si="601"/>
        <v>#DIV/0!</v>
      </c>
      <c r="AL1685" s="225">
        <f>Table1[[#This Row],[WSP/Dealer]]/Table1[[#This Row],[OD Sq Inch]]</f>
        <v>0</v>
      </c>
      <c r="AM1685" s="103">
        <f>Table1[[#This Row],[OD Wdth]]*Table1[[#This Row],[OD Hgt]]</f>
        <v>2400</v>
      </c>
      <c r="AN1685" s="216">
        <f>Table1[[#This Row],[Min VO]]+Table1[[#This Row],[Max VO]]</f>
        <v>100</v>
      </c>
      <c r="AO1685" s="218" t="s">
        <v>683</v>
      </c>
      <c r="AP1685" s="226"/>
      <c r="AQ1685" s="226"/>
      <c r="AR1685" s="226"/>
      <c r="AS1685" s="226"/>
      <c r="AT1685" s="226"/>
      <c r="AU1685" s="1369" t="str">
        <f t="shared" si="588"/>
        <v>-</v>
      </c>
    </row>
    <row r="1686" spans="1:47" s="63" customFormat="1" hidden="1" x14ac:dyDescent="0.2">
      <c r="A1686" s="216" t="s">
        <v>272</v>
      </c>
      <c r="B1686" s="1061" t="s">
        <v>273</v>
      </c>
      <c r="C1686" s="243" t="s">
        <v>3962</v>
      </c>
      <c r="D1686" s="94"/>
      <c r="E1686" s="217" t="s">
        <v>3963</v>
      </c>
      <c r="F1686" s="217" t="s">
        <v>131</v>
      </c>
      <c r="G1686" s="216" t="s">
        <v>660</v>
      </c>
      <c r="H1686" s="216" t="s">
        <v>660</v>
      </c>
      <c r="I1686" s="216" t="s">
        <v>108</v>
      </c>
      <c r="J1686" s="216" t="s">
        <v>53</v>
      </c>
      <c r="K1686" s="216" t="s">
        <v>54</v>
      </c>
      <c r="L1686" s="216" t="s">
        <v>55</v>
      </c>
      <c r="M1686" s="219">
        <v>400</v>
      </c>
      <c r="N1686" s="219"/>
      <c r="O1686" s="216" t="s">
        <v>109</v>
      </c>
      <c r="P1686" s="216">
        <v>60</v>
      </c>
      <c r="Q1686" s="216">
        <v>40</v>
      </c>
      <c r="R1686" s="216">
        <v>40</v>
      </c>
      <c r="S1686" s="221">
        <v>60</v>
      </c>
      <c r="T1686" s="218">
        <f t="shared" si="610"/>
        <v>60</v>
      </c>
      <c r="U1686" s="218">
        <f t="shared" si="610"/>
        <v>40</v>
      </c>
      <c r="V1686" s="222">
        <f>IF(J1686="Canvas",P1686+BorderGW,P1686)</f>
        <v>68</v>
      </c>
      <c r="W1686" s="222">
        <f>IF(J1686="Canvas",Q1686+BorderGW,Q1686)</f>
        <v>48</v>
      </c>
      <c r="X1686" s="223">
        <v>68</v>
      </c>
      <c r="Y1686" s="218"/>
      <c r="Z1686" s="218"/>
      <c r="AA1686" s="718">
        <f>V1686*W1686/144</f>
        <v>22.666666666666668</v>
      </c>
      <c r="AB1686" s="233">
        <f>AA1686*EPSONM</f>
        <v>102</v>
      </c>
      <c r="AC1686" s="225">
        <f>AA1686*Canvas</f>
        <v>14.96</v>
      </c>
      <c r="AD1686" s="207">
        <f>Table1[[#This Row],[Ink g/mL]]*EPSONC</f>
        <v>22.44</v>
      </c>
      <c r="AE1686" s="104">
        <f>IF(Table1[[#This Row],[Work Center]]="SwissQ",Materials!G$37,IF(Table1[[#This Row],[Work Center]]="Inca",Materials!G$29,IF(Table1[[#This Row],[Work Center]]="Canon",Materials!G$49,Materials!G$45)))</f>
        <v>5</v>
      </c>
      <c r="AF1686" s="225">
        <f>'Cali FPS'!C89</f>
        <v>112.01750000000001</v>
      </c>
      <c r="AG1686" s="115"/>
      <c r="AH1686" s="112">
        <f t="shared" si="599"/>
        <v>20</v>
      </c>
      <c r="AI1686" s="112"/>
      <c r="AJ1686" s="207">
        <f>SUM(AC1686:AH1686)</f>
        <v>174.41750000000002</v>
      </c>
      <c r="AK1686" s="62">
        <f t="shared" si="601"/>
        <v>0.56395624999999994</v>
      </c>
      <c r="AL1686" s="225">
        <f>Table1[[#This Row],[WSP/Dealer]]/Table1[[#This Row],[OD Sq Inch]]</f>
        <v>0.16666666666666666</v>
      </c>
      <c r="AM1686" s="103">
        <f>Table1[[#This Row],[OD Wdth]]*Table1[[#This Row],[OD Hgt]]</f>
        <v>2400</v>
      </c>
      <c r="AN1686" s="216">
        <f>Table1[[#This Row],[Min VO]]+Table1[[#This Row],[Max VO]]</f>
        <v>100</v>
      </c>
      <c r="AO1686" s="218" t="s">
        <v>683</v>
      </c>
      <c r="AP1686" s="226"/>
      <c r="AQ1686" s="226"/>
      <c r="AR1686" s="226"/>
      <c r="AS1686" s="226"/>
      <c r="AT1686" s="226"/>
      <c r="AU1686" s="1369" t="str">
        <f t="shared" si="588"/>
        <v>-</v>
      </c>
    </row>
    <row r="1687" spans="1:47" s="63" customFormat="1" hidden="1" x14ac:dyDescent="0.2">
      <c r="A1687" s="68"/>
      <c r="B1687" s="1061"/>
      <c r="C1687" s="94" t="s">
        <v>3964</v>
      </c>
      <c r="D1687" s="94"/>
      <c r="E1687" s="84" t="s">
        <v>3965</v>
      </c>
      <c r="F1687" s="84" t="s">
        <v>920</v>
      </c>
      <c r="G1687" s="68" t="s">
        <v>3107</v>
      </c>
      <c r="H1687" s="68"/>
      <c r="I1687" s="68" t="s">
        <v>304</v>
      </c>
      <c r="J1687" s="68" t="s">
        <v>257</v>
      </c>
      <c r="K1687" s="68" t="s">
        <v>258</v>
      </c>
      <c r="L1687" s="68" t="s">
        <v>83</v>
      </c>
      <c r="M1687" s="93"/>
      <c r="N1687" s="71"/>
      <c r="O1687" s="68"/>
      <c r="P1687" s="68"/>
      <c r="Q1687" s="68"/>
      <c r="R1687" s="68"/>
      <c r="S1687" s="68"/>
      <c r="T1687" s="68"/>
      <c r="U1687" s="68"/>
      <c r="V1687" s="917"/>
      <c r="W1687" s="917"/>
      <c r="X1687" s="189"/>
      <c r="Y1687" s="68"/>
      <c r="Z1687" s="68"/>
      <c r="AA1687" s="699"/>
      <c r="AB1687" s="297"/>
      <c r="AC1687" s="74"/>
      <c r="AD1687" s="118"/>
      <c r="AE1687" s="126"/>
      <c r="AF1687" s="73"/>
      <c r="AG1687" s="126"/>
      <c r="AH1687" s="112">
        <f t="shared" si="599"/>
        <v>0</v>
      </c>
      <c r="AI1687" s="112"/>
      <c r="AJ1687" s="126"/>
      <c r="AK1687" s="62" t="e">
        <f t="shared" si="601"/>
        <v>#DIV/0!</v>
      </c>
      <c r="AL1687" s="225" t="e">
        <f>Table1[[#This Row],[WSP/Dealer]]/Table1[[#This Row],[OD Sq Inch]]</f>
        <v>#DIV/0!</v>
      </c>
      <c r="AM1687" s="84"/>
      <c r="AN1687" s="216">
        <f>Table1[[#This Row],[Min VO]]+Table1[[#This Row],[Max VO]]</f>
        <v>0</v>
      </c>
      <c r="AO1687" s="84"/>
      <c r="AP1687" s="84"/>
      <c r="AQ1687" s="126"/>
      <c r="AR1687" s="126"/>
      <c r="AS1687" s="126"/>
      <c r="AT1687" s="74"/>
      <c r="AU1687" s="1357" t="str">
        <f t="shared" si="588"/>
        <v>-</v>
      </c>
    </row>
    <row r="1688" spans="1:47" s="45" customFormat="1" hidden="1" x14ac:dyDescent="0.2">
      <c r="A1688" s="68"/>
      <c r="B1688" s="1061"/>
      <c r="C1688" s="94" t="s">
        <v>3966</v>
      </c>
      <c r="D1688" s="94"/>
      <c r="E1688" s="84" t="s">
        <v>3967</v>
      </c>
      <c r="F1688" s="84" t="s">
        <v>920</v>
      </c>
      <c r="G1688" s="68" t="s">
        <v>3107</v>
      </c>
      <c r="H1688" s="68"/>
      <c r="I1688" s="68" t="s">
        <v>304</v>
      </c>
      <c r="J1688" s="68" t="s">
        <v>257</v>
      </c>
      <c r="K1688" s="68" t="s">
        <v>258</v>
      </c>
      <c r="L1688" s="68" t="s">
        <v>83</v>
      </c>
      <c r="M1688" s="93"/>
      <c r="N1688" s="71"/>
      <c r="O1688" s="68"/>
      <c r="P1688" s="68"/>
      <c r="Q1688" s="68"/>
      <c r="R1688" s="68"/>
      <c r="S1688" s="68"/>
      <c r="T1688" s="68"/>
      <c r="U1688" s="68"/>
      <c r="V1688" s="917"/>
      <c r="W1688" s="917"/>
      <c r="X1688" s="189"/>
      <c r="Y1688" s="68"/>
      <c r="Z1688" s="68"/>
      <c r="AA1688" s="699"/>
      <c r="AB1688" s="297"/>
      <c r="AC1688" s="74"/>
      <c r="AD1688" s="118"/>
      <c r="AE1688" s="126"/>
      <c r="AF1688" s="73"/>
      <c r="AG1688" s="126"/>
      <c r="AH1688" s="498">
        <f t="shared" si="599"/>
        <v>0</v>
      </c>
      <c r="AI1688" s="498"/>
      <c r="AJ1688" s="126"/>
      <c r="AK1688" s="650" t="e">
        <f t="shared" si="601"/>
        <v>#DIV/0!</v>
      </c>
      <c r="AL1688" s="225" t="e">
        <f>Table1[[#This Row],[WSP/Dealer]]/Table1[[#This Row],[OD Sq Inch]]</f>
        <v>#DIV/0!</v>
      </c>
      <c r="AM1688" s="119"/>
      <c r="AN1688" s="216">
        <f>Table1[[#This Row],[Min VO]]+Table1[[#This Row],[Max VO]]</f>
        <v>0</v>
      </c>
      <c r="AO1688" s="119"/>
      <c r="AP1688" s="84"/>
      <c r="AQ1688" s="126"/>
      <c r="AR1688" s="126"/>
      <c r="AS1688" s="126"/>
      <c r="AT1688" s="74"/>
      <c r="AU1688" s="1356" t="str">
        <f t="shared" si="588"/>
        <v>-</v>
      </c>
    </row>
    <row r="1689" spans="1:47" s="103" customFormat="1" x14ac:dyDescent="0.2">
      <c r="A1689" s="60" t="s">
        <v>581</v>
      </c>
      <c r="B1689" s="1061" t="s">
        <v>292</v>
      </c>
      <c r="C1689" s="75" t="s">
        <v>3968</v>
      </c>
      <c r="D1689" s="94" t="s">
        <v>3969</v>
      </c>
      <c r="E1689" s="83" t="s">
        <v>3970</v>
      </c>
      <c r="F1689" s="83" t="s">
        <v>580</v>
      </c>
      <c r="G1689" s="60" t="s">
        <v>655</v>
      </c>
      <c r="H1689" s="60" t="s">
        <v>657</v>
      </c>
      <c r="I1689" s="60" t="s">
        <v>52</v>
      </c>
      <c r="J1689" s="59" t="s">
        <v>53</v>
      </c>
      <c r="K1689" s="60" t="s">
        <v>82</v>
      </c>
      <c r="L1689" s="60" t="s">
        <v>298</v>
      </c>
      <c r="M1689" s="179">
        <v>1450</v>
      </c>
      <c r="N1689" s="124"/>
      <c r="O1689" s="60" t="s">
        <v>64</v>
      </c>
      <c r="P1689" s="273">
        <v>72</v>
      </c>
      <c r="Q1689" s="273">
        <v>60</v>
      </c>
      <c r="R1689" s="60">
        <v>60</v>
      </c>
      <c r="S1689" s="273">
        <v>72</v>
      </c>
      <c r="T1689" s="273">
        <v>73</v>
      </c>
      <c r="U1689" s="273">
        <v>61</v>
      </c>
      <c r="V1689" s="149">
        <f t="shared" ref="V1689:V1694" si="611">IF(J1689="Canvas",P1689+Border,P1689)</f>
        <v>80</v>
      </c>
      <c r="W1689" s="149">
        <f t="shared" ref="W1689:W1694" si="612">IF(J1689="Canvas",Q1689+Border,Q1689)</f>
        <v>68</v>
      </c>
      <c r="X1689" s="60">
        <v>82</v>
      </c>
      <c r="Y1689" s="60">
        <v>80</v>
      </c>
      <c r="Z1689" s="60">
        <v>68</v>
      </c>
      <c r="AA1689" s="678">
        <f t="shared" ref="AA1689:AA1711" si="613">V1689*W1689/144</f>
        <v>37.777777777777779</v>
      </c>
      <c r="AB1689" s="125">
        <f>AA1689*Swiss1</f>
        <v>1069.1111111111111</v>
      </c>
      <c r="AC1689" s="176">
        <f t="shared" ref="AC1689:AC1698" si="614">AA1689*Canvas</f>
        <v>24.933333333333334</v>
      </c>
      <c r="AD1689" s="175">
        <f>Table1[[#This Row],[Substrate SF]]*Materials!C$37</f>
        <v>105.77777777777777</v>
      </c>
      <c r="AE1689" s="176">
        <f>IF(Table1[[#This Row],[Work Center]]="SwissQ",Materials!G$37,IF(Table1[[#This Row],[Work Center]]="Inca",Materials!G$29,IF(Table1[[#This Row],[Work Center]]="Canon",Materials!G$49,Materials!G$45)))</f>
        <v>20</v>
      </c>
      <c r="AF1689" s="72">
        <f>'Cali Frames'!D242</f>
        <v>329.08749999999998</v>
      </c>
      <c r="AG1689" s="540"/>
      <c r="AH1689" s="48">
        <f t="shared" si="599"/>
        <v>72.5</v>
      </c>
      <c r="AI1689" s="48"/>
      <c r="AJ1689" s="176">
        <f t="shared" ref="AJ1689:AJ1701" si="615">SUM(AC1689:AH1689)</f>
        <v>552.29861111111109</v>
      </c>
      <c r="AK1689" s="62">
        <f t="shared" si="601"/>
        <v>0.61910440613026818</v>
      </c>
      <c r="AL1689" s="225">
        <f>Table1[[#This Row],[WSP/Dealer]]/Table1[[#This Row],[OD Sq Inch]]</f>
        <v>0.32562317538737928</v>
      </c>
      <c r="AM1689" s="173">
        <f>Table1[[#This Row],[OD Wdth]]*Table1[[#This Row],[OD Hgt]]</f>
        <v>4453</v>
      </c>
      <c r="AN1689" s="180">
        <f>Table1[[#This Row],[Min VO]]+Table1[[#This Row],[Max VO]]</f>
        <v>132</v>
      </c>
      <c r="AO1689" s="83"/>
      <c r="AP1689" s="83"/>
      <c r="AQ1689" s="540"/>
      <c r="AR1689" s="540"/>
      <c r="AS1689" s="540"/>
      <c r="AT1689" s="69"/>
      <c r="AU1689" s="1361" t="str">
        <f t="shared" si="588"/>
        <v>-</v>
      </c>
    </row>
    <row r="1690" spans="1:47" s="63" customFormat="1" hidden="1" x14ac:dyDescent="0.2">
      <c r="A1690" s="68" t="s">
        <v>187</v>
      </c>
      <c r="B1690" s="1061" t="s">
        <v>292</v>
      </c>
      <c r="C1690" s="653" t="s">
        <v>3971</v>
      </c>
      <c r="D1690" s="94"/>
      <c r="E1690" s="84" t="s">
        <v>3972</v>
      </c>
      <c r="F1690" s="84" t="s">
        <v>349</v>
      </c>
      <c r="G1690" s="68" t="s">
        <v>1148</v>
      </c>
      <c r="H1690" s="68" t="s">
        <v>1149</v>
      </c>
      <c r="I1690" s="68" t="s">
        <v>52</v>
      </c>
      <c r="J1690" s="68" t="s">
        <v>53</v>
      </c>
      <c r="K1690" s="68" t="s">
        <v>54</v>
      </c>
      <c r="L1690" s="68" t="s">
        <v>70</v>
      </c>
      <c r="M1690" s="93">
        <v>400</v>
      </c>
      <c r="N1690" s="71"/>
      <c r="O1690" s="68" t="s">
        <v>56</v>
      </c>
      <c r="P1690" s="68">
        <v>9</v>
      </c>
      <c r="Q1690" s="68">
        <v>10</v>
      </c>
      <c r="R1690" s="68">
        <v>9</v>
      </c>
      <c r="S1690" s="68">
        <v>10</v>
      </c>
      <c r="T1690" s="68">
        <v>10</v>
      </c>
      <c r="U1690" s="68">
        <v>11</v>
      </c>
      <c r="V1690" s="66">
        <f t="shared" si="611"/>
        <v>17</v>
      </c>
      <c r="W1690" s="66">
        <f t="shared" si="612"/>
        <v>18</v>
      </c>
      <c r="X1690" s="189"/>
      <c r="Y1690" s="68"/>
      <c r="Z1690" s="68"/>
      <c r="AA1690" s="699">
        <f t="shared" si="613"/>
        <v>2.125</v>
      </c>
      <c r="AB1690" s="297">
        <f>AA1690*IncaG</f>
        <v>44.71</v>
      </c>
      <c r="AC1690" s="74">
        <f t="shared" si="614"/>
        <v>1.4025000000000001</v>
      </c>
      <c r="AD1690" s="319">
        <f>Table1[[#This Row],[Substrate SF]]*IncaC</f>
        <v>3.5768</v>
      </c>
      <c r="AE1690" s="278">
        <f>IF(Table1[[#This Row],[Work Center]]="SwissQ",Materials!G$37,IF(Table1[[#This Row],[Work Center]]="Inca",Materials!G$29,IF(Table1[[#This Row],[Work Center]]="Canon",Materials!G$49,Materials!G$45)))</f>
        <v>8</v>
      </c>
      <c r="AF1690" s="321">
        <f>'Cali Frames'!D$256</f>
        <v>76.37</v>
      </c>
      <c r="AG1690" s="126"/>
      <c r="AH1690" s="278">
        <f t="shared" si="599"/>
        <v>20</v>
      </c>
      <c r="AI1690" s="278"/>
      <c r="AJ1690" s="278">
        <f t="shared" si="615"/>
        <v>109.3493</v>
      </c>
      <c r="AK1690" s="650">
        <f t="shared" si="601"/>
        <v>0.7266267500000001</v>
      </c>
      <c r="AL1690" s="225">
        <f>Table1[[#This Row],[WSP/Dealer]]/Table1[[#This Row],[OD Sq Inch]]</f>
        <v>3.6363636363636362</v>
      </c>
      <c r="AM1690" s="170">
        <f>Table1[[#This Row],[OD Wdth]]*Table1[[#This Row],[OD Hgt]]</f>
        <v>110</v>
      </c>
      <c r="AN1690" s="216">
        <f>Table1[[#This Row],[Min VO]]+Table1[[#This Row],[Max VO]]</f>
        <v>19</v>
      </c>
      <c r="AO1690" s="119"/>
      <c r="AP1690" s="84"/>
      <c r="AQ1690" s="126"/>
      <c r="AR1690" s="126"/>
      <c r="AS1690" s="126"/>
      <c r="AT1690" s="74"/>
      <c r="AU1690" s="1356" t="str">
        <f t="shared" si="588"/>
        <v>-</v>
      </c>
    </row>
    <row r="1691" spans="1:47" s="63" customFormat="1" hidden="1" x14ac:dyDescent="0.2">
      <c r="A1691" s="68"/>
      <c r="B1691" s="1061"/>
      <c r="C1691" s="94" t="s">
        <v>3973</v>
      </c>
      <c r="D1691" s="94"/>
      <c r="E1691" s="84" t="s">
        <v>3974</v>
      </c>
      <c r="F1691" s="84" t="s">
        <v>571</v>
      </c>
      <c r="G1691" s="68" t="s">
        <v>1588</v>
      </c>
      <c r="H1691" s="68" t="s">
        <v>1608</v>
      </c>
      <c r="I1691" s="68" t="s">
        <v>108</v>
      </c>
      <c r="J1691" s="68" t="s">
        <v>53</v>
      </c>
      <c r="K1691" s="68" t="s">
        <v>69</v>
      </c>
      <c r="L1691" s="68" t="s">
        <v>70</v>
      </c>
      <c r="M1691" s="299">
        <v>285</v>
      </c>
      <c r="N1691" s="71"/>
      <c r="O1691" s="68" t="s">
        <v>64</v>
      </c>
      <c r="P1691" s="68">
        <v>30</v>
      </c>
      <c r="Q1691" s="68">
        <v>30</v>
      </c>
      <c r="R1691" s="68">
        <v>30</v>
      </c>
      <c r="S1691" s="68">
        <v>30</v>
      </c>
      <c r="T1691" s="68">
        <v>31</v>
      </c>
      <c r="U1691" s="68">
        <v>31</v>
      </c>
      <c r="V1691" s="686">
        <f t="shared" si="611"/>
        <v>38</v>
      </c>
      <c r="W1691" s="686">
        <f t="shared" si="612"/>
        <v>38</v>
      </c>
      <c r="X1691" s="189"/>
      <c r="Y1691" s="68">
        <v>38</v>
      </c>
      <c r="Z1691" s="68">
        <v>38</v>
      </c>
      <c r="AA1691" s="727">
        <f t="shared" si="613"/>
        <v>10.027777777777779</v>
      </c>
      <c r="AB1691" s="341">
        <f>Table1[[#This Row],[Substrate SF]]*SWISSMLR</f>
        <v>20.055555555555557</v>
      </c>
      <c r="AC1691" s="278">
        <f t="shared" si="614"/>
        <v>6.6183333333333341</v>
      </c>
      <c r="AD1691" s="263">
        <f>Table1[[#This Row],[Substrate SF]]*SWISSCR</f>
        <v>2.2061111111111114</v>
      </c>
      <c r="AE1691" s="74">
        <f>Materials!I$41</f>
        <v>8</v>
      </c>
      <c r="AF1691" s="73">
        <f>'Cali Frames'!D289</f>
        <v>106.75</v>
      </c>
      <c r="AG1691" s="126"/>
      <c r="AH1691" s="498">
        <f t="shared" si="599"/>
        <v>14.25</v>
      </c>
      <c r="AI1691" s="498"/>
      <c r="AJ1691" s="278">
        <f t="shared" si="615"/>
        <v>137.82444444444445</v>
      </c>
      <c r="AK1691" s="650">
        <f t="shared" si="601"/>
        <v>0.51640545808966853</v>
      </c>
      <c r="AL1691" s="225">
        <f>Table1[[#This Row],[WSP/Dealer]]/Table1[[#This Row],[OD Sq Inch]]</f>
        <v>0.29656607700312176</v>
      </c>
      <c r="AM1691" s="170">
        <f>Table1[[#This Row],[OD Wdth]]*Table1[[#This Row],[OD Hgt]]</f>
        <v>961</v>
      </c>
      <c r="AN1691" s="274" t="str">
        <f>Table1[[#This Row],[Color]]</f>
        <v>BF</v>
      </c>
      <c r="AO1691" s="84" t="str">
        <f>Table1[[#This Row],[Print Type]]</f>
        <v>Reductive</v>
      </c>
      <c r="AP1691" s="84"/>
      <c r="AQ1691" s="126"/>
      <c r="AR1691" s="126"/>
      <c r="AS1691" s="126"/>
      <c r="AT1691" s="74"/>
      <c r="AU1691" s="1357" t="str">
        <f t="shared" si="588"/>
        <v>-</v>
      </c>
    </row>
    <row r="1692" spans="1:47" s="45" customFormat="1" hidden="1" x14ac:dyDescent="0.2">
      <c r="A1692" s="60" t="s">
        <v>318</v>
      </c>
      <c r="B1692" s="1061" t="s">
        <v>319</v>
      </c>
      <c r="C1692" s="79" t="s">
        <v>3975</v>
      </c>
      <c r="D1692" s="94"/>
      <c r="E1692" s="83" t="s">
        <v>3976</v>
      </c>
      <c r="F1692" s="83" t="s">
        <v>571</v>
      </c>
      <c r="G1692" s="60" t="s">
        <v>449</v>
      </c>
      <c r="H1692" s="60" t="s">
        <v>449</v>
      </c>
      <c r="I1692" s="60" t="s">
        <v>108</v>
      </c>
      <c r="J1692" s="60" t="s">
        <v>53</v>
      </c>
      <c r="K1692" s="60" t="s">
        <v>54</v>
      </c>
      <c r="L1692" s="60" t="s">
        <v>55</v>
      </c>
      <c r="M1692" s="179">
        <v>300</v>
      </c>
      <c r="N1692" s="72"/>
      <c r="O1692" s="60" t="s">
        <v>64</v>
      </c>
      <c r="P1692" s="60">
        <v>36</v>
      </c>
      <c r="Q1692" s="60">
        <v>36</v>
      </c>
      <c r="R1692" s="60">
        <v>36</v>
      </c>
      <c r="S1692" s="60">
        <v>36</v>
      </c>
      <c r="T1692" s="60">
        <v>36</v>
      </c>
      <c r="U1692" s="60">
        <v>36</v>
      </c>
      <c r="V1692" s="947">
        <f t="shared" si="611"/>
        <v>44</v>
      </c>
      <c r="W1692" s="947">
        <f t="shared" si="612"/>
        <v>44</v>
      </c>
      <c r="X1692" s="138">
        <v>53</v>
      </c>
      <c r="Y1692" s="60">
        <v>44</v>
      </c>
      <c r="Z1692" s="60">
        <v>44</v>
      </c>
      <c r="AA1692" s="678">
        <f t="shared" si="613"/>
        <v>13.444444444444445</v>
      </c>
      <c r="AB1692" s="329">
        <f>Table1[[#This Row],[Substrate SF]]*SWISSMLR</f>
        <v>26.888888888888889</v>
      </c>
      <c r="AC1692" s="176">
        <f t="shared" si="614"/>
        <v>8.8733333333333331</v>
      </c>
      <c r="AD1692" s="175">
        <f>Table1[[#This Row],[Substrate SF]]*SWISSCR</f>
        <v>2.9577777777777778</v>
      </c>
      <c r="AE1692" s="69">
        <f>Materials!I$41</f>
        <v>8</v>
      </c>
      <c r="AF1692" s="72">
        <f>'Cali FPS'!C67</f>
        <v>83.46</v>
      </c>
      <c r="AG1692" s="540"/>
      <c r="AH1692" s="48">
        <f t="shared" ref="AH1692:AH1711" si="616">(M1692*0.05)</f>
        <v>15</v>
      </c>
      <c r="AI1692" s="48"/>
      <c r="AJ1692" s="176">
        <f t="shared" si="615"/>
        <v>118.29111111111111</v>
      </c>
      <c r="AK1692" s="62">
        <f t="shared" ref="AK1692:AK1723" si="617">(M1692-AJ1692)/M1692</f>
        <v>0.6056962962962964</v>
      </c>
      <c r="AL1692" s="225">
        <f>Table1[[#This Row],[WSP/Dealer]]/Table1[[#This Row],[OD Sq Inch]]</f>
        <v>0.23148148148148148</v>
      </c>
      <c r="AM1692" s="180">
        <f>Table1[[#This Row],[OD Wdth]]*Table1[[#This Row],[OD Hgt]]</f>
        <v>1296</v>
      </c>
      <c r="AN1692" s="180" t="str">
        <f>Table1[[#This Row],[Color]]</f>
        <v>GW</v>
      </c>
      <c r="AO1692" s="83" t="str">
        <f>Table1[[#This Row],[Print Type]]</f>
        <v>Reductive</v>
      </c>
      <c r="AP1692" s="83"/>
      <c r="AQ1692" s="540"/>
      <c r="AR1692" s="540"/>
      <c r="AS1692" s="540"/>
      <c r="AT1692" s="69"/>
      <c r="AU1692" s="1361" t="str">
        <f t="shared" si="588"/>
        <v>-</v>
      </c>
    </row>
    <row r="1693" spans="1:47" s="63" customFormat="1" x14ac:dyDescent="0.2">
      <c r="A1693" s="86" t="s">
        <v>58</v>
      </c>
      <c r="B1693" s="1061" t="s">
        <v>366</v>
      </c>
      <c r="C1693" s="100" t="s">
        <v>3977</v>
      </c>
      <c r="D1693" s="94" t="s">
        <v>3978</v>
      </c>
      <c r="E1693" s="85" t="s">
        <v>3979</v>
      </c>
      <c r="F1693" s="85" t="s">
        <v>124</v>
      </c>
      <c r="G1693" s="86" t="s">
        <v>1516</v>
      </c>
      <c r="H1693" s="86" t="s">
        <v>983</v>
      </c>
      <c r="I1693" s="86" t="s">
        <v>52</v>
      </c>
      <c r="J1693" s="86" t="s">
        <v>53</v>
      </c>
      <c r="K1693" s="86" t="s">
        <v>69</v>
      </c>
      <c r="L1693" s="86" t="s">
        <v>73</v>
      </c>
      <c r="M1693" s="87">
        <v>1155</v>
      </c>
      <c r="N1693" s="639">
        <v>1300</v>
      </c>
      <c r="O1693" s="68" t="s">
        <v>64</v>
      </c>
      <c r="P1693" s="101">
        <v>72</v>
      </c>
      <c r="Q1693" s="101">
        <v>48</v>
      </c>
      <c r="R1693" s="60">
        <v>48</v>
      </c>
      <c r="S1693" s="273">
        <v>72</v>
      </c>
      <c r="T1693" s="101">
        <v>73</v>
      </c>
      <c r="U1693" s="101" t="str">
        <f>RIGHT(H1693,2)</f>
        <v>49</v>
      </c>
      <c r="V1693" s="106">
        <f t="shared" si="611"/>
        <v>80</v>
      </c>
      <c r="W1693" s="106">
        <f t="shared" si="612"/>
        <v>56</v>
      </c>
      <c r="X1693" s="137">
        <v>122</v>
      </c>
      <c r="Y1693" s="101"/>
      <c r="Z1693" s="101"/>
      <c r="AA1693" s="649">
        <f t="shared" si="613"/>
        <v>31.111111111111111</v>
      </c>
      <c r="AB1693" s="184">
        <f>AA1693*Swiss1</f>
        <v>880.44444444444446</v>
      </c>
      <c r="AC1693" s="104">
        <f t="shared" si="614"/>
        <v>20.533333333333335</v>
      </c>
      <c r="AD1693" s="21">
        <f>Table1[[#This Row],[Substrate SF]]*Materials!C$37</f>
        <v>87.1111111111111</v>
      </c>
      <c r="AE1693" s="104">
        <f>IF(Table1[[#This Row],[Work Center]]="SwissQ",Materials!G$37,IF(Table1[[#This Row],[Work Center]]="Inca",Materials!G$29,IF(Table1[[#This Row],[Work Center]]="Canon",Materials!G$49,Materials!G$45)))</f>
        <v>20</v>
      </c>
      <c r="AF1693" s="74">
        <f>'Cali Frames'!D$472</f>
        <v>269.8</v>
      </c>
      <c r="AG1693" s="115"/>
      <c r="AH1693" s="498">
        <f t="shared" si="616"/>
        <v>57.75</v>
      </c>
      <c r="AI1693" s="498"/>
      <c r="AJ1693" s="104">
        <f t="shared" si="615"/>
        <v>455.19444444444446</v>
      </c>
      <c r="AK1693" s="650">
        <f t="shared" si="617"/>
        <v>0.60589225589225593</v>
      </c>
      <c r="AL1693" s="225">
        <f>Table1[[#This Row],[WSP/Dealer]]/Table1[[#This Row],[OD Sq Inch]]</f>
        <v>0.32289628180039137</v>
      </c>
      <c r="AM1693" s="218">
        <f>Table1[[#This Row],[OD Wdth]]*Table1[[#This Row],[OD Hgt]]</f>
        <v>3577</v>
      </c>
      <c r="AN1693" s="216">
        <f>Table1[[#This Row],[Min VO]]+Table1[[#This Row],[Max VO]]</f>
        <v>120</v>
      </c>
      <c r="AO1693" s="101"/>
      <c r="AP1693" s="101"/>
      <c r="AQ1693" s="104"/>
      <c r="AR1693" s="104"/>
      <c r="AS1693" s="104"/>
      <c r="AT1693" s="104"/>
      <c r="AU1693" s="830" t="str">
        <f t="shared" si="588"/>
        <v>-</v>
      </c>
    </row>
    <row r="1694" spans="1:47" s="63" customFormat="1" hidden="1" x14ac:dyDescent="0.2">
      <c r="A1694" s="68" t="s">
        <v>1287</v>
      </c>
      <c r="B1694" s="279" t="s">
        <v>3859</v>
      </c>
      <c r="C1694" s="78" t="s">
        <v>3977</v>
      </c>
      <c r="D1694" s="94"/>
      <c r="E1694" s="84" t="s">
        <v>3979</v>
      </c>
      <c r="F1694" s="84" t="s">
        <v>124</v>
      </c>
      <c r="G1694" s="68" t="s">
        <v>1516</v>
      </c>
      <c r="H1694" s="68" t="s">
        <v>983</v>
      </c>
      <c r="I1694" s="68" t="s">
        <v>52</v>
      </c>
      <c r="J1694" s="68" t="s">
        <v>53</v>
      </c>
      <c r="K1694" s="68" t="s">
        <v>69</v>
      </c>
      <c r="L1694" s="68" t="s">
        <v>73</v>
      </c>
      <c r="M1694" s="141">
        <v>1200</v>
      </c>
      <c r="N1694" s="831"/>
      <c r="O1694" s="68" t="s">
        <v>64</v>
      </c>
      <c r="P1694" s="68">
        <v>72</v>
      </c>
      <c r="Q1694" s="68">
        <v>48</v>
      </c>
      <c r="R1694" s="68">
        <v>48</v>
      </c>
      <c r="S1694" s="623">
        <v>72</v>
      </c>
      <c r="T1694" s="68">
        <v>73</v>
      </c>
      <c r="U1694" s="68" t="str">
        <f>RIGHT(H1694,2)</f>
        <v>49</v>
      </c>
      <c r="V1694" s="917">
        <f t="shared" si="611"/>
        <v>80</v>
      </c>
      <c r="W1694" s="917">
        <f t="shared" si="612"/>
        <v>56</v>
      </c>
      <c r="X1694" s="189">
        <v>122</v>
      </c>
      <c r="Y1694" s="68"/>
      <c r="Z1694" s="68"/>
      <c r="AA1694" s="699">
        <f t="shared" si="613"/>
        <v>31.111111111111111</v>
      </c>
      <c r="AB1694" s="297">
        <f>AA1694*Swiss1</f>
        <v>880.44444444444446</v>
      </c>
      <c r="AC1694" s="74">
        <f t="shared" si="614"/>
        <v>20.533333333333335</v>
      </c>
      <c r="AD1694" s="161">
        <f>Table1[[#This Row],[Substrate SF]]*Materials!C$37</f>
        <v>87.1111111111111</v>
      </c>
      <c r="AE1694" s="74">
        <f>IF(Table1[[#This Row],[Work Center]]="SwissQ",Materials!G$37,IF(Table1[[#This Row],[Work Center]]="Inca",Materials!G$29,IF(Table1[[#This Row],[Work Center]]="Canon",Materials!G$49,Materials!G$45)))</f>
        <v>20</v>
      </c>
      <c r="AF1694" s="74">
        <f>'Cali Frames'!D$472</f>
        <v>269.8</v>
      </c>
      <c r="AG1694" s="84"/>
      <c r="AH1694" s="74">
        <f t="shared" si="616"/>
        <v>60</v>
      </c>
      <c r="AI1694" s="74"/>
      <c r="AJ1694" s="74">
        <f t="shared" si="615"/>
        <v>457.44444444444446</v>
      </c>
      <c r="AK1694" s="1001">
        <f t="shared" si="617"/>
        <v>0.61879629629629629</v>
      </c>
      <c r="AL1694" s="240">
        <f>Table1[[#This Row],[WSP/Dealer]]/Table1[[#This Row],[OD Sq Inch]]</f>
        <v>0.33547665641599106</v>
      </c>
      <c r="AM1694" s="235">
        <f>Table1[[#This Row],[OD Wdth]]*Table1[[#This Row],[OD Hgt]]</f>
        <v>3577</v>
      </c>
      <c r="AN1694" s="238">
        <f>Table1[[#This Row],[Min VO]]+Table1[[#This Row],[Max VO]]</f>
        <v>120</v>
      </c>
      <c r="AO1694" s="68"/>
      <c r="AP1694" s="68"/>
      <c r="AQ1694" s="74"/>
      <c r="AR1694" s="74"/>
      <c r="AS1694" s="74"/>
      <c r="AT1694" s="74"/>
      <c r="AU1694" s="1001" t="str">
        <f t="shared" si="588"/>
        <v>-</v>
      </c>
    </row>
    <row r="1695" spans="1:47" s="45" customFormat="1" hidden="1" x14ac:dyDescent="0.2">
      <c r="A1695" s="216" t="s">
        <v>272</v>
      </c>
      <c r="B1695" s="279" t="s">
        <v>273</v>
      </c>
      <c r="C1695" s="232" t="s">
        <v>3980</v>
      </c>
      <c r="D1695" s="94"/>
      <c r="E1695" s="217" t="s">
        <v>3981</v>
      </c>
      <c r="F1695" s="217" t="s">
        <v>131</v>
      </c>
      <c r="G1695" s="216" t="s">
        <v>3982</v>
      </c>
      <c r="H1695" s="216" t="s">
        <v>3982</v>
      </c>
      <c r="I1695" s="216" t="s">
        <v>52</v>
      </c>
      <c r="J1695" s="216" t="s">
        <v>53</v>
      </c>
      <c r="K1695" s="216" t="s">
        <v>54</v>
      </c>
      <c r="L1695" s="216" t="s">
        <v>55</v>
      </c>
      <c r="M1695" s="219">
        <v>150</v>
      </c>
      <c r="N1695" s="219"/>
      <c r="O1695" s="216" t="s">
        <v>56</v>
      </c>
      <c r="P1695" s="216">
        <v>15</v>
      </c>
      <c r="Q1695" s="216">
        <v>20</v>
      </c>
      <c r="R1695" s="216">
        <v>15</v>
      </c>
      <c r="S1695" s="626">
        <v>20</v>
      </c>
      <c r="T1695" s="216">
        <f>P1695</f>
        <v>15</v>
      </c>
      <c r="U1695" s="216">
        <f>Q1695</f>
        <v>20</v>
      </c>
      <c r="V1695" s="222">
        <f>IF(J1695="Canvas",P1695+BorderGW,P1695)</f>
        <v>23</v>
      </c>
      <c r="W1695" s="222">
        <f>IF(J1695="Canvas",Q1695+BorderGW,Q1695)</f>
        <v>28</v>
      </c>
      <c r="X1695" s="223" t="s">
        <v>286</v>
      </c>
      <c r="Y1695" s="216">
        <v>28</v>
      </c>
      <c r="Z1695" s="216">
        <v>92</v>
      </c>
      <c r="AA1695" s="718">
        <f t="shared" si="613"/>
        <v>4.4722222222222223</v>
      </c>
      <c r="AB1695" s="233">
        <f>AA1695*IncaG</f>
        <v>94.095555555555549</v>
      </c>
      <c r="AC1695" s="225">
        <f t="shared" si="614"/>
        <v>2.9516666666666667</v>
      </c>
      <c r="AD1695" s="206">
        <f>Table1[[#This Row],[Ink g/mL]]*Materials!$C$29</f>
        <v>7.5276444444444444</v>
      </c>
      <c r="AE1695" s="104">
        <f>IF(Table1[[#This Row],[Work Center]]="SwissQ",Materials!G$37,IF(Table1[[#This Row],[Work Center]]="Inca",Materials!G$29,IF(Table1[[#This Row],[Work Center]]="Canon",Materials!G$49,Materials!G$45)))</f>
        <v>8</v>
      </c>
      <c r="AF1695" s="226">
        <f>'CALI_SONDER '!H2</f>
        <v>44.24</v>
      </c>
      <c r="AG1695" s="225"/>
      <c r="AH1695" s="498">
        <f t="shared" si="616"/>
        <v>7.5</v>
      </c>
      <c r="AI1695" s="498"/>
      <c r="AJ1695" s="225">
        <f t="shared" si="615"/>
        <v>70.219311111111111</v>
      </c>
      <c r="AK1695" s="650">
        <f t="shared" si="617"/>
        <v>0.53187125925925927</v>
      </c>
      <c r="AL1695" s="225">
        <f>Table1[[#This Row],[WSP/Dealer]]/Table1[[#This Row],[OD Sq Inch]]</f>
        <v>0.5</v>
      </c>
      <c r="AM1695" s="103">
        <f>Table1[[#This Row],[OD Wdth]]*Table1[[#This Row],[OD Hgt]]</f>
        <v>300</v>
      </c>
      <c r="AN1695" s="216">
        <f>Table1[[#This Row],[Min VO]]+Table1[[#This Row],[Max VO]]</f>
        <v>35</v>
      </c>
      <c r="AO1695" s="216" t="s">
        <v>277</v>
      </c>
      <c r="AP1695" s="226"/>
      <c r="AQ1695" s="226"/>
      <c r="AR1695" s="226"/>
      <c r="AS1695" s="226"/>
      <c r="AT1695" s="226"/>
      <c r="AU1695" s="1365" t="str">
        <f t="shared" si="588"/>
        <v>-</v>
      </c>
    </row>
    <row r="1696" spans="1:47" s="63" customFormat="1" hidden="1" x14ac:dyDescent="0.2">
      <c r="A1696" s="216" t="s">
        <v>272</v>
      </c>
      <c r="B1696" s="1061" t="s">
        <v>273</v>
      </c>
      <c r="C1696" s="232" t="s">
        <v>3983</v>
      </c>
      <c r="D1696" s="94"/>
      <c r="E1696" s="217" t="s">
        <v>3984</v>
      </c>
      <c r="F1696" s="217" t="s">
        <v>131</v>
      </c>
      <c r="G1696" s="216" t="s">
        <v>3982</v>
      </c>
      <c r="H1696" s="216" t="s">
        <v>3982</v>
      </c>
      <c r="I1696" s="216" t="s">
        <v>108</v>
      </c>
      <c r="J1696" s="216" t="s">
        <v>53</v>
      </c>
      <c r="K1696" s="216" t="s">
        <v>54</v>
      </c>
      <c r="L1696" s="216" t="s">
        <v>55</v>
      </c>
      <c r="M1696" s="219">
        <v>100</v>
      </c>
      <c r="N1696" s="219"/>
      <c r="O1696" s="216" t="s">
        <v>109</v>
      </c>
      <c r="P1696" s="216">
        <v>15</v>
      </c>
      <c r="Q1696" s="216">
        <v>20</v>
      </c>
      <c r="R1696" s="216">
        <v>15</v>
      </c>
      <c r="S1696" s="626">
        <v>20</v>
      </c>
      <c r="T1696" s="216">
        <f>P1696</f>
        <v>15</v>
      </c>
      <c r="U1696" s="216">
        <f>Q1696</f>
        <v>20</v>
      </c>
      <c r="V1696" s="907">
        <f>IF(J1696="Canvas",P1696+BorderGW,P1696)</f>
        <v>23</v>
      </c>
      <c r="W1696" s="907">
        <f>IF(J1696="Canvas",Q1696+BorderGW,Q1696)</f>
        <v>28</v>
      </c>
      <c r="X1696" s="223">
        <v>40</v>
      </c>
      <c r="Y1696" s="216"/>
      <c r="Z1696" s="216"/>
      <c r="AA1696" s="718">
        <f t="shared" si="613"/>
        <v>4.4722222222222223</v>
      </c>
      <c r="AB1696" s="233">
        <f>AA1696*EPSONM</f>
        <v>20.125</v>
      </c>
      <c r="AC1696" s="225">
        <f t="shared" si="614"/>
        <v>2.9516666666666667</v>
      </c>
      <c r="AD1696" s="225">
        <f>Table1[[#This Row],[Ink g/mL]]*EPSONC</f>
        <v>4.4275000000000002</v>
      </c>
      <c r="AE1696" s="104">
        <f>IF(Table1[[#This Row],[Work Center]]="SwissQ",Materials!G$37,IF(Table1[[#This Row],[Work Center]]="Inca",Materials!G$29,IF(Table1[[#This Row],[Work Center]]="Canon",Materials!G$49,Materials!G$45)))</f>
        <v>5</v>
      </c>
      <c r="AF1696" s="226">
        <f>'CALI_SONDER '!H2</f>
        <v>44.24</v>
      </c>
      <c r="AG1696" s="225"/>
      <c r="AH1696" s="112">
        <f t="shared" si="616"/>
        <v>5</v>
      </c>
      <c r="AI1696" s="112"/>
      <c r="AJ1696" s="225">
        <f t="shared" si="615"/>
        <v>61.619166666666672</v>
      </c>
      <c r="AK1696" s="62">
        <f t="shared" si="617"/>
        <v>0.38380833333333331</v>
      </c>
      <c r="AL1696" s="225">
        <f>Table1[[#This Row],[WSP/Dealer]]/Table1[[#This Row],[OD Sq Inch]]</f>
        <v>0.33333333333333331</v>
      </c>
      <c r="AM1696" s="216">
        <f>Table1[[#This Row],[OD Wdth]]*Table1[[#This Row],[OD Hgt]]</f>
        <v>300</v>
      </c>
      <c r="AN1696" s="216">
        <f>Table1[[#This Row],[Min VO]]+Table1[[#This Row],[Max VO]]</f>
        <v>35</v>
      </c>
      <c r="AO1696" s="216" t="s">
        <v>277</v>
      </c>
      <c r="AP1696" s="226"/>
      <c r="AQ1696" s="226"/>
      <c r="AR1696" s="226"/>
      <c r="AS1696" s="226"/>
      <c r="AT1696" s="226"/>
      <c r="AU1696" s="1363" t="str">
        <f t="shared" si="588"/>
        <v>-</v>
      </c>
    </row>
    <row r="1697" spans="1:47" s="45" customFormat="1" hidden="1" x14ac:dyDescent="0.2">
      <c r="A1697" s="495" t="s">
        <v>318</v>
      </c>
      <c r="B1697" s="1061" t="s">
        <v>96</v>
      </c>
      <c r="C1697" s="689" t="s">
        <v>3985</v>
      </c>
      <c r="D1697" s="94">
        <v>177162</v>
      </c>
      <c r="E1697" s="401" t="s">
        <v>3986</v>
      </c>
      <c r="F1697" s="401" t="s">
        <v>131</v>
      </c>
      <c r="G1697" s="101" t="s">
        <v>519</v>
      </c>
      <c r="H1697" s="101" t="s">
        <v>688</v>
      </c>
      <c r="I1697" s="101" t="s">
        <v>108</v>
      </c>
      <c r="J1697" s="487" t="s">
        <v>53</v>
      </c>
      <c r="K1697" s="101" t="s">
        <v>69</v>
      </c>
      <c r="L1697" s="101" t="s">
        <v>73</v>
      </c>
      <c r="M1697" s="541">
        <v>210</v>
      </c>
      <c r="N1697" s="786">
        <v>525</v>
      </c>
      <c r="O1697" s="101" t="s">
        <v>109</v>
      </c>
      <c r="P1697" s="101">
        <v>16</v>
      </c>
      <c r="Q1697" s="101">
        <v>20</v>
      </c>
      <c r="R1697" s="101">
        <v>16</v>
      </c>
      <c r="S1697" s="101">
        <v>20</v>
      </c>
      <c r="T1697" s="101">
        <v>17</v>
      </c>
      <c r="U1697" s="101">
        <v>21</v>
      </c>
      <c r="V1697" s="918">
        <f>IF(J1697="Canvas",P1697+Border,P1697)</f>
        <v>24</v>
      </c>
      <c r="W1697" s="918">
        <f>IF(J1697="Canvas",Q1697+Border,Q1697)</f>
        <v>28</v>
      </c>
      <c r="X1697" s="137" t="s">
        <v>1158</v>
      </c>
      <c r="Y1697" s="101">
        <v>24</v>
      </c>
      <c r="Z1697" s="101">
        <v>28</v>
      </c>
      <c r="AA1697" s="724">
        <f t="shared" si="613"/>
        <v>4.666666666666667</v>
      </c>
      <c r="AB1697" s="233">
        <f>AA1697*EPSONM</f>
        <v>21</v>
      </c>
      <c r="AC1697" s="104">
        <f t="shared" si="614"/>
        <v>3.0800000000000005</v>
      </c>
      <c r="AD1697" s="225">
        <f>Table1[[#This Row],[Ink g/mL]]*EPSONC</f>
        <v>4.62</v>
      </c>
      <c r="AE1697" s="104">
        <f>IF(Table1[[#This Row],[Work Center]]="SwissQ",Materials!G$37,IF(Table1[[#This Row],[Work Center]]="Inca",Materials!G$29,IF(Table1[[#This Row],[Work Center]]="Canon",Materials!G$49,Materials!G$45)))</f>
        <v>5</v>
      </c>
      <c r="AF1697" s="406">
        <f>'Cali Frames'!D414</f>
        <v>89.83</v>
      </c>
      <c r="AG1697" s="121"/>
      <c r="AH1697" s="498">
        <f t="shared" si="616"/>
        <v>10.5</v>
      </c>
      <c r="AI1697" s="498"/>
      <c r="AJ1697" s="406">
        <f t="shared" si="615"/>
        <v>113.03</v>
      </c>
      <c r="AK1697" s="650">
        <f t="shared" si="617"/>
        <v>0.46176190476190476</v>
      </c>
      <c r="AL1697" s="225">
        <f>Table1[[#This Row],[WSP/Dealer]]/Table1[[#This Row],[OD Sq Inch]]</f>
        <v>0.58823529411764708</v>
      </c>
      <c r="AM1697" s="400">
        <f>Table1[[#This Row],[OD Wdth]]*Table1[[#This Row],[OD Hgt]]</f>
        <v>357</v>
      </c>
      <c r="AN1697" s="400" t="str">
        <f>Table1[[#This Row],[Color]]</f>
        <v>NF</v>
      </c>
      <c r="AO1697" s="115" t="str">
        <f>Table1[[#This Row],[Print Type]]</f>
        <v>Reductive</v>
      </c>
      <c r="AP1697" s="121"/>
      <c r="AQ1697" s="121"/>
      <c r="AR1697" s="121"/>
      <c r="AS1697" s="121"/>
      <c r="AT1697" s="104"/>
      <c r="AU1697" s="1359" t="str">
        <f t="shared" si="588"/>
        <v>-</v>
      </c>
    </row>
    <row r="1698" spans="1:47" s="45" customFormat="1" hidden="1" x14ac:dyDescent="0.2">
      <c r="A1698" s="170"/>
      <c r="B1698" s="1061"/>
      <c r="C1698" s="317" t="s">
        <v>3987</v>
      </c>
      <c r="D1698" s="94"/>
      <c r="E1698" s="275" t="s">
        <v>3986</v>
      </c>
      <c r="F1698" s="171" t="s">
        <v>131</v>
      </c>
      <c r="G1698" s="170" t="s">
        <v>519</v>
      </c>
      <c r="H1698" s="170" t="s">
        <v>519</v>
      </c>
      <c r="I1698" s="170" t="s">
        <v>52</v>
      </c>
      <c r="J1698" s="1760" t="s">
        <v>53</v>
      </c>
      <c r="K1698" s="170" t="s">
        <v>54</v>
      </c>
      <c r="L1698" s="170" t="s">
        <v>55</v>
      </c>
      <c r="M1698" s="93">
        <v>170</v>
      </c>
      <c r="N1698" s="71"/>
      <c r="O1698" s="63" t="s">
        <v>109</v>
      </c>
      <c r="P1698" s="63">
        <v>16</v>
      </c>
      <c r="Q1698" s="63">
        <v>20</v>
      </c>
      <c r="R1698" s="63">
        <v>16</v>
      </c>
      <c r="S1698" s="63">
        <v>29</v>
      </c>
      <c r="T1698" s="63">
        <v>16</v>
      </c>
      <c r="U1698" s="63">
        <v>20</v>
      </c>
      <c r="V1698" s="277">
        <f>IF(J1698="Canvas",P1698+Border,P1698)</f>
        <v>24</v>
      </c>
      <c r="W1698" s="277">
        <f>IF(J1698="Canvas",Q1698+Border,Q1698)</f>
        <v>28</v>
      </c>
      <c r="X1698" s="1793">
        <v>59</v>
      </c>
      <c r="Y1698" s="63"/>
      <c r="Z1698" s="63"/>
      <c r="AA1698" s="729">
        <f t="shared" si="613"/>
        <v>4.666666666666667</v>
      </c>
      <c r="AB1698" s="372">
        <f>AA1698*EPSONM</f>
        <v>21</v>
      </c>
      <c r="AC1698" s="67">
        <f t="shared" si="614"/>
        <v>3.0800000000000005</v>
      </c>
      <c r="AD1698" s="208">
        <f>Table1[[#This Row],[Ink g/mL]]*EPSONC</f>
        <v>4.62</v>
      </c>
      <c r="AE1698" s="107">
        <f>IF(Table1[[#This Row],[Work Center]]="SwissQ",Materials!G$37,IF(Table1[[#This Row],[Work Center]]="Inca",Materials!G$29,IF(Table1[[#This Row],[Work Center]]="Canon",Materials!G$49,Materials!G$45)))</f>
        <v>5</v>
      </c>
      <c r="AF1698" s="73">
        <f>'CALI CB2'!H2</f>
        <v>42.6</v>
      </c>
      <c r="AG1698" s="118"/>
      <c r="AH1698" s="112">
        <f t="shared" si="616"/>
        <v>8.5</v>
      </c>
      <c r="AI1698" s="112"/>
      <c r="AJ1698" s="263">
        <f t="shared" si="615"/>
        <v>63.800000000000004</v>
      </c>
      <c r="AK1698" s="62">
        <f t="shared" si="617"/>
        <v>0.62470588235294111</v>
      </c>
      <c r="AL1698" s="207">
        <f>Table1[[#This Row],[WSP/Dealer]]/Table1[[#This Row],[OD Sq Inch]]</f>
        <v>0.53125</v>
      </c>
      <c r="AM1698" s="170">
        <f>Table1[[#This Row],[OD Wdth]]*Table1[[#This Row],[OD Hgt]]</f>
        <v>320</v>
      </c>
      <c r="AN1698" s="170"/>
      <c r="AO1698" s="171"/>
      <c r="AP1698" s="171"/>
      <c r="AQ1698" s="319"/>
      <c r="AR1698" s="319"/>
      <c r="AS1698" s="319"/>
      <c r="AT1698" s="263"/>
      <c r="AU1698" s="1815" t="str">
        <f t="shared" si="588"/>
        <v>-</v>
      </c>
    </row>
    <row r="1699" spans="1:47" s="103" customFormat="1" hidden="1" x14ac:dyDescent="0.2">
      <c r="A1699" s="101" t="s">
        <v>1287</v>
      </c>
      <c r="B1699" s="1062" t="s">
        <v>3859</v>
      </c>
      <c r="C1699" s="168" t="s">
        <v>3988</v>
      </c>
      <c r="D1699" s="94"/>
      <c r="E1699" s="1266" t="s">
        <v>3986</v>
      </c>
      <c r="F1699" s="401" t="s">
        <v>131</v>
      </c>
      <c r="G1699" s="101" t="s">
        <v>519</v>
      </c>
      <c r="H1699" s="101" t="s">
        <v>688</v>
      </c>
      <c r="I1699" s="101" t="s">
        <v>256</v>
      </c>
      <c r="J1699" s="487" t="s">
        <v>257</v>
      </c>
      <c r="K1699" s="101" t="s">
        <v>82</v>
      </c>
      <c r="L1699" s="101" t="s">
        <v>3989</v>
      </c>
      <c r="M1699" s="114">
        <v>200</v>
      </c>
      <c r="N1699" s="114"/>
      <c r="O1699" s="101" t="s">
        <v>56</v>
      </c>
      <c r="P1699" s="101">
        <v>16</v>
      </c>
      <c r="Q1699" s="101">
        <v>20</v>
      </c>
      <c r="R1699" s="101">
        <v>16</v>
      </c>
      <c r="S1699" s="101">
        <v>20</v>
      </c>
      <c r="T1699" s="101">
        <v>17</v>
      </c>
      <c r="U1699" s="101">
        <v>21</v>
      </c>
      <c r="V1699" s="1353">
        <f>IF(J1699="Canvas",P1699+BorderGW,P1699)</f>
        <v>16</v>
      </c>
      <c r="W1699" s="1353">
        <f>IF(J1699="Canvas",Q1699+BorderGW,Q1699)</f>
        <v>20</v>
      </c>
      <c r="X1699" s="101" t="s">
        <v>3990</v>
      </c>
      <c r="Y1699" s="101">
        <v>16</v>
      </c>
      <c r="Z1699" s="101">
        <v>20</v>
      </c>
      <c r="AA1699" s="649">
        <f t="shared" si="613"/>
        <v>2.2222222222222223</v>
      </c>
      <c r="AB1699" s="184">
        <f>AA1699*IncaG</f>
        <v>46.755555555555553</v>
      </c>
      <c r="AC1699" s="104">
        <f>PETG48/3</f>
        <v>16.22</v>
      </c>
      <c r="AD1699" s="104">
        <f>AA1699*IncaC</f>
        <v>3.7404444444444445</v>
      </c>
      <c r="AE1699" s="104">
        <f>IF(Table1[[#This Row],[Work Center]]="SwissQ",Materials!G$37,IF(Table1[[#This Row],[Work Center]]="Inca",Materials!G$29,IF(Table1[[#This Row],[Work Center]]="Canon",Materials!G$49,Materials!G$45)))</f>
        <v>8</v>
      </c>
      <c r="AF1699" s="102">
        <f>'Cali Frames'!D250</f>
        <v>10</v>
      </c>
      <c r="AG1699" s="121"/>
      <c r="AH1699" s="406">
        <f t="shared" si="616"/>
        <v>10</v>
      </c>
      <c r="AI1699" s="406"/>
      <c r="AJ1699" s="406">
        <f t="shared" si="615"/>
        <v>47.960444444444448</v>
      </c>
      <c r="AK1699" s="1065">
        <f t="shared" si="617"/>
        <v>0.76019777777777775</v>
      </c>
      <c r="AL1699" s="406">
        <f>Table1[[#This Row],[WSP/Dealer]]/Table1[[#This Row],[OD Sq Inch]]</f>
        <v>0.56022408963585435</v>
      </c>
      <c r="AM1699" s="399">
        <f>Table1[[#This Row],[OD Wdth]]*Table1[[#This Row],[OD Hgt]]</f>
        <v>357</v>
      </c>
      <c r="AN1699" s="400">
        <f>Table1[[#This Row],[Min VO]]+Table1[[#This Row],[Max VO]]</f>
        <v>36</v>
      </c>
      <c r="AO1699" s="115"/>
      <c r="AP1699" s="121"/>
      <c r="AQ1699" s="121"/>
      <c r="AR1699" s="121"/>
      <c r="AS1699" s="121"/>
      <c r="AT1699" s="104"/>
      <c r="AU1699" s="1359" t="str">
        <f t="shared" si="588"/>
        <v>-</v>
      </c>
    </row>
    <row r="1700" spans="1:47" s="399" customFormat="1" hidden="1" x14ac:dyDescent="0.2">
      <c r="A1700" s="274"/>
      <c r="B1700" s="279"/>
      <c r="C1700" s="317" t="s">
        <v>3987</v>
      </c>
      <c r="D1700" s="94"/>
      <c r="E1700" s="275" t="s">
        <v>3986</v>
      </c>
      <c r="F1700" s="275" t="s">
        <v>131</v>
      </c>
      <c r="G1700" s="274" t="s">
        <v>519</v>
      </c>
      <c r="H1700" s="274" t="s">
        <v>519</v>
      </c>
      <c r="I1700" s="274" t="s">
        <v>52</v>
      </c>
      <c r="J1700" s="344" t="s">
        <v>53</v>
      </c>
      <c r="K1700" s="274" t="s">
        <v>54</v>
      </c>
      <c r="L1700" s="274" t="s">
        <v>55</v>
      </c>
      <c r="M1700" s="93">
        <v>260</v>
      </c>
      <c r="N1700" s="71"/>
      <c r="O1700" s="68" t="s">
        <v>56</v>
      </c>
      <c r="P1700" s="68">
        <v>16</v>
      </c>
      <c r="Q1700" s="68">
        <v>20</v>
      </c>
      <c r="R1700" s="68">
        <v>16</v>
      </c>
      <c r="S1700" s="68">
        <v>29</v>
      </c>
      <c r="T1700" s="68">
        <v>16</v>
      </c>
      <c r="U1700" s="68">
        <v>20</v>
      </c>
      <c r="V1700" s="686">
        <f>IF(J1700="Canvas",P1700+Border,P1700)</f>
        <v>24</v>
      </c>
      <c r="W1700" s="686">
        <f>IF(J1700="Canvas",Q1700+Border,Q1700)</f>
        <v>28</v>
      </c>
      <c r="X1700" s="189">
        <v>59</v>
      </c>
      <c r="Y1700" s="68"/>
      <c r="Z1700" s="68"/>
      <c r="AA1700" s="729">
        <f t="shared" si="613"/>
        <v>4.666666666666667</v>
      </c>
      <c r="AB1700" s="372">
        <f>AA1700*IncaG</f>
        <v>98.186666666666667</v>
      </c>
      <c r="AC1700" s="240">
        <f>AA1700*Canvas</f>
        <v>3.0800000000000005</v>
      </c>
      <c r="AD1700" s="260">
        <f>Table1[[#This Row],[Ink g/mL]]*Materials!$C$29</f>
        <v>7.8549333333333333</v>
      </c>
      <c r="AE1700" s="104">
        <f>IF(Table1[[#This Row],[Work Center]]="SwissQ",Materials!G$37,IF(Table1[[#This Row],[Work Center]]="Inca",Materials!G$29,IF(Table1[[#This Row],[Work Center]]="Canon",Materials!G$49,Materials!G$45)))</f>
        <v>8</v>
      </c>
      <c r="AF1700" s="73"/>
      <c r="AG1700" s="126"/>
      <c r="AH1700" s="498">
        <f t="shared" si="616"/>
        <v>13</v>
      </c>
      <c r="AI1700" s="498"/>
      <c r="AJ1700" s="278">
        <f t="shared" si="615"/>
        <v>31.934933333333333</v>
      </c>
      <c r="AK1700" s="650">
        <f t="shared" si="617"/>
        <v>0.87717333333333336</v>
      </c>
      <c r="AL1700" s="225">
        <f>Table1[[#This Row],[WSP/Dealer]]/Table1[[#This Row],[OD Sq Inch]]</f>
        <v>0.8125</v>
      </c>
      <c r="AM1700" s="170">
        <f>Table1[[#This Row],[OD Wdth]]*Table1[[#This Row],[OD Hgt]]</f>
        <v>320</v>
      </c>
      <c r="AN1700" s="274"/>
      <c r="AO1700" s="275"/>
      <c r="AP1700" s="275"/>
      <c r="AQ1700" s="320"/>
      <c r="AR1700" s="320"/>
      <c r="AS1700" s="320"/>
      <c r="AT1700" s="278"/>
      <c r="AU1700" s="1368" t="str">
        <f t="shared" si="588"/>
        <v>-</v>
      </c>
    </row>
    <row r="1701" spans="1:47" s="399" customFormat="1" hidden="1" x14ac:dyDescent="0.2">
      <c r="A1701" s="551" t="s">
        <v>140</v>
      </c>
      <c r="B1701" s="279" t="s">
        <v>141</v>
      </c>
      <c r="C1701" s="805" t="s">
        <v>3991</v>
      </c>
      <c r="D1701" s="94"/>
      <c r="E1701" s="653" t="s">
        <v>3992</v>
      </c>
      <c r="F1701" s="653" t="s">
        <v>144</v>
      </c>
      <c r="G1701" s="551" t="s">
        <v>1096</v>
      </c>
      <c r="H1701" s="551" t="s">
        <v>2813</v>
      </c>
      <c r="I1701" s="551" t="s">
        <v>52</v>
      </c>
      <c r="J1701" s="856" t="s">
        <v>53</v>
      </c>
      <c r="K1701" s="551" t="s">
        <v>82</v>
      </c>
      <c r="L1701" s="551" t="s">
        <v>83</v>
      </c>
      <c r="M1701" s="857">
        <v>630</v>
      </c>
      <c r="N1701" s="858">
        <f>Table1[[#This Row],[WSP/Dealer]]/0.35</f>
        <v>1800.0000000000002</v>
      </c>
      <c r="O1701" s="551" t="s">
        <v>64</v>
      </c>
      <c r="P1701" s="551">
        <v>32</v>
      </c>
      <c r="Q1701" s="551">
        <v>36</v>
      </c>
      <c r="R1701" s="551">
        <v>32</v>
      </c>
      <c r="S1701" s="984">
        <v>36</v>
      </c>
      <c r="T1701" s="551">
        <v>33</v>
      </c>
      <c r="U1701" s="551">
        <v>37</v>
      </c>
      <c r="V1701" s="881">
        <f>IF(J1701="Canvas",P1701+Border,P1701)</f>
        <v>40</v>
      </c>
      <c r="W1701" s="881">
        <f>IF(J1701="Canvas",Q1701+Border,Q1701)</f>
        <v>44</v>
      </c>
      <c r="X1701" s="311">
        <v>40</v>
      </c>
      <c r="Y1701" s="551">
        <v>40</v>
      </c>
      <c r="Z1701" s="551">
        <v>44</v>
      </c>
      <c r="AA1701" s="860">
        <f t="shared" si="613"/>
        <v>12.222222222222221</v>
      </c>
      <c r="AB1701" s="861">
        <f>AA1701*Swiss1</f>
        <v>345.88888888888886</v>
      </c>
      <c r="AC1701" s="863">
        <f>AA1701*Canvas</f>
        <v>8.0666666666666664</v>
      </c>
      <c r="AD1701" s="994">
        <f>Table1[[#This Row],[Substrate SF]]*SWISSC1</f>
        <v>34.222222222222214</v>
      </c>
      <c r="AE1701" s="863">
        <f>IF(Table1[[#This Row],[Work Center]]="SwissQ",Materials!G$37,IF(Table1[[#This Row],[Work Center]]="Inca",Materials!G$29,IF(Table1[[#This Row],[Work Center]]="Canon",Materials!G$49,Materials!G$45)))</f>
        <v>20</v>
      </c>
      <c r="AF1701" s="71">
        <f>'Cali Frames'!D130</f>
        <v>111.685</v>
      </c>
      <c r="AG1701" s="653"/>
      <c r="AH1701" s="867">
        <f t="shared" si="616"/>
        <v>31.5</v>
      </c>
      <c r="AI1701" s="867"/>
      <c r="AJ1701" s="867">
        <f t="shared" si="615"/>
        <v>205.47388888888889</v>
      </c>
      <c r="AK1701" s="1087">
        <f t="shared" si="617"/>
        <v>0.67385097001763672</v>
      </c>
      <c r="AL1701" s="867">
        <f>Table1[[#This Row],[WSP/Dealer]]/Table1[[#This Row],[OD Sq Inch]]</f>
        <v>0.51597051597051602</v>
      </c>
      <c r="AM1701" s="868">
        <f>Table1[[#This Row],[OD Wdth]]*Table1[[#This Row],[OD Hgt]]</f>
        <v>1221</v>
      </c>
      <c r="AN1701" s="869">
        <f>Table1[[#This Row],[Min VO]]+Table1[[#This Row],[Max VO]]</f>
        <v>68</v>
      </c>
      <c r="AO1701" s="653"/>
      <c r="AP1701" s="653"/>
      <c r="AQ1701" s="864"/>
      <c r="AR1701" s="864"/>
      <c r="AS1701" s="864"/>
      <c r="AT1701" s="863"/>
      <c r="AU1701" s="1364" t="str">
        <f t="shared" si="588"/>
        <v>-</v>
      </c>
    </row>
    <row r="1702" spans="1:47" s="170" customFormat="1" hidden="1" x14ac:dyDescent="0.2">
      <c r="A1702" s="101" t="s">
        <v>110</v>
      </c>
      <c r="B1702" s="1322" t="s">
        <v>134</v>
      </c>
      <c r="C1702" s="100" t="s">
        <v>3993</v>
      </c>
      <c r="D1702" s="168"/>
      <c r="E1702" s="115" t="s">
        <v>3992</v>
      </c>
      <c r="F1702" s="115" t="s">
        <v>144</v>
      </c>
      <c r="G1702" s="101" t="s">
        <v>2817</v>
      </c>
      <c r="H1702" s="101" t="s">
        <v>2817</v>
      </c>
      <c r="I1702" s="101" t="s">
        <v>52</v>
      </c>
      <c r="J1702" s="101" t="s">
        <v>53</v>
      </c>
      <c r="K1702" s="101" t="s">
        <v>54</v>
      </c>
      <c r="L1702" s="101" t="s">
        <v>55</v>
      </c>
      <c r="M1702" s="299">
        <v>400</v>
      </c>
      <c r="N1702" s="102"/>
      <c r="O1702" s="101" t="s">
        <v>56</v>
      </c>
      <c r="P1702" s="101">
        <v>32</v>
      </c>
      <c r="Q1702" s="101">
        <v>36</v>
      </c>
      <c r="R1702" s="101">
        <v>32</v>
      </c>
      <c r="S1702" s="697">
        <v>36</v>
      </c>
      <c r="T1702" s="101">
        <v>32</v>
      </c>
      <c r="U1702" s="697">
        <v>36</v>
      </c>
      <c r="V1702" s="608">
        <f>IF(J1702="Canvas",P1702+Border,P1702)</f>
        <v>40</v>
      </c>
      <c r="W1702" s="608">
        <f>IF(J1702="Canvas",Q1702+Border,Q1702)</f>
        <v>44</v>
      </c>
      <c r="X1702" s="800" t="s">
        <v>57</v>
      </c>
      <c r="Y1702" s="101">
        <v>40</v>
      </c>
      <c r="Z1702" s="101">
        <v>88</v>
      </c>
      <c r="AA1702" s="649">
        <f t="shared" si="613"/>
        <v>12.222222222222221</v>
      </c>
      <c r="AB1702" s="184">
        <f t="shared" ref="AB1702:AB1711" si="618">AA1702*IncaG</f>
        <v>257.15555555555551</v>
      </c>
      <c r="AC1702" s="104">
        <f>AA1702*Canvas</f>
        <v>8.0666666666666664</v>
      </c>
      <c r="AD1702" s="104">
        <f t="shared" ref="AD1702:AD1711" si="619">AA1702*IncaC</f>
        <v>20.572444444444443</v>
      </c>
      <c r="AE1702" s="104">
        <f>IF(Table1[[#This Row],[Work Center]]="SwissQ",Materials!G$37,IF(Table1[[#This Row],[Work Center]]="Inca",Materials!G$29,IF(Table1[[#This Row],[Work Center]]="Canon",Materials!G$49,Materials!G$45)))</f>
        <v>8</v>
      </c>
      <c r="AF1702" s="104">
        <f>'Cali FPS'!C56</f>
        <v>77.37</v>
      </c>
      <c r="AG1702" s="115"/>
      <c r="AH1702" s="104">
        <f t="shared" si="616"/>
        <v>20</v>
      </c>
      <c r="AI1702" s="406">
        <f>IF(A1702="Codarus",(M1702*0.13))</f>
        <v>52</v>
      </c>
      <c r="AJ1702" s="104">
        <f>SUM(AC1702:AI1702)</f>
        <v>186.00911111111111</v>
      </c>
      <c r="AK1702" s="830">
        <f t="shared" si="617"/>
        <v>0.53497722222222222</v>
      </c>
      <c r="AL1702" s="660">
        <f>Table1[[#This Row],[WSP/Dealer]]/Table1[[#This Row],[OD Sq Inch]]</f>
        <v>0.34722222222222221</v>
      </c>
      <c r="AM1702" s="103">
        <f>Table1[[#This Row],[OD Wdth]]*Table1[[#This Row],[OD Hgt]]</f>
        <v>1152</v>
      </c>
      <c r="AN1702" s="266">
        <f>Table1[[#This Row],[Min VO]]+Table1[[#This Row],[Max VO]]</f>
        <v>68</v>
      </c>
      <c r="AO1702" s="101"/>
      <c r="AP1702" s="104">
        <v>800</v>
      </c>
      <c r="AQ1702" s="104">
        <f>(Table1[[#This Row],[Desgnr/Retail P]]*0.05)</f>
        <v>40</v>
      </c>
      <c r="AR1702" s="121">
        <f>IF(A1702="Codarus",(AP1702*0.13))</f>
        <v>104</v>
      </c>
      <c r="AS1702" s="121">
        <f>SUM(Table1[[#This Row],[Substrate $]:[GP FINISH]])+Table1[[#This Row],[Retail Royalty]]+Table1[[#This Row],[Retail$Comm]]</f>
        <v>258.00911111111111</v>
      </c>
      <c r="AT1702" s="830">
        <f>IF(AP1702=0,"-",(AP1702-AS1702)/AP1702)</f>
        <v>0.67748861111111114</v>
      </c>
      <c r="AU1702" s="830">
        <f t="shared" si="588"/>
        <v>0.9830627847222223</v>
      </c>
    </row>
    <row r="1703" spans="1:47" s="63" customFormat="1" x14ac:dyDescent="0.2">
      <c r="A1703" s="86" t="s">
        <v>58</v>
      </c>
      <c r="B1703" s="279" t="s">
        <v>406</v>
      </c>
      <c r="C1703" s="100" t="s">
        <v>3994</v>
      </c>
      <c r="D1703" s="94" t="s">
        <v>3995</v>
      </c>
      <c r="E1703" s="85" t="s">
        <v>3992</v>
      </c>
      <c r="F1703" s="85" t="s">
        <v>144</v>
      </c>
      <c r="G1703" s="86" t="s">
        <v>1096</v>
      </c>
      <c r="H1703" s="86" t="s">
        <v>2813</v>
      </c>
      <c r="I1703" s="86" t="s">
        <v>52</v>
      </c>
      <c r="J1703" s="86" t="s">
        <v>280</v>
      </c>
      <c r="K1703" s="86" t="s">
        <v>69</v>
      </c>
      <c r="L1703" s="86" t="s">
        <v>70</v>
      </c>
      <c r="M1703" s="87">
        <v>621.5</v>
      </c>
      <c r="N1703" s="639">
        <v>630</v>
      </c>
      <c r="O1703" s="551" t="s">
        <v>56</v>
      </c>
      <c r="P1703" s="101">
        <v>32</v>
      </c>
      <c r="Q1703" s="101">
        <v>36</v>
      </c>
      <c r="R1703" s="60">
        <v>32</v>
      </c>
      <c r="S1703" s="273">
        <v>36</v>
      </c>
      <c r="T1703" s="101">
        <v>33</v>
      </c>
      <c r="U1703" s="101" t="str">
        <f>RIGHT(H1703,2)</f>
        <v>37</v>
      </c>
      <c r="V1703" s="608">
        <f>IF(J1703="Canvas",P1703+Border,P1703)</f>
        <v>32</v>
      </c>
      <c r="W1703" s="608">
        <f>IF(J1703="Canvas",Q1703+Border,Q1703)</f>
        <v>36</v>
      </c>
      <c r="X1703" s="137" t="s">
        <v>675</v>
      </c>
      <c r="Y1703" s="101"/>
      <c r="Z1703" s="101"/>
      <c r="AA1703" s="649">
        <f t="shared" si="613"/>
        <v>8</v>
      </c>
      <c r="AB1703" s="184">
        <f t="shared" si="618"/>
        <v>168.32</v>
      </c>
      <c r="AC1703" s="104">
        <f>PETG48/3</f>
        <v>16.22</v>
      </c>
      <c r="AD1703" s="104">
        <f t="shared" si="619"/>
        <v>13.4656</v>
      </c>
      <c r="AE1703" s="104">
        <f>IF(Table1[[#This Row],[Work Center]]="SwissQ",Materials!G$37,IF(Table1[[#This Row],[Work Center]]="Inca",Materials!G$29,IF(Table1[[#This Row],[Work Center]]="Canon",Materials!G$49,Materials!G$45)))</f>
        <v>8</v>
      </c>
      <c r="AF1703" s="104">
        <f>'Cali Frames'!D$292</f>
        <v>115.2375</v>
      </c>
      <c r="AG1703" s="115"/>
      <c r="AH1703" s="498">
        <f t="shared" si="616"/>
        <v>31.075000000000003</v>
      </c>
      <c r="AI1703" s="498"/>
      <c r="AJ1703" s="104">
        <f>SUM(AC1703:AH1703)</f>
        <v>183.99810000000002</v>
      </c>
      <c r="AK1703" s="650">
        <f t="shared" si="617"/>
        <v>0.70394513274336279</v>
      </c>
      <c r="AL1703" s="225">
        <f>Table1[[#This Row],[WSP/Dealer]]/Table1[[#This Row],[OD Sq Inch]]</f>
        <v>0.50900900900900903</v>
      </c>
      <c r="AM1703" s="103">
        <f>Table1[[#This Row],[OD Wdth]]*Table1[[#This Row],[OD Hgt]]</f>
        <v>1221</v>
      </c>
      <c r="AN1703" s="216">
        <f>Table1[[#This Row],[Min VO]]+Table1[[#This Row],[Max VO]]</f>
        <v>68</v>
      </c>
      <c r="AO1703" s="101"/>
      <c r="AP1703" s="101"/>
      <c r="AQ1703" s="104"/>
      <c r="AR1703" s="104"/>
      <c r="AS1703" s="104"/>
      <c r="AT1703" s="104"/>
      <c r="AU1703" s="830" t="str">
        <f t="shared" si="588"/>
        <v>-</v>
      </c>
    </row>
    <row r="1704" spans="1:47" s="63" customFormat="1" x14ac:dyDescent="0.2">
      <c r="A1704" s="86" t="s">
        <v>58</v>
      </c>
      <c r="B1704" s="279" t="s">
        <v>406</v>
      </c>
      <c r="C1704" s="76" t="s">
        <v>3996</v>
      </c>
      <c r="D1704" s="94" t="s">
        <v>3997</v>
      </c>
      <c r="E1704" s="85" t="s">
        <v>3992</v>
      </c>
      <c r="F1704" s="85" t="s">
        <v>144</v>
      </c>
      <c r="G1704" s="86" t="s">
        <v>2817</v>
      </c>
      <c r="H1704" s="86" t="s">
        <v>2813</v>
      </c>
      <c r="I1704" s="86" t="s">
        <v>52</v>
      </c>
      <c r="J1704" s="86" t="s">
        <v>53</v>
      </c>
      <c r="K1704" s="86" t="s">
        <v>69</v>
      </c>
      <c r="L1704" s="86" t="s">
        <v>70</v>
      </c>
      <c r="M1704" s="87">
        <v>621.5</v>
      </c>
      <c r="N1704" s="639">
        <v>630</v>
      </c>
      <c r="O1704" s="551" t="s">
        <v>56</v>
      </c>
      <c r="P1704" s="101">
        <v>32</v>
      </c>
      <c r="Q1704" s="101">
        <v>36</v>
      </c>
      <c r="R1704" s="60">
        <v>32</v>
      </c>
      <c r="S1704" s="273">
        <v>36</v>
      </c>
      <c r="T1704" s="101">
        <v>33</v>
      </c>
      <c r="U1704" s="101">
        <v>39</v>
      </c>
      <c r="V1704" s="608">
        <f>IF(J1704="Canvas",P1704+Border,P1704)</f>
        <v>40</v>
      </c>
      <c r="W1704" s="608">
        <f>IF(J1704="Canvas",Q1704+Border,Q1704)</f>
        <v>44</v>
      </c>
      <c r="X1704" s="157" t="s">
        <v>57</v>
      </c>
      <c r="Y1704" s="60">
        <v>40</v>
      </c>
      <c r="Z1704" s="60">
        <v>88</v>
      </c>
      <c r="AA1704" s="649">
        <f t="shared" si="613"/>
        <v>12.222222222222221</v>
      </c>
      <c r="AB1704" s="184">
        <f t="shared" si="618"/>
        <v>257.15555555555551</v>
      </c>
      <c r="AC1704" s="104">
        <f t="shared" ref="AC1704:AC1711" si="620">AA1704*Canvas</f>
        <v>8.0666666666666664</v>
      </c>
      <c r="AD1704" s="104">
        <f t="shared" si="619"/>
        <v>20.572444444444443</v>
      </c>
      <c r="AE1704" s="104">
        <f>IF(Table1[[#This Row],[Work Center]]="SwissQ",Materials!G$37,IF(Table1[[#This Row],[Work Center]]="Inca",Materials!G$29,IF(Table1[[#This Row],[Work Center]]="Canon",Materials!G$49,Materials!G$45)))</f>
        <v>8</v>
      </c>
      <c r="AF1704" s="104">
        <f>'Cali Frames'!D$292</f>
        <v>115.2375</v>
      </c>
      <c r="AG1704" s="115"/>
      <c r="AH1704" s="498">
        <f t="shared" si="616"/>
        <v>31.075000000000003</v>
      </c>
      <c r="AI1704" s="498"/>
      <c r="AJ1704" s="104">
        <f>SUM(AC1704:AH1704)</f>
        <v>182.95161111111111</v>
      </c>
      <c r="AK1704" s="650">
        <f t="shared" si="617"/>
        <v>0.70562894431036027</v>
      </c>
      <c r="AL1704" s="225">
        <f>Table1[[#This Row],[WSP/Dealer]]/Table1[[#This Row],[OD Sq Inch]]</f>
        <v>0.48290598290598291</v>
      </c>
      <c r="AM1704" s="103">
        <f>Table1[[#This Row],[OD Wdth]]*Table1[[#This Row],[OD Hgt]]</f>
        <v>1287</v>
      </c>
      <c r="AN1704" s="216">
        <f>Table1[[#This Row],[Min VO]]+Table1[[#This Row],[Max VO]]</f>
        <v>68</v>
      </c>
      <c r="AO1704" s="101"/>
      <c r="AP1704" s="101"/>
      <c r="AQ1704" s="104"/>
      <c r="AR1704" s="104"/>
      <c r="AS1704" s="104"/>
      <c r="AT1704" s="104"/>
      <c r="AU1704" s="830" t="str">
        <f t="shared" si="588"/>
        <v>-</v>
      </c>
    </row>
    <row r="1705" spans="1:47" s="63" customFormat="1" x14ac:dyDescent="0.2">
      <c r="A1705" s="400" t="s">
        <v>58</v>
      </c>
      <c r="B1705" s="1061" t="s">
        <v>445</v>
      </c>
      <c r="C1705" s="496" t="s">
        <v>3998</v>
      </c>
      <c r="D1705" s="94"/>
      <c r="E1705" s="401" t="s">
        <v>3999</v>
      </c>
      <c r="F1705" s="401" t="s">
        <v>92</v>
      </c>
      <c r="G1705" s="400" t="s">
        <v>482</v>
      </c>
      <c r="H1705" s="400" t="s">
        <v>482</v>
      </c>
      <c r="I1705" s="400" t="s">
        <v>52</v>
      </c>
      <c r="J1705" s="497" t="s">
        <v>53</v>
      </c>
      <c r="K1705" s="400" t="s">
        <v>54</v>
      </c>
      <c r="L1705" s="400" t="s">
        <v>55</v>
      </c>
      <c r="M1705" s="488">
        <v>850</v>
      </c>
      <c r="N1705" s="639">
        <v>850</v>
      </c>
      <c r="O1705" s="400" t="s">
        <v>56</v>
      </c>
      <c r="P1705" s="400">
        <v>40</v>
      </c>
      <c r="Q1705" s="400">
        <v>60</v>
      </c>
      <c r="R1705" s="400">
        <v>40</v>
      </c>
      <c r="S1705" s="400">
        <v>60</v>
      </c>
      <c r="T1705" s="400">
        <v>40</v>
      </c>
      <c r="U1705" s="400">
        <v>60</v>
      </c>
      <c r="V1705" s="918">
        <f t="shared" ref="V1705:V1711" si="621">IF(J1705="Canvas",P1705+BorderGW,P1705)</f>
        <v>48</v>
      </c>
      <c r="W1705" s="918">
        <f t="shared" ref="W1705:W1711" si="622">IF(J1705="Canvas",Q1705+BorderGW,Q1705)</f>
        <v>68</v>
      </c>
      <c r="X1705" s="525">
        <v>69</v>
      </c>
      <c r="Y1705" s="400">
        <v>48</v>
      </c>
      <c r="Z1705" s="400">
        <v>68</v>
      </c>
      <c r="AA1705" s="724">
        <f t="shared" si="613"/>
        <v>22.666666666666668</v>
      </c>
      <c r="AB1705" s="633">
        <f t="shared" si="618"/>
        <v>476.90666666666669</v>
      </c>
      <c r="AC1705" s="406">
        <f t="shared" si="620"/>
        <v>14.96</v>
      </c>
      <c r="AD1705" s="406">
        <f t="shared" si="619"/>
        <v>38.152533333333338</v>
      </c>
      <c r="AE1705" s="406">
        <f>IF(Table1[[#This Row],[Work Center]]="SwissQ",Materials!G$37,IF(Table1[[#This Row],[Work Center]]="Inca",Materials!G$29,IF(Table1[[#This Row],[Work Center]]="Canon",Materials!G$49,Materials!G$45)))</f>
        <v>8</v>
      </c>
      <c r="AF1705" s="403">
        <f>'Cali FPS'!C89</f>
        <v>112.01750000000001</v>
      </c>
      <c r="AG1705" s="401"/>
      <c r="AH1705" s="498">
        <f t="shared" si="616"/>
        <v>42.5</v>
      </c>
      <c r="AI1705" s="498"/>
      <c r="AJ1705" s="406">
        <f>SUM(AC1705:AH1705)</f>
        <v>215.63003333333336</v>
      </c>
      <c r="AK1705" s="650">
        <f t="shared" si="617"/>
        <v>0.74631760784313728</v>
      </c>
      <c r="AL1705" s="225">
        <f>Table1[[#This Row],[WSP/Dealer]]/Table1[[#This Row],[OD Sq Inch]]</f>
        <v>0.35416666666666669</v>
      </c>
      <c r="AM1705" s="399">
        <f>Table1[[#This Row],[OD Wdth]]*Table1[[#This Row],[OD Hgt]]</f>
        <v>2400</v>
      </c>
      <c r="AN1705" s="400">
        <f>Table1[[#This Row],[Min VO]]+Table1[[#This Row],[Max VO]]</f>
        <v>100</v>
      </c>
      <c r="AO1705" s="401"/>
      <c r="AP1705" s="401"/>
      <c r="AQ1705" s="1000"/>
      <c r="AR1705" s="1000"/>
      <c r="AS1705" s="1000"/>
      <c r="AT1705" s="406"/>
      <c r="AU1705" s="1366" t="str">
        <f t="shared" si="588"/>
        <v>-</v>
      </c>
    </row>
    <row r="1706" spans="1:47" s="103" customFormat="1" x14ac:dyDescent="0.2">
      <c r="A1706" s="551" t="s">
        <v>58</v>
      </c>
      <c r="B1706" s="1061" t="s">
        <v>445</v>
      </c>
      <c r="C1706" s="805" t="s">
        <v>4000</v>
      </c>
      <c r="D1706" s="94"/>
      <c r="E1706" s="653" t="s">
        <v>3999</v>
      </c>
      <c r="F1706" s="653" t="s">
        <v>92</v>
      </c>
      <c r="G1706" s="551" t="s">
        <v>482</v>
      </c>
      <c r="H1706" s="551" t="s">
        <v>4001</v>
      </c>
      <c r="I1706" s="551" t="s">
        <v>52</v>
      </c>
      <c r="J1706" s="856" t="s">
        <v>53</v>
      </c>
      <c r="K1706" s="551" t="s">
        <v>82</v>
      </c>
      <c r="L1706" s="551" t="s">
        <v>83</v>
      </c>
      <c r="M1706" s="857">
        <v>970</v>
      </c>
      <c r="N1706" s="639">
        <v>970</v>
      </c>
      <c r="O1706" s="551" t="s">
        <v>56</v>
      </c>
      <c r="P1706" s="551">
        <v>40</v>
      </c>
      <c r="Q1706" s="551">
        <v>60</v>
      </c>
      <c r="R1706" s="551">
        <v>40</v>
      </c>
      <c r="S1706" s="551">
        <v>60</v>
      </c>
      <c r="T1706" s="551">
        <v>42</v>
      </c>
      <c r="U1706" s="551">
        <v>62</v>
      </c>
      <c r="V1706" s="859">
        <f t="shared" si="621"/>
        <v>48</v>
      </c>
      <c r="W1706" s="859">
        <f t="shared" si="622"/>
        <v>68</v>
      </c>
      <c r="X1706" s="311">
        <v>69</v>
      </c>
      <c r="Y1706" s="551">
        <v>48</v>
      </c>
      <c r="Z1706" s="551">
        <v>68</v>
      </c>
      <c r="AA1706" s="860">
        <f t="shared" si="613"/>
        <v>22.666666666666668</v>
      </c>
      <c r="AB1706" s="861">
        <f t="shared" si="618"/>
        <v>476.90666666666669</v>
      </c>
      <c r="AC1706" s="863">
        <f t="shared" si="620"/>
        <v>14.96</v>
      </c>
      <c r="AD1706" s="862">
        <f t="shared" si="619"/>
        <v>38.152533333333338</v>
      </c>
      <c r="AE1706" s="863">
        <f>IF(Table1[[#This Row],[Work Center]]="SwissQ",Materials!G$37,IF(Table1[[#This Row],[Work Center]]="Inca",Materials!G$29,IF(Table1[[#This Row],[Work Center]]="Canon",Materials!G$49,Materials!G$45)))</f>
        <v>8</v>
      </c>
      <c r="AF1706" s="71">
        <f>'Cali Frames'!D141</f>
        <v>180.43</v>
      </c>
      <c r="AG1706" s="653"/>
      <c r="AH1706" s="863">
        <f t="shared" si="616"/>
        <v>48.5</v>
      </c>
      <c r="AI1706" s="863"/>
      <c r="AJ1706" s="863">
        <f>SUM(AC1706:AH1706)</f>
        <v>290.04253333333338</v>
      </c>
      <c r="AK1706" s="1163">
        <f t="shared" si="617"/>
        <v>0.70098707903780066</v>
      </c>
      <c r="AL1706" s="895">
        <f>Table1[[#This Row],[WSP/Dealer]]/Table1[[#This Row],[OD Sq Inch]]</f>
        <v>0.37250384024577571</v>
      </c>
      <c r="AM1706" s="45">
        <f>Table1[[#This Row],[OD Wdth]]*Table1[[#This Row],[OD Hgt]]</f>
        <v>2604</v>
      </c>
      <c r="AN1706" s="551">
        <f>Table1[[#This Row],[Min VO]]+Table1[[#This Row],[Max VO]]</f>
        <v>100</v>
      </c>
      <c r="AO1706" s="653"/>
      <c r="AP1706" s="653"/>
      <c r="AQ1706" s="864"/>
      <c r="AR1706" s="864"/>
      <c r="AS1706" s="864"/>
      <c r="AT1706" s="863"/>
      <c r="AU1706" s="1364" t="str">
        <f t="shared" ref="AU1706:AU1769" si="623">IF(AQ1706=0,"-",(AQ1706-AT1706)/AQ1706)</f>
        <v>-</v>
      </c>
    </row>
    <row r="1707" spans="1:47" s="103" customFormat="1" hidden="1" x14ac:dyDescent="0.2">
      <c r="A1707" s="101" t="s">
        <v>110</v>
      </c>
      <c r="B1707" s="1067" t="s">
        <v>486</v>
      </c>
      <c r="C1707" s="100" t="s">
        <v>4002</v>
      </c>
      <c r="D1707" s="168"/>
      <c r="E1707" s="115" t="s">
        <v>4003</v>
      </c>
      <c r="F1707" s="115" t="s">
        <v>92</v>
      </c>
      <c r="G1707" s="101" t="s">
        <v>2838</v>
      </c>
      <c r="H1707" s="101" t="s">
        <v>2010</v>
      </c>
      <c r="I1707" s="101" t="s">
        <v>52</v>
      </c>
      <c r="J1707" s="487" t="s">
        <v>53</v>
      </c>
      <c r="K1707" s="101" t="s">
        <v>69</v>
      </c>
      <c r="L1707" s="101" t="s">
        <v>70</v>
      </c>
      <c r="M1707" s="114">
        <v>1250</v>
      </c>
      <c r="N1707" s="114"/>
      <c r="O1707" s="101" t="s">
        <v>56</v>
      </c>
      <c r="P1707" s="101">
        <v>50</v>
      </c>
      <c r="Q1707" s="101">
        <v>60</v>
      </c>
      <c r="R1707" s="101">
        <v>50</v>
      </c>
      <c r="S1707" s="101">
        <v>60</v>
      </c>
      <c r="T1707" s="101">
        <v>51</v>
      </c>
      <c r="U1707" s="101">
        <v>61</v>
      </c>
      <c r="V1707" s="106">
        <f t="shared" si="621"/>
        <v>58</v>
      </c>
      <c r="W1707" s="106">
        <f t="shared" si="622"/>
        <v>68</v>
      </c>
      <c r="X1707" s="101">
        <v>69</v>
      </c>
      <c r="Y1707" s="101">
        <v>58</v>
      </c>
      <c r="Z1707" s="101">
        <v>68</v>
      </c>
      <c r="AA1707" s="649">
        <f t="shared" si="613"/>
        <v>27.388888888888889</v>
      </c>
      <c r="AB1707" s="184">
        <f t="shared" si="618"/>
        <v>576.26222222222225</v>
      </c>
      <c r="AC1707" s="104">
        <f t="shared" si="620"/>
        <v>18.076666666666668</v>
      </c>
      <c r="AD1707" s="107">
        <f t="shared" si="619"/>
        <v>46.100977777777778</v>
      </c>
      <c r="AE1707" s="104">
        <f>IF(Table1[[#This Row],[Work Center]]="SwissQ",Materials!G$37,IF(Table1[[#This Row],[Work Center]]="Inca",Materials!G$29,IF(Table1[[#This Row],[Work Center]]="Canon",Materials!G$49,Materials!G$45)))</f>
        <v>8</v>
      </c>
      <c r="AF1707" s="102">
        <f>'Cali Frames'!D339</f>
        <v>241.9025</v>
      </c>
      <c r="AG1707" s="115"/>
      <c r="AH1707" s="107">
        <f t="shared" si="616"/>
        <v>62.5</v>
      </c>
      <c r="AI1707" s="405">
        <f>IF(A1707="Codarus",(M1707*0.13))</f>
        <v>162.5</v>
      </c>
      <c r="AJ1707" s="104">
        <f>SUM(AC1707:AI1707)</f>
        <v>539.08014444444439</v>
      </c>
      <c r="AK1707" s="108">
        <f t="shared" si="617"/>
        <v>0.56873588444444445</v>
      </c>
      <c r="AL1707" s="660">
        <f>Table1[[#This Row],[WSP/Dealer]]/Table1[[#This Row],[OD Sq Inch]]</f>
        <v>0.40180006428801029</v>
      </c>
      <c r="AM1707" s="103">
        <f>Table1[[#This Row],[OD Wdth]]*Table1[[#This Row],[OD Hgt]]</f>
        <v>3111</v>
      </c>
      <c r="AN1707" s="266">
        <f>Table1[[#This Row],[Min VO]]+Table1[[#This Row],[Max VO]]</f>
        <v>110</v>
      </c>
      <c r="AO1707" s="113"/>
      <c r="AP1707" s="408">
        <v>2500</v>
      </c>
      <c r="AQ1707" s="121">
        <f>(Table1[[#This Row],[Desgnr/Retail P]]*0.05)</f>
        <v>125</v>
      </c>
      <c r="AR1707" s="121">
        <f>IF(A1707="Codarus",(AP1707*0.13))</f>
        <v>325</v>
      </c>
      <c r="AS1707" s="121">
        <f>SUM(Table1[[#This Row],[Substrate $]:[GP FINISH]])+Table1[[#This Row],[Retail Royalty]]+Table1[[#This Row],[Retail$Comm]]</f>
        <v>764.08014444444439</v>
      </c>
      <c r="AT1707" s="830">
        <f>IF(AP1707=0,"-",(AP1707-AS1707)/AP1707)</f>
        <v>0.6943679422222222</v>
      </c>
      <c r="AU1707" s="1367">
        <f t="shared" si="623"/>
        <v>0.99444505646222214</v>
      </c>
    </row>
    <row r="1708" spans="1:47" s="63" customFormat="1" hidden="1" x14ac:dyDescent="0.2">
      <c r="A1708" s="101" t="s">
        <v>110</v>
      </c>
      <c r="B1708" s="1067" t="s">
        <v>111</v>
      </c>
      <c r="C1708" s="100" t="s">
        <v>4004</v>
      </c>
      <c r="D1708" s="168"/>
      <c r="E1708" s="115" t="s">
        <v>4005</v>
      </c>
      <c r="F1708" s="115" t="s">
        <v>92</v>
      </c>
      <c r="G1708" s="101" t="s">
        <v>2838</v>
      </c>
      <c r="H1708" s="101" t="s">
        <v>2838</v>
      </c>
      <c r="I1708" s="101" t="s">
        <v>52</v>
      </c>
      <c r="J1708" s="487" t="s">
        <v>53</v>
      </c>
      <c r="K1708" s="101" t="s">
        <v>54</v>
      </c>
      <c r="L1708" s="101" t="s">
        <v>55</v>
      </c>
      <c r="M1708" s="114">
        <v>1000</v>
      </c>
      <c r="N1708" s="114"/>
      <c r="O1708" s="101" t="s">
        <v>56</v>
      </c>
      <c r="P1708" s="101">
        <v>50</v>
      </c>
      <c r="Q1708" s="101">
        <v>60</v>
      </c>
      <c r="R1708" s="101">
        <v>50</v>
      </c>
      <c r="S1708" s="101">
        <v>60</v>
      </c>
      <c r="T1708" s="101">
        <v>50</v>
      </c>
      <c r="U1708" s="101">
        <v>60</v>
      </c>
      <c r="V1708" s="106">
        <f t="shared" si="621"/>
        <v>58</v>
      </c>
      <c r="W1708" s="106">
        <f t="shared" si="622"/>
        <v>68</v>
      </c>
      <c r="X1708" s="101">
        <v>69</v>
      </c>
      <c r="Y1708" s="101">
        <v>58</v>
      </c>
      <c r="Z1708" s="101">
        <v>68</v>
      </c>
      <c r="AA1708" s="649">
        <f t="shared" si="613"/>
        <v>27.388888888888889</v>
      </c>
      <c r="AB1708" s="184">
        <f t="shared" si="618"/>
        <v>576.26222222222225</v>
      </c>
      <c r="AC1708" s="104">
        <f t="shared" si="620"/>
        <v>18.076666666666668</v>
      </c>
      <c r="AD1708" s="107">
        <f t="shared" si="619"/>
        <v>46.100977777777778</v>
      </c>
      <c r="AE1708" s="104">
        <f>IF(Table1[[#This Row],[Work Center]]="SwissQ",Materials!G$37,IF(Table1[[#This Row],[Work Center]]="Inca",Materials!G$29,IF(Table1[[#This Row],[Work Center]]="Canon",Materials!G$49,Materials!G$45)))</f>
        <v>8</v>
      </c>
      <c r="AF1708" s="102">
        <f>'Cali FPS'!C131</f>
        <v>176.4</v>
      </c>
      <c r="AG1708" s="115"/>
      <c r="AH1708" s="107">
        <f t="shared" si="616"/>
        <v>50</v>
      </c>
      <c r="AI1708" s="405">
        <f>IF(A1708="Codarus",(M1708*0.13))</f>
        <v>130</v>
      </c>
      <c r="AJ1708" s="107">
        <f>SUM(AC1708:AI1708)</f>
        <v>428.57764444444445</v>
      </c>
      <c r="AK1708" s="108">
        <f t="shared" si="617"/>
        <v>0.57142235555555554</v>
      </c>
      <c r="AL1708" s="660">
        <f>Table1[[#This Row],[WSP/Dealer]]/Table1[[#This Row],[OD Sq Inch]]</f>
        <v>0.33333333333333331</v>
      </c>
      <c r="AM1708" s="103">
        <f>Table1[[#This Row],[OD Wdth]]*Table1[[#This Row],[OD Hgt]]</f>
        <v>3000</v>
      </c>
      <c r="AN1708" s="266">
        <f>Table1[[#This Row],[Min VO]]+Table1[[#This Row],[Max VO]]</f>
        <v>110</v>
      </c>
      <c r="AO1708" s="115"/>
      <c r="AP1708" s="104">
        <v>2000</v>
      </c>
      <c r="AQ1708" s="104">
        <f>(Table1[[#This Row],[Desgnr/Retail P]]*0.05)</f>
        <v>100</v>
      </c>
      <c r="AR1708" s="121">
        <f>IF(A1708="Codarus",(AP1708*0.13))</f>
        <v>260</v>
      </c>
      <c r="AS1708" s="121">
        <f>SUM(Table1[[#This Row],[Substrate $]:[GP FINISH]])+Table1[[#This Row],[Retail Royalty]]+Table1[[#This Row],[Retail$Comm]]</f>
        <v>608.57764444444445</v>
      </c>
      <c r="AT1708" s="830">
        <f>IF(AP1708=0,"-",(AP1708-AS1708)/AP1708)</f>
        <v>0.69571117777777769</v>
      </c>
      <c r="AU1708" s="1359">
        <f t="shared" si="623"/>
        <v>0.9930428882222222</v>
      </c>
    </row>
    <row r="1709" spans="1:47" s="45" customFormat="1" x14ac:dyDescent="0.2">
      <c r="A1709" s="101" t="s">
        <v>58</v>
      </c>
      <c r="B1709" s="1067" t="s">
        <v>1436</v>
      </c>
      <c r="C1709" s="100" t="s">
        <v>4006</v>
      </c>
      <c r="D1709" s="168"/>
      <c r="E1709" s="115" t="s">
        <v>4007</v>
      </c>
      <c r="F1709" s="115" t="s">
        <v>308</v>
      </c>
      <c r="G1709" s="101" t="s">
        <v>4008</v>
      </c>
      <c r="H1709" s="101" t="s">
        <v>4008</v>
      </c>
      <c r="I1709" s="101" t="s">
        <v>52</v>
      </c>
      <c r="J1709" s="487" t="s">
        <v>53</v>
      </c>
      <c r="K1709" s="101" t="s">
        <v>54</v>
      </c>
      <c r="L1709" s="101" t="s">
        <v>55</v>
      </c>
      <c r="M1709" s="114">
        <v>1250</v>
      </c>
      <c r="N1709" s="114"/>
      <c r="O1709" s="101" t="s">
        <v>56</v>
      </c>
      <c r="P1709" s="101">
        <v>50</v>
      </c>
      <c r="Q1709" s="101">
        <v>70</v>
      </c>
      <c r="R1709" s="101">
        <v>50</v>
      </c>
      <c r="S1709" s="101">
        <v>70</v>
      </c>
      <c r="T1709" s="101">
        <v>50</v>
      </c>
      <c r="U1709" s="101">
        <v>70</v>
      </c>
      <c r="V1709" s="608">
        <f t="shared" si="621"/>
        <v>58</v>
      </c>
      <c r="W1709" s="608">
        <f t="shared" si="622"/>
        <v>78</v>
      </c>
      <c r="X1709" s="101">
        <v>59</v>
      </c>
      <c r="Y1709" s="101">
        <v>58</v>
      </c>
      <c r="Z1709" s="101">
        <v>78</v>
      </c>
      <c r="AA1709" s="649">
        <f t="shared" si="613"/>
        <v>31.416666666666668</v>
      </c>
      <c r="AB1709" s="184">
        <f t="shared" si="618"/>
        <v>661.00666666666666</v>
      </c>
      <c r="AC1709" s="104">
        <f t="shared" si="620"/>
        <v>20.735000000000003</v>
      </c>
      <c r="AD1709" s="104">
        <f t="shared" si="619"/>
        <v>52.880533333333339</v>
      </c>
      <c r="AE1709" s="104">
        <f>IF(Table1[[#This Row],[Work Center]]="SwissQ",Materials!G$37,IF(Table1[[#This Row],[Work Center]]="Inca",Materials!G$29,IF(Table1[[#This Row],[Work Center]]="Canon",Materials!G$49,Materials!G$45)))</f>
        <v>8</v>
      </c>
      <c r="AF1709" s="102">
        <f>'Cali FPS'!C133</f>
        <v>178.13250000000002</v>
      </c>
      <c r="AG1709" s="115"/>
      <c r="AH1709" s="406">
        <f t="shared" si="616"/>
        <v>62.5</v>
      </c>
      <c r="AI1709" s="406"/>
      <c r="AJ1709" s="406">
        <f>SUM(AC1709:AH1709)</f>
        <v>322.24803333333335</v>
      </c>
      <c r="AK1709" s="1065">
        <f t="shared" si="617"/>
        <v>0.74220157333333336</v>
      </c>
      <c r="AL1709" s="406">
        <f>Table1[[#This Row],[WSP/Dealer]]/Table1[[#This Row],[OD Sq Inch]]</f>
        <v>0.35714285714285715</v>
      </c>
      <c r="AM1709" s="400">
        <f>Table1[[#This Row],[OD Wdth]]*Table1[[#This Row],[OD Hgt]]</f>
        <v>3500</v>
      </c>
      <c r="AN1709" s="400">
        <f>Table1[[#This Row],[Min VO]]+Table1[[#This Row],[Max VO]]</f>
        <v>120</v>
      </c>
      <c r="AO1709" s="115"/>
      <c r="AP1709" s="121"/>
      <c r="AQ1709" s="104"/>
      <c r="AR1709" s="104"/>
      <c r="AS1709" s="1144"/>
      <c r="AT1709" s="1193"/>
      <c r="AU1709" s="1359" t="str">
        <f t="shared" si="623"/>
        <v>-</v>
      </c>
    </row>
    <row r="1710" spans="1:47" s="103" customFormat="1" x14ac:dyDescent="0.2">
      <c r="A1710" s="101" t="s">
        <v>58</v>
      </c>
      <c r="B1710" s="1067" t="s">
        <v>1436</v>
      </c>
      <c r="C1710" s="100" t="s">
        <v>4009</v>
      </c>
      <c r="D1710" s="168"/>
      <c r="E1710" s="115" t="s">
        <v>4010</v>
      </c>
      <c r="F1710" s="115" t="s">
        <v>308</v>
      </c>
      <c r="G1710" s="101" t="s">
        <v>4008</v>
      </c>
      <c r="H1710" s="101" t="s">
        <v>4008</v>
      </c>
      <c r="I1710" s="101" t="s">
        <v>52</v>
      </c>
      <c r="J1710" s="487" t="s">
        <v>53</v>
      </c>
      <c r="K1710" s="101" t="s">
        <v>54</v>
      </c>
      <c r="L1710" s="101" t="s">
        <v>55</v>
      </c>
      <c r="M1710" s="114">
        <v>1250</v>
      </c>
      <c r="N1710" s="114"/>
      <c r="O1710" s="101" t="s">
        <v>56</v>
      </c>
      <c r="P1710" s="101">
        <v>50</v>
      </c>
      <c r="Q1710" s="101">
        <v>70</v>
      </c>
      <c r="R1710" s="101">
        <v>50</v>
      </c>
      <c r="S1710" s="101">
        <v>70</v>
      </c>
      <c r="T1710" s="101">
        <v>50</v>
      </c>
      <c r="U1710" s="101">
        <v>70</v>
      </c>
      <c r="V1710" s="608">
        <f t="shared" si="621"/>
        <v>58</v>
      </c>
      <c r="W1710" s="608">
        <f t="shared" si="622"/>
        <v>78</v>
      </c>
      <c r="X1710" s="101">
        <v>59</v>
      </c>
      <c r="Y1710" s="101">
        <v>58</v>
      </c>
      <c r="Z1710" s="101">
        <v>78</v>
      </c>
      <c r="AA1710" s="649">
        <f t="shared" si="613"/>
        <v>31.416666666666668</v>
      </c>
      <c r="AB1710" s="184">
        <f t="shared" si="618"/>
        <v>661.00666666666666</v>
      </c>
      <c r="AC1710" s="104">
        <f t="shared" si="620"/>
        <v>20.735000000000003</v>
      </c>
      <c r="AD1710" s="104">
        <f t="shared" si="619"/>
        <v>52.880533333333339</v>
      </c>
      <c r="AE1710" s="104">
        <f>IF(Table1[[#This Row],[Work Center]]="SwissQ",Materials!G$37,IF(Table1[[#This Row],[Work Center]]="Inca",Materials!G$29,IF(Table1[[#This Row],[Work Center]]="Canon",Materials!G$49,Materials!G$45)))</f>
        <v>8</v>
      </c>
      <c r="AF1710" s="102">
        <f>'Cali FPS'!C133</f>
        <v>178.13250000000002</v>
      </c>
      <c r="AG1710" s="115"/>
      <c r="AH1710" s="405">
        <f t="shared" si="616"/>
        <v>62.5</v>
      </c>
      <c r="AI1710" s="405"/>
      <c r="AJ1710" s="406">
        <f>SUM(AC1710:AH1710)</f>
        <v>322.24803333333335</v>
      </c>
      <c r="AK1710" s="1068">
        <f t="shared" si="617"/>
        <v>0.74220157333333336</v>
      </c>
      <c r="AL1710" s="406">
        <f>Table1[[#This Row],[WSP/Dealer]]/Table1[[#This Row],[OD Sq Inch]]</f>
        <v>0.35714285714285715</v>
      </c>
      <c r="AM1710" s="399">
        <f>Table1[[#This Row],[OD Wdth]]*Table1[[#This Row],[OD Hgt]]</f>
        <v>3500</v>
      </c>
      <c r="AN1710" s="400">
        <f>Table1[[#This Row],[Min VO]]+Table1[[#This Row],[Max VO]]</f>
        <v>120</v>
      </c>
      <c r="AO1710" s="115"/>
      <c r="AP1710" s="121"/>
      <c r="AQ1710" s="104"/>
      <c r="AR1710" s="104"/>
      <c r="AS1710" s="1144"/>
      <c r="AT1710" s="1193"/>
      <c r="AU1710" s="1359" t="str">
        <f t="shared" si="623"/>
        <v>-</v>
      </c>
    </row>
    <row r="1711" spans="1:47" s="63" customFormat="1" x14ac:dyDescent="0.2">
      <c r="A1711" s="68" t="s">
        <v>58</v>
      </c>
      <c r="B1711" s="1152" t="s">
        <v>1436</v>
      </c>
      <c r="C1711" s="78" t="s">
        <v>4011</v>
      </c>
      <c r="D1711" s="94"/>
      <c r="E1711" s="84" t="s">
        <v>4012</v>
      </c>
      <c r="F1711" s="84" t="s">
        <v>308</v>
      </c>
      <c r="G1711" s="68" t="s">
        <v>819</v>
      </c>
      <c r="H1711" s="68" t="s">
        <v>819</v>
      </c>
      <c r="I1711" s="68" t="s">
        <v>52</v>
      </c>
      <c r="J1711" s="140" t="s">
        <v>53</v>
      </c>
      <c r="K1711" s="68" t="s">
        <v>54</v>
      </c>
      <c r="L1711" s="68" t="s">
        <v>55</v>
      </c>
      <c r="M1711" s="141">
        <v>575</v>
      </c>
      <c r="N1711" s="93"/>
      <c r="O1711" s="68" t="s">
        <v>56</v>
      </c>
      <c r="P1711" s="68">
        <v>32</v>
      </c>
      <c r="Q1711" s="68">
        <v>40</v>
      </c>
      <c r="R1711" s="68">
        <v>32</v>
      </c>
      <c r="S1711" s="68">
        <v>40</v>
      </c>
      <c r="T1711" s="68">
        <v>32</v>
      </c>
      <c r="U1711" s="68">
        <v>40</v>
      </c>
      <c r="V1711" s="917">
        <f t="shared" si="621"/>
        <v>40</v>
      </c>
      <c r="W1711" s="917">
        <f t="shared" si="622"/>
        <v>48</v>
      </c>
      <c r="X1711" s="68">
        <v>53</v>
      </c>
      <c r="Y1711" s="68">
        <v>40</v>
      </c>
      <c r="Z1711" s="68">
        <v>48</v>
      </c>
      <c r="AA1711" s="699">
        <f t="shared" si="613"/>
        <v>13.333333333333334</v>
      </c>
      <c r="AB1711" s="297">
        <f t="shared" si="618"/>
        <v>280.53333333333336</v>
      </c>
      <c r="AC1711" s="74">
        <f t="shared" si="620"/>
        <v>8.8000000000000007</v>
      </c>
      <c r="AD1711" s="74">
        <f t="shared" si="619"/>
        <v>22.442666666666668</v>
      </c>
      <c r="AE1711" s="74">
        <f>IF(Table1[[#This Row],[Work Center]]="SwissQ",Materials!G$37,IF(Table1[[#This Row],[Work Center]]="Inca",Materials!G$29,IF(Table1[[#This Row],[Work Center]]="Canon",Materials!G$49,Materials!G$45)))</f>
        <v>8</v>
      </c>
      <c r="AF1711" s="73">
        <f>'Cali FPS'!C60</f>
        <v>106.61</v>
      </c>
      <c r="AG1711" s="84"/>
      <c r="AH1711" s="67">
        <f t="shared" si="616"/>
        <v>28.75</v>
      </c>
      <c r="AI1711" s="67"/>
      <c r="AJ1711" s="74">
        <f>SUM(AC1711:AH1711)</f>
        <v>174.60266666666666</v>
      </c>
      <c r="AK1711" s="661">
        <f t="shared" si="617"/>
        <v>0.69634318840579712</v>
      </c>
      <c r="AL1711" s="74">
        <f>Table1[[#This Row],[WSP/Dealer]]/Table1[[#This Row],[OD Sq Inch]]</f>
        <v>0.44921875</v>
      </c>
      <c r="AM1711" s="63">
        <f>Table1[[#This Row],[OD Wdth]]*Table1[[#This Row],[OD Hgt]]</f>
        <v>1280</v>
      </c>
      <c r="AN1711" s="68">
        <f>Table1[[#This Row],[Min VO]]+Table1[[#This Row],[Max VO]]</f>
        <v>72</v>
      </c>
      <c r="AO1711" s="84"/>
      <c r="AP1711" s="126"/>
      <c r="AQ1711" s="74"/>
      <c r="AR1711" s="74"/>
      <c r="AS1711" s="1158"/>
      <c r="AT1711" s="1187"/>
      <c r="AU1711" s="1357" t="str">
        <f t="shared" si="623"/>
        <v>-</v>
      </c>
    </row>
    <row r="1712" spans="1:47" s="63" customFormat="1" x14ac:dyDescent="0.2">
      <c r="A1712" s="68" t="s">
        <v>58</v>
      </c>
      <c r="B1712" s="1072" t="s">
        <v>1436</v>
      </c>
      <c r="C1712" s="78" t="s">
        <v>4013</v>
      </c>
      <c r="D1712" s="94"/>
      <c r="E1712" s="84" t="s">
        <v>4014</v>
      </c>
      <c r="F1712" s="84" t="s">
        <v>308</v>
      </c>
      <c r="G1712" s="68" t="s">
        <v>4015</v>
      </c>
      <c r="H1712" s="68"/>
      <c r="I1712" s="68"/>
      <c r="J1712" s="140"/>
      <c r="K1712" s="68"/>
      <c r="L1712" s="68"/>
      <c r="M1712" s="93"/>
      <c r="N1712" s="93"/>
      <c r="O1712" s="68"/>
      <c r="P1712" s="68"/>
      <c r="Q1712" s="68"/>
      <c r="R1712" s="68"/>
      <c r="S1712" s="68"/>
      <c r="T1712" s="68"/>
      <c r="U1712" s="68"/>
      <c r="V1712" s="917"/>
      <c r="W1712" s="917"/>
      <c r="X1712" s="68"/>
      <c r="Y1712" s="68"/>
      <c r="Z1712" s="68"/>
      <c r="AA1712" s="699"/>
      <c r="AB1712" s="297"/>
      <c r="AC1712" s="74"/>
      <c r="AD1712" s="126"/>
      <c r="AE1712" s="126"/>
      <c r="AF1712" s="73"/>
      <c r="AG1712" s="84"/>
      <c r="AH1712" s="118"/>
      <c r="AI1712" s="118"/>
      <c r="AJ1712" s="126"/>
      <c r="AK1712" s="661"/>
      <c r="AL1712" s="126"/>
      <c r="AM1712" s="119"/>
      <c r="AN1712" s="84"/>
      <c r="AO1712" s="84"/>
      <c r="AP1712" s="126"/>
      <c r="AQ1712" s="74">
        <f>(Table1[[#This Row],[Desgnr/Retail P]]*0.05)</f>
        <v>0</v>
      </c>
      <c r="AR1712" s="74" t="b">
        <f>IF(A1712="Codarus",(AP1712*0.13))</f>
        <v>0</v>
      </c>
      <c r="AS1712" s="1158" t="e" cm="1">
        <f t="array" ref="AS1712">SUM(AC1712:AG1712+AQ+AR)</f>
        <v>#NAME?</v>
      </c>
      <c r="AT1712" s="1187" t="e">
        <f>(AP1712-AS1712)/AP1712</f>
        <v>#NAME?</v>
      </c>
      <c r="AU1712" s="1357" t="str">
        <f t="shared" si="623"/>
        <v>-</v>
      </c>
    </row>
    <row r="1713" spans="1:47" s="103" customFormat="1" x14ac:dyDescent="0.2">
      <c r="A1713" s="68" t="s">
        <v>58</v>
      </c>
      <c r="B1713" s="1072" t="s">
        <v>1436</v>
      </c>
      <c r="C1713" s="78" t="s">
        <v>4016</v>
      </c>
      <c r="D1713" s="94"/>
      <c r="E1713" s="84" t="s">
        <v>4014</v>
      </c>
      <c r="F1713" s="84" t="s">
        <v>308</v>
      </c>
      <c r="G1713" s="68" t="s">
        <v>4015</v>
      </c>
      <c r="H1713" s="68" t="s">
        <v>4017</v>
      </c>
      <c r="I1713" s="68" t="s">
        <v>52</v>
      </c>
      <c r="J1713" s="140" t="s">
        <v>53</v>
      </c>
      <c r="K1713" s="68" t="s">
        <v>69</v>
      </c>
      <c r="L1713" s="68" t="s">
        <v>70</v>
      </c>
      <c r="M1713" s="93">
        <v>850</v>
      </c>
      <c r="N1713" s="93"/>
      <c r="O1713" s="68" t="s">
        <v>56</v>
      </c>
      <c r="P1713" s="68">
        <v>40</v>
      </c>
      <c r="Q1713" s="68">
        <v>45</v>
      </c>
      <c r="R1713" s="68">
        <v>40</v>
      </c>
      <c r="S1713" s="68">
        <v>45</v>
      </c>
      <c r="T1713" s="68">
        <v>41</v>
      </c>
      <c r="U1713" s="68">
        <v>46</v>
      </c>
      <c r="V1713" s="917">
        <f>IF(J1713="Canvas",P1713+Border,P1713)</f>
        <v>48</v>
      </c>
      <c r="W1713" s="917">
        <f>IF(J1713="Canvas",Q1713+Border,Q1713)</f>
        <v>53</v>
      </c>
      <c r="X1713" s="68">
        <v>53</v>
      </c>
      <c r="Y1713" s="68">
        <v>48</v>
      </c>
      <c r="Z1713" s="68">
        <v>53</v>
      </c>
      <c r="AA1713" s="699">
        <f t="shared" ref="AA1713:AA1718" si="624">V1713*W1713/144</f>
        <v>17.666666666666668</v>
      </c>
      <c r="AB1713" s="297">
        <f>AA1713*IncaG</f>
        <v>371.70666666666665</v>
      </c>
      <c r="AC1713" s="74">
        <f>Table1[[#This Row],[Substrate SF]]*Paper</f>
        <v>23.903000000000002</v>
      </c>
      <c r="AD1713" s="126">
        <f>AA1713*IncaC</f>
        <v>29.736533333333337</v>
      </c>
      <c r="AE1713" s="126">
        <f>IF(Table1[[#This Row],[Work Center]]="SwissQ",Materials!G$37,IF(Table1[[#This Row],[Work Center]]="Inca",Materials!G$29,IF(Table1[[#This Row],[Work Center]]="Canon",Materials!G$49,Materials!G$45)))</f>
        <v>8</v>
      </c>
      <c r="AF1713" s="73">
        <f>'Cali Frames'!D312</f>
        <v>160</v>
      </c>
      <c r="AG1713" s="84"/>
      <c r="AH1713" s="126">
        <f t="shared" ref="AH1713:AH1725" si="625">(M1713*0.05)</f>
        <v>42.5</v>
      </c>
      <c r="AI1713" s="126"/>
      <c r="AJ1713" s="126">
        <f t="shared" ref="AJ1713:AJ1725" si="626">SUM(AC1713:AH1713)</f>
        <v>264.13953333333336</v>
      </c>
      <c r="AK1713" s="1001">
        <f t="shared" ref="AK1713:AK1725" si="627">(M1713-AJ1713)/M1713</f>
        <v>0.68924760784313721</v>
      </c>
      <c r="AL1713" s="126">
        <f>Table1[[#This Row],[WSP/Dealer]]/Table1[[#This Row],[OD Sq Inch]]</f>
        <v>0.45068928950159065</v>
      </c>
      <c r="AM1713" s="119">
        <f>Table1[[#This Row],[OD Wdth]]*Table1[[#This Row],[OD Hgt]]</f>
        <v>1886</v>
      </c>
      <c r="AN1713" s="84">
        <f>Table1[[#This Row],[Min VO]]+Table1[[#This Row],[Max VO]]</f>
        <v>85</v>
      </c>
      <c r="AO1713" s="84"/>
      <c r="AP1713" s="126"/>
      <c r="AQ1713" s="74">
        <f>(Table1[[#This Row],[Desgnr/Retail P]]*0.05)</f>
        <v>0</v>
      </c>
      <c r="AR1713" s="74" t="b">
        <f>IF(A1713="Codarus",(AP1713*0.13))</f>
        <v>0</v>
      </c>
      <c r="AS1713" s="1158" t="e" cm="1">
        <f t="array" ref="AS1713">SUM(AC1713:AG1713+AQ+AR)</f>
        <v>#NAME?</v>
      </c>
      <c r="AT1713" s="1187" t="e">
        <f>(AP1713-AS1713)/AP1713</f>
        <v>#NAME?</v>
      </c>
      <c r="AU1713" s="1357" t="str">
        <f t="shared" si="623"/>
        <v>-</v>
      </c>
    </row>
    <row r="1714" spans="1:47" s="103" customFormat="1" x14ac:dyDescent="0.2">
      <c r="A1714" s="101" t="s">
        <v>58</v>
      </c>
      <c r="B1714" s="1064" t="s">
        <v>1436</v>
      </c>
      <c r="C1714" s="100" t="s">
        <v>4018</v>
      </c>
      <c r="D1714" s="168"/>
      <c r="E1714" s="115" t="s">
        <v>4019</v>
      </c>
      <c r="F1714" s="115" t="s">
        <v>308</v>
      </c>
      <c r="G1714" s="101" t="s">
        <v>4008</v>
      </c>
      <c r="H1714" s="101" t="s">
        <v>4008</v>
      </c>
      <c r="I1714" s="101" t="s">
        <v>52</v>
      </c>
      <c r="J1714" s="487" t="s">
        <v>53</v>
      </c>
      <c r="K1714" s="101" t="s">
        <v>54</v>
      </c>
      <c r="L1714" s="101" t="s">
        <v>55</v>
      </c>
      <c r="M1714" s="114">
        <v>1250</v>
      </c>
      <c r="N1714" s="114"/>
      <c r="O1714" s="101" t="s">
        <v>56</v>
      </c>
      <c r="P1714" s="101">
        <v>50</v>
      </c>
      <c r="Q1714" s="101">
        <v>70</v>
      </c>
      <c r="R1714" s="101">
        <v>50</v>
      </c>
      <c r="S1714" s="101">
        <v>70</v>
      </c>
      <c r="T1714" s="101">
        <v>50</v>
      </c>
      <c r="U1714" s="101">
        <v>70</v>
      </c>
      <c r="V1714" s="608">
        <f>IF(J1714="Canvas",P1714+BorderGW,P1714)</f>
        <v>58</v>
      </c>
      <c r="W1714" s="608">
        <f>IF(J1714="Canvas",Q1714+BorderGW,Q1714)</f>
        <v>78</v>
      </c>
      <c r="X1714" s="101">
        <v>59</v>
      </c>
      <c r="Y1714" s="101">
        <v>58</v>
      </c>
      <c r="Z1714" s="101">
        <v>78</v>
      </c>
      <c r="AA1714" s="649">
        <f t="shared" si="624"/>
        <v>31.416666666666668</v>
      </c>
      <c r="AB1714" s="184">
        <f>AA1714*IncaG</f>
        <v>661.00666666666666</v>
      </c>
      <c r="AC1714" s="104">
        <f>AA1714*Canvas</f>
        <v>20.735000000000003</v>
      </c>
      <c r="AD1714" s="104">
        <f>AA1714*IncaC</f>
        <v>52.880533333333339</v>
      </c>
      <c r="AE1714" s="104">
        <f>IF(Table1[[#This Row],[Work Center]]="SwissQ",Materials!G$37,IF(Table1[[#This Row],[Work Center]]="Inca",Materials!G$29,IF(Table1[[#This Row],[Work Center]]="Canon",Materials!G$49,Materials!G$45)))</f>
        <v>8</v>
      </c>
      <c r="AF1714" s="102">
        <f>'Cali FPS'!C133</f>
        <v>178.13250000000002</v>
      </c>
      <c r="AG1714" s="115"/>
      <c r="AH1714" s="406">
        <f t="shared" si="625"/>
        <v>62.5</v>
      </c>
      <c r="AI1714" s="406"/>
      <c r="AJ1714" s="406">
        <f t="shared" si="626"/>
        <v>322.24803333333335</v>
      </c>
      <c r="AK1714" s="1065">
        <f t="shared" si="627"/>
        <v>0.74220157333333336</v>
      </c>
      <c r="AL1714" s="406">
        <f>Table1[[#This Row],[WSP/Dealer]]/Table1[[#This Row],[OD Sq Inch]]</f>
        <v>0.35714285714285715</v>
      </c>
      <c r="AM1714" s="399">
        <f>Table1[[#This Row],[OD Wdth]]*Table1[[#This Row],[OD Hgt]]</f>
        <v>3500</v>
      </c>
      <c r="AN1714" s="400">
        <f>Table1[[#This Row],[Min VO]]+Table1[[#This Row],[Max VO]]</f>
        <v>120</v>
      </c>
      <c r="AO1714" s="115"/>
      <c r="AP1714" s="121"/>
      <c r="AQ1714" s="104"/>
      <c r="AR1714" s="104"/>
      <c r="AS1714" s="1144"/>
      <c r="AT1714" s="1193"/>
      <c r="AU1714" s="1359" t="str">
        <f t="shared" si="623"/>
        <v>-</v>
      </c>
    </row>
    <row r="1715" spans="1:47" s="103" customFormat="1" x14ac:dyDescent="0.2">
      <c r="A1715" s="68" t="s">
        <v>58</v>
      </c>
      <c r="B1715" s="1152" t="s">
        <v>1436</v>
      </c>
      <c r="C1715" s="78" t="s">
        <v>4020</v>
      </c>
      <c r="D1715" s="94"/>
      <c r="E1715" s="84" t="s">
        <v>4021</v>
      </c>
      <c r="F1715" s="84" t="s">
        <v>308</v>
      </c>
      <c r="G1715" s="68" t="s">
        <v>819</v>
      </c>
      <c r="H1715" s="68" t="s">
        <v>819</v>
      </c>
      <c r="I1715" s="68" t="s">
        <v>52</v>
      </c>
      <c r="J1715" s="140" t="s">
        <v>53</v>
      </c>
      <c r="K1715" s="68" t="s">
        <v>54</v>
      </c>
      <c r="L1715" s="68" t="s">
        <v>55</v>
      </c>
      <c r="M1715" s="141">
        <v>575</v>
      </c>
      <c r="N1715" s="93"/>
      <c r="O1715" s="68" t="s">
        <v>56</v>
      </c>
      <c r="P1715" s="68">
        <v>32</v>
      </c>
      <c r="Q1715" s="68">
        <v>40</v>
      </c>
      <c r="R1715" s="68">
        <v>32</v>
      </c>
      <c r="S1715" s="68">
        <v>40</v>
      </c>
      <c r="T1715" s="68">
        <v>32</v>
      </c>
      <c r="U1715" s="68">
        <v>40</v>
      </c>
      <c r="V1715" s="917">
        <f>IF(J1715="Canvas",P1715+BorderGW,P1715)</f>
        <v>40</v>
      </c>
      <c r="W1715" s="917">
        <f>IF(J1715="Canvas",Q1715+BorderGW,Q1715)</f>
        <v>48</v>
      </c>
      <c r="X1715" s="68">
        <v>53</v>
      </c>
      <c r="Y1715" s="68">
        <v>40</v>
      </c>
      <c r="Z1715" s="68">
        <v>48</v>
      </c>
      <c r="AA1715" s="699">
        <f t="shared" si="624"/>
        <v>13.333333333333334</v>
      </c>
      <c r="AB1715" s="297">
        <f>AA1715*IncaG</f>
        <v>280.53333333333336</v>
      </c>
      <c r="AC1715" s="74">
        <f>AA1715*Canvas</f>
        <v>8.8000000000000007</v>
      </c>
      <c r="AD1715" s="74">
        <f>AA1715*IncaC</f>
        <v>22.442666666666668</v>
      </c>
      <c r="AE1715" s="74">
        <f>IF(Table1[[#This Row],[Work Center]]="SwissQ",Materials!G$37,IF(Table1[[#This Row],[Work Center]]="Inca",Materials!G$29,IF(Table1[[#This Row],[Work Center]]="Canon",Materials!G$49,Materials!G$45)))</f>
        <v>8</v>
      </c>
      <c r="AF1715" s="73">
        <f>'Cali FPS'!C50</f>
        <v>105.875</v>
      </c>
      <c r="AG1715" s="84"/>
      <c r="AH1715" s="74">
        <f t="shared" si="625"/>
        <v>28.75</v>
      </c>
      <c r="AI1715" s="74"/>
      <c r="AJ1715" s="74">
        <f t="shared" si="626"/>
        <v>173.86766666666665</v>
      </c>
      <c r="AK1715" s="1001">
        <f t="shared" si="627"/>
        <v>0.69762144927536229</v>
      </c>
      <c r="AL1715" s="74">
        <f>Table1[[#This Row],[WSP/Dealer]]/Table1[[#This Row],[OD Sq Inch]]</f>
        <v>0.44921875</v>
      </c>
      <c r="AM1715" s="63">
        <f>Table1[[#This Row],[OD Wdth]]*Table1[[#This Row],[OD Hgt]]</f>
        <v>1280</v>
      </c>
      <c r="AN1715" s="68">
        <f>Table1[[#This Row],[Min VO]]+Table1[[#This Row],[Max VO]]</f>
        <v>72</v>
      </c>
      <c r="AO1715" s="84"/>
      <c r="AP1715" s="126"/>
      <c r="AQ1715" s="74"/>
      <c r="AR1715" s="74"/>
      <c r="AS1715" s="1158"/>
      <c r="AT1715" s="1187"/>
      <c r="AU1715" s="1357" t="str">
        <f t="shared" si="623"/>
        <v>-</v>
      </c>
    </row>
    <row r="1716" spans="1:47" s="63" customFormat="1" x14ac:dyDescent="0.2">
      <c r="A1716" s="101" t="s">
        <v>58</v>
      </c>
      <c r="B1716" s="1067" t="s">
        <v>1436</v>
      </c>
      <c r="C1716" s="100" t="s">
        <v>4022</v>
      </c>
      <c r="D1716" s="168"/>
      <c r="E1716" s="115" t="s">
        <v>4023</v>
      </c>
      <c r="F1716" s="115" t="s">
        <v>308</v>
      </c>
      <c r="G1716" s="101" t="s">
        <v>4008</v>
      </c>
      <c r="H1716" s="101" t="s">
        <v>4008</v>
      </c>
      <c r="I1716" s="101" t="s">
        <v>52</v>
      </c>
      <c r="J1716" s="487" t="s">
        <v>53</v>
      </c>
      <c r="K1716" s="101" t="s">
        <v>54</v>
      </c>
      <c r="L1716" s="101" t="s">
        <v>55</v>
      </c>
      <c r="M1716" s="114">
        <v>1250</v>
      </c>
      <c r="N1716" s="114"/>
      <c r="O1716" s="101" t="s">
        <v>56</v>
      </c>
      <c r="P1716" s="101">
        <v>50</v>
      </c>
      <c r="Q1716" s="101">
        <v>70</v>
      </c>
      <c r="R1716" s="101">
        <v>50</v>
      </c>
      <c r="S1716" s="101">
        <v>70</v>
      </c>
      <c r="T1716" s="101">
        <v>50</v>
      </c>
      <c r="U1716" s="101">
        <v>70</v>
      </c>
      <c r="V1716" s="608">
        <f>IF(J1716="Canvas",P1716+BorderGW,P1716)</f>
        <v>58</v>
      </c>
      <c r="W1716" s="608">
        <f>IF(J1716="Canvas",Q1716+BorderGW,Q1716)</f>
        <v>78</v>
      </c>
      <c r="X1716" s="101">
        <v>59</v>
      </c>
      <c r="Y1716" s="101">
        <v>58</v>
      </c>
      <c r="Z1716" s="101">
        <v>78</v>
      </c>
      <c r="AA1716" s="649">
        <f t="shared" si="624"/>
        <v>31.416666666666668</v>
      </c>
      <c r="AB1716" s="184">
        <f>AA1716*IncaG</f>
        <v>661.00666666666666</v>
      </c>
      <c r="AC1716" s="104">
        <f>AA1716*Canvas</f>
        <v>20.735000000000003</v>
      </c>
      <c r="AD1716" s="104">
        <f>AA1716*IncaC</f>
        <v>52.880533333333339</v>
      </c>
      <c r="AE1716" s="104">
        <f>IF(Table1[[#This Row],[Work Center]]="SwissQ",Materials!G$37,IF(Table1[[#This Row],[Work Center]]="Inca",Materials!G$29,IF(Table1[[#This Row],[Work Center]]="Canon",Materials!G$49,Materials!G$45)))</f>
        <v>8</v>
      </c>
      <c r="AF1716" s="102">
        <f>'Cali FPS'!C133</f>
        <v>178.13250000000002</v>
      </c>
      <c r="AG1716" s="115"/>
      <c r="AH1716" s="406">
        <f t="shared" si="625"/>
        <v>62.5</v>
      </c>
      <c r="AI1716" s="405"/>
      <c r="AJ1716" s="406">
        <f t="shared" si="626"/>
        <v>322.24803333333335</v>
      </c>
      <c r="AK1716" s="1068">
        <f t="shared" si="627"/>
        <v>0.74220157333333336</v>
      </c>
      <c r="AL1716" s="406">
        <f>Table1[[#This Row],[WSP/Dealer]]/Table1[[#This Row],[OD Sq Inch]]</f>
        <v>0.35714285714285715</v>
      </c>
      <c r="AM1716" s="399">
        <f>Table1[[#This Row],[OD Wdth]]*Table1[[#This Row],[OD Hgt]]</f>
        <v>3500</v>
      </c>
      <c r="AN1716" s="400">
        <f>Table1[[#This Row],[Min VO]]+Table1[[#This Row],[Max VO]]</f>
        <v>120</v>
      </c>
      <c r="AO1716" s="115"/>
      <c r="AP1716" s="121"/>
      <c r="AQ1716" s="104"/>
      <c r="AR1716" s="104"/>
      <c r="AS1716" s="1144"/>
      <c r="AT1716" s="1193"/>
      <c r="AU1716" s="1359" t="str">
        <f t="shared" si="623"/>
        <v>-</v>
      </c>
    </row>
    <row r="1717" spans="1:47" s="63" customFormat="1" x14ac:dyDescent="0.2">
      <c r="A1717" s="145" t="s">
        <v>58</v>
      </c>
      <c r="B1717" s="1061" t="s">
        <v>533</v>
      </c>
      <c r="C1717" s="146" t="s">
        <v>4024</v>
      </c>
      <c r="D1717" s="94" t="s">
        <v>4025</v>
      </c>
      <c r="E1717" s="146" t="s">
        <v>4026</v>
      </c>
      <c r="F1717" s="147" t="s">
        <v>150</v>
      </c>
      <c r="G1717" s="156" t="s">
        <v>4027</v>
      </c>
      <c r="H1717" s="156" t="s">
        <v>4027</v>
      </c>
      <c r="I1717" s="156" t="s">
        <v>52</v>
      </c>
      <c r="J1717" s="156" t="s">
        <v>53</v>
      </c>
      <c r="K1717" s="156" t="s">
        <v>54</v>
      </c>
      <c r="L1717" s="156" t="s">
        <v>55</v>
      </c>
      <c r="M1717" s="155">
        <v>600</v>
      </c>
      <c r="N1717" s="639">
        <v>640</v>
      </c>
      <c r="O1717" s="145" t="s">
        <v>64</v>
      </c>
      <c r="P1717" s="145">
        <v>42</v>
      </c>
      <c r="Q1717" s="145">
        <v>33</v>
      </c>
      <c r="R1717" s="145">
        <v>42</v>
      </c>
      <c r="S1717" s="145">
        <v>33</v>
      </c>
      <c r="T1717" s="698">
        <v>42</v>
      </c>
      <c r="U1717" s="698">
        <v>33</v>
      </c>
      <c r="V1717" s="913">
        <f>IF(J1717="Canvas",P1717+Border,P1717)</f>
        <v>50</v>
      </c>
      <c r="W1717" s="913">
        <f>IF(J1717="Canvas",Q1717+Border,Q1717)</f>
        <v>41</v>
      </c>
      <c r="X1717" s="157" t="s">
        <v>761</v>
      </c>
      <c r="Y1717" s="145"/>
      <c r="Z1717" s="145"/>
      <c r="AA1717" s="722">
        <f t="shared" si="624"/>
        <v>14.236111111111111</v>
      </c>
      <c r="AB1717" s="389">
        <f>AA1717*Swiss1</f>
        <v>402.88194444444446</v>
      </c>
      <c r="AC1717" s="606">
        <f>AA1717*Canvas</f>
        <v>9.3958333333333339</v>
      </c>
      <c r="AD1717" s="606">
        <f>Table1[[#This Row],[Substrate SF]]*Materials!C$37</f>
        <v>39.861111111111107</v>
      </c>
      <c r="AE1717" s="104">
        <f>IF(Table1[[#This Row],[Work Center]]="SwissQ",Materials!G$37,IF(Table1[[#This Row],[Work Center]]="Inca",Materials!G$29,IF(Table1[[#This Row],[Work Center]]="Canon",Materials!G$49,Materials!G$45)))</f>
        <v>20</v>
      </c>
      <c r="AF1717" s="143">
        <f>'Cali FPS'!C$113</f>
        <v>175.875</v>
      </c>
      <c r="AG1717" s="115"/>
      <c r="AH1717" s="498">
        <f t="shared" si="625"/>
        <v>30</v>
      </c>
      <c r="AI1717" s="498"/>
      <c r="AJ1717" s="143">
        <f t="shared" si="626"/>
        <v>275.13194444444446</v>
      </c>
      <c r="AK1717" s="650">
        <f t="shared" si="627"/>
        <v>0.54144675925925922</v>
      </c>
      <c r="AL1717" s="225">
        <f>Table1[[#This Row],[WSP/Dealer]]/Table1[[#This Row],[OD Sq Inch]]</f>
        <v>0.4329004329004329</v>
      </c>
      <c r="AM1717" s="46">
        <f>Table1[[#This Row],[OD Wdth]]*Table1[[#This Row],[OD Hgt]]</f>
        <v>1386</v>
      </c>
      <c r="AN1717" s="216">
        <f>Table1[[#This Row],[Min VO]]+Table1[[#This Row],[Max VO]]</f>
        <v>75</v>
      </c>
      <c r="AO1717" s="147"/>
      <c r="AP1717" s="147"/>
      <c r="AQ1717" s="635"/>
      <c r="AR1717" s="635"/>
      <c r="AS1717" s="635"/>
      <c r="AT1717" s="143"/>
      <c r="AU1717" s="1370" t="str">
        <f t="shared" si="623"/>
        <v>-</v>
      </c>
    </row>
    <row r="1718" spans="1:47" s="63" customFormat="1" x14ac:dyDescent="0.2">
      <c r="A1718" s="145" t="s">
        <v>58</v>
      </c>
      <c r="B1718" s="279" t="s">
        <v>533</v>
      </c>
      <c r="C1718" s="146" t="s">
        <v>4028</v>
      </c>
      <c r="D1718" s="94" t="s">
        <v>4029</v>
      </c>
      <c r="E1718" s="146" t="s">
        <v>4030</v>
      </c>
      <c r="F1718" s="147" t="s">
        <v>150</v>
      </c>
      <c r="G1718" s="156" t="s">
        <v>4031</v>
      </c>
      <c r="H1718" s="156" t="s">
        <v>4031</v>
      </c>
      <c r="I1718" s="156" t="s">
        <v>52</v>
      </c>
      <c r="J1718" s="156" t="s">
        <v>53</v>
      </c>
      <c r="K1718" s="156" t="s">
        <v>54</v>
      </c>
      <c r="L1718" s="156" t="s">
        <v>55</v>
      </c>
      <c r="M1718" s="151">
        <v>950</v>
      </c>
      <c r="N1718" s="639">
        <v>990</v>
      </c>
      <c r="O1718" s="145" t="s">
        <v>64</v>
      </c>
      <c r="P1718" s="145">
        <v>62</v>
      </c>
      <c r="Q1718" s="145">
        <v>47</v>
      </c>
      <c r="R1718" s="145">
        <v>47</v>
      </c>
      <c r="S1718" s="145">
        <v>62</v>
      </c>
      <c r="T1718" s="698">
        <f>Table1[[#This Row],[VO Wdth]]</f>
        <v>62</v>
      </c>
      <c r="U1718" s="698">
        <f>Table1[[#This Row],[VO Hgt]]</f>
        <v>47</v>
      </c>
      <c r="V1718" s="913">
        <f>IF(J1718="Canvas",P1718+Border,P1718)</f>
        <v>70</v>
      </c>
      <c r="W1718" s="913">
        <f>IF(J1718="Canvas",Q1718+Border,Q1718)</f>
        <v>55</v>
      </c>
      <c r="X1718" s="157" t="s">
        <v>2722</v>
      </c>
      <c r="Y1718" s="145"/>
      <c r="Z1718" s="145"/>
      <c r="AA1718" s="722">
        <f t="shared" si="624"/>
        <v>26.736111111111111</v>
      </c>
      <c r="AB1718" s="389">
        <f>AA1718*Swiss1</f>
        <v>756.63194444444446</v>
      </c>
      <c r="AC1718" s="606">
        <f>AA1718*Canvas</f>
        <v>17.645833333333332</v>
      </c>
      <c r="AD1718" s="606">
        <f>Table1[[#This Row],[Substrate SF]]*Materials!C$37</f>
        <v>74.8611111111111</v>
      </c>
      <c r="AE1718" s="104">
        <f>IF(Table1[[#This Row],[Work Center]]="SwissQ",Materials!G$37,IF(Table1[[#This Row],[Work Center]]="Inca",Materials!G$29,IF(Table1[[#This Row],[Work Center]]="Canon",Materials!G$49,Materials!G$45)))</f>
        <v>20</v>
      </c>
      <c r="AF1718" s="143">
        <f>'Cali FPS'!C$113</f>
        <v>175.875</v>
      </c>
      <c r="AG1718" s="115"/>
      <c r="AH1718" s="498">
        <f t="shared" si="625"/>
        <v>47.5</v>
      </c>
      <c r="AI1718" s="498"/>
      <c r="AJ1718" s="143">
        <f t="shared" si="626"/>
        <v>335.88194444444446</v>
      </c>
      <c r="AK1718" s="650">
        <f t="shared" si="627"/>
        <v>0.64644005847953212</v>
      </c>
      <c r="AL1718" s="225">
        <f>Table1[[#This Row],[WSP/Dealer]]/Table1[[#This Row],[OD Sq Inch]]</f>
        <v>0.3260123541523679</v>
      </c>
      <c r="AM1718" s="97">
        <f>Table1[[#This Row],[OD Wdth]]*Table1[[#This Row],[OD Hgt]]</f>
        <v>2914</v>
      </c>
      <c r="AN1718" s="216">
        <f>Table1[[#This Row],[Min VO]]+Table1[[#This Row],[Max VO]]</f>
        <v>109</v>
      </c>
      <c r="AO1718" s="145"/>
      <c r="AP1718" s="145"/>
      <c r="AQ1718" s="143"/>
      <c r="AR1718" s="143"/>
      <c r="AS1718" s="143"/>
      <c r="AT1718" s="143"/>
      <c r="AU1718" s="1371" t="str">
        <f t="shared" si="623"/>
        <v>-</v>
      </c>
    </row>
    <row r="1719" spans="1:47" s="46" customFormat="1" hidden="1" x14ac:dyDescent="0.2">
      <c r="A1719" s="68" t="s">
        <v>101</v>
      </c>
      <c r="B1719" s="279" t="s">
        <v>65</v>
      </c>
      <c r="C1719" s="94" t="s">
        <v>4032</v>
      </c>
      <c r="D1719" s="94"/>
      <c r="E1719" s="172" t="s">
        <v>4033</v>
      </c>
      <c r="F1719" s="84" t="s">
        <v>138</v>
      </c>
      <c r="G1719" s="363" t="s">
        <v>139</v>
      </c>
      <c r="H1719" s="363" t="s">
        <v>139</v>
      </c>
      <c r="I1719" s="363" t="s">
        <v>52</v>
      </c>
      <c r="J1719" s="646" t="s">
        <v>53</v>
      </c>
      <c r="K1719" s="363" t="s">
        <v>54</v>
      </c>
      <c r="L1719" s="363" t="s">
        <v>55</v>
      </c>
      <c r="M1719" s="141">
        <v>185</v>
      </c>
      <c r="N1719" s="93"/>
      <c r="O1719" s="68" t="s">
        <v>56</v>
      </c>
      <c r="P1719" s="68">
        <v>24</v>
      </c>
      <c r="Q1719" s="68">
        <v>24</v>
      </c>
      <c r="R1719" s="68">
        <v>24</v>
      </c>
      <c r="S1719" s="623">
        <v>24</v>
      </c>
      <c r="T1719" s="68">
        <v>24</v>
      </c>
      <c r="U1719" s="623">
        <v>24</v>
      </c>
      <c r="V1719" s="917">
        <f>IF(J1719="Canvas",P1719+BorderGW,P1719)</f>
        <v>32</v>
      </c>
      <c r="W1719" s="917">
        <f>IF(J1719="Canvas",Q1719+BorderGW,Q1719)</f>
        <v>32</v>
      </c>
      <c r="X1719" s="68">
        <v>40</v>
      </c>
      <c r="Y1719" s="917">
        <f>Table1[[#This Row],[Print Wth]]</f>
        <v>32</v>
      </c>
      <c r="Z1719" s="917">
        <f>Table1[[#This Row],[Print Ht]]</f>
        <v>32</v>
      </c>
      <c r="AA1719" s="1027">
        <f>Table1[[#This Row],[Cut Width]]*Table1[[#This Row],[Cut Height]]/144</f>
        <v>7.1111111111111107</v>
      </c>
      <c r="AB1719" s="1130">
        <f>Table1[[#This Row],[Print Wth]]*Table1[[#This Row],[Print Ht]]/144*IncaG</f>
        <v>149.61777777777777</v>
      </c>
      <c r="AC1719" s="278">
        <f>Table1[[#This Row],[Substrate SF]]*Canvas</f>
        <v>4.6933333333333334</v>
      </c>
      <c r="AD1719" s="278">
        <f>(Table1[[#This Row],[Print Wth]]*Table1[[#This Row],[Print Ht]])/144*IncaC</f>
        <v>11.969422222222223</v>
      </c>
      <c r="AE1719" s="863">
        <f>IF(Table1[[#This Row],[Work Center]]="SwissQ",Materials!G$37,IF(Table1[[#This Row],[Work Center]]="Inca",Materials!G$29,IF(Table1[[#This Row],[Work Center]]="Canon",Materials!G$49,Materials!G$45)))</f>
        <v>8</v>
      </c>
      <c r="AF1719" s="73">
        <f>'Cali FPS'!C32</f>
        <v>63.47</v>
      </c>
      <c r="AG1719" s="84"/>
      <c r="AH1719" s="67">
        <f t="shared" si="625"/>
        <v>9.25</v>
      </c>
      <c r="AI1719" s="67"/>
      <c r="AJ1719" s="74">
        <f t="shared" si="626"/>
        <v>97.382755555555548</v>
      </c>
      <c r="AK1719" s="661">
        <f t="shared" si="627"/>
        <v>0.47360672672672677</v>
      </c>
      <c r="AL1719" s="74">
        <f>Table1[[#This Row],[WSP/Dealer]]/Table1[[#This Row],[OD Sq Inch]]</f>
        <v>0.32118055555555558</v>
      </c>
      <c r="AM1719" s="68">
        <f>Table1[[#This Row],[OD Wdth]]*Table1[[#This Row],[OD Hgt]]</f>
        <v>576</v>
      </c>
      <c r="AN1719" s="68">
        <f>Table1[[#This Row],[Min VO]]+Table1[[#This Row],[Max VO]]</f>
        <v>48</v>
      </c>
      <c r="AO1719" s="84"/>
      <c r="AP1719" s="84"/>
      <c r="AQ1719" s="126"/>
      <c r="AR1719" s="126"/>
      <c r="AS1719" s="126"/>
      <c r="AT1719" s="74"/>
      <c r="AU1719" s="1357" t="str">
        <f t="shared" si="623"/>
        <v>-</v>
      </c>
    </row>
    <row r="1720" spans="1:47" s="46" customFormat="1" hidden="1" x14ac:dyDescent="0.2">
      <c r="A1720" s="551" t="s">
        <v>140</v>
      </c>
      <c r="B1720" s="279" t="s">
        <v>141</v>
      </c>
      <c r="C1720" s="77" t="s">
        <v>4034</v>
      </c>
      <c r="D1720" s="94"/>
      <c r="E1720" s="387" t="s">
        <v>4033</v>
      </c>
      <c r="F1720" s="653" t="s">
        <v>138</v>
      </c>
      <c r="G1720" s="880" t="s">
        <v>139</v>
      </c>
      <c r="H1720" s="880" t="s">
        <v>139</v>
      </c>
      <c r="I1720" s="880" t="s">
        <v>52</v>
      </c>
      <c r="J1720" s="879" t="s">
        <v>280</v>
      </c>
      <c r="K1720" s="880" t="s">
        <v>281</v>
      </c>
      <c r="L1720" s="880" t="s">
        <v>282</v>
      </c>
      <c r="M1720" s="857">
        <v>350</v>
      </c>
      <c r="N1720" s="858">
        <f>Table1[[#This Row],[WSP/Dealer]]/0.35</f>
        <v>1000.0000000000001</v>
      </c>
      <c r="O1720" s="551" t="s">
        <v>56</v>
      </c>
      <c r="P1720" s="551">
        <v>24</v>
      </c>
      <c r="Q1720" s="551">
        <v>24</v>
      </c>
      <c r="R1720" s="551">
        <v>24</v>
      </c>
      <c r="S1720" s="984">
        <v>24</v>
      </c>
      <c r="T1720" s="551">
        <v>24</v>
      </c>
      <c r="U1720" s="984">
        <v>24</v>
      </c>
      <c r="V1720" s="859">
        <v>24</v>
      </c>
      <c r="W1720" s="859">
        <v>24</v>
      </c>
      <c r="X1720" s="311" t="s">
        <v>283</v>
      </c>
      <c r="Y1720" s="551">
        <v>24</v>
      </c>
      <c r="Z1720" s="551">
        <v>24</v>
      </c>
      <c r="AA1720" s="860">
        <f t="shared" ref="AA1720:AA1725" si="628">V1720*W1720/144</f>
        <v>4</v>
      </c>
      <c r="AB1720" s="861">
        <f>AA1720*IncaG</f>
        <v>84.16</v>
      </c>
      <c r="AC1720" s="863">
        <f>AA1720*MDF</f>
        <v>3.9568750000000006</v>
      </c>
      <c r="AD1720" s="876">
        <f>Table1[[#This Row],[Substrate SF]]*IncaC</f>
        <v>6.7328000000000001</v>
      </c>
      <c r="AE1720" s="863">
        <f>IF(Table1[[#This Row],[Work Center]]="SwissQ",Materials!G$37,IF(Table1[[#This Row],[Work Center]]="Inca",Materials!G$29,IF(Table1[[#This Row],[Work Center]]="Canon",Materials!G$49,Materials!G$45)))</f>
        <v>8</v>
      </c>
      <c r="AF1720" s="71">
        <f>'Cali Frames'!D538</f>
        <v>90.37</v>
      </c>
      <c r="AG1720" s="653"/>
      <c r="AH1720" s="865">
        <f t="shared" si="625"/>
        <v>17.5</v>
      </c>
      <c r="AI1720" s="865"/>
      <c r="AJ1720" s="867">
        <f t="shared" si="626"/>
        <v>126.559675</v>
      </c>
      <c r="AK1720" s="866">
        <f t="shared" si="627"/>
        <v>0.63840092857142861</v>
      </c>
      <c r="AL1720" s="867">
        <f>Table1[[#This Row],[WSP/Dealer]]/Table1[[#This Row],[OD Sq Inch]]</f>
        <v>0.60763888888888884</v>
      </c>
      <c r="AM1720" s="868">
        <f>Table1[[#This Row],[OD Wdth]]*Table1[[#This Row],[OD Hgt]]</f>
        <v>576</v>
      </c>
      <c r="AN1720" s="869">
        <f>Table1[[#This Row],[Min VO]]+Table1[[#This Row],[Max VO]]</f>
        <v>48</v>
      </c>
      <c r="AO1720" s="1545"/>
      <c r="AP1720" s="653"/>
      <c r="AQ1720" s="864"/>
      <c r="AR1720" s="864"/>
      <c r="AS1720" s="864"/>
      <c r="AT1720" s="863"/>
      <c r="AU1720" s="1364" t="str">
        <f t="shared" si="623"/>
        <v>-</v>
      </c>
    </row>
    <row r="1721" spans="1:47" s="63" customFormat="1" x14ac:dyDescent="0.2">
      <c r="A1721" s="145" t="s">
        <v>58</v>
      </c>
      <c r="B1721" s="1061" t="s">
        <v>533</v>
      </c>
      <c r="C1721" s="146" t="s">
        <v>4035</v>
      </c>
      <c r="D1721" s="94" t="s">
        <v>4036</v>
      </c>
      <c r="E1721" s="146" t="s">
        <v>4037</v>
      </c>
      <c r="F1721" s="154" t="s">
        <v>386</v>
      </c>
      <c r="G1721" s="145" t="s">
        <v>902</v>
      </c>
      <c r="H1721" s="145" t="s">
        <v>902</v>
      </c>
      <c r="I1721" s="145" t="s">
        <v>52</v>
      </c>
      <c r="J1721" s="145" t="s">
        <v>53</v>
      </c>
      <c r="K1721" s="145" t="s">
        <v>54</v>
      </c>
      <c r="L1721" s="145" t="s">
        <v>55</v>
      </c>
      <c r="M1721" s="151">
        <v>700</v>
      </c>
      <c r="N1721" s="639">
        <v>760</v>
      </c>
      <c r="O1721" s="145" t="s">
        <v>56</v>
      </c>
      <c r="P1721" s="145">
        <v>60</v>
      </c>
      <c r="Q1721" s="145">
        <v>30</v>
      </c>
      <c r="R1721" s="145">
        <v>30</v>
      </c>
      <c r="S1721" s="144">
        <v>60</v>
      </c>
      <c r="T1721" s="1777">
        <f>Table1[[#This Row],[VO Wdth]]</f>
        <v>60</v>
      </c>
      <c r="U1721" s="1777">
        <f>Table1[[#This Row],[VO Hgt]]</f>
        <v>30</v>
      </c>
      <c r="V1721" s="913">
        <f>IF(J1721="Canvas",P1721+Border,P1721)</f>
        <v>68</v>
      </c>
      <c r="W1721" s="913">
        <f>IF(J1721="Canvas",Q1721+Border,Q1721)</f>
        <v>38</v>
      </c>
      <c r="X1721" s="157" t="s">
        <v>57</v>
      </c>
      <c r="Y1721" s="145">
        <v>38</v>
      </c>
      <c r="Z1721" s="145">
        <v>68</v>
      </c>
      <c r="AA1721" s="722">
        <f t="shared" si="628"/>
        <v>17.944444444444443</v>
      </c>
      <c r="AB1721" s="389">
        <f>AA1721*IncaG</f>
        <v>377.55111111111108</v>
      </c>
      <c r="AC1721" s="143">
        <f>Table1[[#This Row],[Substrate SF]]*Paper</f>
        <v>24.278833333333331</v>
      </c>
      <c r="AD1721" s="150">
        <f>AA1721*IncaC</f>
        <v>30.204088888888887</v>
      </c>
      <c r="AE1721" s="104">
        <f>IF(Table1[[#This Row],[Work Center]]="SwissQ",Materials!G$37,IF(Table1[[#This Row],[Work Center]]="Inca",Materials!G$29,IF(Table1[[#This Row],[Work Center]]="Canon",Materials!G$49,Materials!G$45)))</f>
        <v>8</v>
      </c>
      <c r="AF1721" s="143">
        <f>'Cali FPS'!C$51</f>
        <v>107.625</v>
      </c>
      <c r="AG1721" s="115"/>
      <c r="AH1721" s="112">
        <f t="shared" si="625"/>
        <v>35</v>
      </c>
      <c r="AI1721" s="112"/>
      <c r="AJ1721" s="150">
        <f t="shared" si="626"/>
        <v>205.10792222222221</v>
      </c>
      <c r="AK1721" s="62">
        <f t="shared" si="627"/>
        <v>0.7069886825396825</v>
      </c>
      <c r="AL1721" s="225">
        <f>Table1[[#This Row],[WSP/Dealer]]/Table1[[#This Row],[OD Sq Inch]]</f>
        <v>0.3888888888888889</v>
      </c>
      <c r="AM1721" s="218">
        <f>Table1[[#This Row],[OD Wdth]]*Table1[[#This Row],[OD Hgt]]</f>
        <v>1800</v>
      </c>
      <c r="AN1721" s="216">
        <f>Table1[[#This Row],[Min VO]]+Table1[[#This Row],[Max VO]]</f>
        <v>90</v>
      </c>
      <c r="AO1721" s="145"/>
      <c r="AP1721" s="145"/>
      <c r="AQ1721" s="143"/>
      <c r="AR1721" s="143"/>
      <c r="AS1721" s="143"/>
      <c r="AT1721" s="143"/>
      <c r="AU1721" s="1371" t="str">
        <f t="shared" si="623"/>
        <v>-</v>
      </c>
    </row>
    <row r="1722" spans="1:47" s="170" customFormat="1" hidden="1" x14ac:dyDescent="0.2">
      <c r="A1722" s="86"/>
      <c r="C1722" s="75" t="s">
        <v>4035</v>
      </c>
      <c r="D1722" s="94"/>
      <c r="E1722" s="85" t="s">
        <v>4037</v>
      </c>
      <c r="F1722" s="85" t="s">
        <v>386</v>
      </c>
      <c r="G1722" s="86" t="s">
        <v>4038</v>
      </c>
      <c r="H1722" s="86" t="s">
        <v>4038</v>
      </c>
      <c r="I1722" s="86" t="s">
        <v>52</v>
      </c>
      <c r="J1722" s="86" t="s">
        <v>53</v>
      </c>
      <c r="K1722" s="86" t="s">
        <v>54</v>
      </c>
      <c r="L1722" s="86" t="s">
        <v>55</v>
      </c>
      <c r="M1722" s="87">
        <v>700</v>
      </c>
      <c r="N1722" s="71">
        <v>760</v>
      </c>
      <c r="O1722" s="101" t="s">
        <v>56</v>
      </c>
      <c r="P1722" s="273">
        <v>60</v>
      </c>
      <c r="Q1722" s="273">
        <v>30</v>
      </c>
      <c r="R1722" s="60">
        <v>30</v>
      </c>
      <c r="S1722" s="273">
        <v>60</v>
      </c>
      <c r="T1722" s="273">
        <f>Table1[[#This Row],[VO Wdth]]</f>
        <v>60</v>
      </c>
      <c r="U1722" s="273">
        <f>Table1[[#This Row],[VO Hgt]]</f>
        <v>30</v>
      </c>
      <c r="V1722" s="608">
        <f>IF(J1722="Canvas",P1722+BorderGW,P1722)</f>
        <v>68</v>
      </c>
      <c r="W1722" s="608">
        <f>IF(J1722="Canvas",Q1722+BorderGW,Q1722)</f>
        <v>38</v>
      </c>
      <c r="X1722" s="157" t="s">
        <v>57</v>
      </c>
      <c r="Y1722" s="60">
        <v>38</v>
      </c>
      <c r="Z1722" s="60">
        <v>68</v>
      </c>
      <c r="AA1722" s="649">
        <f t="shared" si="628"/>
        <v>17.944444444444443</v>
      </c>
      <c r="AB1722" s="184">
        <f>AA1722*IncaG</f>
        <v>377.55111111111108</v>
      </c>
      <c r="AC1722" s="104">
        <f>AA1722*Canvas</f>
        <v>11.843333333333334</v>
      </c>
      <c r="AD1722" s="107">
        <f>AA1722*IncaC</f>
        <v>30.204088888888887</v>
      </c>
      <c r="AE1722" s="104">
        <f>IF(Table1[[#This Row],[Work Center]]="SwissQ",Materials!G$37,IF(Table1[[#This Row],[Work Center]]="Inca",Materials!G$29,IF(Table1[[#This Row],[Work Center]]="Canon",Materials!G$49,Materials!G$45)))</f>
        <v>8</v>
      </c>
      <c r="AF1722" s="74">
        <f>'Cali FPS'!C$51</f>
        <v>107.625</v>
      </c>
      <c r="AG1722" s="115"/>
      <c r="AH1722" s="498">
        <f t="shared" si="625"/>
        <v>35</v>
      </c>
      <c r="AI1722" s="498"/>
      <c r="AJ1722" s="104">
        <f t="shared" si="626"/>
        <v>192.67242222222222</v>
      </c>
      <c r="AK1722" s="650">
        <f t="shared" si="627"/>
        <v>0.72475368253968253</v>
      </c>
      <c r="AL1722" s="225">
        <f>Table1[[#This Row],[WSP/Dealer]]/Table1[[#This Row],[OD Sq Inch]]</f>
        <v>0.3888888888888889</v>
      </c>
      <c r="AM1722" s="97">
        <f>Table1[[#This Row],[OD Wdth]]*Table1[[#This Row],[OD Hgt]]</f>
        <v>1800</v>
      </c>
      <c r="AN1722" s="216">
        <f>Table1[[#This Row],[Min VO]]+Table1[[#This Row],[Max VO]]</f>
        <v>90</v>
      </c>
      <c r="AO1722" s="101"/>
      <c r="AP1722" s="101"/>
      <c r="AQ1722" s="104"/>
      <c r="AR1722" s="104"/>
      <c r="AS1722" s="104"/>
      <c r="AT1722" s="104"/>
      <c r="AU1722" s="830" t="str">
        <f t="shared" si="623"/>
        <v>-</v>
      </c>
    </row>
    <row r="1723" spans="1:47" s="170" customFormat="1" hidden="1" x14ac:dyDescent="0.2">
      <c r="A1723" s="68" t="s">
        <v>1560</v>
      </c>
      <c r="B1723" s="1061" t="s">
        <v>1021</v>
      </c>
      <c r="C1723" s="257" t="s">
        <v>4039</v>
      </c>
      <c r="D1723" s="94"/>
      <c r="E1723" s="84" t="s">
        <v>4040</v>
      </c>
      <c r="F1723" s="84" t="s">
        <v>634</v>
      </c>
      <c r="G1723" s="68" t="s">
        <v>139</v>
      </c>
      <c r="H1723" s="68" t="s">
        <v>139</v>
      </c>
      <c r="I1723" s="68" t="s">
        <v>108</v>
      </c>
      <c r="J1723" s="140" t="s">
        <v>53</v>
      </c>
      <c r="K1723" s="68" t="s">
        <v>54</v>
      </c>
      <c r="L1723" s="68" t="s">
        <v>55</v>
      </c>
      <c r="M1723" s="141">
        <v>200</v>
      </c>
      <c r="N1723" s="93"/>
      <c r="O1723" s="68" t="s">
        <v>109</v>
      </c>
      <c r="P1723" s="623">
        <v>24</v>
      </c>
      <c r="Q1723" s="623">
        <v>24</v>
      </c>
      <c r="R1723" s="623">
        <v>24</v>
      </c>
      <c r="S1723" s="623">
        <v>24</v>
      </c>
      <c r="T1723" s="623">
        <v>24</v>
      </c>
      <c r="U1723" s="623">
        <v>24</v>
      </c>
      <c r="V1723" s="277">
        <f>IF(J1723="Canvas",P1723+BorderL,P1723)</f>
        <v>35</v>
      </c>
      <c r="W1723" s="277">
        <f>IF(J1723="Canvas",Q1723+BorderL,Q1723)</f>
        <v>35</v>
      </c>
      <c r="X1723" s="189">
        <v>40</v>
      </c>
      <c r="Y1723" s="68">
        <v>35</v>
      </c>
      <c r="Z1723" s="68">
        <v>35</v>
      </c>
      <c r="AA1723" s="727">
        <f t="shared" si="628"/>
        <v>8.5069444444444446</v>
      </c>
      <c r="AB1723" s="341">
        <f>AA1723*EPSONM</f>
        <v>38.28125</v>
      </c>
      <c r="AC1723" s="278">
        <f>AA1723*Canvas</f>
        <v>5.6145833333333339</v>
      </c>
      <c r="AD1723" s="263">
        <f>Table1[[#This Row],[Ink g/mL]]*EPSONC</f>
        <v>8.421875</v>
      </c>
      <c r="AE1723" s="278">
        <f>IF(Table1[[#This Row],[Work Center]]="SwissQ",Materials!G$37,IF(Table1[[#This Row],[Work Center]]="Inca",Materials!G$29,IF(Table1[[#This Row],[Work Center]]="Canon",Materials!G$49,Materials!G$45)))</f>
        <v>5</v>
      </c>
      <c r="AF1723" s="73">
        <f>'Cali FPS'!C32</f>
        <v>63.47</v>
      </c>
      <c r="AG1723" s="84"/>
      <c r="AH1723" s="74">
        <f t="shared" si="625"/>
        <v>10</v>
      </c>
      <c r="AI1723" s="74"/>
      <c r="AJ1723" s="278">
        <f t="shared" si="626"/>
        <v>92.506458333333342</v>
      </c>
      <c r="AK1723" s="1001">
        <f t="shared" si="627"/>
        <v>0.53746770833333324</v>
      </c>
      <c r="AL1723" s="240">
        <f>Table1[[#This Row],[WSP/Dealer]]/Table1[[#This Row],[OD Sq Inch]]</f>
        <v>0.34722222222222221</v>
      </c>
      <c r="AM1723" s="170">
        <f>Table1[[#This Row],[OD Wdth]]*Table1[[#This Row],[OD Hgt]]</f>
        <v>576</v>
      </c>
      <c r="AN1723" s="274">
        <f>Table1[[#This Row],[Min VO]]+Table1[[#This Row],[Max VO]]</f>
        <v>48</v>
      </c>
      <c r="AO1723" s="84"/>
      <c r="AP1723" s="84"/>
      <c r="AQ1723" s="126"/>
      <c r="AR1723" s="126"/>
      <c r="AS1723" s="126"/>
      <c r="AT1723" s="74"/>
      <c r="AU1723" s="1357" t="str">
        <f t="shared" si="623"/>
        <v>-</v>
      </c>
    </row>
    <row r="1724" spans="1:47" s="170" customFormat="1" x14ac:dyDescent="0.2">
      <c r="A1724" s="86" t="s">
        <v>58</v>
      </c>
      <c r="B1724" s="1061" t="s">
        <v>450</v>
      </c>
      <c r="C1724" s="75" t="s">
        <v>4041</v>
      </c>
      <c r="D1724" s="94" t="s">
        <v>4042</v>
      </c>
      <c r="E1724" s="85" t="s">
        <v>4043</v>
      </c>
      <c r="F1724" s="85" t="s">
        <v>920</v>
      </c>
      <c r="G1724" s="86" t="s">
        <v>115</v>
      </c>
      <c r="H1724" s="86" t="s">
        <v>115</v>
      </c>
      <c r="I1724" s="86" t="s">
        <v>52</v>
      </c>
      <c r="J1724" s="86" t="s">
        <v>53</v>
      </c>
      <c r="K1724" s="86" t="s">
        <v>54</v>
      </c>
      <c r="L1724" s="86" t="s">
        <v>55</v>
      </c>
      <c r="M1724" s="87">
        <v>750</v>
      </c>
      <c r="N1724" s="639">
        <v>830</v>
      </c>
      <c r="O1724" s="101" t="s">
        <v>56</v>
      </c>
      <c r="P1724" s="273">
        <v>48</v>
      </c>
      <c r="Q1724" s="273">
        <v>48</v>
      </c>
      <c r="R1724" s="60">
        <v>48</v>
      </c>
      <c r="S1724" s="273">
        <v>48</v>
      </c>
      <c r="T1724" s="273">
        <f>Table1[[#This Row],[VO Wdth]]</f>
        <v>48</v>
      </c>
      <c r="U1724" s="273">
        <f>Table1[[#This Row],[VO Hgt]]</f>
        <v>48</v>
      </c>
      <c r="V1724" s="608">
        <f>IF(J1724="Canvas",P1724+BorderGW,P1724)</f>
        <v>56</v>
      </c>
      <c r="W1724" s="608">
        <f>IF(J1724="Canvas",Q1724+BorderGW,Q1724)</f>
        <v>56</v>
      </c>
      <c r="X1724" s="137">
        <v>59</v>
      </c>
      <c r="Y1724" s="101"/>
      <c r="Z1724" s="101"/>
      <c r="AA1724" s="649">
        <f t="shared" si="628"/>
        <v>21.777777777777779</v>
      </c>
      <c r="AB1724" s="184">
        <f>AA1724*IncaG</f>
        <v>458.20444444444445</v>
      </c>
      <c r="AC1724" s="104">
        <f>AA1724*Canvas</f>
        <v>14.373333333333335</v>
      </c>
      <c r="AD1724" s="104">
        <f>AA1724*IncaC</f>
        <v>36.656355555555557</v>
      </c>
      <c r="AE1724" s="104">
        <f>IF(Table1[[#This Row],[Work Center]]="SwissQ",Materials!G$37,IF(Table1[[#This Row],[Work Center]]="Inca",Materials!G$29,IF(Table1[[#This Row],[Work Center]]="Canon",Materials!G$49,Materials!G$45)))</f>
        <v>8</v>
      </c>
      <c r="AF1724" s="104">
        <f>'Cali FPS'!C$117</f>
        <v>119.7</v>
      </c>
      <c r="AG1724" s="115"/>
      <c r="AH1724" s="112">
        <f t="shared" si="625"/>
        <v>37.5</v>
      </c>
      <c r="AI1724" s="112"/>
      <c r="AJ1724" s="104">
        <f t="shared" si="626"/>
        <v>216.22968888888889</v>
      </c>
      <c r="AK1724" s="62">
        <f t="shared" si="627"/>
        <v>0.71169374814814823</v>
      </c>
      <c r="AL1724" s="225">
        <f>Table1[[#This Row],[WSP/Dealer]]/Table1[[#This Row],[OD Sq Inch]]</f>
        <v>0.32552083333333331</v>
      </c>
      <c r="AM1724" s="103">
        <f>Table1[[#This Row],[OD Wdth]]*Table1[[#This Row],[OD Hgt]]</f>
        <v>2304</v>
      </c>
      <c r="AN1724" s="216">
        <f>Table1[[#This Row],[Min VO]]+Table1[[#This Row],[Max VO]]</f>
        <v>96</v>
      </c>
      <c r="AO1724" s="101"/>
      <c r="AP1724" s="101"/>
      <c r="AQ1724" s="104"/>
      <c r="AR1724" s="104"/>
      <c r="AS1724" s="104"/>
      <c r="AT1724" s="104"/>
      <c r="AU1724" s="830" t="str">
        <f t="shared" si="623"/>
        <v>-</v>
      </c>
    </row>
    <row r="1725" spans="1:47" s="170" customFormat="1" x14ac:dyDescent="0.2">
      <c r="A1725" s="86" t="s">
        <v>58</v>
      </c>
      <c r="B1725" s="1061" t="s">
        <v>450</v>
      </c>
      <c r="C1725" s="75" t="s">
        <v>4044</v>
      </c>
      <c r="D1725" s="94" t="s">
        <v>4045</v>
      </c>
      <c r="E1725" s="85" t="s">
        <v>4046</v>
      </c>
      <c r="F1725" s="85" t="s">
        <v>920</v>
      </c>
      <c r="G1725" s="86" t="s">
        <v>115</v>
      </c>
      <c r="H1725" s="86" t="s">
        <v>115</v>
      </c>
      <c r="I1725" s="86" t="s">
        <v>52</v>
      </c>
      <c r="J1725" s="86" t="s">
        <v>53</v>
      </c>
      <c r="K1725" s="86" t="s">
        <v>54</v>
      </c>
      <c r="L1725" s="86" t="s">
        <v>55</v>
      </c>
      <c r="M1725" s="87">
        <v>750</v>
      </c>
      <c r="N1725" s="639">
        <v>830</v>
      </c>
      <c r="O1725" s="101" t="s">
        <v>56</v>
      </c>
      <c r="P1725" s="273">
        <v>48</v>
      </c>
      <c r="Q1725" s="273">
        <v>48</v>
      </c>
      <c r="R1725" s="60">
        <v>48</v>
      </c>
      <c r="S1725" s="273">
        <v>48</v>
      </c>
      <c r="T1725" s="273">
        <f>Table1[[#This Row],[VO Wdth]]</f>
        <v>48</v>
      </c>
      <c r="U1725" s="273">
        <f>Table1[[#This Row],[VO Hgt]]</f>
        <v>48</v>
      </c>
      <c r="V1725" s="608">
        <f>IF(J1725="Canvas",P1725+BorderGW,P1725)</f>
        <v>56</v>
      </c>
      <c r="W1725" s="608">
        <f>IF(J1725="Canvas",Q1725+BorderGW,Q1725)</f>
        <v>56</v>
      </c>
      <c r="X1725" s="137">
        <v>59</v>
      </c>
      <c r="Y1725" s="101"/>
      <c r="Z1725" s="101"/>
      <c r="AA1725" s="649">
        <f t="shared" si="628"/>
        <v>21.777777777777779</v>
      </c>
      <c r="AB1725" s="184">
        <f>AA1725*IncaG</f>
        <v>458.20444444444445</v>
      </c>
      <c r="AC1725" s="104">
        <f>AA1725*Canvas</f>
        <v>14.373333333333335</v>
      </c>
      <c r="AD1725" s="104">
        <f>AA1725*IncaC</f>
        <v>36.656355555555557</v>
      </c>
      <c r="AE1725" s="104">
        <f>IF(Table1[[#This Row],[Work Center]]="SwissQ",Materials!G$37,IF(Table1[[#This Row],[Work Center]]="Inca",Materials!G$29,IF(Table1[[#This Row],[Work Center]]="Canon",Materials!G$49,Materials!G$45)))</f>
        <v>8</v>
      </c>
      <c r="AF1725" s="104">
        <f>'Cali FPS'!C$117</f>
        <v>119.7</v>
      </c>
      <c r="AG1725" s="115"/>
      <c r="AH1725" s="498">
        <f t="shared" si="625"/>
        <v>37.5</v>
      </c>
      <c r="AI1725" s="498"/>
      <c r="AJ1725" s="104">
        <f t="shared" si="626"/>
        <v>216.22968888888889</v>
      </c>
      <c r="AK1725" s="650">
        <f t="shared" si="627"/>
        <v>0.71169374814814823</v>
      </c>
      <c r="AL1725" s="225">
        <f>Table1[[#This Row],[WSP/Dealer]]/Table1[[#This Row],[OD Sq Inch]]</f>
        <v>0.32552083333333331</v>
      </c>
      <c r="AM1725" s="218">
        <f>Table1[[#This Row],[OD Wdth]]*Table1[[#This Row],[OD Hgt]]</f>
        <v>2304</v>
      </c>
      <c r="AN1725" s="216">
        <f>Table1[[#This Row],[Min VO]]+Table1[[#This Row],[Max VO]]</f>
        <v>96</v>
      </c>
      <c r="AO1725" s="101"/>
      <c r="AP1725" s="101"/>
      <c r="AQ1725" s="104"/>
      <c r="AR1725" s="104"/>
      <c r="AS1725" s="104"/>
      <c r="AT1725" s="104"/>
      <c r="AU1725" s="830" t="str">
        <f t="shared" si="623"/>
        <v>-</v>
      </c>
    </row>
    <row r="1726" spans="1:47" s="170" customFormat="1" hidden="1" x14ac:dyDescent="0.2">
      <c r="A1726" s="68" t="s">
        <v>318</v>
      </c>
      <c r="B1726" s="1061" t="s">
        <v>568</v>
      </c>
      <c r="C1726" s="257" t="s">
        <v>4047</v>
      </c>
      <c r="D1726" s="94">
        <v>180829</v>
      </c>
      <c r="E1726" s="84" t="s">
        <v>4048</v>
      </c>
      <c r="F1726" s="84" t="s">
        <v>105</v>
      </c>
      <c r="G1726" s="68" t="s">
        <v>323</v>
      </c>
      <c r="H1726" s="68" t="s">
        <v>323</v>
      </c>
      <c r="I1726" s="68" t="s">
        <v>52</v>
      </c>
      <c r="J1726" s="140" t="s">
        <v>280</v>
      </c>
      <c r="K1726" s="60"/>
      <c r="L1726" s="101"/>
      <c r="M1726" s="114">
        <v>300</v>
      </c>
      <c r="N1726" s="114"/>
      <c r="O1726" s="101"/>
      <c r="P1726" s="273"/>
      <c r="Q1726" s="273"/>
      <c r="R1726" s="60"/>
      <c r="S1726" s="273"/>
      <c r="T1726" s="273"/>
      <c r="U1726" s="273"/>
      <c r="V1726" s="47"/>
      <c r="W1726" s="106"/>
      <c r="X1726" s="101"/>
      <c r="Y1726" s="101"/>
      <c r="Z1726" s="101"/>
      <c r="AA1726" s="649"/>
      <c r="AB1726" s="184"/>
      <c r="AC1726" s="104"/>
      <c r="AD1726" s="120"/>
      <c r="AE1726" s="121"/>
      <c r="AF1726" s="102"/>
      <c r="AG1726" s="115"/>
      <c r="AH1726" s="120"/>
      <c r="AI1726" s="120"/>
      <c r="AJ1726" s="121"/>
      <c r="AK1726" s="108"/>
      <c r="AL1726" s="121"/>
      <c r="AM1726" s="113"/>
      <c r="AN1726" s="115"/>
      <c r="AO1726" s="115"/>
      <c r="AP1726" s="121"/>
      <c r="AQ1726" s="121">
        <f>(Table1[[#This Row],[Desgnr/Retail P]]*0.05)</f>
        <v>0</v>
      </c>
      <c r="AR1726" s="121" t="b">
        <f>IF(A1726="Codarus",(AP1726*0.13))</f>
        <v>0</v>
      </c>
      <c r="AS1726" s="121" t="e" cm="1">
        <f t="array" ref="AS1726">SUM(AC1726:AG1726+AQ+AR)</f>
        <v>#NAME?</v>
      </c>
      <c r="AT1726" s="104" t="e">
        <f>(AP1726-AS1726)/AP1726</f>
        <v>#NAME?</v>
      </c>
      <c r="AU1726" s="1359" t="str">
        <f t="shared" si="623"/>
        <v>-</v>
      </c>
    </row>
    <row r="1727" spans="1:47" s="170" customFormat="1" hidden="1" x14ac:dyDescent="0.2">
      <c r="A1727" s="470" t="s">
        <v>318</v>
      </c>
      <c r="B1727" s="1061" t="s">
        <v>96</v>
      </c>
      <c r="C1727" s="75" t="s">
        <v>4047</v>
      </c>
      <c r="D1727" s="94">
        <v>180829</v>
      </c>
      <c r="E1727" s="83" t="s">
        <v>4048</v>
      </c>
      <c r="F1727" s="83" t="s">
        <v>105</v>
      </c>
      <c r="G1727" s="60" t="s">
        <v>323</v>
      </c>
      <c r="H1727" s="60" t="s">
        <v>323</v>
      </c>
      <c r="I1727" s="60" t="s">
        <v>52</v>
      </c>
      <c r="J1727" s="59" t="s">
        <v>280</v>
      </c>
      <c r="K1727" s="60" t="s">
        <v>69</v>
      </c>
      <c r="L1727" s="60" t="s">
        <v>315</v>
      </c>
      <c r="M1727" s="613">
        <v>300</v>
      </c>
      <c r="N1727" s="786">
        <v>750</v>
      </c>
      <c r="O1727" s="60" t="s">
        <v>575</v>
      </c>
      <c r="P1727" s="273">
        <v>36</v>
      </c>
      <c r="Q1727" s="273">
        <v>24</v>
      </c>
      <c r="R1727" s="60">
        <v>24</v>
      </c>
      <c r="S1727" s="273">
        <v>36</v>
      </c>
      <c r="T1727" s="273">
        <v>37</v>
      </c>
      <c r="U1727" s="273">
        <v>25</v>
      </c>
      <c r="V1727" s="47">
        <v>36</v>
      </c>
      <c r="W1727" s="47">
        <v>24</v>
      </c>
      <c r="X1727" s="138" t="s">
        <v>283</v>
      </c>
      <c r="Y1727" s="60">
        <v>36</v>
      </c>
      <c r="Z1727" s="60">
        <v>24</v>
      </c>
      <c r="AA1727" s="717">
        <f t="shared" ref="AA1727:AA1737" si="629">V1727*W1727/144</f>
        <v>6</v>
      </c>
      <c r="AB1727" s="125">
        <f>AA1727*Swiss1</f>
        <v>169.8</v>
      </c>
      <c r="AC1727" s="69">
        <f>MDFSHEET/4</f>
        <v>6.0875000000000004</v>
      </c>
      <c r="AD1727" s="175">
        <f>Table1[[#This Row],[Substrate SF]]*SWISSC1</f>
        <v>16.799999999999997</v>
      </c>
      <c r="AE1727" s="69">
        <f>IF(Table1[[#This Row],[Work Center]]="SwissQ",Materials!G$37,IF(Table1[[#This Row],[Work Center]]="Inca",Materials!G$29,IF(Table1[[#This Row],[Work Center]]="Canon",Materials!G$49,Materials!G$45)))</f>
        <v>5</v>
      </c>
      <c r="AF1727" s="72">
        <f>'Cali Frames'!D510</f>
        <v>111.6</v>
      </c>
      <c r="AG1727" s="83"/>
      <c r="AH1727" s="112">
        <v>0</v>
      </c>
      <c r="AI1727" s="112"/>
      <c r="AJ1727" s="176">
        <f t="shared" ref="AJ1727:AJ1737" si="630">SUM(AC1727:AH1727)</f>
        <v>139.48749999999998</v>
      </c>
      <c r="AK1727" s="62">
        <f t="shared" ref="AK1727:AK1762" si="631">(M1727-AJ1727)/M1727</f>
        <v>0.53504166666666675</v>
      </c>
      <c r="AL1727" s="225">
        <f>Table1[[#This Row],[WSP/Dealer]]/Table1[[#This Row],[OD Sq Inch]]</f>
        <v>0.32432432432432434</v>
      </c>
      <c r="AM1727" s="173">
        <f>Table1[[#This Row],[OD Wdth]]*Table1[[#This Row],[OD Hgt]]</f>
        <v>925</v>
      </c>
      <c r="AN1727" s="180" t="str">
        <f>Table1[[#This Row],[Color]]</f>
        <v>WF</v>
      </c>
      <c r="AO1727" s="83" t="str">
        <f>Table1[[#This Row],[Print Type]]</f>
        <v>Synograph</v>
      </c>
      <c r="AP1727" s="540"/>
      <c r="AQ1727" s="540"/>
      <c r="AR1727" s="540"/>
      <c r="AS1727" s="540"/>
      <c r="AT1727" s="69"/>
      <c r="AU1727" s="1361" t="str">
        <f t="shared" si="623"/>
        <v>-</v>
      </c>
    </row>
    <row r="1728" spans="1:47" s="170" customFormat="1" hidden="1" x14ac:dyDescent="0.2">
      <c r="A1728" s="60" t="s">
        <v>187</v>
      </c>
      <c r="B1728" s="1061" t="s">
        <v>96</v>
      </c>
      <c r="C1728" s="75" t="s">
        <v>4049</v>
      </c>
      <c r="D1728" s="94"/>
      <c r="E1728" s="83" t="s">
        <v>4048</v>
      </c>
      <c r="F1728" s="83" t="s">
        <v>105</v>
      </c>
      <c r="G1728" s="60" t="s">
        <v>323</v>
      </c>
      <c r="H1728" s="60" t="s">
        <v>323</v>
      </c>
      <c r="I1728" s="60" t="s">
        <v>52</v>
      </c>
      <c r="J1728" s="59" t="s">
        <v>280</v>
      </c>
      <c r="K1728" s="60" t="s">
        <v>69</v>
      </c>
      <c r="L1728" s="60" t="s">
        <v>315</v>
      </c>
      <c r="M1728" s="179">
        <v>575</v>
      </c>
      <c r="N1728" s="887">
        <v>750</v>
      </c>
      <c r="O1728" s="60" t="s">
        <v>575</v>
      </c>
      <c r="P1728" s="273">
        <v>36</v>
      </c>
      <c r="Q1728" s="273">
        <v>24</v>
      </c>
      <c r="R1728" s="60">
        <v>24</v>
      </c>
      <c r="S1728" s="273">
        <v>36</v>
      </c>
      <c r="T1728" s="273">
        <v>36</v>
      </c>
      <c r="U1728" s="273">
        <v>24</v>
      </c>
      <c r="V1728" s="47">
        <v>36</v>
      </c>
      <c r="W1728" s="47">
        <v>24</v>
      </c>
      <c r="X1728" s="138" t="s">
        <v>283</v>
      </c>
      <c r="Y1728" s="60">
        <v>36</v>
      </c>
      <c r="Z1728" s="60">
        <v>24</v>
      </c>
      <c r="AA1728" s="717">
        <f t="shared" si="629"/>
        <v>6</v>
      </c>
      <c r="AB1728" s="125">
        <f>AA1728*Swiss1</f>
        <v>169.8</v>
      </c>
      <c r="AC1728" s="48">
        <f>MDFSHEET/4</f>
        <v>6.0875000000000004</v>
      </c>
      <c r="AD1728" s="175">
        <f>Table1[[#This Row],[Substrate SF]]*SWISSC1</f>
        <v>16.799999999999997</v>
      </c>
      <c r="AE1728" s="69">
        <f>IF(Table1[[#This Row],[Work Center]]="SwissQ",Materials!G$37,IF(Table1[[#This Row],[Work Center]]="Inca",Materials!G$29,IF(Table1[[#This Row],[Work Center]]="Canon",Materials!G$49,Materials!G$45)))</f>
        <v>5</v>
      </c>
      <c r="AF1728" s="72">
        <f>'Cali Frames'!D510</f>
        <v>111.6</v>
      </c>
      <c r="AG1728" s="83"/>
      <c r="AH1728" s="48">
        <v>0</v>
      </c>
      <c r="AI1728" s="48"/>
      <c r="AJ1728" s="175">
        <f t="shared" si="630"/>
        <v>139.48749999999998</v>
      </c>
      <c r="AK1728" s="62">
        <f t="shared" si="631"/>
        <v>0.75741304347826099</v>
      </c>
      <c r="AL1728" s="225">
        <f>Table1[[#This Row],[WSP/Dealer]]/Table1[[#This Row],[OD Sq Inch]]</f>
        <v>0.6655092592592593</v>
      </c>
      <c r="AM1728" s="173">
        <f>Table1[[#This Row],[OD Wdth]]*Table1[[#This Row],[OD Hgt]]</f>
        <v>864</v>
      </c>
      <c r="AN1728" s="180" t="str">
        <f>Table1[[#This Row],[Color]]</f>
        <v>WF</v>
      </c>
      <c r="AO1728" s="83" t="str">
        <f>Table1[[#This Row],[Print Type]]</f>
        <v>Synograph</v>
      </c>
      <c r="AP1728" s="540"/>
      <c r="AQ1728" s="540"/>
      <c r="AR1728" s="540"/>
      <c r="AS1728" s="540"/>
      <c r="AT1728" s="69"/>
      <c r="AU1728" s="1361" t="str">
        <f t="shared" si="623"/>
        <v>-</v>
      </c>
    </row>
    <row r="1729" spans="1:47" s="170" customFormat="1" hidden="1" x14ac:dyDescent="0.2">
      <c r="A1729" s="68" t="s">
        <v>187</v>
      </c>
      <c r="B1729" s="1072" t="s">
        <v>801</v>
      </c>
      <c r="C1729" s="257" t="s">
        <v>4050</v>
      </c>
      <c r="D1729" s="94"/>
      <c r="E1729" s="84" t="s">
        <v>4048</v>
      </c>
      <c r="F1729" s="84" t="s">
        <v>105</v>
      </c>
      <c r="G1729" s="68" t="s">
        <v>323</v>
      </c>
      <c r="H1729" s="68" t="s">
        <v>323</v>
      </c>
      <c r="I1729" s="68" t="s">
        <v>52</v>
      </c>
      <c r="J1729" s="140" t="s">
        <v>53</v>
      </c>
      <c r="K1729" s="68" t="s">
        <v>54</v>
      </c>
      <c r="L1729" s="68" t="s">
        <v>55</v>
      </c>
      <c r="M1729" s="93">
        <v>400</v>
      </c>
      <c r="N1729" s="93"/>
      <c r="O1729" s="68" t="s">
        <v>575</v>
      </c>
      <c r="P1729" s="623">
        <v>36</v>
      </c>
      <c r="Q1729" s="623">
        <v>24</v>
      </c>
      <c r="R1729" s="68">
        <v>24</v>
      </c>
      <c r="S1729" s="623">
        <v>36</v>
      </c>
      <c r="T1729" s="623">
        <v>36</v>
      </c>
      <c r="U1729" s="623">
        <v>24</v>
      </c>
      <c r="V1729" s="917">
        <f t="shared" ref="V1729:V1737" si="632">IF(J1729="Canvas",P1729+BorderGW,P1729)</f>
        <v>44</v>
      </c>
      <c r="W1729" s="917">
        <f t="shared" ref="W1729:W1737" si="633">IF(J1729="Canvas",Q1729+BorderGW,Q1729)</f>
        <v>32</v>
      </c>
      <c r="X1729" s="68">
        <v>40</v>
      </c>
      <c r="Y1729" s="68">
        <v>44</v>
      </c>
      <c r="Z1729" s="68">
        <v>32</v>
      </c>
      <c r="AA1729" s="699">
        <f t="shared" si="629"/>
        <v>9.7777777777777786</v>
      </c>
      <c r="AB1729" s="341">
        <f t="shared" ref="AB1729:AB1737" si="634">AA1729*SWISSMLR*3</f>
        <v>58.666666666666671</v>
      </c>
      <c r="AC1729" s="278">
        <f t="shared" ref="AC1729:AC1737" si="635">AA1729*Canvas</f>
        <v>6.453333333333334</v>
      </c>
      <c r="AD1729" s="263">
        <f>Table1[[#This Row],[Substrate SF]]*SWISSC1</f>
        <v>27.37777777777778</v>
      </c>
      <c r="AE1729" s="74">
        <f>IF(Table1[[#This Row],[Work Center]]="SwissQ",Materials!G$37,IF(Table1[[#This Row],[Work Center]]="Inca",Materials!G$29,IF(Table1[[#This Row],[Work Center]]="Canon",Materials!G$49,Materials!G$45)))</f>
        <v>5</v>
      </c>
      <c r="AF1729" s="73">
        <f>'Cali FPS'!C37</f>
        <v>75.162500000000009</v>
      </c>
      <c r="AG1729" s="84"/>
      <c r="AH1729" s="67">
        <v>0</v>
      </c>
      <c r="AI1729" s="67"/>
      <c r="AJ1729" s="278">
        <f t="shared" si="630"/>
        <v>113.99361111111112</v>
      </c>
      <c r="AK1729" s="661">
        <f t="shared" si="631"/>
        <v>0.71501597222222213</v>
      </c>
      <c r="AL1729" s="240">
        <f>Table1[[#This Row],[WSP/Dealer]]/Table1[[#This Row],[OD Sq Inch]]</f>
        <v>0.46296296296296297</v>
      </c>
      <c r="AM1729" s="274">
        <f>Table1[[#This Row],[OD Wdth]]*Table1[[#This Row],[OD Hgt]]</f>
        <v>864</v>
      </c>
      <c r="AN1729" s="274" t="str">
        <f>Table1[[#This Row],[Color]]</f>
        <v>GW</v>
      </c>
      <c r="AO1729" s="84"/>
      <c r="AP1729" s="126"/>
      <c r="AQ1729" s="126"/>
      <c r="AR1729" s="126"/>
      <c r="AS1729" s="126"/>
      <c r="AT1729" s="74"/>
      <c r="AU1729" s="1357" t="str">
        <f t="shared" si="623"/>
        <v>-</v>
      </c>
    </row>
    <row r="1730" spans="1:47" s="170" customFormat="1" hidden="1" x14ac:dyDescent="0.2">
      <c r="A1730" s="68" t="s">
        <v>187</v>
      </c>
      <c r="B1730" s="1072" t="s">
        <v>801</v>
      </c>
      <c r="C1730" s="257" t="s">
        <v>4051</v>
      </c>
      <c r="D1730" s="94"/>
      <c r="E1730" s="84" t="s">
        <v>4048</v>
      </c>
      <c r="F1730" s="84" t="s">
        <v>105</v>
      </c>
      <c r="G1730" s="68" t="s">
        <v>323</v>
      </c>
      <c r="H1730" s="68" t="s">
        <v>323</v>
      </c>
      <c r="I1730" s="68" t="s">
        <v>52</v>
      </c>
      <c r="J1730" s="140" t="s">
        <v>53</v>
      </c>
      <c r="K1730" s="68" t="s">
        <v>119</v>
      </c>
      <c r="L1730" s="68" t="s">
        <v>120</v>
      </c>
      <c r="M1730" s="93">
        <v>450</v>
      </c>
      <c r="N1730" s="93"/>
      <c r="O1730" s="68" t="s">
        <v>575</v>
      </c>
      <c r="P1730" s="623">
        <v>36</v>
      </c>
      <c r="Q1730" s="623">
        <v>24</v>
      </c>
      <c r="R1730" s="68">
        <v>24</v>
      </c>
      <c r="S1730" s="623">
        <v>36</v>
      </c>
      <c r="T1730" s="623">
        <v>36</v>
      </c>
      <c r="U1730" s="623">
        <v>24</v>
      </c>
      <c r="V1730" s="917">
        <f t="shared" si="632"/>
        <v>44</v>
      </c>
      <c r="W1730" s="917">
        <f t="shared" si="633"/>
        <v>32</v>
      </c>
      <c r="X1730" s="68">
        <v>40</v>
      </c>
      <c r="Y1730" s="68">
        <v>44</v>
      </c>
      <c r="Z1730" s="68">
        <v>32</v>
      </c>
      <c r="AA1730" s="699">
        <f t="shared" si="629"/>
        <v>9.7777777777777786</v>
      </c>
      <c r="AB1730" s="341">
        <f t="shared" si="634"/>
        <v>58.666666666666671</v>
      </c>
      <c r="AC1730" s="263">
        <f t="shared" si="635"/>
        <v>6.453333333333334</v>
      </c>
      <c r="AD1730" s="263">
        <f>Table1[[#This Row],[Substrate SF]]*SWISSC1</f>
        <v>27.37777777777778</v>
      </c>
      <c r="AE1730" s="74">
        <f>IF(Table1[[#This Row],[Work Center]]="SwissQ",Materials!G$37,IF(Table1[[#This Row],[Work Center]]="Inca",Materials!G$29,IF(Table1[[#This Row],[Work Center]]="Canon",Materials!G$49,Materials!G$45)))</f>
        <v>5</v>
      </c>
      <c r="AF1730" s="73">
        <f>'Cali FPS'!C189</f>
        <v>95</v>
      </c>
      <c r="AG1730" s="84"/>
      <c r="AH1730" s="74">
        <v>0</v>
      </c>
      <c r="AI1730" s="74"/>
      <c r="AJ1730" s="263">
        <f t="shared" si="630"/>
        <v>133.83111111111111</v>
      </c>
      <c r="AK1730" s="1001">
        <f t="shared" si="631"/>
        <v>0.70259753086419752</v>
      </c>
      <c r="AL1730" s="240">
        <f>Table1[[#This Row],[WSP/Dealer]]/Table1[[#This Row],[OD Sq Inch]]</f>
        <v>0.52083333333333337</v>
      </c>
      <c r="AM1730" s="170">
        <f>Table1[[#This Row],[OD Wdth]]*Table1[[#This Row],[OD Hgt]]</f>
        <v>864</v>
      </c>
      <c r="AN1730" s="274" t="str">
        <f>Table1[[#This Row],[Color]]</f>
        <v>GT</v>
      </c>
      <c r="AO1730" s="84"/>
      <c r="AP1730" s="126"/>
      <c r="AQ1730" s="126"/>
      <c r="AR1730" s="126"/>
      <c r="AS1730" s="126"/>
      <c r="AT1730" s="74"/>
      <c r="AU1730" s="1357" t="str">
        <f t="shared" si="623"/>
        <v>-</v>
      </c>
    </row>
    <row r="1731" spans="1:47" s="170" customFormat="1" hidden="1" x14ac:dyDescent="0.2">
      <c r="A1731" s="68" t="s">
        <v>187</v>
      </c>
      <c r="B1731" s="1072" t="s">
        <v>801</v>
      </c>
      <c r="C1731" s="257" t="s">
        <v>4052</v>
      </c>
      <c r="D1731" s="94"/>
      <c r="E1731" s="84" t="s">
        <v>4048</v>
      </c>
      <c r="F1731" s="84" t="s">
        <v>105</v>
      </c>
      <c r="G1731" s="68" t="s">
        <v>323</v>
      </c>
      <c r="H1731" s="68" t="s">
        <v>325</v>
      </c>
      <c r="I1731" s="68" t="s">
        <v>52</v>
      </c>
      <c r="J1731" s="140" t="s">
        <v>53</v>
      </c>
      <c r="K1731" s="68" t="s">
        <v>69</v>
      </c>
      <c r="L1731" s="68" t="s">
        <v>73</v>
      </c>
      <c r="M1731" s="93">
        <v>500</v>
      </c>
      <c r="N1731" s="93"/>
      <c r="O1731" s="68" t="s">
        <v>575</v>
      </c>
      <c r="P1731" s="623">
        <v>36</v>
      </c>
      <c r="Q1731" s="623">
        <v>24</v>
      </c>
      <c r="R1731" s="68">
        <v>24</v>
      </c>
      <c r="S1731" s="623">
        <v>36</v>
      </c>
      <c r="T1731" s="623">
        <v>37</v>
      </c>
      <c r="U1731" s="623">
        <v>25</v>
      </c>
      <c r="V1731" s="917">
        <f t="shared" si="632"/>
        <v>44</v>
      </c>
      <c r="W1731" s="917">
        <f t="shared" si="633"/>
        <v>32</v>
      </c>
      <c r="X1731" s="68">
        <v>40</v>
      </c>
      <c r="Y1731" s="68">
        <v>44</v>
      </c>
      <c r="Z1731" s="68">
        <v>32</v>
      </c>
      <c r="AA1731" s="699">
        <f t="shared" si="629"/>
        <v>9.7777777777777786</v>
      </c>
      <c r="AB1731" s="341">
        <f t="shared" si="634"/>
        <v>58.666666666666671</v>
      </c>
      <c r="AC1731" s="263">
        <f t="shared" si="635"/>
        <v>6.453333333333334</v>
      </c>
      <c r="AD1731" s="263">
        <f>Table1[[#This Row],[Substrate SF]]*SWISSC1</f>
        <v>27.37777777777778</v>
      </c>
      <c r="AE1731" s="74">
        <f>IF(Table1[[#This Row],[Work Center]]="SwissQ",Materials!G$37,IF(Table1[[#This Row],[Work Center]]="Inca",Materials!G$29,IF(Table1[[#This Row],[Work Center]]="Canon",Materials!G$49,Materials!G$45)))</f>
        <v>5</v>
      </c>
      <c r="AF1731" s="73">
        <f>'Cali Frames'!D424</f>
        <v>105.77</v>
      </c>
      <c r="AG1731" s="84"/>
      <c r="AH1731" s="74">
        <v>0</v>
      </c>
      <c r="AI1731" s="74"/>
      <c r="AJ1731" s="263">
        <f t="shared" si="630"/>
        <v>144.60111111111109</v>
      </c>
      <c r="AK1731" s="1001">
        <f t="shared" si="631"/>
        <v>0.71079777777777786</v>
      </c>
      <c r="AL1731" s="240">
        <f>Table1[[#This Row],[WSP/Dealer]]/Table1[[#This Row],[OD Sq Inch]]</f>
        <v>0.54054054054054057</v>
      </c>
      <c r="AM1731" s="170">
        <f>Table1[[#This Row],[OD Wdth]]*Table1[[#This Row],[OD Hgt]]</f>
        <v>925</v>
      </c>
      <c r="AN1731" s="274" t="str">
        <f>Table1[[#This Row],[Color]]</f>
        <v>NF</v>
      </c>
      <c r="AO1731" s="84"/>
      <c r="AP1731" s="126"/>
      <c r="AQ1731" s="126"/>
      <c r="AR1731" s="126"/>
      <c r="AS1731" s="126"/>
      <c r="AT1731" s="74"/>
      <c r="AU1731" s="1357" t="str">
        <f t="shared" si="623"/>
        <v>-</v>
      </c>
    </row>
    <row r="1732" spans="1:47" s="170" customFormat="1" hidden="1" x14ac:dyDescent="0.2">
      <c r="A1732" s="68" t="s">
        <v>187</v>
      </c>
      <c r="B1732" s="1072" t="s">
        <v>801</v>
      </c>
      <c r="C1732" s="257" t="s">
        <v>4053</v>
      </c>
      <c r="D1732" s="94"/>
      <c r="E1732" s="84" t="s">
        <v>4048</v>
      </c>
      <c r="F1732" s="84" t="s">
        <v>105</v>
      </c>
      <c r="G1732" s="68" t="s">
        <v>323</v>
      </c>
      <c r="H1732" s="68" t="s">
        <v>325</v>
      </c>
      <c r="I1732" s="68" t="s">
        <v>52</v>
      </c>
      <c r="J1732" s="140" t="s">
        <v>53</v>
      </c>
      <c r="K1732" s="68" t="s">
        <v>69</v>
      </c>
      <c r="L1732" s="68" t="s">
        <v>315</v>
      </c>
      <c r="M1732" s="93">
        <v>575</v>
      </c>
      <c r="N1732" s="93"/>
      <c r="O1732" s="68" t="s">
        <v>575</v>
      </c>
      <c r="P1732" s="623">
        <v>36</v>
      </c>
      <c r="Q1732" s="623">
        <v>24</v>
      </c>
      <c r="R1732" s="68">
        <v>24</v>
      </c>
      <c r="S1732" s="623">
        <v>36</v>
      </c>
      <c r="T1732" s="623">
        <v>37</v>
      </c>
      <c r="U1732" s="623">
        <v>25</v>
      </c>
      <c r="V1732" s="917">
        <f t="shared" si="632"/>
        <v>44</v>
      </c>
      <c r="W1732" s="917">
        <f t="shared" si="633"/>
        <v>32</v>
      </c>
      <c r="X1732" s="68">
        <v>40</v>
      </c>
      <c r="Y1732" s="68">
        <v>44</v>
      </c>
      <c r="Z1732" s="68">
        <v>32</v>
      </c>
      <c r="AA1732" s="699">
        <f t="shared" si="629"/>
        <v>9.7777777777777786</v>
      </c>
      <c r="AB1732" s="341">
        <f t="shared" si="634"/>
        <v>58.666666666666671</v>
      </c>
      <c r="AC1732" s="278">
        <f t="shared" si="635"/>
        <v>6.453333333333334</v>
      </c>
      <c r="AD1732" s="263">
        <f>Table1[[#This Row],[Substrate SF]]*SWISSC1</f>
        <v>27.37777777777778</v>
      </c>
      <c r="AE1732" s="74">
        <f>IF(Table1[[#This Row],[Work Center]]="SwissQ",Materials!G$37,IF(Table1[[#This Row],[Work Center]]="Inca",Materials!G$29,IF(Table1[[#This Row],[Work Center]]="Canon",Materials!G$49,Materials!G$45)))</f>
        <v>5</v>
      </c>
      <c r="AF1732" s="73">
        <f>'Cali Frames'!D510</f>
        <v>111.6</v>
      </c>
      <c r="AG1732" s="84"/>
      <c r="AH1732" s="67">
        <v>0</v>
      </c>
      <c r="AI1732" s="67"/>
      <c r="AJ1732" s="278">
        <f t="shared" si="630"/>
        <v>150.43111111111111</v>
      </c>
      <c r="AK1732" s="661">
        <f t="shared" si="631"/>
        <v>0.73838067632850235</v>
      </c>
      <c r="AL1732" s="240">
        <f>Table1[[#This Row],[WSP/Dealer]]/Table1[[#This Row],[OD Sq Inch]]</f>
        <v>0.6216216216216216</v>
      </c>
      <c r="AM1732" s="274">
        <f>Table1[[#This Row],[OD Wdth]]*Table1[[#This Row],[OD Hgt]]</f>
        <v>925</v>
      </c>
      <c r="AN1732" s="274" t="str">
        <f>Table1[[#This Row],[Color]]</f>
        <v>WF</v>
      </c>
      <c r="AO1732" s="84"/>
      <c r="AP1732" s="126"/>
      <c r="AQ1732" s="126"/>
      <c r="AR1732" s="126"/>
      <c r="AS1732" s="126"/>
      <c r="AT1732" s="74"/>
      <c r="AU1732" s="1357" t="str">
        <f t="shared" si="623"/>
        <v>-</v>
      </c>
    </row>
    <row r="1733" spans="1:47" s="170" customFormat="1" hidden="1" x14ac:dyDescent="0.2">
      <c r="A1733" s="68" t="s">
        <v>187</v>
      </c>
      <c r="B1733" s="1072" t="s">
        <v>801</v>
      </c>
      <c r="C1733" s="257" t="s">
        <v>4054</v>
      </c>
      <c r="D1733" s="94"/>
      <c r="E1733" s="84" t="s">
        <v>4048</v>
      </c>
      <c r="F1733" s="84" t="s">
        <v>105</v>
      </c>
      <c r="G1733" s="68" t="s">
        <v>323</v>
      </c>
      <c r="H1733" s="68" t="s">
        <v>325</v>
      </c>
      <c r="I1733" s="68" t="s">
        <v>52</v>
      </c>
      <c r="J1733" s="140" t="s">
        <v>53</v>
      </c>
      <c r="K1733" s="68" t="s">
        <v>69</v>
      </c>
      <c r="L1733" s="68" t="s">
        <v>70</v>
      </c>
      <c r="M1733" s="93">
        <v>500</v>
      </c>
      <c r="N1733" s="93"/>
      <c r="O1733" s="68" t="s">
        <v>575</v>
      </c>
      <c r="P1733" s="623">
        <v>36</v>
      </c>
      <c r="Q1733" s="623">
        <v>24</v>
      </c>
      <c r="R1733" s="68">
        <v>24</v>
      </c>
      <c r="S1733" s="623">
        <v>36</v>
      </c>
      <c r="T1733" s="623">
        <v>37</v>
      </c>
      <c r="U1733" s="623">
        <v>25</v>
      </c>
      <c r="V1733" s="917">
        <f t="shared" si="632"/>
        <v>44</v>
      </c>
      <c r="W1733" s="917">
        <f t="shared" si="633"/>
        <v>32</v>
      </c>
      <c r="X1733" s="68">
        <v>40</v>
      </c>
      <c r="Y1733" s="68">
        <v>44</v>
      </c>
      <c r="Z1733" s="68">
        <v>32</v>
      </c>
      <c r="AA1733" s="699">
        <f t="shared" si="629"/>
        <v>9.7777777777777786</v>
      </c>
      <c r="AB1733" s="341">
        <f t="shared" si="634"/>
        <v>58.666666666666671</v>
      </c>
      <c r="AC1733" s="278">
        <f t="shared" si="635"/>
        <v>6.453333333333334</v>
      </c>
      <c r="AD1733" s="278">
        <f>Table1[[#This Row],[Substrate SF]]*SWISSC1</f>
        <v>27.37777777777778</v>
      </c>
      <c r="AE1733" s="74">
        <f>IF(Table1[[#This Row],[Work Center]]="SwissQ",Materials!G$37,IF(Table1[[#This Row],[Work Center]]="Inca",Materials!G$29,IF(Table1[[#This Row],[Work Center]]="Canon",Materials!G$49,Materials!G$45)))</f>
        <v>5</v>
      </c>
      <c r="AF1733" s="73">
        <f>'Cali Frames'!D282</f>
        <v>112.66500000000001</v>
      </c>
      <c r="AG1733" s="84"/>
      <c r="AH1733" s="74">
        <v>0</v>
      </c>
      <c r="AI1733" s="74"/>
      <c r="AJ1733" s="278">
        <f t="shared" si="630"/>
        <v>151.49611111111113</v>
      </c>
      <c r="AK1733" s="1001">
        <f t="shared" si="631"/>
        <v>0.69700777777777778</v>
      </c>
      <c r="AL1733" s="240">
        <f>Table1[[#This Row],[WSP/Dealer]]/Table1[[#This Row],[OD Sq Inch]]</f>
        <v>0.54054054054054057</v>
      </c>
      <c r="AM1733" s="170">
        <f>Table1[[#This Row],[OD Wdth]]*Table1[[#This Row],[OD Hgt]]</f>
        <v>925</v>
      </c>
      <c r="AN1733" s="274" t="str">
        <f>Table1[[#This Row],[Color]]</f>
        <v>BF</v>
      </c>
      <c r="AO1733" s="84"/>
      <c r="AP1733" s="126"/>
      <c r="AQ1733" s="126"/>
      <c r="AR1733" s="126"/>
      <c r="AS1733" s="126"/>
      <c r="AT1733" s="74"/>
      <c r="AU1733" s="1357" t="str">
        <f t="shared" si="623"/>
        <v>-</v>
      </c>
    </row>
    <row r="1734" spans="1:47" s="170" customFormat="1" hidden="1" x14ac:dyDescent="0.2">
      <c r="A1734" s="68" t="s">
        <v>187</v>
      </c>
      <c r="B1734" s="1152" t="s">
        <v>801</v>
      </c>
      <c r="C1734" s="257" t="s">
        <v>4055</v>
      </c>
      <c r="D1734" s="94"/>
      <c r="E1734" s="84" t="s">
        <v>4048</v>
      </c>
      <c r="F1734" s="84" t="s">
        <v>105</v>
      </c>
      <c r="G1734" s="68" t="s">
        <v>323</v>
      </c>
      <c r="H1734" s="68" t="s">
        <v>4056</v>
      </c>
      <c r="I1734" s="68" t="s">
        <v>52</v>
      </c>
      <c r="J1734" s="140" t="s">
        <v>53</v>
      </c>
      <c r="K1734" s="68" t="s">
        <v>82</v>
      </c>
      <c r="L1734" s="68" t="s">
        <v>334</v>
      </c>
      <c r="M1734" s="93">
        <v>500</v>
      </c>
      <c r="N1734" s="93"/>
      <c r="O1734" s="68" t="s">
        <v>575</v>
      </c>
      <c r="P1734" s="623">
        <v>36</v>
      </c>
      <c r="Q1734" s="623">
        <v>24</v>
      </c>
      <c r="R1734" s="68">
        <v>24</v>
      </c>
      <c r="S1734" s="623">
        <v>36</v>
      </c>
      <c r="T1734" s="623">
        <v>38</v>
      </c>
      <c r="U1734" s="623">
        <v>26</v>
      </c>
      <c r="V1734" s="917">
        <f t="shared" si="632"/>
        <v>44</v>
      </c>
      <c r="W1734" s="917">
        <f t="shared" si="633"/>
        <v>32</v>
      </c>
      <c r="X1734" s="68">
        <v>40</v>
      </c>
      <c r="Y1734" s="68">
        <v>44</v>
      </c>
      <c r="Z1734" s="68">
        <v>32</v>
      </c>
      <c r="AA1734" s="699">
        <f t="shared" si="629"/>
        <v>9.7777777777777786</v>
      </c>
      <c r="AB1734" s="341">
        <f t="shared" si="634"/>
        <v>58.666666666666671</v>
      </c>
      <c r="AC1734" s="278">
        <f t="shared" si="635"/>
        <v>6.453333333333334</v>
      </c>
      <c r="AD1734" s="278">
        <f>Table1[[#This Row],[Substrate SF]]*SWISSC1</f>
        <v>27.37777777777778</v>
      </c>
      <c r="AE1734" s="74">
        <f>IF(Table1[[#This Row],[Work Center]]="SwissQ",Materials!G$37,IF(Table1[[#This Row],[Work Center]]="Inca",Materials!G$29,IF(Table1[[#This Row],[Work Center]]="Canon",Materials!G$49,Materials!G$45)))</f>
        <v>5</v>
      </c>
      <c r="AF1734" s="73">
        <f>'Cali Frames'!D210</f>
        <v>110</v>
      </c>
      <c r="AG1734" s="84"/>
      <c r="AH1734" s="67">
        <v>0</v>
      </c>
      <c r="AI1734" s="67"/>
      <c r="AJ1734" s="278">
        <f t="shared" si="630"/>
        <v>148.83111111111111</v>
      </c>
      <c r="AK1734" s="661">
        <f t="shared" si="631"/>
        <v>0.70233777777777773</v>
      </c>
      <c r="AL1734" s="240">
        <f>Table1[[#This Row],[WSP/Dealer]]/Table1[[#This Row],[OD Sq Inch]]</f>
        <v>0.50607287449392713</v>
      </c>
      <c r="AM1734" s="274">
        <f>Table1[[#This Row],[OD Wdth]]*Table1[[#This Row],[OD Hgt]]</f>
        <v>988</v>
      </c>
      <c r="AN1734" s="274" t="str">
        <f>Table1[[#This Row],[Color]]</f>
        <v>NC</v>
      </c>
      <c r="AO1734" s="84"/>
      <c r="AP1734" s="126"/>
      <c r="AQ1734" s="126"/>
      <c r="AR1734" s="126"/>
      <c r="AS1734" s="126"/>
      <c r="AT1734" s="74"/>
      <c r="AU1734" s="1357" t="str">
        <f t="shared" si="623"/>
        <v>-</v>
      </c>
    </row>
    <row r="1735" spans="1:47" s="170" customFormat="1" hidden="1" x14ac:dyDescent="0.2">
      <c r="A1735" s="68" t="s">
        <v>187</v>
      </c>
      <c r="B1735" s="1072" t="s">
        <v>801</v>
      </c>
      <c r="C1735" s="257" t="s">
        <v>4057</v>
      </c>
      <c r="D1735" s="94"/>
      <c r="E1735" s="84" t="s">
        <v>4048</v>
      </c>
      <c r="F1735" s="84" t="s">
        <v>105</v>
      </c>
      <c r="G1735" s="68" t="s">
        <v>323</v>
      </c>
      <c r="H1735" s="68" t="s">
        <v>4056</v>
      </c>
      <c r="I1735" s="68" t="s">
        <v>52</v>
      </c>
      <c r="J1735" s="140" t="s">
        <v>53</v>
      </c>
      <c r="K1735" s="68" t="s">
        <v>82</v>
      </c>
      <c r="L1735" s="68" t="s">
        <v>83</v>
      </c>
      <c r="M1735" s="93">
        <v>500</v>
      </c>
      <c r="N1735" s="93"/>
      <c r="O1735" s="68" t="s">
        <v>575</v>
      </c>
      <c r="P1735" s="623">
        <v>36</v>
      </c>
      <c r="Q1735" s="623">
        <v>24</v>
      </c>
      <c r="R1735" s="68">
        <v>24</v>
      </c>
      <c r="S1735" s="623">
        <v>36</v>
      </c>
      <c r="T1735" s="623">
        <v>38</v>
      </c>
      <c r="U1735" s="623">
        <v>26</v>
      </c>
      <c r="V1735" s="66">
        <f t="shared" si="632"/>
        <v>44</v>
      </c>
      <c r="W1735" s="66">
        <f t="shared" si="633"/>
        <v>32</v>
      </c>
      <c r="X1735" s="68">
        <v>40</v>
      </c>
      <c r="Y1735" s="68">
        <v>44</v>
      </c>
      <c r="Z1735" s="68">
        <v>32</v>
      </c>
      <c r="AA1735" s="699">
        <f t="shared" si="629"/>
        <v>9.7777777777777786</v>
      </c>
      <c r="AB1735" s="341">
        <f t="shared" si="634"/>
        <v>58.666666666666671</v>
      </c>
      <c r="AC1735" s="278">
        <f t="shared" si="635"/>
        <v>6.453333333333334</v>
      </c>
      <c r="AD1735" s="263">
        <f>Table1[[#This Row],[Substrate SF]]*SWISSC1</f>
        <v>27.37777777777778</v>
      </c>
      <c r="AE1735" s="74">
        <f>IF(Table1[[#This Row],[Work Center]]="SwissQ",Materials!G$37,IF(Table1[[#This Row],[Work Center]]="Inca",Materials!G$29,IF(Table1[[#This Row],[Work Center]]="Canon",Materials!G$49,Materials!G$45)))</f>
        <v>5</v>
      </c>
      <c r="AF1735" s="73">
        <f>'Cali Frames'!D123</f>
        <v>109.42750000000001</v>
      </c>
      <c r="AG1735" s="84"/>
      <c r="AH1735" s="67">
        <v>0</v>
      </c>
      <c r="AI1735" s="67"/>
      <c r="AJ1735" s="278">
        <f t="shared" si="630"/>
        <v>148.25861111111112</v>
      </c>
      <c r="AK1735" s="661">
        <f t="shared" si="631"/>
        <v>0.70348277777777779</v>
      </c>
      <c r="AL1735" s="240">
        <f>Table1[[#This Row],[WSP/Dealer]]/Table1[[#This Row],[OD Sq Inch]]</f>
        <v>0.50607287449392713</v>
      </c>
      <c r="AM1735" s="170">
        <f>Table1[[#This Row],[OD Wdth]]*Table1[[#This Row],[OD Hgt]]</f>
        <v>988</v>
      </c>
      <c r="AN1735" s="274" t="str">
        <f>Table1[[#This Row],[Color]]</f>
        <v>BC</v>
      </c>
      <c r="AO1735" s="84"/>
      <c r="AP1735" s="126"/>
      <c r="AQ1735" s="126"/>
      <c r="AR1735" s="126"/>
      <c r="AS1735" s="126"/>
      <c r="AT1735" s="74"/>
      <c r="AU1735" s="1357" t="str">
        <f t="shared" si="623"/>
        <v>-</v>
      </c>
    </row>
    <row r="1736" spans="1:47" s="170" customFormat="1" hidden="1" x14ac:dyDescent="0.2">
      <c r="A1736" s="68" t="s">
        <v>187</v>
      </c>
      <c r="B1736" s="1072" t="s">
        <v>801</v>
      </c>
      <c r="C1736" s="257" t="s">
        <v>4058</v>
      </c>
      <c r="D1736" s="94"/>
      <c r="E1736" s="84" t="s">
        <v>4048</v>
      </c>
      <c r="F1736" s="84" t="s">
        <v>105</v>
      </c>
      <c r="G1736" s="68" t="s">
        <v>323</v>
      </c>
      <c r="H1736" s="68" t="s">
        <v>4059</v>
      </c>
      <c r="I1736" s="68" t="s">
        <v>52</v>
      </c>
      <c r="J1736" s="140" t="s">
        <v>53</v>
      </c>
      <c r="K1736" s="68" t="s">
        <v>814</v>
      </c>
      <c r="L1736" s="68" t="s">
        <v>815</v>
      </c>
      <c r="M1736" s="93">
        <v>600</v>
      </c>
      <c r="N1736" s="93"/>
      <c r="O1736" s="68" t="s">
        <v>575</v>
      </c>
      <c r="P1736" s="623">
        <v>36</v>
      </c>
      <c r="Q1736" s="623">
        <v>24</v>
      </c>
      <c r="R1736" s="68">
        <v>24</v>
      </c>
      <c r="S1736" s="623">
        <v>36</v>
      </c>
      <c r="T1736" s="623">
        <v>39</v>
      </c>
      <c r="U1736" s="623">
        <v>27</v>
      </c>
      <c r="V1736" s="66">
        <f t="shared" si="632"/>
        <v>44</v>
      </c>
      <c r="W1736" s="66">
        <f t="shared" si="633"/>
        <v>32</v>
      </c>
      <c r="X1736" s="68">
        <v>40</v>
      </c>
      <c r="Y1736" s="68">
        <v>44</v>
      </c>
      <c r="Z1736" s="68">
        <v>32</v>
      </c>
      <c r="AA1736" s="699">
        <f t="shared" si="629"/>
        <v>9.7777777777777786</v>
      </c>
      <c r="AB1736" s="341">
        <f t="shared" si="634"/>
        <v>58.666666666666671</v>
      </c>
      <c r="AC1736" s="278">
        <f t="shared" si="635"/>
        <v>6.453333333333334</v>
      </c>
      <c r="AD1736" s="263">
        <f>Table1[[#This Row],[Substrate SF]]*SWISSC1</f>
        <v>27.37777777777778</v>
      </c>
      <c r="AE1736" s="74">
        <f>IF(Table1[[#This Row],[Work Center]]="SwissQ",Materials!G$37,IF(Table1[[#This Row],[Work Center]]="Inca",Materials!G$29,IF(Table1[[#This Row],[Work Center]]="Canon",Materials!G$49,Materials!G$45)))</f>
        <v>5</v>
      </c>
      <c r="AF1736" s="73">
        <f>'Cali Frames'!D200</f>
        <v>150</v>
      </c>
      <c r="AG1736" s="84"/>
      <c r="AH1736" s="67">
        <v>0</v>
      </c>
      <c r="AI1736" s="67"/>
      <c r="AJ1736" s="278">
        <f t="shared" si="630"/>
        <v>188.83111111111111</v>
      </c>
      <c r="AK1736" s="661">
        <f t="shared" si="631"/>
        <v>0.68528148148148149</v>
      </c>
      <c r="AL1736" s="240">
        <f>Table1[[#This Row],[WSP/Dealer]]/Table1[[#This Row],[OD Sq Inch]]</f>
        <v>0.56980056980056981</v>
      </c>
      <c r="AM1736" s="170">
        <f>Table1[[#This Row],[OD Wdth]]*Table1[[#This Row],[OD Hgt]]</f>
        <v>1053</v>
      </c>
      <c r="AN1736" s="274" t="str">
        <f>Table1[[#This Row],[Color]]</f>
        <v>CB</v>
      </c>
      <c r="AO1736" s="84"/>
      <c r="AP1736" s="126"/>
      <c r="AQ1736" s="126"/>
      <c r="AR1736" s="126"/>
      <c r="AS1736" s="126"/>
      <c r="AT1736" s="74"/>
      <c r="AU1736" s="1357" t="str">
        <f t="shared" si="623"/>
        <v>-</v>
      </c>
    </row>
    <row r="1737" spans="1:47" s="46" customFormat="1" hidden="1" x14ac:dyDescent="0.2">
      <c r="A1737" s="68" t="s">
        <v>187</v>
      </c>
      <c r="B1737" s="1072" t="s">
        <v>111</v>
      </c>
      <c r="C1737" s="257" t="s">
        <v>4060</v>
      </c>
      <c r="D1737" s="94"/>
      <c r="E1737" s="84" t="s">
        <v>4061</v>
      </c>
      <c r="F1737" s="84" t="s">
        <v>105</v>
      </c>
      <c r="G1737" s="68" t="s">
        <v>449</v>
      </c>
      <c r="H1737" s="68" t="s">
        <v>449</v>
      </c>
      <c r="I1737" s="68" t="s">
        <v>52</v>
      </c>
      <c r="J1737" s="140" t="s">
        <v>53</v>
      </c>
      <c r="K1737" s="68" t="s">
        <v>54</v>
      </c>
      <c r="L1737" s="68" t="s">
        <v>55</v>
      </c>
      <c r="M1737" s="141">
        <v>450</v>
      </c>
      <c r="N1737" s="93"/>
      <c r="O1737" s="68" t="s">
        <v>575</v>
      </c>
      <c r="P1737" s="623">
        <v>36</v>
      </c>
      <c r="Q1737" s="623">
        <v>36</v>
      </c>
      <c r="R1737" s="68">
        <v>36</v>
      </c>
      <c r="S1737" s="623">
        <v>36</v>
      </c>
      <c r="T1737" s="623">
        <v>36</v>
      </c>
      <c r="U1737" s="623">
        <v>36</v>
      </c>
      <c r="V1737" s="66">
        <f t="shared" si="632"/>
        <v>44</v>
      </c>
      <c r="W1737" s="66">
        <f t="shared" si="633"/>
        <v>44</v>
      </c>
      <c r="X1737" s="68">
        <v>53</v>
      </c>
      <c r="Y1737" s="68">
        <v>44</v>
      </c>
      <c r="Z1737" s="68">
        <v>44</v>
      </c>
      <c r="AA1737" s="699">
        <f t="shared" si="629"/>
        <v>13.444444444444445</v>
      </c>
      <c r="AB1737" s="341">
        <f t="shared" si="634"/>
        <v>80.666666666666671</v>
      </c>
      <c r="AC1737" s="278">
        <f t="shared" si="635"/>
        <v>8.8733333333333331</v>
      </c>
      <c r="AD1737" s="263">
        <f>Table1[[#This Row],[Substrate SF]]*SWISSC1</f>
        <v>37.644444444444446</v>
      </c>
      <c r="AE1737" s="74">
        <f>IF(Table1[[#This Row],[Work Center]]="SwissQ",Materials!G$37,IF(Table1[[#This Row],[Work Center]]="Inca",Materials!G$29,IF(Table1[[#This Row],[Work Center]]="Canon",Materials!G$49,Materials!G$45)))</f>
        <v>5</v>
      </c>
      <c r="AF1737" s="73">
        <f>'Cali FPS'!C67</f>
        <v>83.46</v>
      </c>
      <c r="AG1737" s="84"/>
      <c r="AH1737" s="67">
        <v>0</v>
      </c>
      <c r="AI1737" s="67"/>
      <c r="AJ1737" s="278">
        <f t="shared" si="630"/>
        <v>134.97777777777776</v>
      </c>
      <c r="AK1737" s="661">
        <f t="shared" si="631"/>
        <v>0.70004938271604944</v>
      </c>
      <c r="AL1737" s="240">
        <f>Table1[[#This Row],[WSP/Dealer]]/Table1[[#This Row],[OD Sq Inch]]</f>
        <v>0.34722222222222221</v>
      </c>
      <c r="AM1737" s="170">
        <f>Table1[[#This Row],[OD Wdth]]*Table1[[#This Row],[OD Hgt]]</f>
        <v>1296</v>
      </c>
      <c r="AN1737" s="274" t="str">
        <f>Table1[[#This Row],[Color]]</f>
        <v>GW</v>
      </c>
      <c r="AO1737" s="119"/>
      <c r="AP1737" s="126"/>
      <c r="AQ1737" s="126"/>
      <c r="AR1737" s="126"/>
      <c r="AS1737" s="126"/>
      <c r="AT1737" s="74"/>
      <c r="AU1737" s="1356" t="str">
        <f t="shared" si="623"/>
        <v>-</v>
      </c>
    </row>
    <row r="1738" spans="1:47" s="103" customFormat="1" hidden="1" x14ac:dyDescent="0.2">
      <c r="A1738" s="373" t="s">
        <v>187</v>
      </c>
      <c r="B1738" s="1061" t="s">
        <v>261</v>
      </c>
      <c r="C1738" s="94" t="s">
        <v>4062</v>
      </c>
      <c r="D1738" s="94"/>
      <c r="E1738" s="84" t="s">
        <v>4063</v>
      </c>
      <c r="F1738" s="84" t="s">
        <v>960</v>
      </c>
      <c r="G1738" s="68" t="s">
        <v>118</v>
      </c>
      <c r="H1738" s="68"/>
      <c r="I1738" s="68" t="s">
        <v>304</v>
      </c>
      <c r="J1738" s="68" t="s">
        <v>257</v>
      </c>
      <c r="K1738" s="68" t="s">
        <v>258</v>
      </c>
      <c r="L1738" s="68" t="s">
        <v>83</v>
      </c>
      <c r="M1738" s="93"/>
      <c r="N1738" s="71"/>
      <c r="O1738" s="68" t="s">
        <v>260</v>
      </c>
      <c r="P1738" s="68"/>
      <c r="Q1738" s="68"/>
      <c r="R1738" s="68"/>
      <c r="S1738" s="68"/>
      <c r="T1738" s="68"/>
      <c r="U1738" s="68"/>
      <c r="V1738" s="66"/>
      <c r="W1738" s="66"/>
      <c r="X1738" s="189"/>
      <c r="Y1738" s="68"/>
      <c r="Z1738" s="68"/>
      <c r="AA1738" s="699"/>
      <c r="AB1738" s="297"/>
      <c r="AC1738" s="74"/>
      <c r="AD1738" s="118"/>
      <c r="AE1738" s="126"/>
      <c r="AF1738" s="73"/>
      <c r="AG1738" s="126"/>
      <c r="AH1738" s="112">
        <f t="shared" ref="AH1738:AH1744" si="636">(M1738*0.05)</f>
        <v>0</v>
      </c>
      <c r="AI1738" s="112"/>
      <c r="AJ1738" s="126"/>
      <c r="AK1738" s="62" t="e">
        <f t="shared" si="631"/>
        <v>#DIV/0!</v>
      </c>
      <c r="AL1738" s="225" t="e">
        <f>Table1[[#This Row],[WSP/Dealer]]/Table1[[#This Row],[OD Sq Inch]]</f>
        <v>#DIV/0!</v>
      </c>
      <c r="AM1738" s="119"/>
      <c r="AN1738" s="216">
        <f>Table1[[#This Row],[Min VO]]+Table1[[#This Row],[Max VO]]</f>
        <v>0</v>
      </c>
      <c r="AO1738" s="84"/>
      <c r="AP1738" s="84"/>
      <c r="AQ1738" s="126"/>
      <c r="AR1738" s="126"/>
      <c r="AS1738" s="126"/>
      <c r="AT1738" s="74"/>
      <c r="AU1738" s="1357" t="str">
        <f t="shared" si="623"/>
        <v>-</v>
      </c>
    </row>
    <row r="1739" spans="1:47" s="45" customFormat="1" hidden="1" x14ac:dyDescent="0.2">
      <c r="A1739" s="68"/>
      <c r="B1739" s="1061"/>
      <c r="C1739" s="94" t="s">
        <v>4064</v>
      </c>
      <c r="D1739" s="94"/>
      <c r="E1739" s="84" t="s">
        <v>4063</v>
      </c>
      <c r="F1739" s="84" t="s">
        <v>960</v>
      </c>
      <c r="G1739" s="68" t="s">
        <v>118</v>
      </c>
      <c r="H1739" s="68"/>
      <c r="I1739" s="68" t="s">
        <v>304</v>
      </c>
      <c r="J1739" s="68" t="s">
        <v>257</v>
      </c>
      <c r="K1739" s="68" t="s">
        <v>258</v>
      </c>
      <c r="L1739" s="68" t="s">
        <v>83</v>
      </c>
      <c r="M1739" s="93"/>
      <c r="N1739" s="71"/>
      <c r="O1739" s="68"/>
      <c r="P1739" s="68"/>
      <c r="Q1739" s="68"/>
      <c r="R1739" s="68"/>
      <c r="S1739" s="68"/>
      <c r="T1739" s="68"/>
      <c r="U1739" s="68"/>
      <c r="V1739" s="66"/>
      <c r="W1739" s="66"/>
      <c r="X1739" s="189"/>
      <c r="Y1739" s="68"/>
      <c r="Z1739" s="68"/>
      <c r="AA1739" s="699"/>
      <c r="AB1739" s="297"/>
      <c r="AC1739" s="74"/>
      <c r="AD1739" s="118"/>
      <c r="AE1739" s="126"/>
      <c r="AF1739" s="73"/>
      <c r="AG1739" s="126"/>
      <c r="AH1739" s="498">
        <f t="shared" si="636"/>
        <v>0</v>
      </c>
      <c r="AI1739" s="498"/>
      <c r="AJ1739" s="126"/>
      <c r="AK1739" s="650" t="e">
        <f t="shared" si="631"/>
        <v>#DIV/0!</v>
      </c>
      <c r="AL1739" s="225" t="e">
        <f>Table1[[#This Row],[WSP/Dealer]]/Table1[[#This Row],[OD Sq Inch]]</f>
        <v>#DIV/0!</v>
      </c>
      <c r="AM1739" s="119"/>
      <c r="AN1739" s="216">
        <f>Table1[[#This Row],[Min VO]]+Table1[[#This Row],[Max VO]]</f>
        <v>0</v>
      </c>
      <c r="AO1739" s="84"/>
      <c r="AP1739" s="84"/>
      <c r="AQ1739" s="126"/>
      <c r="AR1739" s="126"/>
      <c r="AS1739" s="126"/>
      <c r="AT1739" s="74"/>
      <c r="AU1739" s="1357" t="str">
        <f t="shared" si="623"/>
        <v>-</v>
      </c>
    </row>
    <row r="1740" spans="1:47" s="103" customFormat="1" hidden="1" x14ac:dyDescent="0.2">
      <c r="A1740" s="1153" t="s">
        <v>187</v>
      </c>
      <c r="B1740" s="279"/>
      <c r="C1740" s="960" t="s">
        <v>4065</v>
      </c>
      <c r="D1740" s="94"/>
      <c r="E1740" s="966" t="s">
        <v>4066</v>
      </c>
      <c r="F1740" s="84" t="s">
        <v>960</v>
      </c>
      <c r="G1740" s="708" t="s">
        <v>350</v>
      </c>
      <c r="H1740" s="708" t="s">
        <v>1087</v>
      </c>
      <c r="I1740" s="708" t="s">
        <v>256</v>
      </c>
      <c r="J1740" s="68" t="s">
        <v>257</v>
      </c>
      <c r="K1740" s="960" t="s">
        <v>265</v>
      </c>
      <c r="L1740" s="101" t="s">
        <v>259</v>
      </c>
      <c r="M1740" s="978">
        <v>320</v>
      </c>
      <c r="N1740" s="71"/>
      <c r="O1740" s="68" t="s">
        <v>260</v>
      </c>
      <c r="P1740" s="60">
        <v>14</v>
      </c>
      <c r="Q1740" s="60">
        <v>18</v>
      </c>
      <c r="R1740" s="60">
        <v>14</v>
      </c>
      <c r="S1740" s="60">
        <v>18</v>
      </c>
      <c r="T1740" s="68">
        <v>14</v>
      </c>
      <c r="U1740" s="68">
        <v>18</v>
      </c>
      <c r="V1740" s="608">
        <f>IF(J1740="Canvas",P1740+BorderGW,P1740)</f>
        <v>14</v>
      </c>
      <c r="W1740" s="608">
        <f>IF(J1740="Canvas",Q1740+BorderGW,Q1740)</f>
        <v>18</v>
      </c>
      <c r="X1740" s="137">
        <v>24</v>
      </c>
      <c r="Y1740" s="101"/>
      <c r="Z1740" s="101"/>
      <c r="AA1740" s="717">
        <f>V1740*W1740/144</f>
        <v>1.75</v>
      </c>
      <c r="AB1740" s="125">
        <f>AA1740*canonML</f>
        <v>8.4</v>
      </c>
      <c r="AC1740" s="69">
        <f>Table1[[#This Row],[Print Wth]]*paper60</f>
        <v>4.7600000000000007</v>
      </c>
      <c r="AD1740" s="69">
        <f>Table1[[#This Row],[Ink g/mL]]*CanonC</f>
        <v>2.2680000000000002</v>
      </c>
      <c r="AE1740" s="104">
        <f>IF(Table1[[#This Row],[Work Center]]="SwissQ",Materials!G$37,IF(Table1[[#This Row],[Work Center]]="Inca",Materials!G$29,IF(Table1[[#This Row],[Work Center]]="Canon",Materials!G$49,Materials!G$45)))</f>
        <v>7</v>
      </c>
      <c r="AF1740" s="102"/>
      <c r="AG1740" s="121"/>
      <c r="AH1740" s="498">
        <f t="shared" si="636"/>
        <v>16</v>
      </c>
      <c r="AI1740" s="498"/>
      <c r="AJ1740" s="104">
        <f>SUM(AC1740:AH1740)</f>
        <v>30.027999999999999</v>
      </c>
      <c r="AK1740" s="650">
        <f t="shared" si="631"/>
        <v>0.90616249999999998</v>
      </c>
      <c r="AL1740" s="225">
        <f>Table1[[#This Row],[WSP/Dealer]]/Table1[[#This Row],[OD Sq Inch]]</f>
        <v>1.2698412698412698</v>
      </c>
      <c r="AM1740" s="216">
        <f>Table1[[#This Row],[OD Wdth]]*Table1[[#This Row],[OD Hgt]]</f>
        <v>252</v>
      </c>
      <c r="AN1740" s="115"/>
      <c r="AO1740" s="115"/>
      <c r="AP1740" s="115"/>
      <c r="AQ1740" s="121"/>
      <c r="AR1740" s="121"/>
      <c r="AS1740" s="121"/>
      <c r="AT1740" s="104"/>
      <c r="AU1740" s="1359" t="str">
        <f t="shared" si="623"/>
        <v>-</v>
      </c>
    </row>
    <row r="1741" spans="1:47" s="63" customFormat="1" hidden="1" x14ac:dyDescent="0.2">
      <c r="A1741" s="1153" t="s">
        <v>187</v>
      </c>
      <c r="B1741" s="279"/>
      <c r="C1741" s="960" t="s">
        <v>4067</v>
      </c>
      <c r="D1741" s="94"/>
      <c r="E1741" s="966" t="s">
        <v>4068</v>
      </c>
      <c r="F1741" s="84" t="s">
        <v>960</v>
      </c>
      <c r="G1741" s="708" t="s">
        <v>350</v>
      </c>
      <c r="H1741" s="708" t="s">
        <v>1087</v>
      </c>
      <c r="I1741" s="708" t="s">
        <v>256</v>
      </c>
      <c r="J1741" s="68" t="s">
        <v>257</v>
      </c>
      <c r="K1741" s="960" t="s">
        <v>268</v>
      </c>
      <c r="L1741" s="101" t="s">
        <v>269</v>
      </c>
      <c r="M1741" s="657">
        <v>320</v>
      </c>
      <c r="N1741" s="71"/>
      <c r="O1741" s="68" t="s">
        <v>260</v>
      </c>
      <c r="P1741" s="60">
        <v>14</v>
      </c>
      <c r="Q1741" s="60">
        <v>18</v>
      </c>
      <c r="R1741" s="60">
        <v>14</v>
      </c>
      <c r="S1741" s="60">
        <v>18</v>
      </c>
      <c r="T1741" s="68">
        <v>14</v>
      </c>
      <c r="U1741" s="68">
        <v>18</v>
      </c>
      <c r="V1741" s="608">
        <f>IF(J1741="Canvas",P1741+BorderGW,P1741)</f>
        <v>14</v>
      </c>
      <c r="W1741" s="608">
        <f>IF(J1741="Canvas",Q1741+BorderGW,Q1741)</f>
        <v>18</v>
      </c>
      <c r="X1741" s="137">
        <v>24</v>
      </c>
      <c r="Y1741" s="101"/>
      <c r="Z1741" s="101"/>
      <c r="AA1741" s="717">
        <f>V1741*W1741/144</f>
        <v>1.75</v>
      </c>
      <c r="AB1741" s="125">
        <f>AA1741*canonML</f>
        <v>8.4</v>
      </c>
      <c r="AC1741" s="69">
        <f>Table1[[#This Row],[Print Wth]]*paper60</f>
        <v>4.7600000000000007</v>
      </c>
      <c r="AD1741" s="48">
        <f>Table1[[#This Row],[Ink g/mL]]*CanonC</f>
        <v>2.2680000000000002</v>
      </c>
      <c r="AE1741" s="104">
        <f>IF(Table1[[#This Row],[Work Center]]="SwissQ",Materials!G$37,IF(Table1[[#This Row],[Work Center]]="Inca",Materials!G$29,IF(Table1[[#This Row],[Work Center]]="Canon",Materials!G$49,Materials!G$45)))</f>
        <v>7</v>
      </c>
      <c r="AF1741" s="102"/>
      <c r="AG1741" s="121"/>
      <c r="AH1741" s="498">
        <f t="shared" si="636"/>
        <v>16</v>
      </c>
      <c r="AI1741" s="498"/>
      <c r="AJ1741" s="104">
        <f>SUM(AC1741:AH1741)</f>
        <v>30.027999999999999</v>
      </c>
      <c r="AK1741" s="650">
        <f t="shared" si="631"/>
        <v>0.90616249999999998</v>
      </c>
      <c r="AL1741" s="225">
        <f>Table1[[#This Row],[WSP/Dealer]]/Table1[[#This Row],[OD Sq Inch]]</f>
        <v>1.2698412698412698</v>
      </c>
      <c r="AM1741" s="218">
        <f>Table1[[#This Row],[OD Wdth]]*Table1[[#This Row],[OD Hgt]]</f>
        <v>252</v>
      </c>
      <c r="AN1741" s="115"/>
      <c r="AO1741" s="115"/>
      <c r="AP1741" s="115"/>
      <c r="AQ1741" s="121"/>
      <c r="AR1741" s="121"/>
      <c r="AS1741" s="121"/>
      <c r="AT1741" s="104"/>
      <c r="AU1741" s="1359" t="str">
        <f t="shared" si="623"/>
        <v>-</v>
      </c>
    </row>
    <row r="1742" spans="1:47" s="63" customFormat="1" hidden="1" x14ac:dyDescent="0.2">
      <c r="A1742" s="1153" t="s">
        <v>187</v>
      </c>
      <c r="B1742" s="279"/>
      <c r="C1742" s="960" t="s">
        <v>4069</v>
      </c>
      <c r="D1742" s="94"/>
      <c r="E1742" s="966" t="s">
        <v>4070</v>
      </c>
      <c r="F1742" s="84" t="s">
        <v>960</v>
      </c>
      <c r="G1742" s="708" t="s">
        <v>350</v>
      </c>
      <c r="H1742" s="708" t="s">
        <v>350</v>
      </c>
      <c r="I1742" s="708" t="s">
        <v>256</v>
      </c>
      <c r="J1742" s="68" t="s">
        <v>257</v>
      </c>
      <c r="K1742" s="960" t="s">
        <v>198</v>
      </c>
      <c r="L1742" s="101" t="s">
        <v>199</v>
      </c>
      <c r="M1742" s="978">
        <v>200</v>
      </c>
      <c r="N1742" s="71"/>
      <c r="O1742" s="68" t="s">
        <v>260</v>
      </c>
      <c r="P1742" s="60">
        <v>14</v>
      </c>
      <c r="Q1742" s="60">
        <v>18</v>
      </c>
      <c r="R1742" s="60">
        <v>14</v>
      </c>
      <c r="S1742" s="60">
        <v>18</v>
      </c>
      <c r="T1742" s="68">
        <v>14</v>
      </c>
      <c r="U1742" s="68">
        <v>18</v>
      </c>
      <c r="V1742" s="106">
        <f>IF(J1742="Canvas",P1742+BorderGW,P1742)</f>
        <v>14</v>
      </c>
      <c r="W1742" s="106">
        <f>IF(J1742="Canvas",Q1742+BorderGW,Q1742)</f>
        <v>18</v>
      </c>
      <c r="X1742" s="137">
        <v>24</v>
      </c>
      <c r="Y1742" s="101"/>
      <c r="Z1742" s="101"/>
      <c r="AA1742" s="717">
        <f>V1742*W1742/144</f>
        <v>1.75</v>
      </c>
      <c r="AB1742" s="125">
        <f>AA1742*canonML</f>
        <v>8.4</v>
      </c>
      <c r="AC1742" s="69">
        <f>Table1[[#This Row],[Print Wth]]*paper60</f>
        <v>4.7600000000000007</v>
      </c>
      <c r="AD1742" s="48">
        <f>Table1[[#This Row],[Ink g/mL]]*CanonC</f>
        <v>2.2680000000000002</v>
      </c>
      <c r="AE1742" s="104">
        <f>IF(Table1[[#This Row],[Work Center]]="SwissQ",Materials!G$37,IF(Table1[[#This Row],[Work Center]]="Inca",Materials!G$29,IF(Table1[[#This Row],[Work Center]]="Canon",Materials!G$49,Materials!G$45)))</f>
        <v>7</v>
      </c>
      <c r="AF1742" s="260"/>
      <c r="AG1742" s="126">
        <f>Materials!D$76</f>
        <v>10.82</v>
      </c>
      <c r="AH1742" s="498">
        <f t="shared" si="636"/>
        <v>10</v>
      </c>
      <c r="AI1742" s="498"/>
      <c r="AJ1742" s="104">
        <f>SUM(AC1742:AH1742)</f>
        <v>34.847999999999999</v>
      </c>
      <c r="AK1742" s="650">
        <f t="shared" si="631"/>
        <v>0.82575999999999994</v>
      </c>
      <c r="AL1742" s="225">
        <f>Table1[[#This Row],[WSP/Dealer]]/Table1[[#This Row],[OD Sq Inch]]</f>
        <v>0.79365079365079361</v>
      </c>
      <c r="AM1742" s="218">
        <f>Table1[[#This Row],[OD Wdth]]*Table1[[#This Row],[OD Hgt]]</f>
        <v>252</v>
      </c>
      <c r="AN1742" s="115"/>
      <c r="AO1742" s="115"/>
      <c r="AP1742" s="115"/>
      <c r="AQ1742" s="121"/>
      <c r="AR1742" s="121"/>
      <c r="AS1742" s="121"/>
      <c r="AT1742" s="104"/>
      <c r="AU1742" s="1359" t="str">
        <f t="shared" si="623"/>
        <v>-</v>
      </c>
    </row>
    <row r="1743" spans="1:47" s="63" customFormat="1" hidden="1" x14ac:dyDescent="0.2">
      <c r="A1743" s="68"/>
      <c r="B1743" s="1061"/>
      <c r="C1743" s="94" t="s">
        <v>4071</v>
      </c>
      <c r="D1743" s="94"/>
      <c r="E1743" s="84" t="s">
        <v>4072</v>
      </c>
      <c r="F1743" s="84" t="s">
        <v>960</v>
      </c>
      <c r="G1743" s="68" t="s">
        <v>4073</v>
      </c>
      <c r="H1743" s="68"/>
      <c r="I1743" s="68" t="s">
        <v>304</v>
      </c>
      <c r="J1743" s="68" t="s">
        <v>257</v>
      </c>
      <c r="K1743" s="68" t="s">
        <v>258</v>
      </c>
      <c r="L1743" s="68" t="s">
        <v>83</v>
      </c>
      <c r="M1743" s="93"/>
      <c r="N1743" s="71"/>
      <c r="O1743" s="68"/>
      <c r="P1743" s="68"/>
      <c r="Q1743" s="68"/>
      <c r="R1743" s="68"/>
      <c r="S1743" s="68"/>
      <c r="T1743" s="68"/>
      <c r="U1743" s="68"/>
      <c r="V1743" s="917"/>
      <c r="W1743" s="917"/>
      <c r="X1743" s="189"/>
      <c r="Y1743" s="68"/>
      <c r="Z1743" s="68"/>
      <c r="AA1743" s="699"/>
      <c r="AB1743" s="297"/>
      <c r="AC1743" s="74"/>
      <c r="AD1743" s="126"/>
      <c r="AE1743" s="126"/>
      <c r="AF1743" s="73"/>
      <c r="AG1743" s="126"/>
      <c r="AH1743" s="498">
        <f t="shared" si="636"/>
        <v>0</v>
      </c>
      <c r="AI1743" s="498"/>
      <c r="AJ1743" s="126"/>
      <c r="AK1743" s="650" t="e">
        <f t="shared" si="631"/>
        <v>#DIV/0!</v>
      </c>
      <c r="AL1743" s="225" t="e">
        <f>Table1[[#This Row],[WSP/Dealer]]/Table1[[#This Row],[OD Sq Inch]]</f>
        <v>#DIV/0!</v>
      </c>
      <c r="AM1743" s="84"/>
      <c r="AN1743" s="216">
        <f>Table1[[#This Row],[Min VO]]+Table1[[#This Row],[Max VO]]</f>
        <v>0</v>
      </c>
      <c r="AO1743" s="84"/>
      <c r="AP1743" s="84"/>
      <c r="AQ1743" s="126"/>
      <c r="AR1743" s="126"/>
      <c r="AS1743" s="126"/>
      <c r="AT1743" s="74"/>
      <c r="AU1743" s="1357" t="str">
        <f t="shared" si="623"/>
        <v>-</v>
      </c>
    </row>
    <row r="1744" spans="1:47" s="103" customFormat="1" hidden="1" x14ac:dyDescent="0.2">
      <c r="A1744" s="68"/>
      <c r="B1744" s="279"/>
      <c r="C1744" s="94" t="s">
        <v>4074</v>
      </c>
      <c r="D1744" s="94"/>
      <c r="E1744" s="84" t="s">
        <v>4075</v>
      </c>
      <c r="F1744" s="84" t="s">
        <v>960</v>
      </c>
      <c r="G1744" s="68" t="s">
        <v>4076</v>
      </c>
      <c r="H1744" s="68"/>
      <c r="I1744" s="68" t="s">
        <v>304</v>
      </c>
      <c r="J1744" s="68" t="s">
        <v>257</v>
      </c>
      <c r="K1744" s="68" t="s">
        <v>258</v>
      </c>
      <c r="L1744" s="68" t="s">
        <v>83</v>
      </c>
      <c r="M1744" s="93"/>
      <c r="N1744" s="71"/>
      <c r="O1744" s="68"/>
      <c r="P1744" s="68"/>
      <c r="Q1744" s="68"/>
      <c r="R1744" s="68"/>
      <c r="S1744" s="68"/>
      <c r="T1744" s="68"/>
      <c r="U1744" s="68"/>
      <c r="V1744" s="66"/>
      <c r="W1744" s="66"/>
      <c r="X1744" s="189"/>
      <c r="Y1744" s="68"/>
      <c r="Z1744" s="68"/>
      <c r="AA1744" s="699"/>
      <c r="AB1744" s="297"/>
      <c r="AC1744" s="74"/>
      <c r="AD1744" s="118"/>
      <c r="AE1744" s="126"/>
      <c r="AF1744" s="73"/>
      <c r="AG1744" s="126"/>
      <c r="AH1744" s="498">
        <f t="shared" si="636"/>
        <v>0</v>
      </c>
      <c r="AI1744" s="498"/>
      <c r="AJ1744" s="126"/>
      <c r="AK1744" s="650" t="e">
        <f t="shared" si="631"/>
        <v>#DIV/0!</v>
      </c>
      <c r="AL1744" s="225" t="e">
        <f>Table1[[#This Row],[WSP/Dealer]]/Table1[[#This Row],[OD Sq Inch]]</f>
        <v>#DIV/0!</v>
      </c>
      <c r="AM1744" s="119"/>
      <c r="AN1744" s="216">
        <f>Table1[[#This Row],[Min VO]]+Table1[[#This Row],[Max VO]]</f>
        <v>0</v>
      </c>
      <c r="AO1744" s="84"/>
      <c r="AP1744" s="84"/>
      <c r="AQ1744" s="126"/>
      <c r="AR1744" s="126"/>
      <c r="AS1744" s="126"/>
      <c r="AT1744" s="74"/>
      <c r="AU1744" s="1357" t="str">
        <f t="shared" si="623"/>
        <v>-</v>
      </c>
    </row>
    <row r="1745" spans="1:47" s="103" customFormat="1" hidden="1" x14ac:dyDescent="0.2">
      <c r="A1745" s="101" t="s">
        <v>110</v>
      </c>
      <c r="B1745" s="1062" t="s">
        <v>250</v>
      </c>
      <c r="C1745" s="168" t="s">
        <v>4077</v>
      </c>
      <c r="D1745" s="168"/>
      <c r="E1745" s="115" t="s">
        <v>4078</v>
      </c>
      <c r="F1745" s="115" t="s">
        <v>105</v>
      </c>
      <c r="G1745" s="101" t="s">
        <v>1290</v>
      </c>
      <c r="H1745" s="101" t="s">
        <v>4079</v>
      </c>
      <c r="I1745" s="400" t="s">
        <v>256</v>
      </c>
      <c r="J1745" s="487" t="s">
        <v>257</v>
      </c>
      <c r="K1745" s="407" t="s">
        <v>258</v>
      </c>
      <c r="L1745" s="101" t="s">
        <v>259</v>
      </c>
      <c r="M1745" s="114">
        <v>300</v>
      </c>
      <c r="N1745" s="114"/>
      <c r="O1745" s="101" t="s">
        <v>260</v>
      </c>
      <c r="P1745" s="101">
        <v>20</v>
      </c>
      <c r="Q1745" s="101">
        <v>30</v>
      </c>
      <c r="R1745" s="101">
        <v>20</v>
      </c>
      <c r="S1745" s="101">
        <v>30</v>
      </c>
      <c r="T1745" s="101">
        <v>22</v>
      </c>
      <c r="U1745" s="101">
        <v>32</v>
      </c>
      <c r="V1745" s="918">
        <f t="shared" ref="V1745:V1758" si="637">IF(J1745="Canvas",P1745+Border,P1745)</f>
        <v>20</v>
      </c>
      <c r="W1745" s="918">
        <f t="shared" ref="W1745:W1758" si="638">IF(J1745="Canvas",Q1745+Border,Q1745)</f>
        <v>30</v>
      </c>
      <c r="X1745" s="101" t="s">
        <v>257</v>
      </c>
      <c r="Y1745" s="1345">
        <f>Table1[[#This Row],[Print Wth]]+Materials!$C$7</f>
        <v>22</v>
      </c>
      <c r="Z1745" s="1345">
        <f>Table1[[#This Row],[Print Ht]]+Materials!$C$7</f>
        <v>32</v>
      </c>
      <c r="AA1745" s="1011">
        <f>(Table1[[#This Row],[Cut Width]]*Table1[[#This Row],[Cut Height]])/144</f>
        <v>4.8888888888888893</v>
      </c>
      <c r="AB1745" s="1162">
        <f>(Table1[[#This Row],[Print Wth]]*Table1[[#This Row],[Print Ht]])/144*canonML</f>
        <v>20</v>
      </c>
      <c r="AC1745" s="104">
        <f>Table1[[#This Row],[Substrate SF]]*Paper</f>
        <v>6.6146666666666674</v>
      </c>
      <c r="AD1745" s="107">
        <f>(Table1[[#This Row],[Print Wth]]*Table1[[#This Row],[Print Ht]])/144*CanonC</f>
        <v>1.1250000000000002</v>
      </c>
      <c r="AE1745" s="104">
        <f>IF(Table1[[#This Row],[Work Center]]="SwissQ",Materials!G$37,IF(Table1[[#This Row],[Work Center]]="Inca",Materials!G$29,IF(Table1[[#This Row],[Work Center]]="Canon",Materials!G$49,Materials!G$45)))</f>
        <v>7</v>
      </c>
      <c r="AF1745" s="102">
        <f>'Cali Frames'!D32</f>
        <v>82.144999999999996</v>
      </c>
      <c r="AG1745" s="121"/>
      <c r="AH1745" s="104">
        <v>0</v>
      </c>
      <c r="AI1745" s="406">
        <f>IF(A1745="Codarus",(M1745*0.13))</f>
        <v>39</v>
      </c>
      <c r="AJ1745" s="405">
        <f>SUM(AC1745:AI1745)</f>
        <v>135.88466666666665</v>
      </c>
      <c r="AK1745" s="830">
        <f t="shared" si="631"/>
        <v>0.54705111111111115</v>
      </c>
      <c r="AL1745" s="660">
        <f>Table1[[#This Row],[WSP/Dealer]]/Table1[[#This Row],[OD Sq Inch]]</f>
        <v>0.42613636363636365</v>
      </c>
      <c r="AM1745" s="399">
        <f>Table1[[#This Row],[OD Wdth]]*Table1[[#This Row],[OD Hgt]]</f>
        <v>704</v>
      </c>
      <c r="AN1745" s="400" t="str">
        <f>Table1[[#This Row],[Color]]</f>
        <v>BA</v>
      </c>
      <c r="AO1745" s="115" t="str">
        <f>Table1[[#This Row],[Print Type]]</f>
        <v>Work on Paper</v>
      </c>
      <c r="AP1745" s="121">
        <v>600</v>
      </c>
      <c r="AQ1745" s="121">
        <f>(Table1[[#This Row],[Desgnr/Retail P]]*0.05)</f>
        <v>30</v>
      </c>
      <c r="AR1745" s="121">
        <f>IF(A1745="Codarus",(AP1745*0.13))</f>
        <v>78</v>
      </c>
      <c r="AS1745" s="121">
        <f>SUM(Table1[[#This Row],[Substrate $]:[GP FINISH]])+Table1[[#This Row],[Retail Royalty]]+Table1[[#This Row],[Retail$Comm]]</f>
        <v>204.88466666666665</v>
      </c>
      <c r="AT1745" s="830">
        <f>IF(AP1745=0,"-",(AP1745-AS1745)/AP1745)</f>
        <v>0.65852555555555559</v>
      </c>
      <c r="AU1745" s="1367">
        <f t="shared" si="623"/>
        <v>0.97804914814814814</v>
      </c>
    </row>
    <row r="1746" spans="1:47" s="63" customFormat="1" hidden="1" x14ac:dyDescent="0.2">
      <c r="A1746" s="552" t="s">
        <v>101</v>
      </c>
      <c r="B1746" s="1062" t="s">
        <v>65</v>
      </c>
      <c r="C1746" s="168" t="s">
        <v>4077</v>
      </c>
      <c r="D1746" s="168"/>
      <c r="E1746" s="115" t="s">
        <v>4078</v>
      </c>
      <c r="F1746" s="115" t="s">
        <v>105</v>
      </c>
      <c r="G1746" s="101" t="s">
        <v>1290</v>
      </c>
      <c r="H1746" s="101" t="s">
        <v>4079</v>
      </c>
      <c r="I1746" s="400" t="s">
        <v>256</v>
      </c>
      <c r="J1746" s="487" t="s">
        <v>257</v>
      </c>
      <c r="K1746" s="407" t="s">
        <v>258</v>
      </c>
      <c r="L1746" s="101" t="s">
        <v>259</v>
      </c>
      <c r="M1746" s="299">
        <v>194</v>
      </c>
      <c r="N1746" s="102"/>
      <c r="O1746" s="101" t="s">
        <v>260</v>
      </c>
      <c r="P1746" s="101">
        <v>20</v>
      </c>
      <c r="Q1746" s="101">
        <v>30</v>
      </c>
      <c r="R1746" s="101">
        <v>20</v>
      </c>
      <c r="S1746" s="101">
        <v>30</v>
      </c>
      <c r="T1746" s="101">
        <v>22</v>
      </c>
      <c r="U1746" s="101">
        <v>32</v>
      </c>
      <c r="V1746" s="404">
        <f t="shared" si="637"/>
        <v>20</v>
      </c>
      <c r="W1746" s="404">
        <f t="shared" si="638"/>
        <v>30</v>
      </c>
      <c r="X1746" s="101" t="s">
        <v>257</v>
      </c>
      <c r="Y1746" s="1345">
        <f>Table1[[#This Row],[Print Wth]]+Materials!$C$7</f>
        <v>22</v>
      </c>
      <c r="Z1746" s="1345">
        <f>Table1[[#This Row],[Print Ht]]+Materials!$C$7</f>
        <v>32</v>
      </c>
      <c r="AA1746" s="1011">
        <f>(Table1[[#This Row],[Cut Width]]*Table1[[#This Row],[Cut Height]])/144</f>
        <v>4.8888888888888893</v>
      </c>
      <c r="AB1746" s="1162">
        <f>(Table1[[#This Row],[Print Wth]]*Table1[[#This Row],[Print Ht]])/144*canonML</f>
        <v>20</v>
      </c>
      <c r="AC1746" s="104">
        <f>Table1[[#This Row],[Substrate SF]]*Paper</f>
        <v>6.6146666666666674</v>
      </c>
      <c r="AD1746" s="107">
        <f>(Table1[[#This Row],[Print Wth]]*Table1[[#This Row],[Print Ht]])/144*CanonC</f>
        <v>1.1250000000000002</v>
      </c>
      <c r="AE1746" s="104">
        <f>IF(Table1[[#This Row],[Work Center]]="SwissQ",Materials!G$37,IF(Table1[[#This Row],[Work Center]]="Inca",Materials!G$29,IF(Table1[[#This Row],[Work Center]]="Canon",Materials!G$49,Materials!G$45)))</f>
        <v>7</v>
      </c>
      <c r="AF1746" s="102">
        <f>'Cali Frames'!D32</f>
        <v>82.144999999999996</v>
      </c>
      <c r="AG1746" s="121"/>
      <c r="AH1746" s="104">
        <v>0</v>
      </c>
      <c r="AI1746" s="104"/>
      <c r="AJ1746" s="406">
        <f>SUM(AC1746:AH1746)</f>
        <v>96.884666666666661</v>
      </c>
      <c r="AK1746" s="830">
        <f t="shared" si="631"/>
        <v>0.50059450171821307</v>
      </c>
      <c r="AL1746" s="660">
        <f>Table1[[#This Row],[WSP/Dealer]]/Table1[[#This Row],[OD Sq Inch]]</f>
        <v>0.27556818181818182</v>
      </c>
      <c r="AM1746" s="399">
        <f>Table1[[#This Row],[OD Wdth]]*Table1[[#This Row],[OD Hgt]]</f>
        <v>704</v>
      </c>
      <c r="AN1746" s="400" t="str">
        <f>Table1[[#This Row],[Color]]</f>
        <v>BA</v>
      </c>
      <c r="AO1746" s="115" t="str">
        <f>Table1[[#This Row],[Print Type]]</f>
        <v>Work on Paper</v>
      </c>
      <c r="AP1746" s="115"/>
      <c r="AQ1746" s="121"/>
      <c r="AR1746" s="121"/>
      <c r="AS1746" s="121"/>
      <c r="AT1746" s="104"/>
      <c r="AU1746" s="1359" t="str">
        <f t="shared" si="623"/>
        <v>-</v>
      </c>
    </row>
    <row r="1747" spans="1:47" s="103" customFormat="1" hidden="1" x14ac:dyDescent="0.2">
      <c r="A1747" s="551" t="s">
        <v>140</v>
      </c>
      <c r="B1747" s="1061" t="s">
        <v>141</v>
      </c>
      <c r="C1747" s="805" t="s">
        <v>4080</v>
      </c>
      <c r="D1747" s="94"/>
      <c r="E1747" s="653" t="s">
        <v>4081</v>
      </c>
      <c r="F1747" s="653" t="s">
        <v>144</v>
      </c>
      <c r="G1747" s="551" t="s">
        <v>1096</v>
      </c>
      <c r="H1747" s="551" t="s">
        <v>2813</v>
      </c>
      <c r="I1747" s="551" t="s">
        <v>52</v>
      </c>
      <c r="J1747" s="856" t="s">
        <v>53</v>
      </c>
      <c r="K1747" s="551" t="s">
        <v>82</v>
      </c>
      <c r="L1747" s="551" t="s">
        <v>83</v>
      </c>
      <c r="M1747" s="857">
        <v>630</v>
      </c>
      <c r="N1747" s="858">
        <f>Table1[[#This Row],[WSP/Dealer]]/0.35</f>
        <v>1800.0000000000002</v>
      </c>
      <c r="O1747" s="551" t="s">
        <v>64</v>
      </c>
      <c r="P1747" s="551">
        <v>32</v>
      </c>
      <c r="Q1747" s="551">
        <v>36</v>
      </c>
      <c r="R1747" s="551">
        <v>32</v>
      </c>
      <c r="S1747" s="984">
        <v>36</v>
      </c>
      <c r="T1747" s="551">
        <v>33</v>
      </c>
      <c r="U1747" s="551">
        <v>37</v>
      </c>
      <c r="V1747" s="859">
        <f t="shared" si="637"/>
        <v>40</v>
      </c>
      <c r="W1747" s="859">
        <f t="shared" si="638"/>
        <v>44</v>
      </c>
      <c r="X1747" s="311">
        <v>40</v>
      </c>
      <c r="Y1747" s="551">
        <v>40</v>
      </c>
      <c r="Z1747" s="551">
        <v>44</v>
      </c>
      <c r="AA1747" s="860">
        <f t="shared" ref="AA1747:AA1758" si="639">V1747*W1747/144</f>
        <v>12.222222222222221</v>
      </c>
      <c r="AB1747" s="861">
        <f>AA1747*Swiss1</f>
        <v>345.88888888888886</v>
      </c>
      <c r="AC1747" s="863">
        <f>AA1747*Canvas</f>
        <v>8.0666666666666664</v>
      </c>
      <c r="AD1747" s="862">
        <f>Table1[[#This Row],[Substrate SF]]*SWISSC1</f>
        <v>34.222222222222214</v>
      </c>
      <c r="AE1747" s="863">
        <f>IF(Table1[[#This Row],[Work Center]]="SwissQ",Materials!G$37,IF(Table1[[#This Row],[Work Center]]="Inca",Materials!G$29,IF(Table1[[#This Row],[Work Center]]="Canon",Materials!G$49,Materials!G$45)))</f>
        <v>20</v>
      </c>
      <c r="AF1747" s="71">
        <f>'Cali Frames'!D130</f>
        <v>111.685</v>
      </c>
      <c r="AG1747" s="653"/>
      <c r="AH1747" s="867">
        <f t="shared" ref="AH1747:AH1758" si="640">(M1747*0.05)</f>
        <v>31.5</v>
      </c>
      <c r="AI1747" s="867"/>
      <c r="AJ1747" s="867">
        <f>SUM(AC1747:AH1747)</f>
        <v>205.47388888888889</v>
      </c>
      <c r="AK1747" s="1087">
        <f t="shared" si="631"/>
        <v>0.67385097001763672</v>
      </c>
      <c r="AL1747" s="867">
        <f>Table1[[#This Row],[WSP/Dealer]]/Table1[[#This Row],[OD Sq Inch]]</f>
        <v>0.51597051597051602</v>
      </c>
      <c r="AM1747" s="868">
        <f>Table1[[#This Row],[OD Wdth]]*Table1[[#This Row],[OD Hgt]]</f>
        <v>1221</v>
      </c>
      <c r="AN1747" s="869">
        <f>Table1[[#This Row],[Min VO]]+Table1[[#This Row],[Max VO]]</f>
        <v>68</v>
      </c>
      <c r="AO1747" s="653"/>
      <c r="AP1747" s="653"/>
      <c r="AQ1747" s="864"/>
      <c r="AR1747" s="864"/>
      <c r="AS1747" s="864"/>
      <c r="AT1747" s="863"/>
      <c r="AU1747" s="1364" t="str">
        <f t="shared" si="623"/>
        <v>-</v>
      </c>
    </row>
    <row r="1748" spans="1:47" s="63" customFormat="1" hidden="1" x14ac:dyDescent="0.2">
      <c r="A1748" s="101" t="s">
        <v>110</v>
      </c>
      <c r="B1748" s="1322" t="s">
        <v>134</v>
      </c>
      <c r="C1748" s="100" t="s">
        <v>4082</v>
      </c>
      <c r="D1748" s="168"/>
      <c r="E1748" s="115" t="s">
        <v>4081</v>
      </c>
      <c r="F1748" s="115" t="s">
        <v>144</v>
      </c>
      <c r="G1748" s="101" t="s">
        <v>2817</v>
      </c>
      <c r="H1748" s="101" t="s">
        <v>1096</v>
      </c>
      <c r="I1748" s="101" t="s">
        <v>52</v>
      </c>
      <c r="J1748" s="101" t="s">
        <v>53</v>
      </c>
      <c r="K1748" s="101" t="s">
        <v>54</v>
      </c>
      <c r="L1748" s="101" t="s">
        <v>55</v>
      </c>
      <c r="M1748" s="114">
        <v>400</v>
      </c>
      <c r="N1748" s="829"/>
      <c r="O1748" s="101" t="s">
        <v>56</v>
      </c>
      <c r="P1748" s="101">
        <v>32</v>
      </c>
      <c r="Q1748" s="101">
        <v>36</v>
      </c>
      <c r="R1748" s="101">
        <v>32</v>
      </c>
      <c r="S1748" s="697">
        <v>36</v>
      </c>
      <c r="T1748" s="101">
        <v>32</v>
      </c>
      <c r="U1748" s="697">
        <v>36</v>
      </c>
      <c r="V1748" s="106">
        <f t="shared" si="637"/>
        <v>40</v>
      </c>
      <c r="W1748" s="106">
        <f t="shared" si="638"/>
        <v>44</v>
      </c>
      <c r="X1748" s="800" t="s">
        <v>57</v>
      </c>
      <c r="Y1748" s="101">
        <v>40</v>
      </c>
      <c r="Z1748" s="101">
        <v>88</v>
      </c>
      <c r="AA1748" s="649">
        <f t="shared" si="639"/>
        <v>12.222222222222221</v>
      </c>
      <c r="AB1748" s="184">
        <f>AA1748*IncaG</f>
        <v>257.15555555555551</v>
      </c>
      <c r="AC1748" s="104">
        <f>AA1748*Canvas</f>
        <v>8.0666666666666664</v>
      </c>
      <c r="AD1748" s="107">
        <f>AA1748*IncaC</f>
        <v>20.572444444444443</v>
      </c>
      <c r="AE1748" s="104">
        <f>IF(Table1[[#This Row],[Work Center]]="SwissQ",Materials!G$37,IF(Table1[[#This Row],[Work Center]]="Inca",Materials!G$29,IF(Table1[[#This Row],[Work Center]]="Canon",Materials!G$49,Materials!G$45)))</f>
        <v>8</v>
      </c>
      <c r="AF1748" s="104">
        <f>'Cali FPS'!C56</f>
        <v>77.37</v>
      </c>
      <c r="AG1748" s="115"/>
      <c r="AH1748" s="104">
        <f t="shared" si="640"/>
        <v>20</v>
      </c>
      <c r="AI1748" s="406">
        <f>IF(A1748="Codarus",(M1748*0.13))</f>
        <v>52</v>
      </c>
      <c r="AJ1748" s="104">
        <f>SUM(AC1748:AI1748)</f>
        <v>186.00911111111111</v>
      </c>
      <c r="AK1748" s="830">
        <f t="shared" si="631"/>
        <v>0.53497722222222222</v>
      </c>
      <c r="AL1748" s="660">
        <f>Table1[[#This Row],[WSP/Dealer]]/Table1[[#This Row],[OD Sq Inch]]</f>
        <v>0.34722222222222221</v>
      </c>
      <c r="AM1748" s="103">
        <f>Table1[[#This Row],[OD Wdth]]*Table1[[#This Row],[OD Hgt]]</f>
        <v>1152</v>
      </c>
      <c r="AN1748" s="266">
        <f>Table1[[#This Row],[Min VO]]+Table1[[#This Row],[Max VO]]</f>
        <v>68</v>
      </c>
      <c r="AO1748" s="101"/>
      <c r="AP1748" s="101"/>
      <c r="AQ1748" s="104">
        <f>(Table1[[#This Row],[Desgnr/Retail P]]*0.05)</f>
        <v>0</v>
      </c>
      <c r="AR1748" s="121">
        <f>IF(A1748="Codarus",(AP1748*0.13))</f>
        <v>0</v>
      </c>
      <c r="AS1748" s="121">
        <f>SUM(Table1[[#This Row],[Substrate $]:[GP FINISH]])+Table1[[#This Row],[Retail Royalty]]+Table1[[#This Row],[Retail$Comm]]</f>
        <v>114.00911111111111</v>
      </c>
      <c r="AT1748" s="830" t="str">
        <f>IF(AP1748=0,"-",(AP1748-AS1748)/AP1748)</f>
        <v>-</v>
      </c>
      <c r="AU1748" s="830" t="str">
        <f t="shared" si="623"/>
        <v>-</v>
      </c>
    </row>
    <row r="1749" spans="1:47" s="103" customFormat="1" x14ac:dyDescent="0.2">
      <c r="A1749" s="86" t="s">
        <v>58</v>
      </c>
      <c r="B1749" s="1061" t="s">
        <v>406</v>
      </c>
      <c r="C1749" s="100" t="s">
        <v>4083</v>
      </c>
      <c r="D1749" s="94" t="s">
        <v>4084</v>
      </c>
      <c r="E1749" s="85" t="s">
        <v>4081</v>
      </c>
      <c r="F1749" s="85" t="s">
        <v>144</v>
      </c>
      <c r="G1749" s="86" t="s">
        <v>1096</v>
      </c>
      <c r="H1749" s="86" t="s">
        <v>2813</v>
      </c>
      <c r="I1749" s="86" t="s">
        <v>52</v>
      </c>
      <c r="J1749" s="86" t="s">
        <v>280</v>
      </c>
      <c r="K1749" s="86" t="s">
        <v>69</v>
      </c>
      <c r="L1749" s="86" t="s">
        <v>70</v>
      </c>
      <c r="M1749" s="87">
        <v>621.5</v>
      </c>
      <c r="N1749" s="639">
        <v>630</v>
      </c>
      <c r="O1749" s="551" t="s">
        <v>56</v>
      </c>
      <c r="P1749" s="101">
        <v>32</v>
      </c>
      <c r="Q1749" s="101">
        <v>36</v>
      </c>
      <c r="R1749" s="60">
        <v>32</v>
      </c>
      <c r="S1749" s="273">
        <v>36</v>
      </c>
      <c r="T1749" s="101">
        <v>33</v>
      </c>
      <c r="U1749" s="101" t="str">
        <f>RIGHT(H1749,2)</f>
        <v>37</v>
      </c>
      <c r="V1749" s="608">
        <f t="shared" si="637"/>
        <v>32</v>
      </c>
      <c r="W1749" s="608">
        <f t="shared" si="638"/>
        <v>36</v>
      </c>
      <c r="X1749" s="137" t="s">
        <v>675</v>
      </c>
      <c r="Y1749" s="101"/>
      <c r="Z1749" s="101"/>
      <c r="AA1749" s="649">
        <f t="shared" si="639"/>
        <v>8</v>
      </c>
      <c r="AB1749" s="184">
        <f>AA1749*IncaG</f>
        <v>168.32</v>
      </c>
      <c r="AC1749" s="104">
        <f>PETG48/3</f>
        <v>16.22</v>
      </c>
      <c r="AD1749" s="104">
        <f>AA1749*IncaC</f>
        <v>13.4656</v>
      </c>
      <c r="AE1749" s="104">
        <f>IF(Table1[[#This Row],[Work Center]]="SwissQ",Materials!G$37,IF(Table1[[#This Row],[Work Center]]="Inca",Materials!G$29,IF(Table1[[#This Row],[Work Center]]="Canon",Materials!G$49,Materials!G$45)))</f>
        <v>8</v>
      </c>
      <c r="AF1749" s="104">
        <f>'Cali Frames'!D$292</f>
        <v>115.2375</v>
      </c>
      <c r="AG1749" s="115"/>
      <c r="AH1749" s="498">
        <f t="shared" si="640"/>
        <v>31.075000000000003</v>
      </c>
      <c r="AI1749" s="498"/>
      <c r="AJ1749" s="104">
        <f t="shared" ref="AJ1749:AJ1762" si="641">SUM(AC1749:AH1749)</f>
        <v>183.99810000000002</v>
      </c>
      <c r="AK1749" s="650">
        <f t="shared" si="631"/>
        <v>0.70394513274336279</v>
      </c>
      <c r="AL1749" s="225">
        <f>Table1[[#This Row],[WSP/Dealer]]/Table1[[#This Row],[OD Sq Inch]]</f>
        <v>0.50900900900900903</v>
      </c>
      <c r="AM1749" s="216">
        <f>Table1[[#This Row],[OD Wdth]]*Table1[[#This Row],[OD Hgt]]</f>
        <v>1221</v>
      </c>
      <c r="AN1749" s="216">
        <f>Table1[[#This Row],[Min VO]]+Table1[[#This Row],[Max VO]]</f>
        <v>68</v>
      </c>
      <c r="AO1749" s="101"/>
      <c r="AP1749" s="101"/>
      <c r="AQ1749" s="104"/>
      <c r="AR1749" s="104"/>
      <c r="AS1749" s="104"/>
      <c r="AT1749" s="104"/>
      <c r="AU1749" s="830" t="str">
        <f t="shared" si="623"/>
        <v>-</v>
      </c>
    </row>
    <row r="1750" spans="1:47" s="103" customFormat="1" x14ac:dyDescent="0.2">
      <c r="A1750" s="86" t="s">
        <v>58</v>
      </c>
      <c r="B1750" s="279" t="s">
        <v>406</v>
      </c>
      <c r="C1750" s="76" t="s">
        <v>4085</v>
      </c>
      <c r="D1750" s="94" t="s">
        <v>4086</v>
      </c>
      <c r="E1750" s="85" t="s">
        <v>4081</v>
      </c>
      <c r="F1750" s="85" t="s">
        <v>144</v>
      </c>
      <c r="G1750" s="86" t="s">
        <v>2817</v>
      </c>
      <c r="H1750" s="86" t="s">
        <v>2813</v>
      </c>
      <c r="I1750" s="86" t="s">
        <v>52</v>
      </c>
      <c r="J1750" s="86" t="s">
        <v>53</v>
      </c>
      <c r="K1750" s="86" t="s">
        <v>69</v>
      </c>
      <c r="L1750" s="86" t="s">
        <v>70</v>
      </c>
      <c r="M1750" s="87">
        <v>621.5</v>
      </c>
      <c r="N1750" s="639">
        <v>630</v>
      </c>
      <c r="O1750" s="551" t="s">
        <v>56</v>
      </c>
      <c r="P1750" s="101">
        <v>32</v>
      </c>
      <c r="Q1750" s="101">
        <v>36</v>
      </c>
      <c r="R1750" s="60">
        <v>32</v>
      </c>
      <c r="S1750" s="273">
        <v>36</v>
      </c>
      <c r="T1750" s="101">
        <v>33</v>
      </c>
      <c r="U1750" s="101">
        <v>39</v>
      </c>
      <c r="V1750" s="608">
        <f t="shared" si="637"/>
        <v>40</v>
      </c>
      <c r="W1750" s="608">
        <f t="shared" si="638"/>
        <v>44</v>
      </c>
      <c r="X1750" s="157" t="s">
        <v>57</v>
      </c>
      <c r="Y1750" s="60">
        <v>40</v>
      </c>
      <c r="Z1750" s="60">
        <v>88</v>
      </c>
      <c r="AA1750" s="649">
        <f t="shared" si="639"/>
        <v>12.222222222222221</v>
      </c>
      <c r="AB1750" s="184">
        <f>AA1750*IncaG</f>
        <v>257.15555555555551</v>
      </c>
      <c r="AC1750" s="104">
        <f>AA1750*Canvas</f>
        <v>8.0666666666666664</v>
      </c>
      <c r="AD1750" s="107">
        <f>AA1750*IncaC</f>
        <v>20.572444444444443</v>
      </c>
      <c r="AE1750" s="104">
        <f>IF(Table1[[#This Row],[Work Center]]="SwissQ",Materials!G$37,IF(Table1[[#This Row],[Work Center]]="Inca",Materials!G$29,IF(Table1[[#This Row],[Work Center]]="Canon",Materials!G$49,Materials!G$45)))</f>
        <v>8</v>
      </c>
      <c r="AF1750" s="104">
        <f>'Cali Frames'!D$292</f>
        <v>115.2375</v>
      </c>
      <c r="AG1750" s="115"/>
      <c r="AH1750" s="498">
        <f t="shared" si="640"/>
        <v>31.075000000000003</v>
      </c>
      <c r="AI1750" s="498"/>
      <c r="AJ1750" s="104">
        <f t="shared" si="641"/>
        <v>182.95161111111111</v>
      </c>
      <c r="AK1750" s="650">
        <f t="shared" si="631"/>
        <v>0.70562894431036027</v>
      </c>
      <c r="AL1750" s="225">
        <f>Table1[[#This Row],[WSP/Dealer]]/Table1[[#This Row],[OD Sq Inch]]</f>
        <v>0.48290598290598291</v>
      </c>
      <c r="AM1750" s="97">
        <f>Table1[[#This Row],[OD Wdth]]*Table1[[#This Row],[OD Hgt]]</f>
        <v>1287</v>
      </c>
      <c r="AN1750" s="216">
        <f>Table1[[#This Row],[Min VO]]+Table1[[#This Row],[Max VO]]</f>
        <v>68</v>
      </c>
      <c r="AO1750" s="101"/>
      <c r="AP1750" s="101"/>
      <c r="AQ1750" s="104"/>
      <c r="AR1750" s="104"/>
      <c r="AS1750" s="104"/>
      <c r="AT1750" s="104"/>
      <c r="AU1750" s="830" t="str">
        <f t="shared" si="623"/>
        <v>-</v>
      </c>
    </row>
    <row r="1751" spans="1:47" s="63" customFormat="1" x14ac:dyDescent="0.2">
      <c r="A1751" s="166" t="s">
        <v>58</v>
      </c>
      <c r="B1751" s="1061" t="s">
        <v>533</v>
      </c>
      <c r="C1751" s="158" t="s">
        <v>4087</v>
      </c>
      <c r="D1751" s="94" t="s">
        <v>4088</v>
      </c>
      <c r="E1751" s="158" t="s">
        <v>4089</v>
      </c>
      <c r="F1751" s="167" t="s">
        <v>386</v>
      </c>
      <c r="G1751" s="166" t="s">
        <v>1048</v>
      </c>
      <c r="H1751" s="166" t="s">
        <v>1048</v>
      </c>
      <c r="I1751" s="166" t="s">
        <v>52</v>
      </c>
      <c r="J1751" s="166" t="s">
        <v>53</v>
      </c>
      <c r="K1751" s="166" t="s">
        <v>54</v>
      </c>
      <c r="L1751" s="166" t="s">
        <v>55</v>
      </c>
      <c r="M1751" s="1040">
        <v>950</v>
      </c>
      <c r="N1751" s="639">
        <v>950</v>
      </c>
      <c r="O1751" s="166" t="s">
        <v>56</v>
      </c>
      <c r="P1751" s="188">
        <v>48</v>
      </c>
      <c r="Q1751" s="188">
        <v>60</v>
      </c>
      <c r="R1751" s="188">
        <v>48</v>
      </c>
      <c r="S1751" s="188">
        <v>60</v>
      </c>
      <c r="T1751" s="698">
        <f>Table1[[#This Row],[VO Wdth]]</f>
        <v>48</v>
      </c>
      <c r="U1751" s="698">
        <f>Table1[[#This Row],[VO Hgt]]</f>
        <v>60</v>
      </c>
      <c r="V1751" s="165">
        <f t="shared" si="637"/>
        <v>56</v>
      </c>
      <c r="W1751" s="165">
        <f t="shared" si="638"/>
        <v>68</v>
      </c>
      <c r="X1751" s="800">
        <v>69</v>
      </c>
      <c r="Y1751" s="188"/>
      <c r="Z1751" s="188"/>
      <c r="AA1751" s="815">
        <f t="shared" si="639"/>
        <v>26.444444444444443</v>
      </c>
      <c r="AB1751" s="721">
        <f>AA1751*IncaG</f>
        <v>556.39111111111106</v>
      </c>
      <c r="AC1751" s="606">
        <f>Table1[[#This Row],[Substrate SF]]*Paper</f>
        <v>35.779333333333334</v>
      </c>
      <c r="AD1751" s="21">
        <f>AA1751*IncaC</f>
        <v>44.511288888888885</v>
      </c>
      <c r="AE1751" s="104">
        <f>IF(Table1[[#This Row],[Work Center]]="SwissQ",Materials!G$37,IF(Table1[[#This Row],[Work Center]]="Inca",Materials!G$29,IF(Table1[[#This Row],[Work Center]]="Canon",Materials!G$49,Materials!G$45)))</f>
        <v>8</v>
      </c>
      <c r="AF1751" s="606">
        <f>'Cali FPS'!C$121</f>
        <v>188.18</v>
      </c>
      <c r="AG1751" s="115"/>
      <c r="AH1751" s="112">
        <f t="shared" si="640"/>
        <v>47.5</v>
      </c>
      <c r="AI1751" s="112"/>
      <c r="AJ1751" s="606">
        <f t="shared" si="641"/>
        <v>323.97062222222223</v>
      </c>
      <c r="AK1751" s="62">
        <f t="shared" si="631"/>
        <v>0.65897829239766081</v>
      </c>
      <c r="AL1751" s="225">
        <f>Table1[[#This Row],[WSP/Dealer]]/Table1[[#This Row],[OD Sq Inch]]</f>
        <v>0.3298611111111111</v>
      </c>
      <c r="AM1751" s="218">
        <f>Table1[[#This Row],[OD Wdth]]*Table1[[#This Row],[OD Hgt]]</f>
        <v>2880</v>
      </c>
      <c r="AN1751" s="216">
        <f>Table1[[#This Row],[Min VO]]+Table1[[#This Row],[Max VO]]</f>
        <v>108</v>
      </c>
      <c r="AO1751" s="188"/>
      <c r="AP1751" s="188"/>
      <c r="AQ1751" s="606"/>
      <c r="AR1751" s="606"/>
      <c r="AS1751" s="606"/>
      <c r="AT1751" s="606"/>
      <c r="AU1751" s="1667" t="str">
        <f t="shared" si="623"/>
        <v>-</v>
      </c>
    </row>
    <row r="1752" spans="1:47" s="63" customFormat="1" x14ac:dyDescent="0.2">
      <c r="A1752" s="68" t="s">
        <v>58</v>
      </c>
      <c r="B1752" s="1072" t="s">
        <v>121</v>
      </c>
      <c r="C1752" s="94" t="s">
        <v>4090</v>
      </c>
      <c r="D1752" s="94"/>
      <c r="E1752" s="627" t="s">
        <v>4091</v>
      </c>
      <c r="F1752" s="627" t="s">
        <v>386</v>
      </c>
      <c r="G1752" s="68" t="s">
        <v>2016</v>
      </c>
      <c r="H1752" s="68" t="s">
        <v>4092</v>
      </c>
      <c r="I1752" s="68" t="s">
        <v>52</v>
      </c>
      <c r="J1752" s="140" t="s">
        <v>53</v>
      </c>
      <c r="K1752" s="68" t="s">
        <v>82</v>
      </c>
      <c r="L1752" s="68" t="s">
        <v>70</v>
      </c>
      <c r="M1752" s="141">
        <v>1600</v>
      </c>
      <c r="N1752" s="93"/>
      <c r="O1752" s="274" t="s">
        <v>64</v>
      </c>
      <c r="P1752" s="274">
        <v>64</v>
      </c>
      <c r="Q1752" s="274">
        <v>80</v>
      </c>
      <c r="R1752" s="274">
        <v>64</v>
      </c>
      <c r="S1752" s="274">
        <v>80</v>
      </c>
      <c r="T1752" s="68">
        <v>61</v>
      </c>
      <c r="U1752" s="68">
        <v>81</v>
      </c>
      <c r="V1752" s="66">
        <f t="shared" si="637"/>
        <v>72</v>
      </c>
      <c r="W1752" s="66">
        <f t="shared" si="638"/>
        <v>88</v>
      </c>
      <c r="X1752" s="68">
        <v>82</v>
      </c>
      <c r="Y1752" s="68">
        <v>72</v>
      </c>
      <c r="Z1752" s="68">
        <v>88</v>
      </c>
      <c r="AA1752" s="952">
        <f t="shared" si="639"/>
        <v>44</v>
      </c>
      <c r="AB1752" s="1130">
        <f t="shared" ref="AB1752:AB1758" si="642">AA1752*Swiss1</f>
        <v>1245.2</v>
      </c>
      <c r="AC1752" s="278">
        <f t="shared" ref="AC1752:AC1758" si="643">AA1752*Canvas</f>
        <v>29.040000000000003</v>
      </c>
      <c r="AD1752" s="263">
        <f>Table1[[#This Row],[Substrate SF]]*Materials!C$37</f>
        <v>123.19999999999999</v>
      </c>
      <c r="AE1752" s="278">
        <f>IF(Table1[[#This Row],[Work Center]]="SwissQ",Materials!G$37,IF(Table1[[#This Row],[Work Center]]="Inca",Materials!G$29,IF(Table1[[#This Row],[Work Center]]="Canon",Materials!G$49,Materials!G$45)))</f>
        <v>20</v>
      </c>
      <c r="AF1752" s="73">
        <f>'Cali Frames'!D352</f>
        <v>375</v>
      </c>
      <c r="AG1752" s="84"/>
      <c r="AH1752" s="405">
        <f t="shared" si="640"/>
        <v>80</v>
      </c>
      <c r="AI1752" s="405"/>
      <c r="AJ1752" s="406">
        <f t="shared" si="641"/>
        <v>627.24</v>
      </c>
      <c r="AK1752" s="1068">
        <f t="shared" si="631"/>
        <v>0.60797500000000004</v>
      </c>
      <c r="AL1752" s="406">
        <f>Table1[[#This Row],[WSP/Dealer]]/Table1[[#This Row],[OD Sq Inch]]</f>
        <v>0.32382108884841126</v>
      </c>
      <c r="AM1752" s="399">
        <f>Table1[[#This Row],[OD Wdth]]*Table1[[#This Row],[OD Hgt]]</f>
        <v>4941</v>
      </c>
      <c r="AN1752" s="400">
        <f>Table1[[#This Row],[Min VO]]+Table1[[#This Row],[Max VO]]</f>
        <v>144</v>
      </c>
      <c r="AO1752" s="84"/>
      <c r="AP1752" s="84"/>
      <c r="AQ1752" s="126"/>
      <c r="AR1752" s="126"/>
      <c r="AS1752" s="126"/>
      <c r="AT1752" s="74"/>
      <c r="AU1752" s="1357" t="str">
        <f t="shared" si="623"/>
        <v>-</v>
      </c>
    </row>
    <row r="1753" spans="1:47" s="63" customFormat="1" x14ac:dyDescent="0.2">
      <c r="A1753" s="68" t="s">
        <v>58</v>
      </c>
      <c r="B1753" s="1072" t="s">
        <v>121</v>
      </c>
      <c r="C1753" s="94" t="s">
        <v>4093</v>
      </c>
      <c r="D1753" s="94"/>
      <c r="E1753" s="627" t="s">
        <v>4091</v>
      </c>
      <c r="F1753" s="627" t="s">
        <v>386</v>
      </c>
      <c r="G1753" s="68" t="s">
        <v>2016</v>
      </c>
      <c r="H1753" s="68" t="s">
        <v>4092</v>
      </c>
      <c r="I1753" s="68" t="s">
        <v>52</v>
      </c>
      <c r="J1753" s="140" t="s">
        <v>53</v>
      </c>
      <c r="K1753" s="68" t="s">
        <v>82</v>
      </c>
      <c r="L1753" s="68" t="s">
        <v>73</v>
      </c>
      <c r="M1753" s="141">
        <v>1600</v>
      </c>
      <c r="N1753" s="93"/>
      <c r="O1753" s="274" t="s">
        <v>64</v>
      </c>
      <c r="P1753" s="274">
        <v>64</v>
      </c>
      <c r="Q1753" s="274">
        <v>80</v>
      </c>
      <c r="R1753" s="274">
        <v>64</v>
      </c>
      <c r="S1753" s="170">
        <v>80</v>
      </c>
      <c r="T1753" s="68">
        <v>61</v>
      </c>
      <c r="U1753" s="68">
        <v>81</v>
      </c>
      <c r="V1753" s="66">
        <f t="shared" si="637"/>
        <v>72</v>
      </c>
      <c r="W1753" s="66">
        <f t="shared" si="638"/>
        <v>88</v>
      </c>
      <c r="X1753" s="68">
        <v>82</v>
      </c>
      <c r="Y1753" s="68">
        <v>72</v>
      </c>
      <c r="Z1753" s="68">
        <v>88</v>
      </c>
      <c r="AA1753" s="952">
        <f t="shared" si="639"/>
        <v>44</v>
      </c>
      <c r="AB1753" s="1130">
        <f t="shared" si="642"/>
        <v>1245.2</v>
      </c>
      <c r="AC1753" s="278">
        <f t="shared" si="643"/>
        <v>29.040000000000003</v>
      </c>
      <c r="AD1753" s="263">
        <f>Table1[[#This Row],[Substrate SF]]*Materials!C$37</f>
        <v>123.19999999999999</v>
      </c>
      <c r="AE1753" s="278">
        <f>IF(Table1[[#This Row],[Work Center]]="SwissQ",Materials!G$37,IF(Table1[[#This Row],[Work Center]]="Inca",Materials!G$29,IF(Table1[[#This Row],[Work Center]]="Canon",Materials!G$49,Materials!G$45)))</f>
        <v>20</v>
      </c>
      <c r="AF1753" s="73">
        <f>'Cali Frames'!D485</f>
        <v>380</v>
      </c>
      <c r="AG1753" s="84"/>
      <c r="AH1753" s="405">
        <f t="shared" si="640"/>
        <v>80</v>
      </c>
      <c r="AI1753" s="405"/>
      <c r="AJ1753" s="406">
        <f t="shared" si="641"/>
        <v>632.24</v>
      </c>
      <c r="AK1753" s="1068">
        <f t="shared" si="631"/>
        <v>0.60485</v>
      </c>
      <c r="AL1753" s="406">
        <f>Table1[[#This Row],[WSP/Dealer]]/Table1[[#This Row],[OD Sq Inch]]</f>
        <v>0.32382108884841126</v>
      </c>
      <c r="AM1753" s="399">
        <f>Table1[[#This Row],[OD Wdth]]*Table1[[#This Row],[OD Hgt]]</f>
        <v>4941</v>
      </c>
      <c r="AN1753" s="400">
        <f>Table1[[#This Row],[Min VO]]+Table1[[#This Row],[Max VO]]</f>
        <v>144</v>
      </c>
      <c r="AO1753" s="84"/>
      <c r="AP1753" s="84"/>
      <c r="AQ1753" s="126"/>
      <c r="AR1753" s="126"/>
      <c r="AS1753" s="126"/>
      <c r="AT1753" s="74"/>
      <c r="AU1753" s="1357" t="str">
        <f t="shared" si="623"/>
        <v>-</v>
      </c>
    </row>
    <row r="1754" spans="1:47" s="63" customFormat="1" x14ac:dyDescent="0.2">
      <c r="A1754" s="68" t="s">
        <v>58</v>
      </c>
      <c r="B1754" s="1072" t="s">
        <v>121</v>
      </c>
      <c r="C1754" s="94" t="s">
        <v>4094</v>
      </c>
      <c r="D1754" s="94"/>
      <c r="E1754" s="627" t="s">
        <v>4091</v>
      </c>
      <c r="F1754" s="627" t="s">
        <v>386</v>
      </c>
      <c r="G1754" s="68" t="s">
        <v>2016</v>
      </c>
      <c r="H1754" s="68" t="s">
        <v>4092</v>
      </c>
      <c r="I1754" s="68" t="s">
        <v>52</v>
      </c>
      <c r="J1754" s="140" t="s">
        <v>53</v>
      </c>
      <c r="K1754" s="68" t="s">
        <v>82</v>
      </c>
      <c r="L1754" s="68" t="s">
        <v>76</v>
      </c>
      <c r="M1754" s="141">
        <v>1650</v>
      </c>
      <c r="N1754" s="93"/>
      <c r="O1754" s="274" t="s">
        <v>64</v>
      </c>
      <c r="P1754" s="274">
        <v>64</v>
      </c>
      <c r="Q1754" s="274">
        <v>80</v>
      </c>
      <c r="R1754" s="274">
        <v>64</v>
      </c>
      <c r="S1754" s="274">
        <v>80</v>
      </c>
      <c r="T1754" s="68">
        <v>61</v>
      </c>
      <c r="U1754" s="68">
        <v>81</v>
      </c>
      <c r="V1754" s="917">
        <f t="shared" si="637"/>
        <v>72</v>
      </c>
      <c r="W1754" s="917">
        <f t="shared" si="638"/>
        <v>88</v>
      </c>
      <c r="X1754" s="68">
        <v>82</v>
      </c>
      <c r="Y1754" s="68">
        <v>72</v>
      </c>
      <c r="Z1754" s="68">
        <v>88</v>
      </c>
      <c r="AA1754" s="952">
        <f t="shared" si="639"/>
        <v>44</v>
      </c>
      <c r="AB1754" s="1130">
        <f t="shared" si="642"/>
        <v>1245.2</v>
      </c>
      <c r="AC1754" s="278">
        <f t="shared" si="643"/>
        <v>29.040000000000003</v>
      </c>
      <c r="AD1754" s="263">
        <f>Table1[[#This Row],[Substrate SF]]*Materials!C$37</f>
        <v>123.19999999999999</v>
      </c>
      <c r="AE1754" s="278">
        <f>IF(Table1[[#This Row],[Work Center]]="SwissQ",Materials!G$37,IF(Table1[[#This Row],[Work Center]]="Inca",Materials!G$29,IF(Table1[[#This Row],[Work Center]]="Canon",Materials!G$49,Materials!G$45)))</f>
        <v>20</v>
      </c>
      <c r="AF1754" s="73">
        <f>'Cali Frames'!D389</f>
        <v>355.92</v>
      </c>
      <c r="AG1754" s="84"/>
      <c r="AH1754" s="406">
        <f t="shared" si="640"/>
        <v>82.5</v>
      </c>
      <c r="AI1754" s="406"/>
      <c r="AJ1754" s="406">
        <f t="shared" si="641"/>
        <v>610.66</v>
      </c>
      <c r="AK1754" s="1065">
        <f t="shared" si="631"/>
        <v>0.62990303030303041</v>
      </c>
      <c r="AL1754" s="406">
        <f>Table1[[#This Row],[WSP/Dealer]]/Table1[[#This Row],[OD Sq Inch]]</f>
        <v>0.33394049787492408</v>
      </c>
      <c r="AM1754" s="399">
        <f>Table1[[#This Row],[OD Wdth]]*Table1[[#This Row],[OD Hgt]]</f>
        <v>4941</v>
      </c>
      <c r="AN1754" s="400">
        <f>Table1[[#This Row],[Min VO]]+Table1[[#This Row],[Max VO]]</f>
        <v>144</v>
      </c>
      <c r="AO1754" s="84"/>
      <c r="AP1754" s="84"/>
      <c r="AQ1754" s="126"/>
      <c r="AR1754" s="126"/>
      <c r="AS1754" s="126"/>
      <c r="AT1754" s="74"/>
      <c r="AU1754" s="1357" t="str">
        <f t="shared" si="623"/>
        <v>-</v>
      </c>
    </row>
    <row r="1755" spans="1:47" s="63" customFormat="1" x14ac:dyDescent="0.2">
      <c r="A1755" s="101" t="s">
        <v>58</v>
      </c>
      <c r="B1755" s="1067" t="s">
        <v>121</v>
      </c>
      <c r="C1755" s="168" t="s">
        <v>4095</v>
      </c>
      <c r="D1755" s="94" t="s">
        <v>4096</v>
      </c>
      <c r="E1755" s="625" t="s">
        <v>4091</v>
      </c>
      <c r="F1755" s="625" t="s">
        <v>386</v>
      </c>
      <c r="G1755" s="101" t="s">
        <v>2016</v>
      </c>
      <c r="H1755" s="101" t="s">
        <v>2016</v>
      </c>
      <c r="I1755" s="101" t="s">
        <v>52</v>
      </c>
      <c r="J1755" s="487" t="s">
        <v>53</v>
      </c>
      <c r="K1755" s="101" t="s">
        <v>54</v>
      </c>
      <c r="L1755" s="101" t="s">
        <v>55</v>
      </c>
      <c r="M1755" s="299">
        <v>1450</v>
      </c>
      <c r="N1755" s="114"/>
      <c r="O1755" s="400" t="s">
        <v>64</v>
      </c>
      <c r="P1755" s="400">
        <v>64</v>
      </c>
      <c r="Q1755" s="400">
        <v>80</v>
      </c>
      <c r="R1755" s="400">
        <v>64</v>
      </c>
      <c r="S1755" s="400">
        <v>80</v>
      </c>
      <c r="T1755" s="400">
        <v>64</v>
      </c>
      <c r="U1755" s="400">
        <v>80</v>
      </c>
      <c r="V1755" s="106">
        <f t="shared" si="637"/>
        <v>72</v>
      </c>
      <c r="W1755" s="106">
        <f t="shared" si="638"/>
        <v>88</v>
      </c>
      <c r="X1755" s="137">
        <v>82</v>
      </c>
      <c r="Y1755" s="101">
        <v>72</v>
      </c>
      <c r="Z1755" s="101">
        <v>88</v>
      </c>
      <c r="AA1755" s="1069">
        <f t="shared" si="639"/>
        <v>44</v>
      </c>
      <c r="AB1755" s="1015">
        <f t="shared" si="642"/>
        <v>1245.2</v>
      </c>
      <c r="AC1755" s="406">
        <f t="shared" si="643"/>
        <v>29.040000000000003</v>
      </c>
      <c r="AD1755" s="405">
        <f>Table1[[#This Row],[Substrate SF]]*Materials!C$37</f>
        <v>123.19999999999999</v>
      </c>
      <c r="AE1755" s="406">
        <f>IF(Table1[[#This Row],[Work Center]]="SwissQ",Materials!G$37,IF(Table1[[#This Row],[Work Center]]="Inca",Materials!G$29,IF(Table1[[#This Row],[Work Center]]="Canon",Materials!G$49,Materials!G$45)))</f>
        <v>20</v>
      </c>
      <c r="AF1755" s="102">
        <f>'Cali FPS'!C161</f>
        <v>253.22499999999997</v>
      </c>
      <c r="AG1755" s="115"/>
      <c r="AH1755" s="405">
        <f t="shared" si="640"/>
        <v>72.5</v>
      </c>
      <c r="AI1755" s="405"/>
      <c r="AJ1755" s="406">
        <f t="shared" si="641"/>
        <v>497.96499999999992</v>
      </c>
      <c r="AK1755" s="1068">
        <f t="shared" si="631"/>
        <v>0.65657586206896557</v>
      </c>
      <c r="AL1755" s="406">
        <f>Table1[[#This Row],[WSP/Dealer]]/Table1[[#This Row],[OD Sq Inch]]</f>
        <v>0.283203125</v>
      </c>
      <c r="AM1755" s="399">
        <f>Table1[[#This Row],[OD Wdth]]*Table1[[#This Row],[OD Hgt]]</f>
        <v>5120</v>
      </c>
      <c r="AN1755" s="400">
        <f>Table1[[#This Row],[Min VO]]+Table1[[#This Row],[Max VO]]</f>
        <v>144</v>
      </c>
      <c r="AO1755" s="115"/>
      <c r="AP1755" s="115"/>
      <c r="AQ1755" s="121"/>
      <c r="AR1755" s="121"/>
      <c r="AS1755" s="121"/>
      <c r="AT1755" s="104"/>
      <c r="AU1755" s="1359" t="str">
        <f t="shared" si="623"/>
        <v>-</v>
      </c>
    </row>
    <row r="1756" spans="1:47" s="63" customFormat="1" x14ac:dyDescent="0.2">
      <c r="A1756" s="68" t="s">
        <v>58</v>
      </c>
      <c r="B1756" s="1072" t="s">
        <v>121</v>
      </c>
      <c r="C1756" s="94" t="s">
        <v>4097</v>
      </c>
      <c r="D1756" s="94"/>
      <c r="E1756" s="627" t="s">
        <v>4091</v>
      </c>
      <c r="F1756" s="627" t="s">
        <v>386</v>
      </c>
      <c r="G1756" s="68" t="s">
        <v>2016</v>
      </c>
      <c r="H1756" s="68" t="s">
        <v>2017</v>
      </c>
      <c r="I1756" s="68" t="s">
        <v>52</v>
      </c>
      <c r="J1756" s="140" t="s">
        <v>53</v>
      </c>
      <c r="K1756" s="68" t="s">
        <v>69</v>
      </c>
      <c r="L1756" s="68" t="s">
        <v>83</v>
      </c>
      <c r="M1756" s="141">
        <v>1600</v>
      </c>
      <c r="N1756" s="93"/>
      <c r="O1756" s="274" t="s">
        <v>64</v>
      </c>
      <c r="P1756" s="274">
        <v>64</v>
      </c>
      <c r="Q1756" s="274">
        <v>80</v>
      </c>
      <c r="R1756" s="274">
        <v>64</v>
      </c>
      <c r="S1756" s="274">
        <v>80</v>
      </c>
      <c r="T1756" s="68">
        <v>66</v>
      </c>
      <c r="U1756" s="68">
        <v>82</v>
      </c>
      <c r="V1756" s="917">
        <f t="shared" si="637"/>
        <v>72</v>
      </c>
      <c r="W1756" s="917">
        <f t="shared" si="638"/>
        <v>88</v>
      </c>
      <c r="X1756" s="68">
        <v>82</v>
      </c>
      <c r="Y1756" s="68">
        <v>72</v>
      </c>
      <c r="Z1756" s="68">
        <v>88</v>
      </c>
      <c r="AA1756" s="952">
        <f t="shared" si="639"/>
        <v>44</v>
      </c>
      <c r="AB1756" s="1130">
        <f t="shared" si="642"/>
        <v>1245.2</v>
      </c>
      <c r="AC1756" s="278">
        <f t="shared" si="643"/>
        <v>29.040000000000003</v>
      </c>
      <c r="AD1756" s="278">
        <f>Table1[[#This Row],[Substrate SF]]*Materials!C$37</f>
        <v>123.19999999999999</v>
      </c>
      <c r="AE1756" s="278">
        <f>IF(Table1[[#This Row],[Work Center]]="SwissQ",Materials!G$37,IF(Table1[[#This Row],[Work Center]]="Inca",Materials!G$29,IF(Table1[[#This Row],[Work Center]]="Canon",Materials!G$49,Materials!G$45)))</f>
        <v>20</v>
      </c>
      <c r="AF1756" s="73" t="e">
        <f>'Cali Frames'!#REF!</f>
        <v>#REF!</v>
      </c>
      <c r="AG1756" s="84"/>
      <c r="AH1756" s="406">
        <f t="shared" si="640"/>
        <v>80</v>
      </c>
      <c r="AI1756" s="406"/>
      <c r="AJ1756" s="406" t="e">
        <f t="shared" si="641"/>
        <v>#REF!</v>
      </c>
      <c r="AK1756" s="1065" t="e">
        <f t="shared" si="631"/>
        <v>#REF!</v>
      </c>
      <c r="AL1756" s="406">
        <f>Table1[[#This Row],[WSP/Dealer]]/Table1[[#This Row],[OD Sq Inch]]</f>
        <v>0.29563932002956395</v>
      </c>
      <c r="AM1756" s="400">
        <f>Table1[[#This Row],[OD Wdth]]*Table1[[#This Row],[OD Hgt]]</f>
        <v>5412</v>
      </c>
      <c r="AN1756" s="400">
        <f>Table1[[#This Row],[Min VO]]+Table1[[#This Row],[Max VO]]</f>
        <v>144</v>
      </c>
      <c r="AO1756" s="84"/>
      <c r="AP1756" s="84"/>
      <c r="AQ1756" s="126"/>
      <c r="AR1756" s="126"/>
      <c r="AS1756" s="126"/>
      <c r="AT1756" s="74"/>
      <c r="AU1756" s="1357" t="str">
        <f t="shared" si="623"/>
        <v>-</v>
      </c>
    </row>
    <row r="1757" spans="1:47" s="63" customFormat="1" x14ac:dyDescent="0.2">
      <c r="A1757" s="68" t="s">
        <v>58</v>
      </c>
      <c r="B1757" s="1072" t="s">
        <v>121</v>
      </c>
      <c r="C1757" s="94" t="s">
        <v>4098</v>
      </c>
      <c r="D1757" s="94"/>
      <c r="E1757" s="627" t="s">
        <v>4091</v>
      </c>
      <c r="F1757" s="627" t="s">
        <v>386</v>
      </c>
      <c r="G1757" s="68" t="s">
        <v>2016</v>
      </c>
      <c r="H1757" s="68" t="s">
        <v>2017</v>
      </c>
      <c r="I1757" s="68" t="s">
        <v>52</v>
      </c>
      <c r="J1757" s="140" t="s">
        <v>53</v>
      </c>
      <c r="K1757" s="68" t="s">
        <v>69</v>
      </c>
      <c r="L1757" s="68" t="s">
        <v>334</v>
      </c>
      <c r="M1757" s="141">
        <v>1600</v>
      </c>
      <c r="N1757" s="93"/>
      <c r="O1757" s="274" t="s">
        <v>64</v>
      </c>
      <c r="P1757" s="274">
        <v>64</v>
      </c>
      <c r="Q1757" s="274">
        <v>80</v>
      </c>
      <c r="R1757" s="274">
        <v>64</v>
      </c>
      <c r="S1757" s="274">
        <v>80</v>
      </c>
      <c r="T1757" s="68">
        <v>66</v>
      </c>
      <c r="U1757" s="68">
        <v>82</v>
      </c>
      <c r="V1757" s="66">
        <f t="shared" si="637"/>
        <v>72</v>
      </c>
      <c r="W1757" s="66">
        <f t="shared" si="638"/>
        <v>88</v>
      </c>
      <c r="X1757" s="68">
        <v>82</v>
      </c>
      <c r="Y1757" s="68">
        <v>72</v>
      </c>
      <c r="Z1757" s="68">
        <v>88</v>
      </c>
      <c r="AA1757" s="952">
        <f t="shared" si="639"/>
        <v>44</v>
      </c>
      <c r="AB1757" s="1130">
        <f t="shared" si="642"/>
        <v>1245.2</v>
      </c>
      <c r="AC1757" s="278">
        <f t="shared" si="643"/>
        <v>29.040000000000003</v>
      </c>
      <c r="AD1757" s="263">
        <f>Table1[[#This Row],[Substrate SF]]*Materials!C$37</f>
        <v>123.19999999999999</v>
      </c>
      <c r="AE1757" s="278">
        <f>IF(Table1[[#This Row],[Work Center]]="SwissQ",Materials!G$37,IF(Table1[[#This Row],[Work Center]]="Inca",Materials!G$29,IF(Table1[[#This Row],[Work Center]]="Canon",Materials!G$49,Materials!G$45)))</f>
        <v>20</v>
      </c>
      <c r="AF1757" s="73">
        <f>'Cali Frames'!D220</f>
        <v>380</v>
      </c>
      <c r="AG1757" s="84"/>
      <c r="AH1757" s="405">
        <f t="shared" si="640"/>
        <v>80</v>
      </c>
      <c r="AI1757" s="405"/>
      <c r="AJ1757" s="405">
        <f t="shared" si="641"/>
        <v>632.24</v>
      </c>
      <c r="AK1757" s="1068">
        <f t="shared" si="631"/>
        <v>0.60485</v>
      </c>
      <c r="AL1757" s="406">
        <f>Table1[[#This Row],[WSP/Dealer]]/Table1[[#This Row],[OD Sq Inch]]</f>
        <v>0.29563932002956395</v>
      </c>
      <c r="AM1757" s="399">
        <f>Table1[[#This Row],[OD Wdth]]*Table1[[#This Row],[OD Hgt]]</f>
        <v>5412</v>
      </c>
      <c r="AN1757" s="400">
        <f>Table1[[#This Row],[Min VO]]+Table1[[#This Row],[Max VO]]</f>
        <v>144</v>
      </c>
      <c r="AO1757" s="84"/>
      <c r="AP1757" s="84"/>
      <c r="AQ1757" s="126"/>
      <c r="AR1757" s="126"/>
      <c r="AS1757" s="126"/>
      <c r="AT1757" s="74"/>
      <c r="AU1757" s="1357" t="str">
        <f t="shared" si="623"/>
        <v>-</v>
      </c>
    </row>
    <row r="1758" spans="1:47" s="63" customFormat="1" x14ac:dyDescent="0.2">
      <c r="A1758" s="68" t="s">
        <v>58</v>
      </c>
      <c r="B1758" s="1072" t="s">
        <v>121</v>
      </c>
      <c r="C1758" s="94" t="s">
        <v>4099</v>
      </c>
      <c r="D1758" s="94"/>
      <c r="E1758" s="627" t="s">
        <v>4091</v>
      </c>
      <c r="F1758" s="627" t="s">
        <v>386</v>
      </c>
      <c r="G1758" s="68" t="s">
        <v>2016</v>
      </c>
      <c r="H1758" s="68" t="s">
        <v>2017</v>
      </c>
      <c r="I1758" s="68" t="s">
        <v>52</v>
      </c>
      <c r="J1758" s="140" t="s">
        <v>53</v>
      </c>
      <c r="K1758" s="68" t="s">
        <v>69</v>
      </c>
      <c r="L1758" s="68" t="s">
        <v>298</v>
      </c>
      <c r="M1758" s="141">
        <v>1650</v>
      </c>
      <c r="N1758" s="93"/>
      <c r="O1758" s="274" t="s">
        <v>64</v>
      </c>
      <c r="P1758" s="274">
        <v>64</v>
      </c>
      <c r="Q1758" s="274">
        <v>80</v>
      </c>
      <c r="R1758" s="274">
        <v>64</v>
      </c>
      <c r="S1758" s="274">
        <v>80</v>
      </c>
      <c r="T1758" s="68">
        <v>66</v>
      </c>
      <c r="U1758" s="68">
        <v>82</v>
      </c>
      <c r="V1758" s="66">
        <f t="shared" si="637"/>
        <v>72</v>
      </c>
      <c r="W1758" s="66">
        <f t="shared" si="638"/>
        <v>88</v>
      </c>
      <c r="X1758" s="68">
        <v>82</v>
      </c>
      <c r="Y1758" s="68">
        <v>72</v>
      </c>
      <c r="Z1758" s="68">
        <v>88</v>
      </c>
      <c r="AA1758" s="952">
        <f t="shared" si="639"/>
        <v>44</v>
      </c>
      <c r="AB1758" s="1130">
        <f t="shared" si="642"/>
        <v>1245.2</v>
      </c>
      <c r="AC1758" s="278">
        <f t="shared" si="643"/>
        <v>29.040000000000003</v>
      </c>
      <c r="AD1758" s="263">
        <f>Table1[[#This Row],[Substrate SF]]*Materials!C$37</f>
        <v>123.19999999999999</v>
      </c>
      <c r="AE1758" s="278">
        <f>IF(Table1[[#This Row],[Work Center]]="SwissQ",Materials!G$37,IF(Table1[[#This Row],[Work Center]]="Inca",Materials!G$29,IF(Table1[[#This Row],[Work Center]]="Canon",Materials!G$49,Materials!G$45)))</f>
        <v>20</v>
      </c>
      <c r="AF1758" s="73">
        <f>'Cali Frames'!D244</f>
        <v>380</v>
      </c>
      <c r="AG1758" s="84"/>
      <c r="AH1758" s="406">
        <f t="shared" si="640"/>
        <v>82.5</v>
      </c>
      <c r="AI1758" s="406"/>
      <c r="AJ1758" s="406">
        <f t="shared" si="641"/>
        <v>634.74</v>
      </c>
      <c r="AK1758" s="1065">
        <f t="shared" si="631"/>
        <v>0.61530909090909092</v>
      </c>
      <c r="AL1758" s="406">
        <f>Table1[[#This Row],[WSP/Dealer]]/Table1[[#This Row],[OD Sq Inch]]</f>
        <v>0.3048780487804878</v>
      </c>
      <c r="AM1758" s="399">
        <f>Table1[[#This Row],[OD Wdth]]*Table1[[#This Row],[OD Hgt]]</f>
        <v>5412</v>
      </c>
      <c r="AN1758" s="400">
        <f>Table1[[#This Row],[Min VO]]+Table1[[#This Row],[Max VO]]</f>
        <v>144</v>
      </c>
      <c r="AO1758" s="84"/>
      <c r="AP1758" s="84"/>
      <c r="AQ1758" s="126"/>
      <c r="AR1758" s="126"/>
      <c r="AS1758" s="126"/>
      <c r="AT1758" s="74"/>
      <c r="AU1758" s="1357" t="str">
        <f t="shared" si="623"/>
        <v>-</v>
      </c>
    </row>
    <row r="1759" spans="1:47" s="63" customFormat="1" hidden="1" x14ac:dyDescent="0.2">
      <c r="A1759" s="68" t="s">
        <v>101</v>
      </c>
      <c r="B1759" s="1072" t="s">
        <v>102</v>
      </c>
      <c r="C1759" s="94" t="s">
        <v>4100</v>
      </c>
      <c r="D1759" s="94"/>
      <c r="E1759" s="172" t="s">
        <v>4101</v>
      </c>
      <c r="F1759" s="172" t="s">
        <v>105</v>
      </c>
      <c r="G1759" s="68" t="s">
        <v>519</v>
      </c>
      <c r="H1759" s="68" t="s">
        <v>519</v>
      </c>
      <c r="I1759" s="68" t="s">
        <v>108</v>
      </c>
      <c r="J1759" s="140" t="s">
        <v>53</v>
      </c>
      <c r="K1759" s="68" t="s">
        <v>119</v>
      </c>
      <c r="L1759" s="68" t="s">
        <v>120</v>
      </c>
      <c r="M1759" s="141">
        <v>187</v>
      </c>
      <c r="N1759" s="93"/>
      <c r="O1759" s="68" t="s">
        <v>109</v>
      </c>
      <c r="P1759" s="68">
        <v>16</v>
      </c>
      <c r="Q1759" s="68">
        <v>20</v>
      </c>
      <c r="R1759" s="68"/>
      <c r="S1759" s="68">
        <v>20</v>
      </c>
      <c r="T1759" s="68">
        <v>16</v>
      </c>
      <c r="U1759" s="68">
        <v>20</v>
      </c>
      <c r="V1759" s="277">
        <f>IF(J1759="Canvas",P1759+BorderL,P1759)</f>
        <v>27</v>
      </c>
      <c r="W1759" s="277">
        <f>IF(J1759="Canvas",Q1759+BorderL,Q1759)</f>
        <v>31</v>
      </c>
      <c r="X1759" s="68">
        <v>40</v>
      </c>
      <c r="Y1759" s="686">
        <f>Table1[[#This Row],[Print Wth]]</f>
        <v>27</v>
      </c>
      <c r="Z1759" s="686">
        <f>Table1[[#This Row],[Print Ht]]</f>
        <v>31</v>
      </c>
      <c r="AA1759" s="1027">
        <f>Table1[[#This Row],[Cut Width]]*Table1[[#This Row],[Cut Height]]/144</f>
        <v>5.8125</v>
      </c>
      <c r="AB1759" s="1130">
        <f>Table1[[#This Row],[Print Wth]]*Table1[[#This Row],[Print Ht]]/144*EPSONM</f>
        <v>26.15625</v>
      </c>
      <c r="AC1759" s="278">
        <f>Table1[[#This Row],[Substrate SF]]*Canvas</f>
        <v>3.8362500000000002</v>
      </c>
      <c r="AD1759" s="263">
        <f>Table1[[#This Row],[Ink g/mL]]*EPSONC</f>
        <v>5.7543750000000005</v>
      </c>
      <c r="AE1759" s="74">
        <f>IF(Table1[[#This Row],[Work Center]]="SwissQ",Materials!G$37,IF(Table1[[#This Row],[Work Center]]="Inca",Materials!G$29,IF(Table1[[#This Row],[Work Center]]="Canon",Materials!G$49,Materials!G$45)))</f>
        <v>5</v>
      </c>
      <c r="AF1759" s="73">
        <f>'Cali FPS'!C191</f>
        <v>78.89</v>
      </c>
      <c r="AG1759" s="84"/>
      <c r="AH1759" s="67">
        <v>0</v>
      </c>
      <c r="AI1759" s="67"/>
      <c r="AJ1759" s="278">
        <f t="shared" si="641"/>
        <v>93.480625000000003</v>
      </c>
      <c r="AK1759" s="661">
        <f t="shared" si="631"/>
        <v>0.50010360962566847</v>
      </c>
      <c r="AL1759" s="240">
        <f>Table1[[#This Row],[WSP/Dealer]]/Table1[[#This Row],[OD Sq Inch]]</f>
        <v>0.58437499999999998</v>
      </c>
      <c r="AM1759" s="170">
        <f>Table1[[#This Row],[OD Wdth]]*Table1[[#This Row],[OD Hgt]]</f>
        <v>320</v>
      </c>
      <c r="AN1759" s="274">
        <f>Table1[[#This Row],[Min VO]]+Table1[[#This Row],[Max VO]]</f>
        <v>20</v>
      </c>
      <c r="AO1759" s="84"/>
      <c r="AP1759" s="84"/>
      <c r="AQ1759" s="126"/>
      <c r="AR1759" s="126"/>
      <c r="AS1759" s="126"/>
      <c r="AT1759" s="74"/>
      <c r="AU1759" s="1357" t="str">
        <f t="shared" si="623"/>
        <v>-</v>
      </c>
    </row>
    <row r="1760" spans="1:47" s="103" customFormat="1" x14ac:dyDescent="0.2">
      <c r="A1760" s="68" t="s">
        <v>581</v>
      </c>
      <c r="B1760" s="1061" t="s">
        <v>292</v>
      </c>
      <c r="C1760" s="79" t="s">
        <v>4102</v>
      </c>
      <c r="D1760" s="94" t="s">
        <v>4103</v>
      </c>
      <c r="E1760" s="172" t="s">
        <v>4104</v>
      </c>
      <c r="F1760" s="172" t="s">
        <v>99</v>
      </c>
      <c r="G1760" s="68" t="s">
        <v>449</v>
      </c>
      <c r="H1760" s="68" t="s">
        <v>1619</v>
      </c>
      <c r="I1760" s="68" t="s">
        <v>52</v>
      </c>
      <c r="J1760" s="140" t="s">
        <v>53</v>
      </c>
      <c r="K1760" s="68" t="s">
        <v>82</v>
      </c>
      <c r="L1760" s="68" t="s">
        <v>298</v>
      </c>
      <c r="M1760" s="141">
        <v>700</v>
      </c>
      <c r="N1760" s="785">
        <f>Table1[[#This Row],[WSP/Dealer]]/0.35</f>
        <v>2000.0000000000002</v>
      </c>
      <c r="O1760" s="68" t="s">
        <v>56</v>
      </c>
      <c r="P1760" s="68">
        <v>36</v>
      </c>
      <c r="Q1760" s="68">
        <v>36</v>
      </c>
      <c r="R1760" s="68">
        <v>36</v>
      </c>
      <c r="S1760" s="68">
        <v>36</v>
      </c>
      <c r="T1760" s="623">
        <v>37</v>
      </c>
      <c r="U1760" s="623">
        <v>37</v>
      </c>
      <c r="V1760" s="277">
        <f>IF(J1760="Canvas",P1760+BorderL,P1760)</f>
        <v>47</v>
      </c>
      <c r="W1760" s="277">
        <f>IF(J1760="Canvas",Q1760+BorderL,Q1760)</f>
        <v>47</v>
      </c>
      <c r="X1760" s="68">
        <v>53</v>
      </c>
      <c r="Y1760" s="68">
        <v>47</v>
      </c>
      <c r="Z1760" s="68">
        <v>47</v>
      </c>
      <c r="AA1760" s="727">
        <f>V1760*W1760/144</f>
        <v>15.340277777777779</v>
      </c>
      <c r="AB1760" s="341">
        <f>AA1760*IncaG</f>
        <v>322.75944444444445</v>
      </c>
      <c r="AC1760" s="278">
        <f>AA1760*Canvas</f>
        <v>10.124583333333334</v>
      </c>
      <c r="AD1760" s="263">
        <f>AA1760*IncaC</f>
        <v>25.820755555555557</v>
      </c>
      <c r="AE1760" s="278">
        <f>IF(Table1[[#This Row],[Work Center]]="SwissQ",Materials!G$37,IF(Table1[[#This Row],[Work Center]]="Inca",Materials!G$29,IF(Table1[[#This Row],[Work Center]]="Canon",Materials!G$49,Materials!G$45)))</f>
        <v>8</v>
      </c>
      <c r="AF1760" s="73">
        <f>'Cali Frames'!D232</f>
        <v>120.7</v>
      </c>
      <c r="AG1760" s="540"/>
      <c r="AH1760" s="67">
        <f>(M1760*0.05)</f>
        <v>35</v>
      </c>
      <c r="AI1760" s="67"/>
      <c r="AJ1760" s="263">
        <f t="shared" si="641"/>
        <v>199.64533888888889</v>
      </c>
      <c r="AK1760" s="661">
        <f t="shared" si="631"/>
        <v>0.71479237301587306</v>
      </c>
      <c r="AL1760" s="240">
        <f>Table1[[#This Row],[WSP/Dealer]]/Table1[[#This Row],[OD Sq Inch]]</f>
        <v>0.51132213294375461</v>
      </c>
      <c r="AM1760" s="170">
        <f>Table1[[#This Row],[OD Wdth]]*Table1[[#This Row],[OD Hgt]]</f>
        <v>1369</v>
      </c>
      <c r="AN1760" s="274">
        <f>Table1[[#This Row],[Min VO]]+Table1[[#This Row],[Max VO]]</f>
        <v>72</v>
      </c>
      <c r="AO1760" s="119"/>
      <c r="AP1760" s="84"/>
      <c r="AQ1760" s="126"/>
      <c r="AR1760" s="126"/>
      <c r="AS1760" s="126"/>
      <c r="AT1760" s="74"/>
      <c r="AU1760" s="1356" t="str">
        <f t="shared" si="623"/>
        <v>-</v>
      </c>
    </row>
    <row r="1761" spans="1:47" s="103" customFormat="1" x14ac:dyDescent="0.2">
      <c r="A1761" s="101" t="s">
        <v>581</v>
      </c>
      <c r="B1761" s="1061" t="s">
        <v>292</v>
      </c>
      <c r="C1761" s="168" t="s">
        <v>4105</v>
      </c>
      <c r="D1761" s="94" t="s">
        <v>4106</v>
      </c>
      <c r="E1761" s="169" t="s">
        <v>4104</v>
      </c>
      <c r="F1761" s="169" t="s">
        <v>99</v>
      </c>
      <c r="G1761" s="101" t="s">
        <v>449</v>
      </c>
      <c r="H1761" s="101" t="s">
        <v>1619</v>
      </c>
      <c r="I1761" s="101" t="s">
        <v>52</v>
      </c>
      <c r="J1761" s="487" t="s">
        <v>53</v>
      </c>
      <c r="K1761" s="101" t="s">
        <v>82</v>
      </c>
      <c r="L1761" s="101" t="s">
        <v>76</v>
      </c>
      <c r="M1761" s="114">
        <v>700</v>
      </c>
      <c r="N1761" s="833">
        <f>Table1[[#This Row],[WSP/Dealer]]/0.35</f>
        <v>2000.0000000000002</v>
      </c>
      <c r="O1761" s="101" t="s">
        <v>56</v>
      </c>
      <c r="P1761" s="101">
        <v>36</v>
      </c>
      <c r="Q1761" s="101">
        <v>36</v>
      </c>
      <c r="R1761" s="101">
        <v>36</v>
      </c>
      <c r="S1761" s="101">
        <v>36</v>
      </c>
      <c r="T1761" s="697">
        <v>37</v>
      </c>
      <c r="U1761" s="697">
        <v>37</v>
      </c>
      <c r="V1761" s="404">
        <f>IF(J1761="Canvas",P1761+BorderL,P1761)</f>
        <v>47</v>
      </c>
      <c r="W1761" s="404">
        <f>IF(J1761="Canvas",Q1761+BorderL,Q1761)</f>
        <v>47</v>
      </c>
      <c r="X1761" s="101">
        <v>53</v>
      </c>
      <c r="Y1761" s="101">
        <v>47</v>
      </c>
      <c r="Z1761" s="101">
        <v>47</v>
      </c>
      <c r="AA1761" s="724">
        <f>V1761*W1761/144</f>
        <v>15.340277777777779</v>
      </c>
      <c r="AB1761" s="633">
        <f>AA1761*IncaG</f>
        <v>322.75944444444445</v>
      </c>
      <c r="AC1761" s="406">
        <f>AA1761*Canvas</f>
        <v>10.124583333333334</v>
      </c>
      <c r="AD1761" s="405">
        <f>AA1761*IncaC</f>
        <v>25.820755555555557</v>
      </c>
      <c r="AE1761" s="406">
        <f>IF(Table1[[#This Row],[Work Center]]="SwissQ",Materials!G$37,IF(Table1[[#This Row],[Work Center]]="Inca",Materials!G$29,IF(Table1[[#This Row],[Work Center]]="Canon",Materials!G$49,Materials!G$45)))</f>
        <v>8</v>
      </c>
      <c r="AF1761" s="102">
        <f>'Cali Frames'!D370</f>
        <v>129.68</v>
      </c>
      <c r="AG1761" s="540"/>
      <c r="AH1761" s="104">
        <f>(M1761*0.05)</f>
        <v>35</v>
      </c>
      <c r="AI1761" s="104"/>
      <c r="AJ1761" s="406">
        <f t="shared" si="641"/>
        <v>208.6253388888889</v>
      </c>
      <c r="AK1761" s="830">
        <f t="shared" si="631"/>
        <v>0.70196380158730154</v>
      </c>
      <c r="AL1761" s="660">
        <f>Table1[[#This Row],[WSP/Dealer]]/Table1[[#This Row],[OD Sq Inch]]</f>
        <v>0.51132213294375461</v>
      </c>
      <c r="AM1761" s="399">
        <f>Table1[[#This Row],[OD Wdth]]*Table1[[#This Row],[OD Hgt]]</f>
        <v>1369</v>
      </c>
      <c r="AN1761" s="400">
        <f>Table1[[#This Row],[Min VO]]+Table1[[#This Row],[Max VO]]</f>
        <v>72</v>
      </c>
      <c r="AO1761" s="115"/>
      <c r="AP1761" s="115"/>
      <c r="AQ1761" s="121"/>
      <c r="AR1761" s="121"/>
      <c r="AS1761" s="121"/>
      <c r="AT1761" s="104"/>
      <c r="AU1761" s="1359" t="str">
        <f t="shared" si="623"/>
        <v>-</v>
      </c>
    </row>
    <row r="1762" spans="1:47" s="399" customFormat="1" x14ac:dyDescent="0.2">
      <c r="A1762" s="60" t="s">
        <v>58</v>
      </c>
      <c r="B1762" s="1071" t="s">
        <v>111</v>
      </c>
      <c r="C1762" s="79" t="s">
        <v>4107</v>
      </c>
      <c r="D1762" s="79"/>
      <c r="E1762" s="99" t="s">
        <v>4108</v>
      </c>
      <c r="F1762" s="99" t="s">
        <v>1738</v>
      </c>
      <c r="G1762" s="60" t="s">
        <v>637</v>
      </c>
      <c r="H1762" s="60" t="s">
        <v>637</v>
      </c>
      <c r="I1762" s="60" t="s">
        <v>52</v>
      </c>
      <c r="J1762" s="59" t="s">
        <v>53</v>
      </c>
      <c r="K1762" s="60" t="s">
        <v>54</v>
      </c>
      <c r="L1762" s="60" t="s">
        <v>55</v>
      </c>
      <c r="M1762" s="179">
        <v>950</v>
      </c>
      <c r="N1762" s="124"/>
      <c r="O1762" s="60" t="s">
        <v>56</v>
      </c>
      <c r="P1762" s="60">
        <v>60</v>
      </c>
      <c r="Q1762" s="60">
        <v>48</v>
      </c>
      <c r="R1762" s="60">
        <v>48</v>
      </c>
      <c r="S1762" s="60">
        <v>60</v>
      </c>
      <c r="T1762" s="60">
        <v>60</v>
      </c>
      <c r="U1762" s="60">
        <v>48</v>
      </c>
      <c r="V1762" s="913">
        <f>IF(J1762="Canvas",P1762+Border,P1762)</f>
        <v>68</v>
      </c>
      <c r="W1762" s="913">
        <f>IF(J1762="Canvas",Q1762+Border,Q1762)</f>
        <v>56</v>
      </c>
      <c r="X1762" s="60">
        <v>69</v>
      </c>
      <c r="Y1762" s="60">
        <v>68</v>
      </c>
      <c r="Z1762" s="60">
        <v>56</v>
      </c>
      <c r="AA1762" s="717">
        <f>V1762*W1762/144</f>
        <v>26.444444444444443</v>
      </c>
      <c r="AB1762" s="125">
        <f>AA1762*IncaG</f>
        <v>556.39111111111106</v>
      </c>
      <c r="AC1762" s="69">
        <f>AA1762*Canvas</f>
        <v>17.453333333333333</v>
      </c>
      <c r="AD1762" s="69">
        <f>AA1762*IncaC</f>
        <v>44.511288888888885</v>
      </c>
      <c r="AE1762" s="69">
        <f>IF(Table1[[#This Row],[Work Center]]="SwissQ",Materials!G$37,IF(Table1[[#This Row],[Work Center]]="Inca",Materials!G$29,IF(Table1[[#This Row],[Work Center]]="Canon",Materials!G$49,Materials!G$45)))</f>
        <v>8</v>
      </c>
      <c r="AF1762" s="72">
        <f>'Cali FPS'!C121</f>
        <v>188.18</v>
      </c>
      <c r="AG1762" s="83"/>
      <c r="AH1762" s="69">
        <f>(M1762*0.05)</f>
        <v>47.5</v>
      </c>
      <c r="AI1762" s="69"/>
      <c r="AJ1762" s="176">
        <f t="shared" si="641"/>
        <v>305.64462222222221</v>
      </c>
      <c r="AK1762" s="650">
        <f t="shared" si="631"/>
        <v>0.67826881871345035</v>
      </c>
      <c r="AL1762" s="225">
        <f>Table1[[#This Row],[WSP/Dealer]]/Table1[[#This Row],[OD Sq Inch]]</f>
        <v>0.3298611111111111</v>
      </c>
      <c r="AM1762" s="180">
        <f>Table1[[#This Row],[OD Wdth]]*Table1[[#This Row],[OD Hgt]]</f>
        <v>2880</v>
      </c>
      <c r="AN1762" s="180">
        <f>Table1[[#This Row],[Min VO]]+Table1[[#This Row],[Max VO]]</f>
        <v>108</v>
      </c>
      <c r="AO1762" s="83"/>
      <c r="AP1762" s="83"/>
      <c r="AQ1762" s="540"/>
      <c r="AR1762" s="540"/>
      <c r="AS1762" s="540"/>
      <c r="AT1762" s="69"/>
      <c r="AU1762" s="1361" t="str">
        <f t="shared" si="623"/>
        <v>-</v>
      </c>
    </row>
    <row r="1763" spans="1:47" s="399" customFormat="1" x14ac:dyDescent="0.2">
      <c r="A1763" s="68" t="s">
        <v>58</v>
      </c>
      <c r="B1763" s="1152"/>
      <c r="C1763" s="94"/>
      <c r="D1763" s="94"/>
      <c r="E1763" s="172" t="s">
        <v>4109</v>
      </c>
      <c r="F1763" s="172" t="s">
        <v>1738</v>
      </c>
      <c r="G1763" s="68" t="s">
        <v>572</v>
      </c>
      <c r="H1763" s="68" t="s">
        <v>572</v>
      </c>
      <c r="I1763" s="68" t="s">
        <v>52</v>
      </c>
      <c r="J1763" s="140" t="s">
        <v>53</v>
      </c>
      <c r="K1763" s="68" t="s">
        <v>54</v>
      </c>
      <c r="L1763" s="68" t="s">
        <v>55</v>
      </c>
      <c r="M1763" s="93"/>
      <c r="N1763" s="93"/>
      <c r="O1763" s="68" t="s">
        <v>56</v>
      </c>
      <c r="P1763" s="68"/>
      <c r="Q1763" s="68"/>
      <c r="R1763" s="68"/>
      <c r="S1763" s="68"/>
      <c r="T1763" s="68"/>
      <c r="U1763" s="68"/>
      <c r="V1763" s="917"/>
      <c r="W1763" s="917"/>
      <c r="X1763" s="68"/>
      <c r="Y1763" s="68"/>
      <c r="Z1763" s="68"/>
      <c r="AA1763" s="699"/>
      <c r="AB1763" s="297"/>
      <c r="AC1763" s="74"/>
      <c r="AD1763" s="126"/>
      <c r="AE1763" s="126"/>
      <c r="AF1763" s="73"/>
      <c r="AG1763" s="84"/>
      <c r="AH1763" s="126"/>
      <c r="AI1763" s="126"/>
      <c r="AJ1763" s="126"/>
      <c r="AK1763" s="1001"/>
      <c r="AL1763" s="126"/>
      <c r="AM1763" s="119"/>
      <c r="AN1763" s="84"/>
      <c r="AO1763" s="84"/>
      <c r="AP1763" s="84"/>
      <c r="AQ1763" s="126"/>
      <c r="AR1763" s="126"/>
      <c r="AS1763" s="126"/>
      <c r="AT1763" s="74"/>
      <c r="AU1763" s="1357" t="str">
        <f t="shared" si="623"/>
        <v>-</v>
      </c>
    </row>
    <row r="1764" spans="1:47" s="399" customFormat="1" hidden="1" x14ac:dyDescent="0.2">
      <c r="A1764" s="101" t="s">
        <v>996</v>
      </c>
      <c r="B1764" s="1062" t="s">
        <v>96</v>
      </c>
      <c r="C1764" s="168" t="s">
        <v>4110</v>
      </c>
      <c r="D1764" s="168"/>
      <c r="E1764" s="169" t="s">
        <v>4111</v>
      </c>
      <c r="F1764" s="169" t="s">
        <v>374</v>
      </c>
      <c r="G1764" s="101" t="s">
        <v>191</v>
      </c>
      <c r="H1764" s="101" t="s">
        <v>191</v>
      </c>
      <c r="I1764" s="101" t="s">
        <v>108</v>
      </c>
      <c r="J1764" s="487" t="s">
        <v>53</v>
      </c>
      <c r="K1764" s="188" t="s">
        <v>54</v>
      </c>
      <c r="L1764" s="188" t="s">
        <v>55</v>
      </c>
      <c r="M1764" s="299">
        <v>875</v>
      </c>
      <c r="N1764" s="829"/>
      <c r="O1764" s="101" t="s">
        <v>109</v>
      </c>
      <c r="P1764" s="101">
        <v>48</v>
      </c>
      <c r="Q1764" s="101">
        <v>60</v>
      </c>
      <c r="R1764" s="101">
        <v>48</v>
      </c>
      <c r="S1764" s="101">
        <v>60</v>
      </c>
      <c r="T1764" s="101">
        <v>48</v>
      </c>
      <c r="U1764" s="101">
        <v>60</v>
      </c>
      <c r="V1764" s="608">
        <f>IF(J1764="Canvas",P1764+Materials!C$5,P1764)</f>
        <v>55</v>
      </c>
      <c r="W1764" s="608">
        <f>IF(J1764="Canvas",Q1764+Materials!C$5,Q1764)</f>
        <v>67</v>
      </c>
      <c r="X1764" s="1010"/>
      <c r="Y1764" s="101">
        <v>55</v>
      </c>
      <c r="Z1764" s="101">
        <v>67</v>
      </c>
      <c r="AA1764" s="649">
        <f t="shared" ref="AA1764:AA1771" si="644">V1764*W1764/144</f>
        <v>25.590277777777779</v>
      </c>
      <c r="AB1764" s="184">
        <f>AA1764*EPSONML</f>
        <v>115.15625</v>
      </c>
      <c r="AC1764" s="104">
        <f t="shared" ref="AC1764:AC1769" si="645">AA1764*Canvas</f>
        <v>16.889583333333334</v>
      </c>
      <c r="AD1764" s="107">
        <f>AA1764*EPSONC</f>
        <v>5.6298611111111114</v>
      </c>
      <c r="AE1764" s="104">
        <f>IF(Table1[[#This Row],[Work Center]]="SwissQ",Materials!G$37,IF(Table1[[#This Row],[Work Center]]="Inca",Materials!G$29,IF(Table1[[#This Row],[Work Center]]="Canon",Materials!G$49,Materials!G$45)))</f>
        <v>5</v>
      </c>
      <c r="AF1764" s="102">
        <f>'Cali FPS'!C121</f>
        <v>188.18</v>
      </c>
      <c r="AG1764" s="115"/>
      <c r="AH1764" s="107">
        <f t="shared" ref="AH1764:AH1769" si="646">(M1764*0.05)</f>
        <v>43.75</v>
      </c>
      <c r="AI1764" s="107"/>
      <c r="AJ1764" s="406">
        <f t="shared" ref="AJ1764:AJ1770" si="647">SUM(AC1764:AH1764)</f>
        <v>259.44944444444445</v>
      </c>
      <c r="AK1764" s="108">
        <f t="shared" ref="AK1764:AK1789" si="648">(M1764-AJ1764)/M1764</f>
        <v>0.70348634920634923</v>
      </c>
      <c r="AL1764" s="660">
        <f>Table1[[#This Row],[WSP/Dealer]]/Table1[[#This Row],[OD Sq Inch]]</f>
        <v>0.30381944444444442</v>
      </c>
      <c r="AM1764" s="399">
        <f>Table1[[#This Row],[OD Wdth]]*Table1[[#This Row],[OD Hgt]]</f>
        <v>2880</v>
      </c>
      <c r="AN1764" s="400">
        <f>Table1[[#This Row],[Min VO]]+Table1[[#This Row],[Max VO]]</f>
        <v>108</v>
      </c>
      <c r="AO1764" s="115"/>
      <c r="AP1764" s="121"/>
      <c r="AQ1764" s="121"/>
      <c r="AR1764" s="406"/>
      <c r="AS1764" s="1247"/>
      <c r="AT1764" s="1227"/>
      <c r="AU1764" s="1359" t="str">
        <f t="shared" si="623"/>
        <v>-</v>
      </c>
    </row>
    <row r="1765" spans="1:47" s="170" customFormat="1" hidden="1" x14ac:dyDescent="0.2">
      <c r="A1765" s="101" t="s">
        <v>110</v>
      </c>
      <c r="B1765" s="1062" t="s">
        <v>96</v>
      </c>
      <c r="C1765" s="168" t="s">
        <v>4110</v>
      </c>
      <c r="D1765" s="168"/>
      <c r="E1765" s="169" t="s">
        <v>4111</v>
      </c>
      <c r="F1765" s="169" t="s">
        <v>374</v>
      </c>
      <c r="G1765" s="101" t="s">
        <v>191</v>
      </c>
      <c r="H1765" s="101" t="s">
        <v>191</v>
      </c>
      <c r="I1765" s="101" t="s">
        <v>52</v>
      </c>
      <c r="J1765" s="487" t="s">
        <v>53</v>
      </c>
      <c r="K1765" s="188" t="s">
        <v>54</v>
      </c>
      <c r="L1765" s="188" t="s">
        <v>55</v>
      </c>
      <c r="M1765" s="299">
        <v>900</v>
      </c>
      <c r="N1765" s="829">
        <v>950</v>
      </c>
      <c r="O1765" s="101" t="s">
        <v>56</v>
      </c>
      <c r="P1765" s="101">
        <v>48</v>
      </c>
      <c r="Q1765" s="101">
        <v>60</v>
      </c>
      <c r="R1765" s="101">
        <v>48</v>
      </c>
      <c r="S1765" s="101">
        <v>60</v>
      </c>
      <c r="T1765" s="101">
        <v>48</v>
      </c>
      <c r="U1765" s="101">
        <v>60</v>
      </c>
      <c r="V1765" s="106">
        <f>IF(J1765="Canvas",P1765+Materials!C$5,P1765)</f>
        <v>55</v>
      </c>
      <c r="W1765" s="106">
        <f>IF(J1765="Canvas",Q1765+Materials!C$5,Q1765)</f>
        <v>67</v>
      </c>
      <c r="X1765" s="1010"/>
      <c r="Y1765" s="101">
        <v>55</v>
      </c>
      <c r="Z1765" s="101">
        <v>67</v>
      </c>
      <c r="AA1765" s="649">
        <f t="shared" si="644"/>
        <v>25.590277777777779</v>
      </c>
      <c r="AB1765" s="184">
        <f>AA1765*IncaG</f>
        <v>538.41944444444448</v>
      </c>
      <c r="AC1765" s="104">
        <f t="shared" si="645"/>
        <v>16.889583333333334</v>
      </c>
      <c r="AD1765" s="107">
        <f>AA1765*IncaC</f>
        <v>43.073555555555558</v>
      </c>
      <c r="AE1765" s="104">
        <f>IF(Table1[[#This Row],[Work Center]]="SwissQ",Materials!G$37,IF(Table1[[#This Row],[Work Center]]="Inca",Materials!G$29,IF(Table1[[#This Row],[Work Center]]="Canon",Materials!G$49,Materials!G$45)))</f>
        <v>8</v>
      </c>
      <c r="AF1765" s="102">
        <f>'Cali FPS'!C121</f>
        <v>188.18</v>
      </c>
      <c r="AG1765" s="115"/>
      <c r="AH1765" s="107">
        <f t="shared" si="646"/>
        <v>45</v>
      </c>
      <c r="AI1765" s="405">
        <f>IF(A1765="Codarus",(M1765*0.13))</f>
        <v>117</v>
      </c>
      <c r="AJ1765" s="406">
        <f t="shared" si="647"/>
        <v>301.14313888888887</v>
      </c>
      <c r="AK1765" s="108">
        <f t="shared" si="648"/>
        <v>0.66539651234567898</v>
      </c>
      <c r="AL1765" s="660">
        <f>Table1[[#This Row],[WSP/Dealer]]/Table1[[#This Row],[OD Sq Inch]]</f>
        <v>0.3125</v>
      </c>
      <c r="AM1765" s="399">
        <f>Table1[[#This Row],[OD Wdth]]*Table1[[#This Row],[OD Hgt]]</f>
        <v>2880</v>
      </c>
      <c r="AN1765" s="400">
        <f>Table1[[#This Row],[Min VO]]+Table1[[#This Row],[Max VO]]</f>
        <v>108</v>
      </c>
      <c r="AO1765" s="115"/>
      <c r="AP1765" s="121">
        <v>1800</v>
      </c>
      <c r="AQ1765" s="121">
        <f>(Table1[[#This Row],[Desgnr/Retail P]]*0.05)</f>
        <v>90</v>
      </c>
      <c r="AR1765" s="121">
        <f>IF(A1765="Codarus",(AP1765*0.13))</f>
        <v>234</v>
      </c>
      <c r="AS1765" s="121">
        <f>SUM(Table1[[#This Row],[Substrate $]:[GP FINISH]])+Table1[[#This Row],[Retail Royalty]]+Table1[[#This Row],[Retail$Comm]]</f>
        <v>580.14313888888887</v>
      </c>
      <c r="AT1765" s="830">
        <f>IF(AP1765=0,"-",(AP1765-AS1765)/AP1765)</f>
        <v>0.67769825617283952</v>
      </c>
      <c r="AU1765" s="1359">
        <f t="shared" si="623"/>
        <v>0.99247001937585722</v>
      </c>
    </row>
    <row r="1766" spans="1:47" s="399" customFormat="1" x14ac:dyDescent="0.2">
      <c r="A1766" s="180" t="s">
        <v>58</v>
      </c>
      <c r="B1766" s="1061" t="s">
        <v>619</v>
      </c>
      <c r="C1766" s="607" t="s">
        <v>4112</v>
      </c>
      <c r="D1766" s="94" t="s">
        <v>4113</v>
      </c>
      <c r="E1766" s="284" t="s">
        <v>4114</v>
      </c>
      <c r="F1766" s="284" t="s">
        <v>3501</v>
      </c>
      <c r="G1766" s="180" t="s">
        <v>655</v>
      </c>
      <c r="H1766" s="180" t="s">
        <v>655</v>
      </c>
      <c r="I1766" s="180" t="s">
        <v>52</v>
      </c>
      <c r="J1766" s="180" t="s">
        <v>53</v>
      </c>
      <c r="K1766" s="180" t="s">
        <v>54</v>
      </c>
      <c r="L1766" s="180" t="s">
        <v>55</v>
      </c>
      <c r="M1766" s="285">
        <v>1350</v>
      </c>
      <c r="N1766" s="639">
        <v>1350</v>
      </c>
      <c r="O1766" s="180" t="s">
        <v>64</v>
      </c>
      <c r="P1766" s="813">
        <v>72</v>
      </c>
      <c r="Q1766" s="813">
        <v>60</v>
      </c>
      <c r="R1766" s="180">
        <v>60</v>
      </c>
      <c r="S1766" s="813">
        <v>72</v>
      </c>
      <c r="T1766" s="813">
        <f>Table1[[#This Row],[VO Wdth]]</f>
        <v>72</v>
      </c>
      <c r="U1766" s="813">
        <f>Table1[[#This Row],[VO Hgt]]</f>
        <v>60</v>
      </c>
      <c r="V1766" s="174">
        <f t="shared" ref="V1766:V1771" si="649">IF(J1766="Canvas",P1766+BorderL,P1766)</f>
        <v>83</v>
      </c>
      <c r="W1766" s="174">
        <f t="shared" ref="W1766:W1771" si="650">IF(J1766="Canvas",Q1766+BorderL,Q1766)</f>
        <v>71</v>
      </c>
      <c r="X1766" s="289">
        <v>82</v>
      </c>
      <c r="Y1766" s="180"/>
      <c r="Z1766" s="180"/>
      <c r="AA1766" s="678">
        <f t="shared" si="644"/>
        <v>40.923611111111114</v>
      </c>
      <c r="AB1766" s="329">
        <f>AA1766*Swiss1</f>
        <v>1158.1381944444445</v>
      </c>
      <c r="AC1766" s="176">
        <f t="shared" si="645"/>
        <v>27.009583333333335</v>
      </c>
      <c r="AD1766" s="175">
        <f>Table1[[#This Row],[Substrate SF]]*Materials!C$37</f>
        <v>114.58611111111111</v>
      </c>
      <c r="AE1766" s="104">
        <f>IF(Table1[[#This Row],[Work Center]]="SwissQ",Materials!G$37,IF(Table1[[#This Row],[Work Center]]="Inca",Materials!G$29,IF(Table1[[#This Row],[Work Center]]="Canon",Materials!G$49,Materials!G$45)))</f>
        <v>20</v>
      </c>
      <c r="AF1766" s="176">
        <f>'Cali FPS'!C$160</f>
        <v>253.32999999999998</v>
      </c>
      <c r="AG1766" s="284"/>
      <c r="AH1766" s="112">
        <f t="shared" si="646"/>
        <v>67.5</v>
      </c>
      <c r="AI1766" s="112"/>
      <c r="AJ1766" s="175">
        <f t="shared" si="647"/>
        <v>482.42569444444439</v>
      </c>
      <c r="AK1766" s="62">
        <f t="shared" si="648"/>
        <v>0.64264763374485601</v>
      </c>
      <c r="AL1766" s="225">
        <f>Table1[[#This Row],[WSP/Dealer]]/Table1[[#This Row],[OD Sq Inch]]</f>
        <v>0.3125</v>
      </c>
      <c r="AM1766" s="218">
        <f>Table1[[#This Row],[OD Wdth]]*Table1[[#This Row],[OD Hgt]]</f>
        <v>4320</v>
      </c>
      <c r="AN1766" s="180">
        <f>Table1[[#This Row],[Min VO]]+Table1[[#This Row],[Max VO]]</f>
        <v>132</v>
      </c>
      <c r="AO1766" s="180"/>
      <c r="AP1766" s="180"/>
      <c r="AQ1766" s="176"/>
      <c r="AR1766" s="176"/>
      <c r="AS1766" s="176"/>
      <c r="AT1766" s="176"/>
      <c r="AU1766" s="1201" t="str">
        <f t="shared" si="623"/>
        <v>-</v>
      </c>
    </row>
    <row r="1767" spans="1:47" s="170" customFormat="1" x14ac:dyDescent="0.2">
      <c r="A1767" s="400" t="s">
        <v>581</v>
      </c>
      <c r="B1767" s="1061" t="s">
        <v>292</v>
      </c>
      <c r="C1767" s="719" t="s">
        <v>4115</v>
      </c>
      <c r="D1767" s="94" t="s">
        <v>4116</v>
      </c>
      <c r="E1767" s="401" t="s">
        <v>4114</v>
      </c>
      <c r="F1767" s="401" t="s">
        <v>3501</v>
      </c>
      <c r="G1767" s="400" t="s">
        <v>655</v>
      </c>
      <c r="H1767" s="400" t="s">
        <v>657</v>
      </c>
      <c r="I1767" s="400" t="s">
        <v>52</v>
      </c>
      <c r="J1767" s="400" t="s">
        <v>53</v>
      </c>
      <c r="K1767" s="400" t="s">
        <v>82</v>
      </c>
      <c r="L1767" s="400" t="s">
        <v>298</v>
      </c>
      <c r="M1767" s="114">
        <v>1450</v>
      </c>
      <c r="N1767" s="102">
        <v>1450</v>
      </c>
      <c r="O1767" s="101" t="s">
        <v>64</v>
      </c>
      <c r="P1767" s="697">
        <v>72</v>
      </c>
      <c r="Q1767" s="697">
        <v>60</v>
      </c>
      <c r="R1767" s="101">
        <v>60</v>
      </c>
      <c r="S1767" s="697">
        <v>72</v>
      </c>
      <c r="T1767" s="697">
        <v>73</v>
      </c>
      <c r="U1767" s="697">
        <v>61</v>
      </c>
      <c r="V1767" s="918">
        <f t="shared" si="649"/>
        <v>83</v>
      </c>
      <c r="W1767" s="918">
        <f t="shared" si="650"/>
        <v>71</v>
      </c>
      <c r="X1767" s="101">
        <v>82</v>
      </c>
      <c r="Y1767" s="101">
        <v>83</v>
      </c>
      <c r="Z1767" s="101">
        <v>71</v>
      </c>
      <c r="AA1767" s="724">
        <f t="shared" si="644"/>
        <v>40.923611111111114</v>
      </c>
      <c r="AB1767" s="184">
        <f>AA1767*Swiss1</f>
        <v>1158.1381944444445</v>
      </c>
      <c r="AC1767" s="406">
        <f t="shared" si="645"/>
        <v>27.009583333333335</v>
      </c>
      <c r="AD1767" s="405">
        <f>Table1[[#This Row],[Substrate SF]]*Materials!C$37</f>
        <v>114.58611111111111</v>
      </c>
      <c r="AE1767" s="104">
        <f>IF(Table1[[#This Row],[Work Center]]="SwissQ",Materials!G$37,IF(Table1[[#This Row],[Work Center]]="Inca",Materials!G$29,IF(Table1[[#This Row],[Work Center]]="Canon",Materials!G$49,Materials!G$45)))</f>
        <v>20</v>
      </c>
      <c r="AF1767" s="102"/>
      <c r="AG1767" s="540"/>
      <c r="AH1767" s="104">
        <f t="shared" si="646"/>
        <v>72.5</v>
      </c>
      <c r="AI1767" s="107"/>
      <c r="AJ1767" s="406">
        <f t="shared" si="647"/>
        <v>234.09569444444443</v>
      </c>
      <c r="AK1767" s="830">
        <f t="shared" si="648"/>
        <v>0.83855469348659006</v>
      </c>
      <c r="AL1767" s="660">
        <f>Table1[[#This Row],[WSP/Dealer]]/Table1[[#This Row],[OD Sq Inch]]</f>
        <v>0.32562317538737928</v>
      </c>
      <c r="AM1767" s="399">
        <f>Table1[[#This Row],[OD Wdth]]*Table1[[#This Row],[OD Hgt]]</f>
        <v>4453</v>
      </c>
      <c r="AN1767" s="400">
        <f>Table1[[#This Row],[Min VO]]+Table1[[#This Row],[Max VO]]</f>
        <v>132</v>
      </c>
      <c r="AO1767" s="115"/>
      <c r="AP1767" s="115"/>
      <c r="AQ1767" s="121"/>
      <c r="AR1767" s="121"/>
      <c r="AS1767" s="121"/>
      <c r="AT1767" s="104"/>
      <c r="AU1767" s="1359" t="str">
        <f t="shared" si="623"/>
        <v>-</v>
      </c>
    </row>
    <row r="1768" spans="1:47" s="103" customFormat="1" x14ac:dyDescent="0.2">
      <c r="A1768" s="180" t="s">
        <v>58</v>
      </c>
      <c r="B1768" s="1061" t="s">
        <v>587</v>
      </c>
      <c r="C1768" s="79" t="s">
        <v>4117</v>
      </c>
      <c r="D1768" s="94"/>
      <c r="E1768" s="99" t="s">
        <v>4118</v>
      </c>
      <c r="F1768" s="291" t="s">
        <v>124</v>
      </c>
      <c r="G1768" s="60" t="s">
        <v>4119</v>
      </c>
      <c r="H1768" s="60" t="s">
        <v>4119</v>
      </c>
      <c r="I1768" s="60" t="s">
        <v>52</v>
      </c>
      <c r="J1768" s="59" t="s">
        <v>53</v>
      </c>
      <c r="K1768" s="180" t="s">
        <v>54</v>
      </c>
      <c r="L1768" s="180" t="s">
        <v>55</v>
      </c>
      <c r="M1768" s="179">
        <v>900</v>
      </c>
      <c r="N1768" s="639">
        <v>890</v>
      </c>
      <c r="O1768" s="60" t="s">
        <v>56</v>
      </c>
      <c r="P1768" s="60">
        <v>64</v>
      </c>
      <c r="Q1768" s="60">
        <v>40</v>
      </c>
      <c r="R1768" s="60">
        <v>40</v>
      </c>
      <c r="S1768" s="46">
        <v>64</v>
      </c>
      <c r="T1768" s="46">
        <v>64</v>
      </c>
      <c r="U1768" s="46">
        <v>40</v>
      </c>
      <c r="V1768" s="47">
        <f t="shared" si="649"/>
        <v>75</v>
      </c>
      <c r="W1768" s="47">
        <f t="shared" si="650"/>
        <v>51</v>
      </c>
      <c r="X1768" s="138">
        <v>53</v>
      </c>
      <c r="Y1768" s="60"/>
      <c r="Z1768" s="60"/>
      <c r="AA1768" s="722">
        <f t="shared" si="644"/>
        <v>26.5625</v>
      </c>
      <c r="AB1768" s="125">
        <f>AA1768*IncaG</f>
        <v>558.875</v>
      </c>
      <c r="AC1768" s="69">
        <f t="shared" si="645"/>
        <v>17.53125</v>
      </c>
      <c r="AD1768" s="48">
        <f>AA1768*IncaC</f>
        <v>44.71</v>
      </c>
      <c r="AE1768" s="104">
        <f>IF(Table1[[#This Row],[Work Center]]="SwissQ",Materials!G$37,IF(Table1[[#This Row],[Work Center]]="Inca",Materials!G$29,IF(Table1[[#This Row],[Work Center]]="Canon",Materials!G$49,Materials!G$45)))</f>
        <v>8</v>
      </c>
      <c r="AF1768" s="296">
        <f>'Cali FPS'!C153</f>
        <v>235.00749999999999</v>
      </c>
      <c r="AG1768" s="83"/>
      <c r="AH1768" s="112">
        <f t="shared" si="646"/>
        <v>45</v>
      </c>
      <c r="AI1768" s="112"/>
      <c r="AJ1768" s="69">
        <f t="shared" si="647"/>
        <v>350.24874999999997</v>
      </c>
      <c r="AK1768" s="62">
        <f t="shared" si="648"/>
        <v>0.61083472222222224</v>
      </c>
      <c r="AL1768" s="225">
        <f>Table1[[#This Row],[WSP/Dealer]]/Table1[[#This Row],[OD Sq Inch]]</f>
        <v>0.3515625</v>
      </c>
      <c r="AM1768" s="218">
        <f>Table1[[#This Row],[OD Wdth]]*Table1[[#This Row],[OD Hgt]]</f>
        <v>2560</v>
      </c>
      <c r="AN1768" s="216">
        <f>Table1[[#This Row],[Min VO]]+Table1[[#This Row],[Max VO]]</f>
        <v>104</v>
      </c>
      <c r="AO1768" s="83"/>
      <c r="AP1768" s="83"/>
      <c r="AQ1768" s="540"/>
      <c r="AR1768" s="540"/>
      <c r="AS1768" s="540"/>
      <c r="AT1768" s="69"/>
      <c r="AU1768" s="1361" t="str">
        <f t="shared" si="623"/>
        <v>-</v>
      </c>
    </row>
    <row r="1769" spans="1:47" s="46" customFormat="1" x14ac:dyDescent="0.2">
      <c r="A1769" s="180" t="s">
        <v>58</v>
      </c>
      <c r="B1769" s="1061" t="s">
        <v>587</v>
      </c>
      <c r="C1769" s="79" t="s">
        <v>4120</v>
      </c>
      <c r="D1769" s="94"/>
      <c r="E1769" s="99" t="s">
        <v>4121</v>
      </c>
      <c r="F1769" s="291" t="s">
        <v>124</v>
      </c>
      <c r="G1769" s="60" t="s">
        <v>4122</v>
      </c>
      <c r="H1769" s="60" t="s">
        <v>4122</v>
      </c>
      <c r="I1769" s="60" t="s">
        <v>52</v>
      </c>
      <c r="J1769" s="59" t="s">
        <v>53</v>
      </c>
      <c r="K1769" s="180" t="s">
        <v>54</v>
      </c>
      <c r="L1769" s="180" t="s">
        <v>55</v>
      </c>
      <c r="M1769" s="179">
        <v>1450</v>
      </c>
      <c r="N1769" s="639">
        <v>1450</v>
      </c>
      <c r="O1769" s="60" t="s">
        <v>56</v>
      </c>
      <c r="P1769" s="60">
        <v>90</v>
      </c>
      <c r="Q1769" s="60">
        <v>56</v>
      </c>
      <c r="R1769" s="60">
        <v>56</v>
      </c>
      <c r="S1769" s="60">
        <v>90</v>
      </c>
      <c r="T1769" s="46">
        <v>90</v>
      </c>
      <c r="U1769" s="46">
        <v>56</v>
      </c>
      <c r="V1769" s="47">
        <f t="shared" si="649"/>
        <v>101</v>
      </c>
      <c r="W1769" s="47">
        <f t="shared" si="650"/>
        <v>67</v>
      </c>
      <c r="X1769" s="138">
        <v>69</v>
      </c>
      <c r="Y1769" s="60"/>
      <c r="Z1769" s="60"/>
      <c r="AA1769" s="722">
        <f t="shared" si="644"/>
        <v>46.993055555555557</v>
      </c>
      <c r="AB1769" s="125">
        <f>AA1769*IncaG</f>
        <v>988.73388888888883</v>
      </c>
      <c r="AC1769" s="69">
        <f t="shared" si="645"/>
        <v>31.01541666666667</v>
      </c>
      <c r="AD1769" s="48">
        <f>AA1769*IncaC</f>
        <v>79.098711111111115</v>
      </c>
      <c r="AE1769" s="104">
        <f>IF(Table1[[#This Row],[Work Center]]="SwissQ",Materials!G$37,IF(Table1[[#This Row],[Work Center]]="Inca",Materials!G$29,IF(Table1[[#This Row],[Work Center]]="Canon",Materials!G$49,Materials!G$45)))</f>
        <v>8</v>
      </c>
      <c r="AF1769" s="296">
        <f>'Cali FPS'!C152</f>
        <v>234.0625</v>
      </c>
      <c r="AG1769" s="83"/>
      <c r="AH1769" s="112">
        <f t="shared" si="646"/>
        <v>72.5</v>
      </c>
      <c r="AI1769" s="112"/>
      <c r="AJ1769" s="69">
        <f t="shared" si="647"/>
        <v>424.67662777777775</v>
      </c>
      <c r="AK1769" s="62">
        <f t="shared" si="648"/>
        <v>0.70711956704980838</v>
      </c>
      <c r="AL1769" s="225">
        <f>Table1[[#This Row],[WSP/Dealer]]/Table1[[#This Row],[OD Sq Inch]]</f>
        <v>0.28769841269841268</v>
      </c>
      <c r="AM1769" s="46">
        <f>Table1[[#This Row],[OD Wdth]]*Table1[[#This Row],[OD Hgt]]</f>
        <v>5040</v>
      </c>
      <c r="AN1769" s="216">
        <f>Table1[[#This Row],[Min VO]]+Table1[[#This Row],[Max VO]]</f>
        <v>146</v>
      </c>
      <c r="AO1769" s="95"/>
      <c r="AP1769" s="83"/>
      <c r="AQ1769" s="540"/>
      <c r="AR1769" s="540"/>
      <c r="AS1769" s="540"/>
      <c r="AT1769" s="69"/>
      <c r="AU1769" s="1361" t="str">
        <f t="shared" si="623"/>
        <v>-</v>
      </c>
    </row>
    <row r="1770" spans="1:47" s="103" customFormat="1" hidden="1" x14ac:dyDescent="0.2">
      <c r="A1770" s="60" t="s">
        <v>318</v>
      </c>
      <c r="B1770" s="1106" t="s">
        <v>305</v>
      </c>
      <c r="C1770" s="79" t="s">
        <v>4123</v>
      </c>
      <c r="D1770" s="79"/>
      <c r="E1770" s="99" t="s">
        <v>4124</v>
      </c>
      <c r="F1770" s="99" t="s">
        <v>105</v>
      </c>
      <c r="G1770" s="60" t="s">
        <v>4125</v>
      </c>
      <c r="H1770" s="60" t="s">
        <v>4126</v>
      </c>
      <c r="I1770" s="60" t="s">
        <v>256</v>
      </c>
      <c r="J1770" s="59" t="s">
        <v>257</v>
      </c>
      <c r="K1770" s="60" t="s">
        <v>258</v>
      </c>
      <c r="L1770" s="60" t="s">
        <v>259</v>
      </c>
      <c r="M1770" s="124">
        <v>275</v>
      </c>
      <c r="N1770" s="124"/>
      <c r="O1770" s="60" t="s">
        <v>260</v>
      </c>
      <c r="P1770" s="60">
        <v>12</v>
      </c>
      <c r="Q1770" s="60">
        <v>20</v>
      </c>
      <c r="R1770" s="60">
        <v>12</v>
      </c>
      <c r="S1770" s="60">
        <v>20</v>
      </c>
      <c r="T1770" s="60">
        <v>14</v>
      </c>
      <c r="U1770" s="60">
        <v>22</v>
      </c>
      <c r="V1770" s="47">
        <f t="shared" si="649"/>
        <v>12</v>
      </c>
      <c r="W1770" s="47">
        <f t="shared" si="650"/>
        <v>20</v>
      </c>
      <c r="X1770" s="60" t="s">
        <v>257</v>
      </c>
      <c r="Y1770" s="60">
        <v>12</v>
      </c>
      <c r="Z1770" s="60">
        <v>20</v>
      </c>
      <c r="AA1770" s="717">
        <f t="shared" si="644"/>
        <v>1.6666666666666667</v>
      </c>
      <c r="AB1770" s="125">
        <f>AA1770*canonML</f>
        <v>8</v>
      </c>
      <c r="AC1770" s="69">
        <f>Table1[[#This Row],[Print Wth]]*paper60</f>
        <v>4.08</v>
      </c>
      <c r="AD1770" s="48">
        <f>Table1[[#This Row],[Ink g/mL]]*CanonC</f>
        <v>2.16</v>
      </c>
      <c r="AE1770" s="69">
        <f>IF(Table1[[#This Row],[Work Center]]="SwissQ",Materials!G$37,IF(Table1[[#This Row],[Work Center]]="Inca",Materials!G$29,IF(Table1[[#This Row],[Work Center]]="Canon",Materials!G$49,Materials!G$45)))</f>
        <v>7</v>
      </c>
      <c r="AF1770" s="1441">
        <f>'Cali Frames'!D13</f>
        <v>77.260000000000005</v>
      </c>
      <c r="AG1770" s="83"/>
      <c r="AH1770" s="176">
        <v>0</v>
      </c>
      <c r="AI1770" s="176"/>
      <c r="AJ1770" s="176">
        <f t="shared" si="647"/>
        <v>90.5</v>
      </c>
      <c r="AK1770" s="1201">
        <f t="shared" si="648"/>
        <v>0.6709090909090909</v>
      </c>
      <c r="AL1770" s="176">
        <f>Table1[[#This Row],[WSP/Dealer]]/Table1[[#This Row],[OD Sq Inch]]</f>
        <v>0.8928571428571429</v>
      </c>
      <c r="AM1770" s="173">
        <f>Table1[[#This Row],[OD Wdth]]*Table1[[#This Row],[OD Hgt]]</f>
        <v>308</v>
      </c>
      <c r="AN1770" s="180">
        <f>Table1[[#This Row],[Min VO]]+Table1[[#This Row],[Max VO]]</f>
        <v>32</v>
      </c>
      <c r="AO1770" s="83"/>
      <c r="AP1770" s="83"/>
      <c r="AQ1770" s="540">
        <f>(Table1[[#This Row],[Desgnr/Retail P]]*0.05)</f>
        <v>0</v>
      </c>
      <c r="AR1770" s="540" t="b">
        <f>IF(A1770="Codarus",(AP1770*0.13))</f>
        <v>0</v>
      </c>
      <c r="AS1770" s="540" t="e" cm="1">
        <f t="array" ref="AS1770">SUM(AC1770:AG1770+AQ+AR)</f>
        <v>#NAME?</v>
      </c>
      <c r="AT1770" s="69" t="e">
        <f>(AP1770-AS1770)/AP1770</f>
        <v>#NAME?</v>
      </c>
      <c r="AU1770" s="1361" t="str">
        <f t="shared" ref="AU1770:AU1833" si="651">IF(AQ1770=0,"-",(AQ1770-AT1770)/AQ1770)</f>
        <v>-</v>
      </c>
    </row>
    <row r="1771" spans="1:47" s="63" customFormat="1" hidden="1" x14ac:dyDescent="0.2">
      <c r="A1771" s="101" t="s">
        <v>110</v>
      </c>
      <c r="B1771" s="1322" t="s">
        <v>250</v>
      </c>
      <c r="C1771" s="168" t="s">
        <v>4127</v>
      </c>
      <c r="D1771" s="168"/>
      <c r="E1771" s="169" t="s">
        <v>4128</v>
      </c>
      <c r="F1771" s="115" t="s">
        <v>105</v>
      </c>
      <c r="G1771" s="101" t="s">
        <v>519</v>
      </c>
      <c r="H1771" s="101" t="s">
        <v>517</v>
      </c>
      <c r="I1771" s="101" t="s">
        <v>52</v>
      </c>
      <c r="J1771" s="487" t="s">
        <v>53</v>
      </c>
      <c r="K1771" s="101" t="s">
        <v>814</v>
      </c>
      <c r="L1771" s="101" t="s">
        <v>815</v>
      </c>
      <c r="M1771" s="114">
        <v>450</v>
      </c>
      <c r="N1771" s="102"/>
      <c r="O1771" s="101" t="s">
        <v>109</v>
      </c>
      <c r="P1771" s="101">
        <v>16</v>
      </c>
      <c r="Q1771" s="101">
        <v>20</v>
      </c>
      <c r="R1771" s="101">
        <v>16</v>
      </c>
      <c r="S1771" s="101">
        <v>20</v>
      </c>
      <c r="T1771" s="101">
        <v>19</v>
      </c>
      <c r="U1771" s="101">
        <v>23</v>
      </c>
      <c r="V1771" s="608">
        <f t="shared" si="649"/>
        <v>27</v>
      </c>
      <c r="W1771" s="608">
        <f t="shared" si="650"/>
        <v>31</v>
      </c>
      <c r="X1771" s="137">
        <v>40</v>
      </c>
      <c r="Y1771" s="101">
        <v>27</v>
      </c>
      <c r="Z1771" s="101">
        <v>31</v>
      </c>
      <c r="AA1771" s="649">
        <f t="shared" si="644"/>
        <v>5.8125</v>
      </c>
      <c r="AB1771" s="184">
        <f>AA1771*EPSONML</f>
        <v>26.15625</v>
      </c>
      <c r="AC1771" s="104">
        <f>AA1771*Canvas</f>
        <v>3.8362500000000002</v>
      </c>
      <c r="AD1771" s="104">
        <f>AA1771*EPSONC</f>
        <v>1.2787500000000001</v>
      </c>
      <c r="AE1771" s="104">
        <f>IF(Table1[[#This Row],[Work Center]]="SwissQ",Materials!G$37,IF(Table1[[#This Row],[Work Center]]="Inca",Materials!G$29,IF(Table1[[#This Row],[Work Center]]="Canon",Materials!G$49,Materials!G$45)))</f>
        <v>5</v>
      </c>
      <c r="AF1771" s="408">
        <f>'Cali Frames'!D193</f>
        <v>126.35</v>
      </c>
      <c r="AG1771" s="115"/>
      <c r="AH1771" s="406">
        <f t="shared" ref="AH1771:AH1789" si="652">(M1771*0.05)</f>
        <v>22.5</v>
      </c>
      <c r="AI1771" s="406">
        <f>IF(A1771="Codarus",(M1771*0.13))</f>
        <v>58.5</v>
      </c>
      <c r="AJ1771" s="406">
        <f>SUM(AC1771:AI1771)</f>
        <v>217.465</v>
      </c>
      <c r="AK1771" s="1065">
        <f t="shared" si="648"/>
        <v>0.51674444444444445</v>
      </c>
      <c r="AL1771" s="406">
        <f>Table1[[#This Row],[WSP/Dealer]]/Table1[[#This Row],[OD Sq Inch]]</f>
        <v>1.0297482837528604</v>
      </c>
      <c r="AM1771" s="399">
        <f>Table1[[#This Row],[OD Wdth]]*Table1[[#This Row],[OD Hgt]]</f>
        <v>437</v>
      </c>
      <c r="AN1771" s="400">
        <f>Table1[[#This Row],[Min VO]]+Table1[[#This Row],[Max VO]]</f>
        <v>36</v>
      </c>
      <c r="AO1771" s="113"/>
      <c r="AP1771" s="121">
        <v>900</v>
      </c>
      <c r="AQ1771" s="121">
        <f>(Table1[[#This Row],[Desgnr/Retail P]]*0.05)</f>
        <v>45</v>
      </c>
      <c r="AR1771" s="121">
        <f>IF(A1771="Codarus",(AP1771*0.13))</f>
        <v>117</v>
      </c>
      <c r="AS1771" s="121">
        <f>SUM(Table1[[#This Row],[Substrate $]:[GP FINISH]])+Table1[[#This Row],[Retail Royalty]]+Table1[[#This Row],[Retail$Comm]]</f>
        <v>298.46500000000003</v>
      </c>
      <c r="AT1771" s="830">
        <f>IF(AP1771=0,"-",(AP1771-AS1771)/AP1771)</f>
        <v>0.66837222222222215</v>
      </c>
      <c r="AU1771" s="1367">
        <f t="shared" si="651"/>
        <v>0.98514728395061724</v>
      </c>
    </row>
    <row r="1772" spans="1:47" s="117" customFormat="1" hidden="1" x14ac:dyDescent="0.2">
      <c r="A1772" s="68"/>
      <c r="B1772" s="279"/>
      <c r="C1772" s="94" t="s">
        <v>4129</v>
      </c>
      <c r="D1772" s="94"/>
      <c r="E1772" s="84" t="s">
        <v>4130</v>
      </c>
      <c r="F1772" s="84" t="s">
        <v>920</v>
      </c>
      <c r="G1772" s="68" t="s">
        <v>4131</v>
      </c>
      <c r="H1772" s="68"/>
      <c r="I1772" s="68" t="s">
        <v>52</v>
      </c>
      <c r="J1772" s="68" t="s">
        <v>53</v>
      </c>
      <c r="K1772" s="68" t="s">
        <v>54</v>
      </c>
      <c r="L1772" s="68" t="s">
        <v>55</v>
      </c>
      <c r="M1772" s="93"/>
      <c r="N1772" s="71"/>
      <c r="O1772" s="68"/>
      <c r="P1772" s="63"/>
      <c r="Q1772" s="63"/>
      <c r="R1772" s="68"/>
      <c r="S1772" s="63"/>
      <c r="T1772" s="68"/>
      <c r="U1772" s="68"/>
      <c r="V1772" s="917"/>
      <c r="W1772" s="917"/>
      <c r="X1772" s="189"/>
      <c r="Y1772" s="68"/>
      <c r="Z1772" s="68"/>
      <c r="AA1772" s="699"/>
      <c r="AB1772" s="297"/>
      <c r="AC1772" s="74"/>
      <c r="AD1772" s="118"/>
      <c r="AE1772" s="126"/>
      <c r="AF1772" s="73"/>
      <c r="AG1772" s="126"/>
      <c r="AH1772" s="112">
        <f t="shared" si="652"/>
        <v>0</v>
      </c>
      <c r="AI1772" s="112"/>
      <c r="AJ1772" s="126"/>
      <c r="AK1772" s="62" t="e">
        <f t="shared" si="648"/>
        <v>#DIV/0!</v>
      </c>
      <c r="AL1772" s="225" t="e">
        <f>Table1[[#This Row],[WSP/Dealer]]/Table1[[#This Row],[OD Sq Inch]]</f>
        <v>#DIV/0!</v>
      </c>
      <c r="AM1772" s="119"/>
      <c r="AN1772" s="216">
        <f>Table1[[#This Row],[Min VO]]+Table1[[#This Row],[Max VO]]</f>
        <v>0</v>
      </c>
      <c r="AO1772" s="119"/>
      <c r="AP1772" s="84"/>
      <c r="AQ1772" s="126"/>
      <c r="AR1772" s="126"/>
      <c r="AS1772" s="126"/>
      <c r="AT1772" s="74"/>
      <c r="AU1772" s="1356" t="str">
        <f t="shared" si="651"/>
        <v>-</v>
      </c>
    </row>
    <row r="1773" spans="1:47" s="103" customFormat="1" x14ac:dyDescent="0.2">
      <c r="A1773" s="101" t="s">
        <v>581</v>
      </c>
      <c r="B1773" s="279" t="s">
        <v>292</v>
      </c>
      <c r="C1773" s="100" t="s">
        <v>4132</v>
      </c>
      <c r="D1773" s="94" t="s">
        <v>4133</v>
      </c>
      <c r="E1773" s="115" t="s">
        <v>4134</v>
      </c>
      <c r="F1773" s="115" t="s">
        <v>448</v>
      </c>
      <c r="G1773" s="101" t="s">
        <v>4135</v>
      </c>
      <c r="H1773" s="101" t="s">
        <v>4136</v>
      </c>
      <c r="I1773" s="101" t="s">
        <v>52</v>
      </c>
      <c r="J1773" s="101" t="s">
        <v>53</v>
      </c>
      <c r="K1773" s="101" t="s">
        <v>82</v>
      </c>
      <c r="L1773" s="101" t="s">
        <v>298</v>
      </c>
      <c r="M1773" s="114">
        <v>675</v>
      </c>
      <c r="N1773" s="102"/>
      <c r="O1773" s="101" t="s">
        <v>64</v>
      </c>
      <c r="P1773" s="697">
        <v>32</v>
      </c>
      <c r="Q1773" s="697">
        <v>39</v>
      </c>
      <c r="R1773" s="101">
        <v>32</v>
      </c>
      <c r="S1773" s="697">
        <v>39</v>
      </c>
      <c r="T1773" s="697">
        <v>33</v>
      </c>
      <c r="U1773" s="697">
        <v>40</v>
      </c>
      <c r="V1773" s="918">
        <f>IF(J1773="Canvas",P1773+BorderL,P1773)</f>
        <v>43</v>
      </c>
      <c r="W1773" s="918">
        <f>IF(J1773="Canvas",Q1773+BorderL,Q1773)</f>
        <v>50</v>
      </c>
      <c r="X1773" s="101">
        <v>53</v>
      </c>
      <c r="Y1773" s="101">
        <v>43</v>
      </c>
      <c r="Z1773" s="101">
        <v>50</v>
      </c>
      <c r="AA1773" s="724">
        <f t="shared" ref="AA1773:AA1789" si="653">V1773*W1773/144</f>
        <v>14.930555555555555</v>
      </c>
      <c r="AB1773" s="633">
        <f>Table1[[#This Row],[Substrate SF]]*Swiss1</f>
        <v>422.53472222222223</v>
      </c>
      <c r="AC1773" s="406">
        <f>AA1773*Canvas</f>
        <v>9.8541666666666679</v>
      </c>
      <c r="AD1773" s="405">
        <f>Table1[[#This Row],[Substrate SF]]*Materials!C$37</f>
        <v>41.80555555555555</v>
      </c>
      <c r="AE1773" s="104">
        <f>IF(Table1[[#This Row],[Work Center]]="SwissQ",Materials!G$37,IF(Table1[[#This Row],[Work Center]]="Inca",Materials!G$29,IF(Table1[[#This Row],[Work Center]]="Canon",Materials!G$49,Materials!G$45)))</f>
        <v>20</v>
      </c>
      <c r="AF1773" s="102">
        <f>'Cali Frames'!D231</f>
        <v>120.69750000000001</v>
      </c>
      <c r="AG1773" s="540"/>
      <c r="AH1773" s="104">
        <f t="shared" si="652"/>
        <v>33.75</v>
      </c>
      <c r="AI1773" s="104"/>
      <c r="AJ1773" s="406">
        <f t="shared" ref="AJ1773:AJ1778" si="654">SUM(AC1773:AH1773)</f>
        <v>226.10722222222222</v>
      </c>
      <c r="AK1773" s="830">
        <f t="shared" si="648"/>
        <v>0.66502633744855966</v>
      </c>
      <c r="AL1773" s="660">
        <f>Table1[[#This Row],[WSP/Dealer]]/Table1[[#This Row],[OD Sq Inch]]</f>
        <v>0.51136363636363635</v>
      </c>
      <c r="AM1773" s="399">
        <f>Table1[[#This Row],[OD Wdth]]*Table1[[#This Row],[OD Hgt]]</f>
        <v>1320</v>
      </c>
      <c r="AN1773" s="400">
        <f>Table1[[#This Row],[Min VO]]+Table1[[#This Row],[Max VO]]</f>
        <v>71</v>
      </c>
      <c r="AO1773" s="115"/>
      <c r="AP1773" s="115"/>
      <c r="AQ1773" s="121"/>
      <c r="AR1773" s="121"/>
      <c r="AS1773" s="121"/>
      <c r="AT1773" s="104"/>
      <c r="AU1773" s="1359" t="str">
        <f t="shared" si="651"/>
        <v>-</v>
      </c>
    </row>
    <row r="1774" spans="1:47" s="46" customFormat="1" x14ac:dyDescent="0.2">
      <c r="A1774" s="86" t="s">
        <v>58</v>
      </c>
      <c r="B1774" s="1061" t="s">
        <v>366</v>
      </c>
      <c r="C1774" s="76" t="s">
        <v>4137</v>
      </c>
      <c r="D1774" s="94" t="s">
        <v>4138</v>
      </c>
      <c r="E1774" s="85" t="s">
        <v>4139</v>
      </c>
      <c r="F1774" s="85" t="s">
        <v>448</v>
      </c>
      <c r="G1774" s="86" t="s">
        <v>623</v>
      </c>
      <c r="H1774" s="86" t="s">
        <v>2397</v>
      </c>
      <c r="I1774" s="86" t="s">
        <v>52</v>
      </c>
      <c r="J1774" s="86" t="s">
        <v>53</v>
      </c>
      <c r="K1774" s="86" t="s">
        <v>82</v>
      </c>
      <c r="L1774" s="86" t="s">
        <v>83</v>
      </c>
      <c r="M1774" s="87">
        <v>1320</v>
      </c>
      <c r="N1774" s="639">
        <v>1450</v>
      </c>
      <c r="O1774" s="60" t="s">
        <v>64</v>
      </c>
      <c r="P1774" s="60">
        <v>60</v>
      </c>
      <c r="Q1774" s="60">
        <v>72</v>
      </c>
      <c r="R1774" s="60">
        <v>60</v>
      </c>
      <c r="S1774" s="273">
        <v>72</v>
      </c>
      <c r="T1774" s="60">
        <v>62</v>
      </c>
      <c r="U1774" s="60" t="str">
        <f>RIGHT(H1774,2)</f>
        <v>74</v>
      </c>
      <c r="V1774" s="106">
        <f>IF(J1774="Canvas",P1774+BorderL,P1774)</f>
        <v>71</v>
      </c>
      <c r="W1774" s="106">
        <f>IF(J1774="Canvas",Q1774+BorderL,Q1774)</f>
        <v>83</v>
      </c>
      <c r="X1774" s="138">
        <v>82</v>
      </c>
      <c r="Y1774" s="60"/>
      <c r="Z1774" s="60"/>
      <c r="AA1774" s="717">
        <f t="shared" si="653"/>
        <v>40.923611111111114</v>
      </c>
      <c r="AB1774" s="125">
        <f>AA1774*Swiss1</f>
        <v>1158.1381944444445</v>
      </c>
      <c r="AC1774" s="104">
        <f>AA1774*Canvas</f>
        <v>27.009583333333335</v>
      </c>
      <c r="AD1774" s="107">
        <f>Table1[[#This Row],[Substrate SF]]*Materials!C$37</f>
        <v>114.58611111111111</v>
      </c>
      <c r="AE1774" s="104">
        <f>IF(Table1[[#This Row],[Work Center]]="SwissQ",Materials!G$37,IF(Table1[[#This Row],[Work Center]]="Inca",Materials!G$29,IF(Table1[[#This Row],[Work Center]]="Canon",Materials!G$49,Materials!G$45)))</f>
        <v>20</v>
      </c>
      <c r="AF1774" s="104">
        <f>'Cali Frames'!D$168</f>
        <v>317.065</v>
      </c>
      <c r="AG1774" s="115"/>
      <c r="AH1774" s="498">
        <f t="shared" si="652"/>
        <v>66</v>
      </c>
      <c r="AI1774" s="498"/>
      <c r="AJ1774" s="69">
        <f t="shared" si="654"/>
        <v>544.6606944444444</v>
      </c>
      <c r="AK1774" s="650">
        <f t="shared" si="648"/>
        <v>0.5873782617845118</v>
      </c>
      <c r="AL1774" s="225">
        <f>Table1[[#This Row],[WSP/Dealer]]/Table1[[#This Row],[OD Sq Inch]]</f>
        <v>0.28770706190061029</v>
      </c>
      <c r="AM1774" s="218">
        <f>Table1[[#This Row],[OD Wdth]]*Table1[[#This Row],[OD Hgt]]</f>
        <v>4588</v>
      </c>
      <c r="AN1774" s="216">
        <f>Table1[[#This Row],[Min VO]]+Table1[[#This Row],[Max VO]]</f>
        <v>132</v>
      </c>
      <c r="AO1774" s="101"/>
      <c r="AP1774" s="101"/>
      <c r="AQ1774" s="104"/>
      <c r="AR1774" s="104"/>
      <c r="AS1774" s="104"/>
      <c r="AT1774" s="104"/>
      <c r="AU1774" s="830" t="str">
        <f t="shared" si="651"/>
        <v>-</v>
      </c>
    </row>
    <row r="1775" spans="1:47" s="46" customFormat="1" x14ac:dyDescent="0.2">
      <c r="A1775" s="101" t="s">
        <v>581</v>
      </c>
      <c r="B1775" s="279" t="s">
        <v>292</v>
      </c>
      <c r="C1775" s="100" t="s">
        <v>4140</v>
      </c>
      <c r="D1775" s="94" t="s">
        <v>4141</v>
      </c>
      <c r="E1775" s="115" t="s">
        <v>4142</v>
      </c>
      <c r="F1775" s="115" t="s">
        <v>448</v>
      </c>
      <c r="G1775" s="101" t="s">
        <v>4143</v>
      </c>
      <c r="H1775" s="101" t="s">
        <v>4136</v>
      </c>
      <c r="I1775" s="101" t="s">
        <v>52</v>
      </c>
      <c r="J1775" s="101" t="s">
        <v>53</v>
      </c>
      <c r="K1775" s="101" t="s">
        <v>82</v>
      </c>
      <c r="L1775" s="101" t="s">
        <v>298</v>
      </c>
      <c r="M1775" s="299">
        <v>675</v>
      </c>
      <c r="N1775" s="829"/>
      <c r="O1775" s="101" t="s">
        <v>64</v>
      </c>
      <c r="P1775" s="697">
        <v>32</v>
      </c>
      <c r="Q1775" s="697">
        <v>39</v>
      </c>
      <c r="R1775" s="101">
        <v>32</v>
      </c>
      <c r="S1775" s="697">
        <v>39</v>
      </c>
      <c r="T1775" s="697">
        <v>33</v>
      </c>
      <c r="U1775" s="697">
        <v>40</v>
      </c>
      <c r="V1775" s="918">
        <f>IF(J1775="Canvas",P1775+BorderL,P1775)</f>
        <v>43</v>
      </c>
      <c r="W1775" s="918">
        <f>IF(J1775="Canvas",Q1775+BorderL,Q1775)</f>
        <v>50</v>
      </c>
      <c r="X1775" s="137">
        <v>53</v>
      </c>
      <c r="Y1775" s="101">
        <v>43</v>
      </c>
      <c r="Z1775" s="101">
        <v>50</v>
      </c>
      <c r="AA1775" s="724">
        <f t="shared" si="653"/>
        <v>14.930555555555555</v>
      </c>
      <c r="AB1775" s="633">
        <f>Table1[[#This Row],[Substrate SF]]*Swiss1</f>
        <v>422.53472222222223</v>
      </c>
      <c r="AC1775" s="406">
        <f>AA1775*Canvas</f>
        <v>9.8541666666666679</v>
      </c>
      <c r="AD1775" s="405">
        <f>Table1[[#This Row],[Substrate SF]]*Materials!C$37</f>
        <v>41.80555555555555</v>
      </c>
      <c r="AE1775" s="104">
        <f>IF(Table1[[#This Row],[Work Center]]="SwissQ",Materials!G$37,IF(Table1[[#This Row],[Work Center]]="Inca",Materials!G$29,IF(Table1[[#This Row],[Work Center]]="Canon",Materials!G$49,Materials!G$45)))</f>
        <v>20</v>
      </c>
      <c r="AF1775" s="102">
        <f>'Cali Frames'!D231</f>
        <v>120.69750000000001</v>
      </c>
      <c r="AG1775" s="540"/>
      <c r="AH1775" s="104">
        <f t="shared" si="652"/>
        <v>33.75</v>
      </c>
      <c r="AI1775" s="104"/>
      <c r="AJ1775" s="405">
        <f t="shared" si="654"/>
        <v>226.10722222222222</v>
      </c>
      <c r="AK1775" s="830">
        <f t="shared" si="648"/>
        <v>0.66502633744855966</v>
      </c>
      <c r="AL1775" s="660">
        <f>Table1[[#This Row],[WSP/Dealer]]/Table1[[#This Row],[OD Sq Inch]]</f>
        <v>0.51136363636363635</v>
      </c>
      <c r="AM1775" s="399">
        <f>Table1[[#This Row],[OD Wdth]]*Table1[[#This Row],[OD Hgt]]</f>
        <v>1320</v>
      </c>
      <c r="AN1775" s="400">
        <f>Table1[[#This Row],[Min VO]]+Table1[[#This Row],[Max VO]]</f>
        <v>71</v>
      </c>
      <c r="AO1775" s="115"/>
      <c r="AP1775" s="115"/>
      <c r="AQ1775" s="121"/>
      <c r="AR1775" s="121"/>
      <c r="AS1775" s="121"/>
      <c r="AT1775" s="104"/>
      <c r="AU1775" s="1359" t="str">
        <f t="shared" si="651"/>
        <v>-</v>
      </c>
    </row>
    <row r="1776" spans="1:47" s="45" customFormat="1" x14ac:dyDescent="0.2">
      <c r="A1776" s="86" t="s">
        <v>58</v>
      </c>
      <c r="B1776" s="279" t="s">
        <v>366</v>
      </c>
      <c r="C1776" s="100" t="s">
        <v>4144</v>
      </c>
      <c r="D1776" s="94" t="s">
        <v>4145</v>
      </c>
      <c r="E1776" s="85" t="s">
        <v>4146</v>
      </c>
      <c r="F1776" s="85" t="s">
        <v>448</v>
      </c>
      <c r="G1776" s="86" t="s">
        <v>623</v>
      </c>
      <c r="H1776" s="86" t="s">
        <v>2397</v>
      </c>
      <c r="I1776" s="86" t="s">
        <v>52</v>
      </c>
      <c r="J1776" s="86" t="s">
        <v>53</v>
      </c>
      <c r="K1776" s="86" t="s">
        <v>82</v>
      </c>
      <c r="L1776" s="86" t="s">
        <v>83</v>
      </c>
      <c r="M1776" s="87">
        <v>1320</v>
      </c>
      <c r="N1776" s="639">
        <v>1450</v>
      </c>
      <c r="O1776" s="101" t="s">
        <v>64</v>
      </c>
      <c r="P1776" s="101">
        <v>60</v>
      </c>
      <c r="Q1776" s="101">
        <v>72</v>
      </c>
      <c r="R1776" s="60">
        <v>60</v>
      </c>
      <c r="S1776" s="273">
        <v>72</v>
      </c>
      <c r="T1776" s="101">
        <v>62</v>
      </c>
      <c r="U1776" s="101" t="str">
        <f>RIGHT(H1776,2)</f>
        <v>74</v>
      </c>
      <c r="V1776" s="608">
        <f>IF(J1776="Canvas",P1776+BorderL,P1776)</f>
        <v>71</v>
      </c>
      <c r="W1776" s="608">
        <f>IF(J1776="Canvas",Q1776+BorderL,Q1776)</f>
        <v>83</v>
      </c>
      <c r="X1776" s="137">
        <v>82</v>
      </c>
      <c r="Y1776" s="101"/>
      <c r="Z1776" s="101"/>
      <c r="AA1776" s="649">
        <f t="shared" si="653"/>
        <v>40.923611111111114</v>
      </c>
      <c r="AB1776" s="125">
        <f>AA1776*Swiss1</f>
        <v>1158.1381944444445</v>
      </c>
      <c r="AC1776" s="104">
        <f>AA1776*Canvas</f>
        <v>27.009583333333335</v>
      </c>
      <c r="AD1776" s="107">
        <f>Table1[[#This Row],[Substrate SF]]*Materials!C$37</f>
        <v>114.58611111111111</v>
      </c>
      <c r="AE1776" s="104">
        <f>IF(Table1[[#This Row],[Work Center]]="SwissQ",Materials!G$37,IF(Table1[[#This Row],[Work Center]]="Inca",Materials!G$29,IF(Table1[[#This Row],[Work Center]]="Canon",Materials!G$49,Materials!G$45)))</f>
        <v>20</v>
      </c>
      <c r="AF1776" s="104">
        <f>'Cali Frames'!D$168</f>
        <v>317.065</v>
      </c>
      <c r="AG1776" s="115"/>
      <c r="AH1776" s="498">
        <f t="shared" si="652"/>
        <v>66</v>
      </c>
      <c r="AI1776" s="498"/>
      <c r="AJ1776" s="104">
        <f t="shared" si="654"/>
        <v>544.6606944444444</v>
      </c>
      <c r="AK1776" s="650">
        <f t="shared" si="648"/>
        <v>0.5873782617845118</v>
      </c>
      <c r="AL1776" s="225">
        <f>Table1[[#This Row],[WSP/Dealer]]/Table1[[#This Row],[OD Sq Inch]]</f>
        <v>0.28770706190061029</v>
      </c>
      <c r="AM1776" s="216">
        <f>Table1[[#This Row],[OD Wdth]]*Table1[[#This Row],[OD Hgt]]</f>
        <v>4588</v>
      </c>
      <c r="AN1776" s="216">
        <f>Table1[[#This Row],[Min VO]]+Table1[[#This Row],[Max VO]]</f>
        <v>132</v>
      </c>
      <c r="AO1776" s="101"/>
      <c r="AP1776" s="101"/>
      <c r="AQ1776" s="104"/>
      <c r="AR1776" s="104"/>
      <c r="AS1776" s="104"/>
      <c r="AT1776" s="104"/>
      <c r="AU1776" s="830" t="str">
        <f t="shared" si="651"/>
        <v>-</v>
      </c>
    </row>
    <row r="1777" spans="1:47" s="45" customFormat="1" x14ac:dyDescent="0.2">
      <c r="A1777" s="86" t="s">
        <v>58</v>
      </c>
      <c r="B1777" s="1061" t="s">
        <v>88</v>
      </c>
      <c r="C1777" s="100" t="s">
        <v>4147</v>
      </c>
      <c r="D1777" s="94" t="s">
        <v>4148</v>
      </c>
      <c r="E1777" s="85" t="s">
        <v>4149</v>
      </c>
      <c r="F1777" s="85" t="s">
        <v>800</v>
      </c>
      <c r="G1777" s="86" t="s">
        <v>750</v>
      </c>
      <c r="H1777" s="86" t="s">
        <v>751</v>
      </c>
      <c r="I1777" s="86" t="s">
        <v>794</v>
      </c>
      <c r="J1777" s="86" t="s">
        <v>53</v>
      </c>
      <c r="K1777" s="86" t="s">
        <v>69</v>
      </c>
      <c r="L1777" s="86" t="s">
        <v>70</v>
      </c>
      <c r="M1777" s="87">
        <v>654.5</v>
      </c>
      <c r="N1777" s="639">
        <v>719.95</v>
      </c>
      <c r="O1777" s="551" t="s">
        <v>795</v>
      </c>
      <c r="P1777" s="101">
        <v>39</v>
      </c>
      <c r="Q1777" s="101">
        <v>39</v>
      </c>
      <c r="R1777" s="101">
        <v>39</v>
      </c>
      <c r="S1777" s="101">
        <v>39</v>
      </c>
      <c r="T1777" s="101">
        <v>40</v>
      </c>
      <c r="U1777" s="101" t="str">
        <f>RIGHT(H1777,2)</f>
        <v>40</v>
      </c>
      <c r="V1777" s="608">
        <f>IF(J1777="Canvas",P1777+Border,P1777)</f>
        <v>47</v>
      </c>
      <c r="W1777" s="608">
        <f>IF(J1777="Canvas",Q1777+Border,Q1777)</f>
        <v>47</v>
      </c>
      <c r="X1777" s="137" t="s">
        <v>796</v>
      </c>
      <c r="Y1777" s="101"/>
      <c r="Z1777" s="101"/>
      <c r="AA1777" s="649">
        <f t="shared" si="653"/>
        <v>15.340277777777779</v>
      </c>
      <c r="AB1777" s="184">
        <v>0</v>
      </c>
      <c r="AC1777" s="104">
        <f>TX!H25</f>
        <v>140.41</v>
      </c>
      <c r="AD1777" s="107">
        <f t="shared" ref="AD1777:AD1788" si="655">AA1777*IncaC</f>
        <v>25.820755555555557</v>
      </c>
      <c r="AE1777" s="104">
        <v>0</v>
      </c>
      <c r="AF1777" s="104">
        <f>'Cali Frames'!D$307</f>
        <v>152.32</v>
      </c>
      <c r="AG1777" s="115"/>
      <c r="AH1777" s="498">
        <f t="shared" si="652"/>
        <v>32.725000000000001</v>
      </c>
      <c r="AI1777" s="498"/>
      <c r="AJ1777" s="107">
        <f t="shared" si="654"/>
        <v>351.27575555555558</v>
      </c>
      <c r="AK1777" s="650">
        <f t="shared" si="648"/>
        <v>0.46329143536202355</v>
      </c>
      <c r="AL1777" s="225">
        <f>Table1[[#This Row],[WSP/Dealer]]/Table1[[#This Row],[OD Sq Inch]]</f>
        <v>0.4090625</v>
      </c>
      <c r="AM1777" s="103">
        <f>Table1[[#This Row],[OD Wdth]]*Table1[[#This Row],[OD Hgt]]</f>
        <v>1600</v>
      </c>
      <c r="AN1777" s="216">
        <f>Table1[[#This Row],[Min VO]]+Table1[[#This Row],[Max VO]]</f>
        <v>78</v>
      </c>
      <c r="AO1777" s="101"/>
      <c r="AP1777" s="101"/>
      <c r="AQ1777" s="104"/>
      <c r="AR1777" s="104"/>
      <c r="AS1777" s="104"/>
      <c r="AT1777" s="104"/>
      <c r="AU1777" s="830" t="str">
        <f t="shared" si="651"/>
        <v>-</v>
      </c>
    </row>
    <row r="1778" spans="1:47" s="46" customFormat="1" hidden="1" x14ac:dyDescent="0.2">
      <c r="A1778" s="86"/>
      <c r="B1778" s="1061" t="s">
        <v>562</v>
      </c>
      <c r="C1778" s="100" t="s">
        <v>4150</v>
      </c>
      <c r="D1778" s="94" t="s">
        <v>4151</v>
      </c>
      <c r="E1778" s="85" t="s">
        <v>4152</v>
      </c>
      <c r="F1778" s="85" t="s">
        <v>800</v>
      </c>
      <c r="G1778" s="86" t="s">
        <v>750</v>
      </c>
      <c r="H1778" s="86" t="s">
        <v>751</v>
      </c>
      <c r="I1778" s="86" t="s">
        <v>794</v>
      </c>
      <c r="J1778" s="86" t="s">
        <v>53</v>
      </c>
      <c r="K1778" s="86" t="s">
        <v>69</v>
      </c>
      <c r="L1778" s="86" t="s">
        <v>70</v>
      </c>
      <c r="M1778" s="87">
        <v>654.5</v>
      </c>
      <c r="N1778" s="71"/>
      <c r="O1778" s="551" t="s">
        <v>795</v>
      </c>
      <c r="P1778" s="101">
        <v>39</v>
      </c>
      <c r="Q1778" s="101">
        <v>39</v>
      </c>
      <c r="R1778" s="101">
        <v>39</v>
      </c>
      <c r="S1778" s="101">
        <v>39</v>
      </c>
      <c r="T1778" s="101">
        <v>40</v>
      </c>
      <c r="U1778" s="101" t="str">
        <f>RIGHT(H1778,2)</f>
        <v>40</v>
      </c>
      <c r="V1778" s="608">
        <f>IF(J1778="Canvas",P1778+Border,P1778)</f>
        <v>47</v>
      </c>
      <c r="W1778" s="608">
        <f>IF(J1778="Canvas",Q1778+Border,Q1778)</f>
        <v>47</v>
      </c>
      <c r="X1778" s="137" t="s">
        <v>796</v>
      </c>
      <c r="Y1778" s="101"/>
      <c r="Z1778" s="101"/>
      <c r="AA1778" s="649">
        <f t="shared" si="653"/>
        <v>15.340277777777779</v>
      </c>
      <c r="AB1778" s="184">
        <v>0</v>
      </c>
      <c r="AC1778" s="104">
        <f>TX!H26</f>
        <v>140.41</v>
      </c>
      <c r="AD1778" s="107">
        <f t="shared" si="655"/>
        <v>25.820755555555557</v>
      </c>
      <c r="AE1778" s="104">
        <v>0</v>
      </c>
      <c r="AF1778" s="104">
        <f>'Cali Frames'!D307</f>
        <v>152.32</v>
      </c>
      <c r="AG1778" s="115"/>
      <c r="AH1778" s="498">
        <f t="shared" si="652"/>
        <v>32.725000000000001</v>
      </c>
      <c r="AI1778" s="498"/>
      <c r="AJ1778" s="104">
        <f t="shared" si="654"/>
        <v>351.27575555555558</v>
      </c>
      <c r="AK1778" s="650">
        <f t="shared" si="648"/>
        <v>0.46329143536202355</v>
      </c>
      <c r="AL1778" s="225">
        <f>Table1[[#This Row],[WSP/Dealer]]/Table1[[#This Row],[OD Sq Inch]]</f>
        <v>0.4090625</v>
      </c>
      <c r="AM1778" s="101">
        <f>Table1[[#This Row],[OD Wdth]]*Table1[[#This Row],[OD Hgt]]</f>
        <v>1600</v>
      </c>
      <c r="AN1778" s="216">
        <f>Table1[[#This Row],[Min VO]]+Table1[[#This Row],[Max VO]]</f>
        <v>78</v>
      </c>
      <c r="AO1778" s="101"/>
      <c r="AP1778" s="101"/>
      <c r="AQ1778" s="104"/>
      <c r="AR1778" s="104"/>
      <c r="AS1778" s="104"/>
      <c r="AT1778" s="104"/>
      <c r="AU1778" s="830" t="str">
        <f t="shared" si="651"/>
        <v>-</v>
      </c>
    </row>
    <row r="1779" spans="1:47" s="46" customFormat="1" hidden="1" x14ac:dyDescent="0.2">
      <c r="A1779" s="60" t="s">
        <v>110</v>
      </c>
      <c r="B1779" s="1071" t="s">
        <v>250</v>
      </c>
      <c r="C1779" s="79" t="s">
        <v>4153</v>
      </c>
      <c r="D1779" s="79"/>
      <c r="E1779" s="83" t="s">
        <v>4154</v>
      </c>
      <c r="F1779" s="83" t="s">
        <v>289</v>
      </c>
      <c r="G1779" s="60" t="s">
        <v>4155</v>
      </c>
      <c r="H1779" s="60" t="s">
        <v>4156</v>
      </c>
      <c r="I1779" s="60" t="s">
        <v>52</v>
      </c>
      <c r="J1779" s="59" t="s">
        <v>53</v>
      </c>
      <c r="K1779" s="60" t="s">
        <v>69</v>
      </c>
      <c r="L1779" s="60" t="s">
        <v>76</v>
      </c>
      <c r="M1779" s="124">
        <v>1100</v>
      </c>
      <c r="N1779" s="124"/>
      <c r="O1779" s="60" t="s">
        <v>56</v>
      </c>
      <c r="P1779" s="273">
        <v>68</v>
      </c>
      <c r="Q1779" s="273">
        <v>48</v>
      </c>
      <c r="R1779" s="60">
        <v>48</v>
      </c>
      <c r="S1779" s="273">
        <v>68</v>
      </c>
      <c r="T1779" s="273">
        <v>69</v>
      </c>
      <c r="U1779" s="273">
        <v>49</v>
      </c>
      <c r="V1779" s="946">
        <f>IF(J1779="Canvas",P1779+BorderGW,P1779)</f>
        <v>76</v>
      </c>
      <c r="W1779" s="946">
        <f>IF(J1779="Canvas",Q1779+BorderGW,Q1779)</f>
        <v>56</v>
      </c>
      <c r="X1779" s="60">
        <v>82</v>
      </c>
      <c r="Y1779" s="60">
        <v>76</v>
      </c>
      <c r="Z1779" s="60">
        <v>56</v>
      </c>
      <c r="AA1779" s="717">
        <f t="shared" si="653"/>
        <v>29.555555555555557</v>
      </c>
      <c r="AB1779" s="125">
        <f t="shared" ref="AB1779:AB1787" si="656">AA1779*IncaG</f>
        <v>621.84888888888895</v>
      </c>
      <c r="AC1779" s="69">
        <f>AA1779*Canvas</f>
        <v>19.506666666666668</v>
      </c>
      <c r="AD1779" s="48">
        <f t="shared" si="655"/>
        <v>49.747911111111115</v>
      </c>
      <c r="AE1779" s="69">
        <f>IF(Table1[[#This Row],[Work Center]]="SwissQ",Materials!G$37,IF(Table1[[#This Row],[Work Center]]="Inca",Materials!G$29,IF(Table1[[#This Row],[Work Center]]="Canon",Materials!G$49,Materials!G$45)))</f>
        <v>8</v>
      </c>
      <c r="AF1779" s="72">
        <f>'Cali Frames'!D383</f>
        <v>275</v>
      </c>
      <c r="AG1779" s="83"/>
      <c r="AH1779" s="48">
        <f t="shared" si="652"/>
        <v>55</v>
      </c>
      <c r="AI1779" s="48">
        <f>IF(A1779="Codarus",(M1779*0.13))</f>
        <v>143</v>
      </c>
      <c r="AJ1779" s="69">
        <f>SUM(AC1779:AI1779)</f>
        <v>550.25457777777774</v>
      </c>
      <c r="AK1779" s="62">
        <f t="shared" si="648"/>
        <v>0.49976856565656569</v>
      </c>
      <c r="AL1779" s="69">
        <f>Table1[[#This Row],[WSP/Dealer]]/Table1[[#This Row],[OD Sq Inch]]</f>
        <v>0.3253475303164744</v>
      </c>
      <c r="AM1779" s="46">
        <f>Table1[[#This Row],[OD Wdth]]*Table1[[#This Row],[OD Hgt]]</f>
        <v>3381</v>
      </c>
      <c r="AN1779" s="60">
        <f>Table1[[#This Row],[Min VO]]+Table1[[#This Row],[Max VO]]</f>
        <v>116</v>
      </c>
      <c r="AO1779" s="83"/>
      <c r="AP1779" s="540">
        <v>2200</v>
      </c>
      <c r="AQ1779" s="540">
        <f>(Table1[[#This Row],[Desgnr/Retail P]]*0.05)</f>
        <v>110</v>
      </c>
      <c r="AR1779" s="540">
        <f>IF(A1779="Codarus",(AP1779*0.13))</f>
        <v>286</v>
      </c>
      <c r="AS1779" s="540">
        <f>SUM(Table1[[#This Row],[Substrate $]:[GP FINISH]])+Table1[[#This Row],[Retail Royalty]]+Table1[[#This Row],[Retail$Comm]]</f>
        <v>748.25457777777774</v>
      </c>
      <c r="AT1779" s="650">
        <f>IF(AP1779=0,"-",(AP1779-AS1779)/AP1779)</f>
        <v>0.65988428282828282</v>
      </c>
      <c r="AU1779" s="1355">
        <f t="shared" si="651"/>
        <v>0.99400105197428834</v>
      </c>
    </row>
    <row r="1780" spans="1:47" s="46" customFormat="1" x14ac:dyDescent="0.2">
      <c r="A1780" s="86" t="s">
        <v>58</v>
      </c>
      <c r="B1780" s="1061" t="s">
        <v>1457</v>
      </c>
      <c r="C1780" s="77" t="s">
        <v>4157</v>
      </c>
      <c r="D1780" s="94" t="s">
        <v>4158</v>
      </c>
      <c r="E1780" s="85" t="s">
        <v>4154</v>
      </c>
      <c r="F1780" s="85" t="s">
        <v>289</v>
      </c>
      <c r="G1780" s="86" t="s">
        <v>4155</v>
      </c>
      <c r="H1780" s="86" t="s">
        <v>4155</v>
      </c>
      <c r="I1780" s="86" t="s">
        <v>52</v>
      </c>
      <c r="J1780" s="86" t="s">
        <v>53</v>
      </c>
      <c r="K1780" s="86" t="s">
        <v>54</v>
      </c>
      <c r="L1780" s="86" t="s">
        <v>55</v>
      </c>
      <c r="M1780" s="87">
        <v>990</v>
      </c>
      <c r="N1780" s="639">
        <v>1100</v>
      </c>
      <c r="O1780" s="101" t="s">
        <v>56</v>
      </c>
      <c r="P1780" s="273">
        <v>68</v>
      </c>
      <c r="Q1780" s="273">
        <v>48</v>
      </c>
      <c r="R1780" s="60">
        <v>48</v>
      </c>
      <c r="S1780" s="273">
        <v>68</v>
      </c>
      <c r="T1780" s="273">
        <f>Table1[[#This Row],[VO Wdth]]</f>
        <v>68</v>
      </c>
      <c r="U1780" s="273">
        <f>Table1[[#This Row],[VO Hgt]]</f>
        <v>48</v>
      </c>
      <c r="V1780" s="608">
        <f>IF(J1780="Canvas",P1780+BorderGW,P1780)</f>
        <v>76</v>
      </c>
      <c r="W1780" s="608">
        <f>IF(J1780="Canvas",Q1780+BorderGW,Q1780)</f>
        <v>56</v>
      </c>
      <c r="X1780" s="137">
        <v>82</v>
      </c>
      <c r="Y1780" s="101"/>
      <c r="Z1780" s="101"/>
      <c r="AA1780" s="649">
        <f t="shared" si="653"/>
        <v>29.555555555555557</v>
      </c>
      <c r="AB1780" s="184">
        <f t="shared" si="656"/>
        <v>621.84888888888895</v>
      </c>
      <c r="AC1780" s="104">
        <f>AA1780*Canvas</f>
        <v>19.506666666666668</v>
      </c>
      <c r="AD1780" s="104">
        <f t="shared" si="655"/>
        <v>49.747911111111115</v>
      </c>
      <c r="AE1780" s="104">
        <f>IF(Table1[[#This Row],[Work Center]]="SwissQ",Materials!G$37,IF(Table1[[#This Row],[Work Center]]="Inca",Materials!G$29,IF(Table1[[#This Row],[Work Center]]="Canon",Materials!G$49,Materials!G$45)))</f>
        <v>8</v>
      </c>
      <c r="AF1780" s="69">
        <f>'Cali FPS'!C$124</f>
        <v>176.785</v>
      </c>
      <c r="AG1780" s="115"/>
      <c r="AH1780" s="112">
        <f t="shared" si="652"/>
        <v>49.5</v>
      </c>
      <c r="AI1780" s="112"/>
      <c r="AJ1780" s="104">
        <f t="shared" ref="AJ1780:AJ1789" si="657">SUM(AC1780:AH1780)</f>
        <v>303.53957777777777</v>
      </c>
      <c r="AK1780" s="62">
        <f t="shared" si="648"/>
        <v>0.69339436588103254</v>
      </c>
      <c r="AL1780" s="225">
        <f>Table1[[#This Row],[WSP/Dealer]]/Table1[[#This Row],[OD Sq Inch]]</f>
        <v>0.30330882352941174</v>
      </c>
      <c r="AM1780" s="103">
        <f>Table1[[#This Row],[OD Wdth]]*Table1[[#This Row],[OD Hgt]]</f>
        <v>3264</v>
      </c>
      <c r="AN1780" s="216">
        <f>Table1[[#This Row],[Min VO]]+Table1[[#This Row],[Max VO]]</f>
        <v>116</v>
      </c>
      <c r="AO1780" s="101"/>
      <c r="AP1780" s="101"/>
      <c r="AQ1780" s="104"/>
      <c r="AR1780" s="104"/>
      <c r="AS1780" s="104"/>
      <c r="AT1780" s="104"/>
      <c r="AU1780" s="830" t="str">
        <f t="shared" si="651"/>
        <v>-</v>
      </c>
    </row>
    <row r="1781" spans="1:47" s="103" customFormat="1" x14ac:dyDescent="0.2">
      <c r="A1781" s="145" t="s">
        <v>58</v>
      </c>
      <c r="B1781" s="1061" t="s">
        <v>533</v>
      </c>
      <c r="C1781" s="146" t="s">
        <v>4159</v>
      </c>
      <c r="D1781" s="94" t="s">
        <v>4160</v>
      </c>
      <c r="E1781" s="146" t="s">
        <v>4161</v>
      </c>
      <c r="F1781" s="154" t="s">
        <v>1269</v>
      </c>
      <c r="G1781" s="145" t="s">
        <v>1048</v>
      </c>
      <c r="H1781" s="145" t="s">
        <v>1048</v>
      </c>
      <c r="I1781" s="145" t="s">
        <v>52</v>
      </c>
      <c r="J1781" s="145" t="s">
        <v>53</v>
      </c>
      <c r="K1781" s="145" t="s">
        <v>54</v>
      </c>
      <c r="L1781" s="145" t="s">
        <v>55</v>
      </c>
      <c r="M1781" s="151">
        <v>950</v>
      </c>
      <c r="N1781" s="639">
        <v>950</v>
      </c>
      <c r="O1781" s="145" t="s">
        <v>56</v>
      </c>
      <c r="P1781" s="145">
        <v>48</v>
      </c>
      <c r="Q1781" s="145">
        <v>60</v>
      </c>
      <c r="R1781" s="145">
        <v>48</v>
      </c>
      <c r="S1781" s="145">
        <v>60</v>
      </c>
      <c r="T1781" s="698">
        <f>Table1[[#This Row],[VO Wdth]]</f>
        <v>48</v>
      </c>
      <c r="U1781" s="698">
        <f>Table1[[#This Row],[VO Hgt]]</f>
        <v>60</v>
      </c>
      <c r="V1781" s="913">
        <f>IF(J1781="Canvas",P1781+Border,P1781)</f>
        <v>56</v>
      </c>
      <c r="W1781" s="913">
        <f>IF(J1781="Canvas",Q1781+Border,Q1781)</f>
        <v>68</v>
      </c>
      <c r="X1781" s="157">
        <v>69</v>
      </c>
      <c r="Y1781" s="145"/>
      <c r="Z1781" s="145"/>
      <c r="AA1781" s="722">
        <f t="shared" si="653"/>
        <v>26.444444444444443</v>
      </c>
      <c r="AB1781" s="389">
        <f t="shared" si="656"/>
        <v>556.39111111111106</v>
      </c>
      <c r="AC1781" s="143">
        <f>Table1[[#This Row],[Substrate SF]]*Paper</f>
        <v>35.779333333333334</v>
      </c>
      <c r="AD1781" s="143">
        <f t="shared" si="655"/>
        <v>44.511288888888885</v>
      </c>
      <c r="AE1781" s="104">
        <f>IF(Table1[[#This Row],[Work Center]]="SwissQ",Materials!G$37,IF(Table1[[#This Row],[Work Center]]="Inca",Materials!G$29,IF(Table1[[#This Row],[Work Center]]="Canon",Materials!G$49,Materials!G$45)))</f>
        <v>8</v>
      </c>
      <c r="AF1781" s="143">
        <f>'Cali FPS'!C$121</f>
        <v>188.18</v>
      </c>
      <c r="AG1781" s="115"/>
      <c r="AH1781" s="112">
        <f t="shared" si="652"/>
        <v>47.5</v>
      </c>
      <c r="AI1781" s="112"/>
      <c r="AJ1781" s="143">
        <f t="shared" si="657"/>
        <v>323.97062222222223</v>
      </c>
      <c r="AK1781" s="62">
        <f t="shared" si="648"/>
        <v>0.65897829239766081</v>
      </c>
      <c r="AL1781" s="225">
        <f>Table1[[#This Row],[WSP/Dealer]]/Table1[[#This Row],[OD Sq Inch]]</f>
        <v>0.3298611111111111</v>
      </c>
      <c r="AM1781" s="216">
        <f>Table1[[#This Row],[OD Wdth]]*Table1[[#This Row],[OD Hgt]]</f>
        <v>2880</v>
      </c>
      <c r="AN1781" s="216">
        <f>Table1[[#This Row],[Min VO]]+Table1[[#This Row],[Max VO]]</f>
        <v>108</v>
      </c>
      <c r="AO1781" s="145"/>
      <c r="AP1781" s="145"/>
      <c r="AQ1781" s="143"/>
      <c r="AR1781" s="143"/>
      <c r="AS1781" s="143"/>
      <c r="AT1781" s="143"/>
      <c r="AU1781" s="1371" t="str">
        <f t="shared" si="651"/>
        <v>-</v>
      </c>
    </row>
    <row r="1782" spans="1:47" s="63" customFormat="1" x14ac:dyDescent="0.2">
      <c r="A1782" s="86" t="s">
        <v>58</v>
      </c>
      <c r="B1782" s="170"/>
      <c r="C1782" s="75" t="s">
        <v>4162</v>
      </c>
      <c r="D1782" s="94"/>
      <c r="E1782" s="85" t="s">
        <v>4163</v>
      </c>
      <c r="F1782" s="85" t="s">
        <v>50</v>
      </c>
      <c r="G1782" s="86" t="s">
        <v>51</v>
      </c>
      <c r="H1782" s="86" t="s">
        <v>51</v>
      </c>
      <c r="I1782" s="86" t="s">
        <v>52</v>
      </c>
      <c r="J1782" s="86" t="s">
        <v>53</v>
      </c>
      <c r="K1782" s="86" t="s">
        <v>54</v>
      </c>
      <c r="L1782" s="86" t="s">
        <v>55</v>
      </c>
      <c r="M1782" s="87">
        <v>560</v>
      </c>
      <c r="N1782" s="639">
        <v>560</v>
      </c>
      <c r="O1782" s="101" t="s">
        <v>56</v>
      </c>
      <c r="P1782" s="273">
        <v>30</v>
      </c>
      <c r="Q1782" s="273">
        <v>40</v>
      </c>
      <c r="R1782" s="60">
        <v>30</v>
      </c>
      <c r="S1782" s="273">
        <v>40</v>
      </c>
      <c r="T1782" s="273">
        <f>Table1[[#This Row],[VO Wdth]]</f>
        <v>30</v>
      </c>
      <c r="U1782" s="273">
        <f>Table1[[#This Row],[VO Hgt]]</f>
        <v>40</v>
      </c>
      <c r="V1782" s="608">
        <f>IF(J1782="Canvas",P1782+BorderGW,P1782)</f>
        <v>38</v>
      </c>
      <c r="W1782" s="608">
        <f>IF(J1782="Canvas",Q1782+BorderGW,Q1782)</f>
        <v>48</v>
      </c>
      <c r="X1782" s="157" t="s">
        <v>57</v>
      </c>
      <c r="Y1782" s="60">
        <v>38</v>
      </c>
      <c r="Z1782" s="60">
        <v>96</v>
      </c>
      <c r="AA1782" s="649">
        <f t="shared" si="653"/>
        <v>12.666666666666666</v>
      </c>
      <c r="AB1782" s="184">
        <f t="shared" si="656"/>
        <v>266.50666666666666</v>
      </c>
      <c r="AC1782" s="104">
        <f t="shared" ref="AC1782:AC1789" si="658">AA1782*Canvas</f>
        <v>8.36</v>
      </c>
      <c r="AD1782" s="104">
        <f t="shared" si="655"/>
        <v>21.320533333333334</v>
      </c>
      <c r="AE1782" s="104">
        <f>IF(Table1[[#This Row],[Work Center]]="SwissQ",Materials!G$37,IF(Table1[[#This Row],[Work Center]]="Inca",Materials!G$29,IF(Table1[[#This Row],[Work Center]]="Canon",Materials!G$49,Materials!G$45)))</f>
        <v>8</v>
      </c>
      <c r="AF1782" s="69">
        <f>'Cali FPS'!C$48</f>
        <v>76.3</v>
      </c>
      <c r="AG1782" s="115"/>
      <c r="AH1782" s="112">
        <f t="shared" si="652"/>
        <v>28</v>
      </c>
      <c r="AI1782" s="112"/>
      <c r="AJ1782" s="104">
        <f t="shared" si="657"/>
        <v>141.98053333333331</v>
      </c>
      <c r="AK1782" s="62">
        <f t="shared" si="648"/>
        <v>0.74646333333333337</v>
      </c>
      <c r="AL1782" s="225">
        <f>Table1[[#This Row],[WSP/Dealer]]/Table1[[#This Row],[OD Sq Inch]]</f>
        <v>0.46666666666666667</v>
      </c>
      <c r="AM1782" s="101">
        <f>Table1[[#This Row],[OD Wdth]]*Table1[[#This Row],[OD Hgt]]</f>
        <v>1200</v>
      </c>
      <c r="AN1782" s="216">
        <f>Table1[[#This Row],[Min VO]]+Table1[[#This Row],[Max VO]]</f>
        <v>70</v>
      </c>
      <c r="AO1782" s="101"/>
      <c r="AP1782" s="101"/>
      <c r="AQ1782" s="104"/>
      <c r="AR1782" s="104"/>
      <c r="AS1782" s="104"/>
      <c r="AT1782" s="104"/>
      <c r="AU1782" s="830" t="str">
        <f t="shared" si="651"/>
        <v>-</v>
      </c>
    </row>
    <row r="1783" spans="1:47" s="103" customFormat="1" x14ac:dyDescent="0.2">
      <c r="A1783" s="551" t="s">
        <v>58</v>
      </c>
      <c r="B1783" s="1150" t="s">
        <v>59</v>
      </c>
      <c r="C1783" s="1032" t="s">
        <v>4164</v>
      </c>
      <c r="D1783" s="77"/>
      <c r="E1783" s="653" t="s">
        <v>4165</v>
      </c>
      <c r="F1783" s="653" t="s">
        <v>50</v>
      </c>
      <c r="G1783" s="551" t="s">
        <v>191</v>
      </c>
      <c r="H1783" s="551" t="s">
        <v>191</v>
      </c>
      <c r="I1783" s="551" t="s">
        <v>52</v>
      </c>
      <c r="J1783" s="856" t="s">
        <v>53</v>
      </c>
      <c r="K1783" s="551" t="s">
        <v>54</v>
      </c>
      <c r="L1783" s="551" t="s">
        <v>55</v>
      </c>
      <c r="M1783" s="857">
        <v>950</v>
      </c>
      <c r="N1783" s="896"/>
      <c r="O1783" s="551" t="s">
        <v>56</v>
      </c>
      <c r="P1783" s="984">
        <v>48</v>
      </c>
      <c r="Q1783" s="984">
        <v>60</v>
      </c>
      <c r="R1783" s="551">
        <v>48</v>
      </c>
      <c r="S1783" s="984">
        <v>60</v>
      </c>
      <c r="T1783" s="984">
        <v>48</v>
      </c>
      <c r="U1783" s="984">
        <v>60</v>
      </c>
      <c r="V1783" s="1571">
        <f t="shared" ref="V1783:V1789" si="659">IF(J1783="Canvas",P1783+Border,P1783)</f>
        <v>56</v>
      </c>
      <c r="W1783" s="1571">
        <f t="shared" ref="W1783:W1789" si="660">IF(J1783="Canvas",Q1783+Border,Q1783)</f>
        <v>68</v>
      </c>
      <c r="X1783" s="551">
        <v>69</v>
      </c>
      <c r="Y1783" s="551">
        <v>56</v>
      </c>
      <c r="Z1783" s="551">
        <v>68</v>
      </c>
      <c r="AA1783" s="649">
        <f t="shared" si="653"/>
        <v>26.444444444444443</v>
      </c>
      <c r="AB1783" s="184">
        <f t="shared" si="656"/>
        <v>556.39111111111106</v>
      </c>
      <c r="AC1783" s="104">
        <f t="shared" si="658"/>
        <v>17.453333333333333</v>
      </c>
      <c r="AD1783" s="104">
        <f t="shared" si="655"/>
        <v>44.511288888888885</v>
      </c>
      <c r="AE1783" s="863">
        <f>IF(Table1[[#This Row],[Work Center]]="SwissQ",Materials!G$37,IF(Table1[[#This Row],[Work Center]]="Inca",Materials!G$29,IF(Table1[[#This Row],[Work Center]]="Canon",Materials!G$49,Materials!G$45)))</f>
        <v>8</v>
      </c>
      <c r="AF1783" s="71">
        <f>'Cali FPS'!C121</f>
        <v>188.18</v>
      </c>
      <c r="AG1783" s="653"/>
      <c r="AH1783" s="867">
        <f t="shared" si="652"/>
        <v>47.5</v>
      </c>
      <c r="AI1783" s="867"/>
      <c r="AJ1783" s="867">
        <f t="shared" si="657"/>
        <v>305.64462222222221</v>
      </c>
      <c r="AK1783" s="1087">
        <f t="shared" si="648"/>
        <v>0.67826881871345035</v>
      </c>
      <c r="AL1783" s="867" t="e">
        <f>Table1[[#This Row],[WSP/Dealer]]/Table1[[#This Row],[OD Sq Inch]]</f>
        <v>#DIV/0!</v>
      </c>
      <c r="AM1783" s="872"/>
      <c r="AN1783" s="68" t="s">
        <v>55</v>
      </c>
      <c r="AO1783" s="653"/>
      <c r="AP1783" s="653"/>
      <c r="AQ1783" s="864"/>
      <c r="AR1783" s="864"/>
      <c r="AS1783" s="864"/>
      <c r="AT1783" s="863"/>
      <c r="AU1783" s="1364" t="str">
        <f t="shared" si="651"/>
        <v>-</v>
      </c>
    </row>
    <row r="1784" spans="1:47" s="103" customFormat="1" x14ac:dyDescent="0.2">
      <c r="A1784" s="68" t="s">
        <v>58</v>
      </c>
      <c r="B1784" s="1072" t="s">
        <v>59</v>
      </c>
      <c r="C1784" s="257" t="s">
        <v>4166</v>
      </c>
      <c r="D1784" s="94"/>
      <c r="E1784" s="84" t="s">
        <v>4165</v>
      </c>
      <c r="F1784" s="84" t="s">
        <v>50</v>
      </c>
      <c r="G1784" s="68" t="s">
        <v>191</v>
      </c>
      <c r="H1784" s="68" t="s">
        <v>193</v>
      </c>
      <c r="I1784" s="68" t="s">
        <v>52</v>
      </c>
      <c r="J1784" s="140" t="s">
        <v>53</v>
      </c>
      <c r="K1784" s="68" t="s">
        <v>69</v>
      </c>
      <c r="L1784" s="68" t="s">
        <v>70</v>
      </c>
      <c r="M1784" s="141">
        <v>1150</v>
      </c>
      <c r="N1784" s="93"/>
      <c r="O1784" s="68" t="s">
        <v>56</v>
      </c>
      <c r="P1784" s="623">
        <v>48</v>
      </c>
      <c r="Q1784" s="623">
        <v>60</v>
      </c>
      <c r="R1784" s="68">
        <v>48</v>
      </c>
      <c r="S1784" s="623">
        <v>60</v>
      </c>
      <c r="T1784" s="65">
        <v>49</v>
      </c>
      <c r="U1784" s="65">
        <v>61</v>
      </c>
      <c r="V1784" s="160">
        <f t="shared" si="659"/>
        <v>56</v>
      </c>
      <c r="W1784" s="160">
        <f t="shared" si="660"/>
        <v>68</v>
      </c>
      <c r="X1784" s="68">
        <v>69</v>
      </c>
      <c r="Y1784" s="68">
        <v>56</v>
      </c>
      <c r="Z1784" s="68">
        <v>68</v>
      </c>
      <c r="AA1784" s="699">
        <f t="shared" si="653"/>
        <v>26.444444444444443</v>
      </c>
      <c r="AB1784" s="297">
        <f t="shared" si="656"/>
        <v>556.39111111111106</v>
      </c>
      <c r="AC1784" s="74">
        <f t="shared" si="658"/>
        <v>17.453333333333333</v>
      </c>
      <c r="AD1784" s="67">
        <f t="shared" si="655"/>
        <v>44.511288888888885</v>
      </c>
      <c r="AE1784" s="74">
        <f>IF(Table1[[#This Row],[Work Center]]="SwissQ",Materials!G$37,IF(Table1[[#This Row],[Work Center]]="Inca",Materials!G$29,IF(Table1[[#This Row],[Work Center]]="Canon",Materials!G$49,Materials!G$45)))</f>
        <v>8</v>
      </c>
      <c r="AF1784" s="73">
        <f>'Cali Frames'!D335</f>
        <v>258.27999999999997</v>
      </c>
      <c r="AG1784" s="84"/>
      <c r="AH1784" s="865">
        <f t="shared" si="652"/>
        <v>57.5</v>
      </c>
      <c r="AI1784" s="865"/>
      <c r="AJ1784" s="867">
        <f t="shared" si="657"/>
        <v>385.74462222222218</v>
      </c>
      <c r="AK1784" s="866">
        <f t="shared" si="648"/>
        <v>0.66456989371980679</v>
      </c>
      <c r="AL1784" s="867" t="e">
        <f>Table1[[#This Row],[WSP/Dealer]]/Table1[[#This Row],[OD Sq Inch]]</f>
        <v>#DIV/0!</v>
      </c>
      <c r="AM1784" s="877"/>
      <c r="AN1784" s="68" t="s">
        <v>70</v>
      </c>
      <c r="AO1784" s="119"/>
      <c r="AP1784" s="84"/>
      <c r="AQ1784" s="126"/>
      <c r="AR1784" s="126"/>
      <c r="AS1784" s="126"/>
      <c r="AT1784" s="74"/>
      <c r="AU1784" s="1356" t="str">
        <f t="shared" si="651"/>
        <v>-</v>
      </c>
    </row>
    <row r="1785" spans="1:47" s="63" customFormat="1" x14ac:dyDescent="0.2">
      <c r="A1785" s="68" t="s">
        <v>58</v>
      </c>
      <c r="B1785" s="1072" t="s">
        <v>59</v>
      </c>
      <c r="C1785" s="257" t="s">
        <v>4167</v>
      </c>
      <c r="D1785" s="94"/>
      <c r="E1785" s="84" t="s">
        <v>4165</v>
      </c>
      <c r="F1785" s="84" t="s">
        <v>50</v>
      </c>
      <c r="G1785" s="68" t="s">
        <v>191</v>
      </c>
      <c r="H1785" s="68" t="s">
        <v>193</v>
      </c>
      <c r="I1785" s="68" t="s">
        <v>52</v>
      </c>
      <c r="J1785" s="140" t="s">
        <v>53</v>
      </c>
      <c r="K1785" s="68" t="s">
        <v>69</v>
      </c>
      <c r="L1785" s="68" t="s">
        <v>76</v>
      </c>
      <c r="M1785" s="141">
        <v>1150</v>
      </c>
      <c r="N1785" s="93"/>
      <c r="O1785" s="68" t="s">
        <v>56</v>
      </c>
      <c r="P1785" s="65">
        <v>48</v>
      </c>
      <c r="Q1785" s="65">
        <v>60</v>
      </c>
      <c r="R1785" s="68">
        <v>48</v>
      </c>
      <c r="S1785" s="65">
        <v>60</v>
      </c>
      <c r="T1785" s="65">
        <v>49</v>
      </c>
      <c r="U1785" s="65">
        <v>61</v>
      </c>
      <c r="V1785" s="160">
        <f t="shared" si="659"/>
        <v>56</v>
      </c>
      <c r="W1785" s="160">
        <f t="shared" si="660"/>
        <v>68</v>
      </c>
      <c r="X1785" s="68">
        <v>69</v>
      </c>
      <c r="Y1785" s="68">
        <v>56</v>
      </c>
      <c r="Z1785" s="68">
        <v>68</v>
      </c>
      <c r="AA1785" s="699">
        <f t="shared" si="653"/>
        <v>26.444444444444443</v>
      </c>
      <c r="AB1785" s="297">
        <f t="shared" si="656"/>
        <v>556.39111111111106</v>
      </c>
      <c r="AC1785" s="74">
        <f t="shared" si="658"/>
        <v>17.453333333333333</v>
      </c>
      <c r="AD1785" s="67">
        <f t="shared" si="655"/>
        <v>44.511288888888885</v>
      </c>
      <c r="AE1785" s="74">
        <f>IF(Table1[[#This Row],[Work Center]]="SwissQ",Materials!G$37,IF(Table1[[#This Row],[Work Center]]="Inca",Materials!G$29,IF(Table1[[#This Row],[Work Center]]="Canon",Materials!G$49,Materials!G$45)))</f>
        <v>8</v>
      </c>
      <c r="AF1785" s="73">
        <f>'Cali Frames'!D381</f>
        <v>272.89999999999998</v>
      </c>
      <c r="AG1785" s="84"/>
      <c r="AH1785" s="867">
        <f t="shared" si="652"/>
        <v>57.5</v>
      </c>
      <c r="AI1785" s="867"/>
      <c r="AJ1785" s="867">
        <f t="shared" si="657"/>
        <v>400.36462222222218</v>
      </c>
      <c r="AK1785" s="1087">
        <f t="shared" si="648"/>
        <v>0.65185685024154594</v>
      </c>
      <c r="AL1785" s="867" t="e">
        <f>Table1[[#This Row],[WSP/Dealer]]/Table1[[#This Row],[OD Sq Inch]]</f>
        <v>#DIV/0!</v>
      </c>
      <c r="AM1785" s="877"/>
      <c r="AN1785" s="68" t="s">
        <v>76</v>
      </c>
      <c r="AO1785" s="119"/>
      <c r="AP1785" s="84"/>
      <c r="AQ1785" s="126"/>
      <c r="AR1785" s="126"/>
      <c r="AS1785" s="126"/>
      <c r="AT1785" s="74"/>
      <c r="AU1785" s="1356" t="str">
        <f t="shared" si="651"/>
        <v>-</v>
      </c>
    </row>
    <row r="1786" spans="1:47" s="63" customFormat="1" x14ac:dyDescent="0.2">
      <c r="A1786" s="68" t="s">
        <v>58</v>
      </c>
      <c r="B1786" s="1072" t="s">
        <v>59</v>
      </c>
      <c r="C1786" s="257" t="s">
        <v>4168</v>
      </c>
      <c r="D1786" s="94"/>
      <c r="E1786" s="84" t="s">
        <v>4165</v>
      </c>
      <c r="F1786" s="84" t="s">
        <v>50</v>
      </c>
      <c r="G1786" s="68" t="s">
        <v>191</v>
      </c>
      <c r="H1786" s="68" t="s">
        <v>193</v>
      </c>
      <c r="I1786" s="68" t="s">
        <v>52</v>
      </c>
      <c r="J1786" s="140" t="s">
        <v>53</v>
      </c>
      <c r="K1786" s="68" t="s">
        <v>69</v>
      </c>
      <c r="L1786" s="68" t="s">
        <v>73</v>
      </c>
      <c r="M1786" s="141">
        <v>1150</v>
      </c>
      <c r="N1786" s="93"/>
      <c r="O1786" s="68" t="s">
        <v>56</v>
      </c>
      <c r="P1786" s="623">
        <v>48</v>
      </c>
      <c r="Q1786" s="623">
        <v>60</v>
      </c>
      <c r="R1786" s="68">
        <v>48</v>
      </c>
      <c r="S1786" s="623">
        <v>60</v>
      </c>
      <c r="T1786" s="623">
        <v>49</v>
      </c>
      <c r="U1786" s="623">
        <v>61</v>
      </c>
      <c r="V1786" s="1198">
        <f t="shared" si="659"/>
        <v>56</v>
      </c>
      <c r="W1786" s="1198">
        <f t="shared" si="660"/>
        <v>68</v>
      </c>
      <c r="X1786" s="68">
        <v>69</v>
      </c>
      <c r="Y1786" s="68">
        <v>56</v>
      </c>
      <c r="Z1786" s="68">
        <v>68</v>
      </c>
      <c r="AA1786" s="699">
        <f t="shared" si="653"/>
        <v>26.444444444444443</v>
      </c>
      <c r="AB1786" s="297">
        <f t="shared" si="656"/>
        <v>556.39111111111106</v>
      </c>
      <c r="AC1786" s="74">
        <f t="shared" si="658"/>
        <v>17.453333333333333</v>
      </c>
      <c r="AD1786" s="67">
        <f t="shared" si="655"/>
        <v>44.511288888888885</v>
      </c>
      <c r="AE1786" s="74">
        <f>IF(Table1[[#This Row],[Work Center]]="SwissQ",Materials!G$37,IF(Table1[[#This Row],[Work Center]]="Inca",Materials!G$29,IF(Table1[[#This Row],[Work Center]]="Canon",Materials!G$49,Materials!G$45)))</f>
        <v>8</v>
      </c>
      <c r="AF1786" s="73">
        <f>'Cali Frames'!D470</f>
        <v>263.70999999999998</v>
      </c>
      <c r="AG1786" s="84"/>
      <c r="AH1786" s="867">
        <f t="shared" si="652"/>
        <v>57.5</v>
      </c>
      <c r="AI1786" s="867"/>
      <c r="AJ1786" s="867">
        <f t="shared" si="657"/>
        <v>391.17462222222218</v>
      </c>
      <c r="AK1786" s="1087">
        <f t="shared" si="648"/>
        <v>0.65984815458937196</v>
      </c>
      <c r="AL1786" s="867" t="e">
        <f>Table1[[#This Row],[WSP/Dealer]]/Table1[[#This Row],[OD Sq Inch]]</f>
        <v>#DIV/0!</v>
      </c>
      <c r="AM1786" s="872"/>
      <c r="AN1786" s="68" t="s">
        <v>73</v>
      </c>
      <c r="AO1786" s="84"/>
      <c r="AP1786" s="84"/>
      <c r="AQ1786" s="126"/>
      <c r="AR1786" s="126"/>
      <c r="AS1786" s="126"/>
      <c r="AT1786" s="74"/>
      <c r="AU1786" s="1357" t="str">
        <f t="shared" si="651"/>
        <v>-</v>
      </c>
    </row>
    <row r="1787" spans="1:47" s="63" customFormat="1" x14ac:dyDescent="0.2">
      <c r="A1787" s="68" t="s">
        <v>58</v>
      </c>
      <c r="B1787" s="1072" t="s">
        <v>59</v>
      </c>
      <c r="C1787" s="257" t="s">
        <v>4169</v>
      </c>
      <c r="D1787" s="94"/>
      <c r="E1787" s="84" t="s">
        <v>4165</v>
      </c>
      <c r="F1787" s="84" t="s">
        <v>50</v>
      </c>
      <c r="G1787" s="68" t="s">
        <v>191</v>
      </c>
      <c r="H1787" s="68" t="s">
        <v>607</v>
      </c>
      <c r="I1787" s="68" t="s">
        <v>52</v>
      </c>
      <c r="J1787" s="140" t="s">
        <v>53</v>
      </c>
      <c r="K1787" s="68" t="s">
        <v>82</v>
      </c>
      <c r="L1787" s="68" t="s">
        <v>83</v>
      </c>
      <c r="M1787" s="141">
        <v>1100</v>
      </c>
      <c r="N1787" s="93"/>
      <c r="O1787" s="68" t="s">
        <v>56</v>
      </c>
      <c r="P1787" s="623">
        <v>48</v>
      </c>
      <c r="Q1787" s="623">
        <v>60</v>
      </c>
      <c r="R1787" s="68">
        <v>48</v>
      </c>
      <c r="S1787" s="623">
        <v>60</v>
      </c>
      <c r="T1787" s="623">
        <v>50</v>
      </c>
      <c r="U1787" s="623">
        <v>62</v>
      </c>
      <c r="V1787" s="1198">
        <f t="shared" si="659"/>
        <v>56</v>
      </c>
      <c r="W1787" s="1198">
        <f t="shared" si="660"/>
        <v>68</v>
      </c>
      <c r="X1787" s="68">
        <v>69</v>
      </c>
      <c r="Y1787" s="68">
        <v>56</v>
      </c>
      <c r="Z1787" s="68">
        <v>68</v>
      </c>
      <c r="AA1787" s="699">
        <f t="shared" si="653"/>
        <v>26.444444444444443</v>
      </c>
      <c r="AB1787" s="297">
        <f t="shared" si="656"/>
        <v>556.39111111111106</v>
      </c>
      <c r="AC1787" s="74">
        <f t="shared" si="658"/>
        <v>17.453333333333333</v>
      </c>
      <c r="AD1787" s="67">
        <f t="shared" si="655"/>
        <v>44.511288888888885</v>
      </c>
      <c r="AE1787" s="74">
        <f>IF(Table1[[#This Row],[Work Center]]="SwissQ",Materials!G$37,IF(Table1[[#This Row],[Work Center]]="Inca",Materials!G$29,IF(Table1[[#This Row],[Work Center]]="Canon",Materials!G$49,Materials!G$45)))</f>
        <v>8</v>
      </c>
      <c r="AF1787" s="73">
        <f>'Cali Frames'!D155</f>
        <v>265.04000000000002</v>
      </c>
      <c r="AG1787" s="84"/>
      <c r="AH1787" s="67">
        <f t="shared" si="652"/>
        <v>55</v>
      </c>
      <c r="AI1787" s="67"/>
      <c r="AJ1787" s="74">
        <f t="shared" si="657"/>
        <v>390.00462222222222</v>
      </c>
      <c r="AK1787" s="661">
        <f t="shared" si="648"/>
        <v>0.64545034343434349</v>
      </c>
      <c r="AL1787" s="74" t="e">
        <f>Table1[[#This Row],[WSP/Dealer]]/Table1[[#This Row],[OD Sq Inch]]</f>
        <v>#DIV/0!</v>
      </c>
      <c r="AM1787" s="119"/>
      <c r="AN1787" s="68">
        <f>Table1[[#This Row],[Min VO]]+Table1[[#This Row],[Max VO]]</f>
        <v>108</v>
      </c>
      <c r="AO1787" s="84"/>
      <c r="AP1787" s="84"/>
      <c r="AQ1787" s="126"/>
      <c r="AR1787" s="126"/>
      <c r="AS1787" s="126"/>
      <c r="AT1787" s="74"/>
      <c r="AU1787" s="1356" t="str">
        <f t="shared" si="651"/>
        <v>-</v>
      </c>
    </row>
    <row r="1788" spans="1:47" s="63" customFormat="1" hidden="1" x14ac:dyDescent="0.2">
      <c r="A1788" s="101"/>
      <c r="B1788" s="1061"/>
      <c r="C1788" s="77" t="s">
        <v>4170</v>
      </c>
      <c r="D1788" s="94"/>
      <c r="E1788" s="115" t="s">
        <v>4171</v>
      </c>
      <c r="F1788" s="115" t="s">
        <v>4172</v>
      </c>
      <c r="G1788" s="101" t="s">
        <v>1026</v>
      </c>
      <c r="H1788" s="101"/>
      <c r="I1788" s="60" t="s">
        <v>52</v>
      </c>
      <c r="J1788" s="59" t="s">
        <v>53</v>
      </c>
      <c r="K1788" s="60" t="s">
        <v>54</v>
      </c>
      <c r="L1788" s="101" t="s">
        <v>55</v>
      </c>
      <c r="M1788" s="299">
        <v>300</v>
      </c>
      <c r="N1788" s="71"/>
      <c r="O1788" s="101" t="s">
        <v>56</v>
      </c>
      <c r="P1788" s="60">
        <v>30</v>
      </c>
      <c r="Q1788" s="60">
        <v>40</v>
      </c>
      <c r="R1788" s="60">
        <v>30</v>
      </c>
      <c r="S1788" s="60">
        <v>40</v>
      </c>
      <c r="T1788" s="60">
        <v>30</v>
      </c>
      <c r="U1788" s="60">
        <v>40</v>
      </c>
      <c r="V1788" s="149">
        <f t="shared" si="659"/>
        <v>38</v>
      </c>
      <c r="W1788" s="149">
        <f t="shared" si="660"/>
        <v>48</v>
      </c>
      <c r="X1788" s="137">
        <v>40</v>
      </c>
      <c r="Y1788" s="101">
        <v>38</v>
      </c>
      <c r="Z1788" s="101">
        <v>48</v>
      </c>
      <c r="AA1788" s="649">
        <f t="shared" si="653"/>
        <v>12.666666666666666</v>
      </c>
      <c r="AB1788" s="125">
        <f>AA1788*Swiss1</f>
        <v>358.46666666666664</v>
      </c>
      <c r="AC1788" s="104">
        <f t="shared" si="658"/>
        <v>8.36</v>
      </c>
      <c r="AD1788" s="107">
        <f t="shared" si="655"/>
        <v>21.320533333333334</v>
      </c>
      <c r="AE1788" s="104">
        <f>IF(Table1[[#This Row],[Work Center]]="SwissQ",Materials!G$37,IF(Table1[[#This Row],[Work Center]]="Inca",Materials!G$29,IF(Table1[[#This Row],[Work Center]]="Canon",Materials!G$49,Materials!G$45)))</f>
        <v>8</v>
      </c>
      <c r="AF1788" s="102">
        <f>'Cali FPS'!H48</f>
        <v>66.300000000000011</v>
      </c>
      <c r="AG1788" s="121"/>
      <c r="AH1788" s="112">
        <f t="shared" si="652"/>
        <v>15</v>
      </c>
      <c r="AI1788" s="112"/>
      <c r="AJ1788" s="104">
        <f t="shared" si="657"/>
        <v>118.98053333333334</v>
      </c>
      <c r="AK1788" s="62">
        <f t="shared" si="648"/>
        <v>0.60339822222222217</v>
      </c>
      <c r="AL1788" s="225" t="e">
        <f>Table1[[#This Row],[WSP/Dealer]]/Table1[[#This Row],[OD Sq Inch]]</f>
        <v>#DIV/0!</v>
      </c>
      <c r="AM1788" s="113"/>
      <c r="AN1788" s="216">
        <f>Table1[[#This Row],[Min VO]]+Table1[[#This Row],[Max VO]]</f>
        <v>70</v>
      </c>
      <c r="AO1788" s="113"/>
      <c r="AP1788" s="115"/>
      <c r="AQ1788" s="121"/>
      <c r="AR1788" s="121"/>
      <c r="AS1788" s="121"/>
      <c r="AT1788" s="104"/>
      <c r="AU1788" s="1367" t="str">
        <f t="shared" si="651"/>
        <v>-</v>
      </c>
    </row>
    <row r="1789" spans="1:47" s="63" customFormat="1" hidden="1" x14ac:dyDescent="0.2">
      <c r="A1789" s="551" t="s">
        <v>140</v>
      </c>
      <c r="B1789" s="1061" t="s">
        <v>141</v>
      </c>
      <c r="C1789" s="77" t="s">
        <v>4173</v>
      </c>
      <c r="D1789" s="94"/>
      <c r="E1789" s="653" t="s">
        <v>4174</v>
      </c>
      <c r="F1789" s="653" t="s">
        <v>144</v>
      </c>
      <c r="G1789" s="551" t="s">
        <v>572</v>
      </c>
      <c r="H1789" s="551" t="s">
        <v>573</v>
      </c>
      <c r="I1789" s="551" t="s">
        <v>52</v>
      </c>
      <c r="J1789" s="856" t="s">
        <v>53</v>
      </c>
      <c r="K1789" s="551" t="s">
        <v>69</v>
      </c>
      <c r="L1789" s="551" t="s">
        <v>70</v>
      </c>
      <c r="M1789" s="857">
        <v>970</v>
      </c>
      <c r="N1789" s="858">
        <f>Table1[[#This Row],[WSP/Dealer]]/0.35</f>
        <v>2771.4285714285716</v>
      </c>
      <c r="O1789" s="551" t="s">
        <v>56</v>
      </c>
      <c r="P1789" s="551">
        <v>60</v>
      </c>
      <c r="Q1789" s="551">
        <v>40</v>
      </c>
      <c r="R1789" s="551">
        <v>40</v>
      </c>
      <c r="S1789" s="551">
        <v>60</v>
      </c>
      <c r="T1789" s="551">
        <v>61</v>
      </c>
      <c r="U1789" s="551">
        <v>41</v>
      </c>
      <c r="V1789" s="859">
        <f t="shared" si="659"/>
        <v>68</v>
      </c>
      <c r="W1789" s="859">
        <f t="shared" si="660"/>
        <v>48</v>
      </c>
      <c r="X1789" s="311">
        <v>69</v>
      </c>
      <c r="Y1789" s="551">
        <v>68</v>
      </c>
      <c r="Z1789" s="551">
        <v>48</v>
      </c>
      <c r="AA1789" s="860">
        <f t="shared" si="653"/>
        <v>22.666666666666668</v>
      </c>
      <c r="AB1789" s="861">
        <f>AA1789*IncaG</f>
        <v>476.90666666666669</v>
      </c>
      <c r="AC1789" s="863">
        <f t="shared" si="658"/>
        <v>14.96</v>
      </c>
      <c r="AD1789" s="876">
        <f>Table1[[#This Row],[Substrate SF]]*IncaC</f>
        <v>38.152533333333338</v>
      </c>
      <c r="AE1789" s="863">
        <f>IF(Table1[[#This Row],[Work Center]]="SwissQ",Materials!G$37,IF(Table1[[#This Row],[Work Center]]="Inca",Materials!G$29,IF(Table1[[#This Row],[Work Center]]="Canon",Materials!G$49,Materials!G$45)))</f>
        <v>8</v>
      </c>
      <c r="AF1789" s="71">
        <f>'Cali Frames'!D315</f>
        <v>164.9025</v>
      </c>
      <c r="AG1789" s="864"/>
      <c r="AH1789" s="865">
        <f t="shared" si="652"/>
        <v>48.5</v>
      </c>
      <c r="AI1789" s="865"/>
      <c r="AJ1789" s="867">
        <f t="shared" si="657"/>
        <v>274.51503333333335</v>
      </c>
      <c r="AK1789" s="866">
        <f t="shared" si="648"/>
        <v>0.71699481099656359</v>
      </c>
      <c r="AL1789" s="867">
        <f>Table1[[#This Row],[WSP/Dealer]]/Table1[[#This Row],[OD Sq Inch]]</f>
        <v>0.38784486205517793</v>
      </c>
      <c r="AM1789" s="868">
        <f>Table1[[#This Row],[OD Wdth]]*Table1[[#This Row],[OD Hgt]]</f>
        <v>2501</v>
      </c>
      <c r="AN1789" s="869">
        <f>Table1[[#This Row],[Min VO]]+Table1[[#This Row],[Max VO]]</f>
        <v>100</v>
      </c>
      <c r="AO1789" s="653"/>
      <c r="AP1789" s="653"/>
      <c r="AQ1789" s="864"/>
      <c r="AR1789" s="864"/>
      <c r="AS1789" s="864"/>
      <c r="AT1789" s="863"/>
      <c r="AU1789" s="1364" t="str">
        <f t="shared" si="651"/>
        <v>-</v>
      </c>
    </row>
    <row r="1790" spans="1:47" s="103" customFormat="1" x14ac:dyDescent="0.2">
      <c r="A1790" s="68" t="s">
        <v>58</v>
      </c>
      <c r="B1790" s="1072" t="s">
        <v>599</v>
      </c>
      <c r="C1790" s="94" t="s">
        <v>4175</v>
      </c>
      <c r="D1790" s="94"/>
      <c r="E1790" s="84" t="s">
        <v>4176</v>
      </c>
      <c r="F1790" s="84"/>
      <c r="G1790" s="68"/>
      <c r="H1790" s="68"/>
      <c r="I1790" s="68"/>
      <c r="J1790" s="140"/>
      <c r="K1790" s="68"/>
      <c r="L1790" s="68"/>
      <c r="M1790" s="93"/>
      <c r="N1790" s="93"/>
      <c r="O1790" s="68"/>
      <c r="P1790" s="68"/>
      <c r="Q1790" s="68"/>
      <c r="R1790" s="68"/>
      <c r="S1790" s="68"/>
      <c r="T1790" s="68"/>
      <c r="U1790" s="68"/>
      <c r="V1790" s="917"/>
      <c r="W1790" s="917"/>
      <c r="X1790" s="68"/>
      <c r="Y1790" s="68"/>
      <c r="Z1790" s="68"/>
      <c r="AA1790" s="699"/>
      <c r="AB1790" s="297"/>
      <c r="AC1790" s="74"/>
      <c r="AD1790" s="126"/>
      <c r="AE1790" s="126"/>
      <c r="AF1790" s="73"/>
      <c r="AG1790" s="126"/>
      <c r="AH1790" s="126"/>
      <c r="AI1790" s="126"/>
      <c r="AJ1790" s="126"/>
      <c r="AK1790" s="1001"/>
      <c r="AL1790" s="126"/>
      <c r="AM1790" s="119"/>
      <c r="AN1790" s="84"/>
      <c r="AO1790" s="84"/>
      <c r="AP1790" s="84"/>
      <c r="AQ1790" s="126"/>
      <c r="AR1790" s="126"/>
      <c r="AS1790" s="126"/>
      <c r="AT1790" s="74"/>
      <c r="AU1790" s="1357" t="str">
        <f t="shared" si="651"/>
        <v>-</v>
      </c>
    </row>
    <row r="1791" spans="1:47" s="63" customFormat="1" x14ac:dyDescent="0.2">
      <c r="A1791" s="68" t="s">
        <v>58</v>
      </c>
      <c r="B1791" s="1072" t="s">
        <v>599</v>
      </c>
      <c r="C1791" s="94" t="s">
        <v>4177</v>
      </c>
      <c r="D1791" s="94"/>
      <c r="E1791" s="84" t="s">
        <v>4178</v>
      </c>
      <c r="F1791" s="84"/>
      <c r="G1791" s="68"/>
      <c r="H1791" s="68"/>
      <c r="I1791" s="68"/>
      <c r="J1791" s="140"/>
      <c r="K1791" s="68"/>
      <c r="L1791" s="68"/>
      <c r="M1791" s="93"/>
      <c r="N1791" s="93"/>
      <c r="O1791" s="68"/>
      <c r="P1791" s="68"/>
      <c r="Q1791" s="68"/>
      <c r="R1791" s="68"/>
      <c r="S1791" s="68"/>
      <c r="T1791" s="68"/>
      <c r="U1791" s="68"/>
      <c r="V1791" s="66"/>
      <c r="W1791" s="66"/>
      <c r="X1791" s="68"/>
      <c r="Y1791" s="68"/>
      <c r="Z1791" s="68"/>
      <c r="AA1791" s="699"/>
      <c r="AB1791" s="297"/>
      <c r="AC1791" s="74"/>
      <c r="AD1791" s="118"/>
      <c r="AE1791" s="126"/>
      <c r="AF1791" s="73"/>
      <c r="AG1791" s="126"/>
      <c r="AH1791" s="118"/>
      <c r="AI1791" s="118"/>
      <c r="AJ1791" s="126"/>
      <c r="AK1791" s="661"/>
      <c r="AL1791" s="126"/>
      <c r="AM1791" s="119"/>
      <c r="AN1791" s="84"/>
      <c r="AO1791" s="84"/>
      <c r="AP1791" s="84"/>
      <c r="AQ1791" s="126"/>
      <c r="AR1791" s="126"/>
      <c r="AS1791" s="126"/>
      <c r="AT1791" s="74"/>
      <c r="AU1791" s="1357" t="str">
        <f t="shared" si="651"/>
        <v>-</v>
      </c>
    </row>
    <row r="1792" spans="1:47" s="103" customFormat="1" hidden="1" x14ac:dyDescent="0.2">
      <c r="A1792" s="551" t="s">
        <v>140</v>
      </c>
      <c r="B1792" s="1061" t="s">
        <v>141</v>
      </c>
      <c r="C1792" s="77" t="s">
        <v>4179</v>
      </c>
      <c r="D1792" s="94"/>
      <c r="E1792" s="653" t="s">
        <v>4180</v>
      </c>
      <c r="F1792" s="653" t="s">
        <v>144</v>
      </c>
      <c r="G1792" s="551" t="s">
        <v>115</v>
      </c>
      <c r="H1792" s="551" t="s">
        <v>145</v>
      </c>
      <c r="I1792" s="551" t="s">
        <v>52</v>
      </c>
      <c r="J1792" s="856" t="s">
        <v>53</v>
      </c>
      <c r="K1792" s="551" t="s">
        <v>69</v>
      </c>
      <c r="L1792" s="551" t="s">
        <v>70</v>
      </c>
      <c r="M1792" s="857">
        <v>950</v>
      </c>
      <c r="N1792" s="858">
        <f>Table1[[#This Row],[WSP/Dealer]]/0.35</f>
        <v>2714.2857142857147</v>
      </c>
      <c r="O1792" s="551" t="s">
        <v>56</v>
      </c>
      <c r="P1792" s="551">
        <v>48</v>
      </c>
      <c r="Q1792" s="551">
        <v>48</v>
      </c>
      <c r="R1792" s="551">
        <v>48</v>
      </c>
      <c r="S1792" s="551">
        <v>48</v>
      </c>
      <c r="T1792" s="551">
        <v>49</v>
      </c>
      <c r="U1792" s="551">
        <v>49</v>
      </c>
      <c r="V1792" s="881">
        <f>IF(J1792="Canvas",P1792+Border,P1792)</f>
        <v>56</v>
      </c>
      <c r="W1792" s="881">
        <f>IF(J1792="Canvas",Q1792+Border,Q1792)</f>
        <v>56</v>
      </c>
      <c r="X1792" s="311">
        <v>59</v>
      </c>
      <c r="Y1792" s="551">
        <v>56</v>
      </c>
      <c r="Z1792" s="551">
        <v>56</v>
      </c>
      <c r="AA1792" s="860">
        <f t="shared" ref="AA1792:AA1801" si="661">V1792*W1792/144</f>
        <v>21.777777777777779</v>
      </c>
      <c r="AB1792" s="861">
        <f>AA1792*IncaG</f>
        <v>458.20444444444445</v>
      </c>
      <c r="AC1792" s="863">
        <f>AA1792*Canvas</f>
        <v>14.373333333333335</v>
      </c>
      <c r="AD1792" s="994">
        <f>Table1[[#This Row],[Substrate SF]]*IncaC</f>
        <v>36.656355555555557</v>
      </c>
      <c r="AE1792" s="863">
        <f>IF(Table1[[#This Row],[Work Center]]="SwissQ",Materials!G$37,IF(Table1[[#This Row],[Work Center]]="Inca",Materials!G$29,IF(Table1[[#This Row],[Work Center]]="Canon",Materials!G$49,Materials!G$45)))</f>
        <v>8</v>
      </c>
      <c r="AF1792" s="71">
        <f>'Cali Frames'!D331</f>
        <v>171.26</v>
      </c>
      <c r="AG1792" s="864"/>
      <c r="AH1792" s="867">
        <f t="shared" ref="AH1792:AH1823" si="662">(M1792*0.05)</f>
        <v>47.5</v>
      </c>
      <c r="AI1792" s="867"/>
      <c r="AJ1792" s="867">
        <f>SUM(AC1792:AH1792)</f>
        <v>277.78968888888892</v>
      </c>
      <c r="AK1792" s="1087">
        <f t="shared" ref="AK1792:AK1823" si="663">(M1792-AJ1792)/M1792</f>
        <v>0.70758980116959058</v>
      </c>
      <c r="AL1792" s="867">
        <f>Table1[[#This Row],[WSP/Dealer]]/Table1[[#This Row],[OD Sq Inch]]</f>
        <v>0.39566847147022072</v>
      </c>
      <c r="AM1792" s="868">
        <f>Table1[[#This Row],[OD Wdth]]*Table1[[#This Row],[OD Hgt]]</f>
        <v>2401</v>
      </c>
      <c r="AN1792" s="869">
        <f>Table1[[#This Row],[Min VO]]+Table1[[#This Row],[Max VO]]</f>
        <v>96</v>
      </c>
      <c r="AO1792" s="653"/>
      <c r="AP1792" s="653"/>
      <c r="AQ1792" s="864"/>
      <c r="AR1792" s="864"/>
      <c r="AS1792" s="864"/>
      <c r="AT1792" s="863"/>
      <c r="AU1792" s="1364" t="str">
        <f t="shared" si="651"/>
        <v>-</v>
      </c>
    </row>
    <row r="1793" spans="1:47" s="103" customFormat="1" hidden="1" x14ac:dyDescent="0.2">
      <c r="A1793" s="101" t="s">
        <v>110</v>
      </c>
      <c r="B1793" s="1062" t="s">
        <v>134</v>
      </c>
      <c r="C1793" s="100" t="s">
        <v>4181</v>
      </c>
      <c r="D1793" s="168"/>
      <c r="E1793" s="115" t="s">
        <v>4182</v>
      </c>
      <c r="F1793" s="115" t="s">
        <v>1808</v>
      </c>
      <c r="G1793" s="101" t="s">
        <v>100</v>
      </c>
      <c r="H1793" s="101" t="s">
        <v>100</v>
      </c>
      <c r="I1793" s="101" t="s">
        <v>52</v>
      </c>
      <c r="J1793" s="487" t="s">
        <v>53</v>
      </c>
      <c r="K1793" s="101" t="s">
        <v>54</v>
      </c>
      <c r="L1793" s="101" t="s">
        <v>55</v>
      </c>
      <c r="M1793" s="299">
        <v>350</v>
      </c>
      <c r="N1793" s="102"/>
      <c r="O1793" s="101" t="s">
        <v>56</v>
      </c>
      <c r="P1793" s="101">
        <v>24</v>
      </c>
      <c r="Q1793" s="101">
        <v>36</v>
      </c>
      <c r="R1793" s="101">
        <v>24</v>
      </c>
      <c r="S1793" s="697">
        <v>36</v>
      </c>
      <c r="T1793" s="101">
        <v>24</v>
      </c>
      <c r="U1793" s="697">
        <v>36</v>
      </c>
      <c r="V1793" s="106">
        <f>IF(J1793="Canvas",P1793+Border,P1793)</f>
        <v>32</v>
      </c>
      <c r="W1793" s="106">
        <f>IF(J1793="Canvas",Q1793+Border,Q1793)</f>
        <v>44</v>
      </c>
      <c r="X1793" s="137">
        <v>40</v>
      </c>
      <c r="Y1793" s="101">
        <v>32</v>
      </c>
      <c r="Z1793" s="101">
        <v>44</v>
      </c>
      <c r="AA1793" s="724">
        <f t="shared" si="661"/>
        <v>9.7777777777777786</v>
      </c>
      <c r="AB1793" s="184">
        <f>AA1793*IncaG</f>
        <v>205.72444444444446</v>
      </c>
      <c r="AC1793" s="104">
        <f>Table1[[#This Row],[Substrate SF]]*Paper</f>
        <v>13.229333333333335</v>
      </c>
      <c r="AD1793" s="405">
        <f>Table1[[#This Row],[Substrate SF]]*IncaC</f>
        <v>16.457955555555557</v>
      </c>
      <c r="AE1793" s="104">
        <f>IF(Table1[[#This Row],[Work Center]]="SwissQ",Materials!G$37,IF(Table1[[#This Row],[Work Center]]="Inca",Materials!G$29,IF(Table1[[#This Row],[Work Center]]="Canon",Materials!G$49,Materials!G$45)))</f>
        <v>8</v>
      </c>
      <c r="AF1793" s="102">
        <f>'Cali FPS'!C37</f>
        <v>75.162500000000009</v>
      </c>
      <c r="AG1793" s="121"/>
      <c r="AH1793" s="107">
        <f t="shared" si="662"/>
        <v>17.5</v>
      </c>
      <c r="AI1793" s="405">
        <f>IF(A1793="Codarus",(M1793*0.13))</f>
        <v>45.5</v>
      </c>
      <c r="AJ1793" s="104">
        <f>SUM(AC1793:AI1793)</f>
        <v>175.8497888888889</v>
      </c>
      <c r="AK1793" s="108">
        <f t="shared" si="663"/>
        <v>0.49757203174603171</v>
      </c>
      <c r="AL1793" s="660">
        <f>Table1[[#This Row],[WSP/Dealer]]/Table1[[#This Row],[OD Sq Inch]]</f>
        <v>0.40509259259259262</v>
      </c>
      <c r="AM1793" s="399">
        <f>Table1[[#This Row],[OD Wdth]]*Table1[[#This Row],[OD Hgt]]</f>
        <v>864</v>
      </c>
      <c r="AN1793" s="400" t="str">
        <f>Table1[[#This Row],[Color]]</f>
        <v>GW</v>
      </c>
      <c r="AO1793" s="115"/>
      <c r="AP1793" s="1307">
        <f>(M1793*2)</f>
        <v>700</v>
      </c>
      <c r="AQ1793" s="121">
        <f>(Table1[[#This Row],[Desgnr/Retail P]]*0.05)</f>
        <v>35</v>
      </c>
      <c r="AR1793" s="121">
        <f>IF(A1793="Codarus",(AP1793*0.13))</f>
        <v>91</v>
      </c>
      <c r="AS1793" s="121">
        <f>SUM(Table1[[#This Row],[Substrate $]:[GP FINISH]])+Table1[[#This Row],[Retail Royalty]]+Table1[[#This Row],[Retail$Comm]]</f>
        <v>238.8497888888889</v>
      </c>
      <c r="AT1793" s="830">
        <f>IF(AP1793=0,"-",(AP1793-AS1793)/AP1793)</f>
        <v>0.65878601587301588</v>
      </c>
      <c r="AU1793" s="1359">
        <f t="shared" si="651"/>
        <v>0.98117754240362798</v>
      </c>
    </row>
    <row r="1794" spans="1:47" s="170" customFormat="1" hidden="1" x14ac:dyDescent="0.2">
      <c r="A1794" s="101"/>
      <c r="B1794" s="1061"/>
      <c r="C1794" s="77" t="s">
        <v>4183</v>
      </c>
      <c r="D1794" s="94"/>
      <c r="E1794" s="115" t="s">
        <v>4184</v>
      </c>
      <c r="F1794" s="115" t="s">
        <v>150</v>
      </c>
      <c r="G1794" s="101" t="s">
        <v>4185</v>
      </c>
      <c r="H1794" s="101"/>
      <c r="I1794" s="60" t="s">
        <v>108</v>
      </c>
      <c r="J1794" s="59" t="s">
        <v>257</v>
      </c>
      <c r="K1794" s="101" t="s">
        <v>258</v>
      </c>
      <c r="L1794" s="101" t="s">
        <v>259</v>
      </c>
      <c r="M1794" s="299">
        <v>225</v>
      </c>
      <c r="N1794" s="71"/>
      <c r="O1794" s="101" t="s">
        <v>260</v>
      </c>
      <c r="P1794" s="60">
        <v>22</v>
      </c>
      <c r="Q1794" s="60">
        <v>17</v>
      </c>
      <c r="R1794" s="60">
        <v>17</v>
      </c>
      <c r="S1794" s="60">
        <v>22</v>
      </c>
      <c r="T1794" s="101">
        <v>24</v>
      </c>
      <c r="U1794" s="101">
        <v>19</v>
      </c>
      <c r="V1794" s="946">
        <f>Table1[[#This Row],[VO Wdth]]+Materials!$C$50</f>
        <v>24</v>
      </c>
      <c r="W1794" s="946">
        <f>Table1[[#This Row],[VO Hgt]]+Materials!$C$50</f>
        <v>19</v>
      </c>
      <c r="X1794" s="137" t="s">
        <v>257</v>
      </c>
      <c r="Y1794" s="101"/>
      <c r="Z1794" s="101"/>
      <c r="AA1794" s="717">
        <f t="shared" si="661"/>
        <v>3.1666666666666665</v>
      </c>
      <c r="AB1794" s="125">
        <f>AA1794*canonML</f>
        <v>15.2</v>
      </c>
      <c r="AC1794" s="69">
        <f>Table1[[#This Row],[Print Wth]]*paper60</f>
        <v>8.16</v>
      </c>
      <c r="AD1794" s="48">
        <f>Table1[[#This Row],[Ink g/mL]]*CanonC</f>
        <v>4.1040000000000001</v>
      </c>
      <c r="AE1794" s="104">
        <f>IF(Table1[[#This Row],[Work Center]]="SwissQ",Materials!G$37,IF(Table1[[#This Row],[Work Center]]="Inca",Materials!G$29,IF(Table1[[#This Row],[Work Center]]="Canon",Materials!G$49,Materials!G$45)))</f>
        <v>7</v>
      </c>
      <c r="AF1794" s="102">
        <f>'Cali Frames'!D34</f>
        <v>80.64</v>
      </c>
      <c r="AG1794" s="121"/>
      <c r="AH1794" s="498">
        <f t="shared" si="662"/>
        <v>11.25</v>
      </c>
      <c r="AI1794" s="498"/>
      <c r="AJ1794" s="104">
        <f t="shared" ref="AJ1794:AJ1803" si="664">SUM(AC1794:AH1794)</f>
        <v>111.154</v>
      </c>
      <c r="AK1794" s="650">
        <f t="shared" si="663"/>
        <v>0.50598222222222222</v>
      </c>
      <c r="AL1794" s="225" t="e">
        <f>Table1[[#This Row],[WSP/Dealer]]/Table1[[#This Row],[OD Sq Inch]]</f>
        <v>#DIV/0!</v>
      </c>
      <c r="AM1794" s="113"/>
      <c r="AN1794" s="216">
        <f>Table1[[#This Row],[Min VO]]+Table1[[#This Row],[Max VO]]</f>
        <v>39</v>
      </c>
      <c r="AO1794" s="115"/>
      <c r="AP1794" s="115"/>
      <c r="AQ1794" s="121"/>
      <c r="AR1794" s="121"/>
      <c r="AS1794" s="121"/>
      <c r="AT1794" s="104"/>
      <c r="AU1794" s="1359" t="str">
        <f t="shared" si="651"/>
        <v>-</v>
      </c>
    </row>
    <row r="1795" spans="1:47" s="868" customFormat="1" hidden="1" x14ac:dyDescent="0.2">
      <c r="A1795" s="101"/>
      <c r="B1795" s="1061"/>
      <c r="C1795" s="77" t="s">
        <v>4186</v>
      </c>
      <c r="D1795" s="94"/>
      <c r="E1795" s="115" t="s">
        <v>4184</v>
      </c>
      <c r="F1795" s="115" t="s">
        <v>150</v>
      </c>
      <c r="G1795" s="101" t="s">
        <v>4185</v>
      </c>
      <c r="H1795" s="101"/>
      <c r="I1795" s="60" t="s">
        <v>108</v>
      </c>
      <c r="J1795" s="59" t="s">
        <v>257</v>
      </c>
      <c r="K1795" s="101" t="s">
        <v>258</v>
      </c>
      <c r="L1795" s="101" t="s">
        <v>269</v>
      </c>
      <c r="M1795" s="299">
        <v>250</v>
      </c>
      <c r="N1795" s="71"/>
      <c r="O1795" s="101" t="s">
        <v>260</v>
      </c>
      <c r="P1795" s="60">
        <v>22</v>
      </c>
      <c r="Q1795" s="60">
        <v>17</v>
      </c>
      <c r="R1795" s="60">
        <v>17</v>
      </c>
      <c r="S1795" s="60">
        <v>22</v>
      </c>
      <c r="T1795" s="101">
        <v>24</v>
      </c>
      <c r="U1795" s="101">
        <v>19</v>
      </c>
      <c r="V1795" s="47">
        <f>Table1[[#This Row],[VO Wdth]]+Materials!$C$50</f>
        <v>24</v>
      </c>
      <c r="W1795" s="47">
        <f>Table1[[#This Row],[VO Hgt]]+Materials!$C$50</f>
        <v>19</v>
      </c>
      <c r="X1795" s="137" t="s">
        <v>257</v>
      </c>
      <c r="Y1795" s="101"/>
      <c r="Z1795" s="101"/>
      <c r="AA1795" s="717">
        <f t="shared" si="661"/>
        <v>3.1666666666666665</v>
      </c>
      <c r="AB1795" s="125">
        <f>AA1795*canonML</f>
        <v>15.2</v>
      </c>
      <c r="AC1795" s="69">
        <f>Table1[[#This Row],[Print Wth]]*paper60</f>
        <v>8.16</v>
      </c>
      <c r="AD1795" s="48">
        <f>Table1[[#This Row],[Ink g/mL]]*CanonC</f>
        <v>4.1040000000000001</v>
      </c>
      <c r="AE1795" s="104">
        <f>IF(Table1[[#This Row],[Work Center]]="SwissQ",Materials!G$37,IF(Table1[[#This Row],[Work Center]]="Inca",Materials!G$29,IF(Table1[[#This Row],[Work Center]]="Canon",Materials!G$49,Materials!G$45)))</f>
        <v>7</v>
      </c>
      <c r="AF1795" s="102">
        <v>75</v>
      </c>
      <c r="AG1795" s="121"/>
      <c r="AH1795" s="498">
        <f t="shared" si="662"/>
        <v>12.5</v>
      </c>
      <c r="AI1795" s="498"/>
      <c r="AJ1795" s="104">
        <f t="shared" si="664"/>
        <v>106.764</v>
      </c>
      <c r="AK1795" s="650">
        <f t="shared" si="663"/>
        <v>0.57294400000000001</v>
      </c>
      <c r="AL1795" s="225" t="e">
        <f>Table1[[#This Row],[WSP/Dealer]]/Table1[[#This Row],[OD Sq Inch]]</f>
        <v>#DIV/0!</v>
      </c>
      <c r="AM1795" s="113"/>
      <c r="AN1795" s="216">
        <f>Table1[[#This Row],[Min VO]]+Table1[[#This Row],[Max VO]]</f>
        <v>39</v>
      </c>
      <c r="AO1795" s="115"/>
      <c r="AP1795" s="115"/>
      <c r="AQ1795" s="121"/>
      <c r="AR1795" s="121"/>
      <c r="AS1795" s="121"/>
      <c r="AT1795" s="104"/>
      <c r="AU1795" s="1359" t="str">
        <f t="shared" si="651"/>
        <v>-</v>
      </c>
    </row>
    <row r="1796" spans="1:47" s="103" customFormat="1" hidden="1" x14ac:dyDescent="0.2">
      <c r="A1796" s="373"/>
      <c r="B1796" s="279"/>
      <c r="C1796" s="100" t="s">
        <v>4187</v>
      </c>
      <c r="D1796" s="94"/>
      <c r="E1796" s="78" t="s">
        <v>4188</v>
      </c>
      <c r="F1796" s="84" t="s">
        <v>150</v>
      </c>
      <c r="G1796" s="68" t="s">
        <v>643</v>
      </c>
      <c r="H1796" s="68" t="s">
        <v>810</v>
      </c>
      <c r="I1796" s="68" t="s">
        <v>52</v>
      </c>
      <c r="J1796" s="68" t="s">
        <v>257</v>
      </c>
      <c r="K1796" s="180" t="s">
        <v>1444</v>
      </c>
      <c r="L1796" s="68" t="s">
        <v>259</v>
      </c>
      <c r="M1796" s="1277">
        <v>225</v>
      </c>
      <c r="N1796" s="71"/>
      <c r="O1796" s="68" t="s">
        <v>56</v>
      </c>
      <c r="P1796" s="68">
        <v>20</v>
      </c>
      <c r="Q1796" s="68">
        <v>16</v>
      </c>
      <c r="R1796" s="68">
        <v>16</v>
      </c>
      <c r="S1796" s="68">
        <v>20</v>
      </c>
      <c r="T1796" s="68">
        <v>22</v>
      </c>
      <c r="U1796" s="68">
        <v>18</v>
      </c>
      <c r="V1796" s="277">
        <f>IF(J1796="Canvas",P1796+Border,P1796)</f>
        <v>20</v>
      </c>
      <c r="W1796" s="277">
        <f>IF(J1796="Canvas",Q1796+Border,Q1796)</f>
        <v>16</v>
      </c>
      <c r="X1796" s="189"/>
      <c r="Y1796" s="68">
        <v>20</v>
      </c>
      <c r="Z1796" s="68">
        <v>16</v>
      </c>
      <c r="AA1796" s="727">
        <f t="shared" si="661"/>
        <v>2.2222222222222223</v>
      </c>
      <c r="AB1796" s="297">
        <f>AA1796*IncaG</f>
        <v>46.755555555555553</v>
      </c>
      <c r="AC1796" s="69">
        <f>Table1[[#This Row],[Substrate SF]]*Paper</f>
        <v>3.0066666666666668</v>
      </c>
      <c r="AD1796" s="263">
        <f>Table1[[#This Row],[Substrate SF]]*IncaC</f>
        <v>3.7404444444444445</v>
      </c>
      <c r="AE1796" s="104">
        <f>IF(Table1[[#This Row],[Work Center]]="SwissQ",Materials!G$37,IF(Table1[[#This Row],[Work Center]]="Inca",Materials!G$29,IF(Table1[[#This Row],[Work Center]]="Canon",Materials!G$49,Materials!G$45)))</f>
        <v>8</v>
      </c>
      <c r="AF1796" s="278">
        <f>'Cali Frames'!D$22</f>
        <v>82.44</v>
      </c>
      <c r="AG1796" s="115"/>
      <c r="AH1796" s="498">
        <f t="shared" si="662"/>
        <v>11.25</v>
      </c>
      <c r="AI1796" s="498"/>
      <c r="AJ1796" s="278">
        <f t="shared" si="664"/>
        <v>108.43711111111111</v>
      </c>
      <c r="AK1796" s="650">
        <f t="shared" si="663"/>
        <v>0.51805728395061734</v>
      </c>
      <c r="AL1796" s="225">
        <f>Table1[[#This Row],[WSP/Dealer]]/Table1[[#This Row],[OD Sq Inch]]</f>
        <v>0.56818181818181823</v>
      </c>
      <c r="AM1796" s="170">
        <f>Table1[[#This Row],[OD Wdth]]*Table1[[#This Row],[OD Hgt]]</f>
        <v>396</v>
      </c>
      <c r="AN1796" s="274" t="str">
        <f>Table1[[#This Row],[Color]]</f>
        <v>BA</v>
      </c>
      <c r="AO1796" s="84" t="str">
        <f>Table1[[#This Row],[Print Type]]</f>
        <v>Synograph</v>
      </c>
      <c r="AP1796" s="68"/>
      <c r="AQ1796" s="74"/>
      <c r="AR1796" s="74"/>
      <c r="AS1796" s="74"/>
      <c r="AT1796" s="74"/>
      <c r="AU1796" s="1001" t="str">
        <f t="shared" si="651"/>
        <v>-</v>
      </c>
    </row>
    <row r="1797" spans="1:47" s="63" customFormat="1" hidden="1" x14ac:dyDescent="0.2">
      <c r="A1797" s="373"/>
      <c r="B1797" s="279"/>
      <c r="C1797" s="100" t="s">
        <v>128</v>
      </c>
      <c r="D1797" s="94"/>
      <c r="E1797" s="78" t="s">
        <v>4189</v>
      </c>
      <c r="F1797" s="84" t="s">
        <v>150</v>
      </c>
      <c r="G1797" s="68" t="s">
        <v>643</v>
      </c>
      <c r="H1797" s="68" t="s">
        <v>810</v>
      </c>
      <c r="I1797" s="68" t="s">
        <v>52</v>
      </c>
      <c r="J1797" s="68" t="s">
        <v>257</v>
      </c>
      <c r="K1797" s="180" t="s">
        <v>1444</v>
      </c>
      <c r="L1797" s="68" t="s">
        <v>259</v>
      </c>
      <c r="M1797" s="1277">
        <v>225</v>
      </c>
      <c r="N1797" s="71"/>
      <c r="O1797" s="68" t="s">
        <v>56</v>
      </c>
      <c r="P1797" s="68">
        <v>20</v>
      </c>
      <c r="Q1797" s="68">
        <v>16</v>
      </c>
      <c r="R1797" s="68">
        <v>16</v>
      </c>
      <c r="S1797" s="68">
        <v>20</v>
      </c>
      <c r="T1797" s="68">
        <v>22</v>
      </c>
      <c r="U1797" s="68">
        <v>18</v>
      </c>
      <c r="V1797" s="686">
        <f>IF(J1797="Canvas",P1797+Border,P1797)</f>
        <v>20</v>
      </c>
      <c r="W1797" s="686">
        <f>IF(J1797="Canvas",Q1797+Border,Q1797)</f>
        <v>16</v>
      </c>
      <c r="X1797" s="189"/>
      <c r="Y1797" s="68">
        <v>20</v>
      </c>
      <c r="Z1797" s="68">
        <v>16</v>
      </c>
      <c r="AA1797" s="727">
        <f t="shared" si="661"/>
        <v>2.2222222222222223</v>
      </c>
      <c r="AB1797" s="297">
        <f>AA1797*IncaG</f>
        <v>46.755555555555553</v>
      </c>
      <c r="AC1797" s="69">
        <f>Table1[[#This Row],[Substrate SF]]*Paper</f>
        <v>3.0066666666666668</v>
      </c>
      <c r="AD1797" s="263">
        <f>Table1[[#This Row],[Substrate SF]]*IncaC</f>
        <v>3.7404444444444445</v>
      </c>
      <c r="AE1797" s="104">
        <f>IF(Table1[[#This Row],[Work Center]]="SwissQ",Materials!G$37,IF(Table1[[#This Row],[Work Center]]="Inca",Materials!G$29,IF(Table1[[#This Row],[Work Center]]="Canon",Materials!G$49,Materials!G$45)))</f>
        <v>8</v>
      </c>
      <c r="AF1797" s="278">
        <f>'Cali Frames'!D$22</f>
        <v>82.44</v>
      </c>
      <c r="AG1797" s="115"/>
      <c r="AH1797" s="498">
        <f t="shared" si="662"/>
        <v>11.25</v>
      </c>
      <c r="AI1797" s="498"/>
      <c r="AJ1797" s="278">
        <f t="shared" si="664"/>
        <v>108.43711111111111</v>
      </c>
      <c r="AK1797" s="650">
        <f t="shared" si="663"/>
        <v>0.51805728395061734</v>
      </c>
      <c r="AL1797" s="225">
        <f>Table1[[#This Row],[WSP/Dealer]]/Table1[[#This Row],[OD Sq Inch]]</f>
        <v>0.56818181818181823</v>
      </c>
      <c r="AM1797" s="170">
        <f>Table1[[#This Row],[OD Wdth]]*Table1[[#This Row],[OD Hgt]]</f>
        <v>396</v>
      </c>
      <c r="AN1797" s="274" t="str">
        <f>Table1[[#This Row],[Color]]</f>
        <v>BA</v>
      </c>
      <c r="AO1797" s="84" t="str">
        <f>Table1[[#This Row],[Print Type]]</f>
        <v>Synograph</v>
      </c>
      <c r="AP1797" s="68"/>
      <c r="AQ1797" s="74"/>
      <c r="AR1797" s="74"/>
      <c r="AS1797" s="74"/>
      <c r="AT1797" s="74"/>
      <c r="AU1797" s="1001" t="str">
        <f t="shared" si="651"/>
        <v>-</v>
      </c>
    </row>
    <row r="1798" spans="1:47" s="103" customFormat="1" hidden="1" x14ac:dyDescent="0.2">
      <c r="A1798" s="101"/>
      <c r="B1798" s="279"/>
      <c r="C1798" s="77" t="s">
        <v>4190</v>
      </c>
      <c r="D1798" s="94"/>
      <c r="E1798" s="115" t="s">
        <v>4191</v>
      </c>
      <c r="F1798" s="115" t="s">
        <v>150</v>
      </c>
      <c r="G1798" s="101" t="s">
        <v>4185</v>
      </c>
      <c r="H1798" s="101"/>
      <c r="I1798" s="60" t="s">
        <v>108</v>
      </c>
      <c r="J1798" s="59" t="s">
        <v>257</v>
      </c>
      <c r="K1798" s="101" t="s">
        <v>258</v>
      </c>
      <c r="L1798" s="101" t="s">
        <v>259</v>
      </c>
      <c r="M1798" s="299">
        <v>225</v>
      </c>
      <c r="N1798" s="71"/>
      <c r="O1798" s="101" t="s">
        <v>260</v>
      </c>
      <c r="P1798" s="60">
        <v>22</v>
      </c>
      <c r="Q1798" s="60">
        <v>17</v>
      </c>
      <c r="R1798" s="60">
        <v>17</v>
      </c>
      <c r="S1798" s="60">
        <v>22</v>
      </c>
      <c r="T1798" s="101">
        <v>24</v>
      </c>
      <c r="U1798" s="101">
        <v>19</v>
      </c>
      <c r="V1798" s="946">
        <f>Table1[[#This Row],[VO Wdth]]+Materials!$C$50</f>
        <v>24</v>
      </c>
      <c r="W1798" s="946">
        <f>Table1[[#This Row],[VO Hgt]]+Materials!$C$50</f>
        <v>19</v>
      </c>
      <c r="X1798" s="137" t="s">
        <v>257</v>
      </c>
      <c r="Y1798" s="101"/>
      <c r="Z1798" s="101"/>
      <c r="AA1798" s="717">
        <f t="shared" si="661"/>
        <v>3.1666666666666665</v>
      </c>
      <c r="AB1798" s="125">
        <f>AA1798*canonML</f>
        <v>15.2</v>
      </c>
      <c r="AC1798" s="69">
        <f>Table1[[#This Row],[Print Wth]]*paper60</f>
        <v>8.16</v>
      </c>
      <c r="AD1798" s="48">
        <f>Table1[[#This Row],[Ink g/mL]]*CanonC</f>
        <v>4.1040000000000001</v>
      </c>
      <c r="AE1798" s="104">
        <f>IF(Table1[[#This Row],[Work Center]]="SwissQ",Materials!G$37,IF(Table1[[#This Row],[Work Center]]="Inca",Materials!G$29,IF(Table1[[#This Row],[Work Center]]="Canon",Materials!G$49,Materials!G$45)))</f>
        <v>7</v>
      </c>
      <c r="AF1798" s="102">
        <v>62</v>
      </c>
      <c r="AG1798" s="121"/>
      <c r="AH1798" s="498">
        <f t="shared" si="662"/>
        <v>11.25</v>
      </c>
      <c r="AI1798" s="498"/>
      <c r="AJ1798" s="104">
        <f t="shared" si="664"/>
        <v>92.513999999999996</v>
      </c>
      <c r="AK1798" s="650">
        <f t="shared" si="663"/>
        <v>0.58882666666666661</v>
      </c>
      <c r="AL1798" s="225" t="e">
        <f>Table1[[#This Row],[WSP/Dealer]]/Table1[[#This Row],[OD Sq Inch]]</f>
        <v>#DIV/0!</v>
      </c>
      <c r="AM1798" s="113"/>
      <c r="AN1798" s="216">
        <f>Table1[[#This Row],[Min VO]]+Table1[[#This Row],[Max VO]]</f>
        <v>39</v>
      </c>
      <c r="AO1798" s="115"/>
      <c r="AP1798" s="115"/>
      <c r="AQ1798" s="121"/>
      <c r="AR1798" s="121"/>
      <c r="AS1798" s="121"/>
      <c r="AT1798" s="104"/>
      <c r="AU1798" s="1359" t="str">
        <f t="shared" si="651"/>
        <v>-</v>
      </c>
    </row>
    <row r="1799" spans="1:47" s="103" customFormat="1" hidden="1" x14ac:dyDescent="0.2">
      <c r="A1799" s="101"/>
      <c r="B1799" s="1061"/>
      <c r="C1799" s="77" t="s">
        <v>4192</v>
      </c>
      <c r="D1799" s="94"/>
      <c r="E1799" s="115" t="s">
        <v>4191</v>
      </c>
      <c r="F1799" s="115" t="s">
        <v>150</v>
      </c>
      <c r="G1799" s="101" t="s">
        <v>4185</v>
      </c>
      <c r="H1799" s="101"/>
      <c r="I1799" s="60" t="s">
        <v>108</v>
      </c>
      <c r="J1799" s="59" t="s">
        <v>257</v>
      </c>
      <c r="K1799" s="101" t="s">
        <v>258</v>
      </c>
      <c r="L1799" s="101" t="s">
        <v>269</v>
      </c>
      <c r="M1799" s="299">
        <v>250</v>
      </c>
      <c r="N1799" s="71"/>
      <c r="O1799" s="101" t="s">
        <v>260</v>
      </c>
      <c r="P1799" s="60">
        <v>22</v>
      </c>
      <c r="Q1799" s="60">
        <v>17</v>
      </c>
      <c r="R1799" s="60">
        <v>17</v>
      </c>
      <c r="S1799" s="60">
        <v>22</v>
      </c>
      <c r="T1799" s="101">
        <v>24</v>
      </c>
      <c r="U1799" s="101">
        <v>19</v>
      </c>
      <c r="V1799" s="946">
        <f>Table1[[#This Row],[VO Wdth]]+Materials!$C$50</f>
        <v>24</v>
      </c>
      <c r="W1799" s="946">
        <f>Table1[[#This Row],[VO Hgt]]+Materials!$C$50</f>
        <v>19</v>
      </c>
      <c r="X1799" s="137" t="s">
        <v>257</v>
      </c>
      <c r="Y1799" s="101"/>
      <c r="Z1799" s="101"/>
      <c r="AA1799" s="717">
        <f t="shared" si="661"/>
        <v>3.1666666666666665</v>
      </c>
      <c r="AB1799" s="125">
        <f>AA1799*canonML</f>
        <v>15.2</v>
      </c>
      <c r="AC1799" s="69">
        <f>Table1[[#This Row],[Print Wth]]*paper60</f>
        <v>8.16</v>
      </c>
      <c r="AD1799" s="48">
        <f>Table1[[#This Row],[Ink g/mL]]*CanonC</f>
        <v>4.1040000000000001</v>
      </c>
      <c r="AE1799" s="104">
        <f>IF(Table1[[#This Row],[Work Center]]="SwissQ",Materials!G$37,IF(Table1[[#This Row],[Work Center]]="Inca",Materials!G$29,IF(Table1[[#This Row],[Work Center]]="Canon",Materials!G$49,Materials!G$45)))</f>
        <v>7</v>
      </c>
      <c r="AF1799" s="102">
        <v>75</v>
      </c>
      <c r="AG1799" s="121"/>
      <c r="AH1799" s="498">
        <f t="shared" si="662"/>
        <v>12.5</v>
      </c>
      <c r="AI1799" s="498"/>
      <c r="AJ1799" s="104">
        <f t="shared" si="664"/>
        <v>106.764</v>
      </c>
      <c r="AK1799" s="650">
        <f t="shared" si="663"/>
        <v>0.57294400000000001</v>
      </c>
      <c r="AL1799" s="225" t="e">
        <f>Table1[[#This Row],[WSP/Dealer]]/Table1[[#This Row],[OD Sq Inch]]</f>
        <v>#DIV/0!</v>
      </c>
      <c r="AM1799" s="113"/>
      <c r="AN1799" s="216">
        <f>Table1[[#This Row],[Min VO]]+Table1[[#This Row],[Max VO]]</f>
        <v>39</v>
      </c>
      <c r="AO1799" s="115"/>
      <c r="AP1799" s="115"/>
      <c r="AQ1799" s="121"/>
      <c r="AR1799" s="121"/>
      <c r="AS1799" s="121"/>
      <c r="AT1799" s="104"/>
      <c r="AU1799" s="1359" t="str">
        <f t="shared" si="651"/>
        <v>-</v>
      </c>
    </row>
    <row r="1800" spans="1:47" s="95" customFormat="1" hidden="1" x14ac:dyDescent="0.2">
      <c r="A1800" s="485" t="s">
        <v>318</v>
      </c>
      <c r="B1800" s="279" t="s">
        <v>96</v>
      </c>
      <c r="C1800" s="100" t="s">
        <v>4193</v>
      </c>
      <c r="D1800" s="94">
        <v>184665</v>
      </c>
      <c r="E1800" s="100" t="s">
        <v>4194</v>
      </c>
      <c r="F1800" s="115" t="s">
        <v>150</v>
      </c>
      <c r="G1800" s="101" t="s">
        <v>643</v>
      </c>
      <c r="H1800" s="101" t="s">
        <v>810</v>
      </c>
      <c r="I1800" s="101" t="s">
        <v>52</v>
      </c>
      <c r="J1800" s="101" t="s">
        <v>257</v>
      </c>
      <c r="K1800" s="180" t="s">
        <v>1444</v>
      </c>
      <c r="L1800" s="101" t="s">
        <v>259</v>
      </c>
      <c r="M1800" s="543">
        <v>200</v>
      </c>
      <c r="N1800" s="786">
        <v>500</v>
      </c>
      <c r="O1800" s="101" t="s">
        <v>56</v>
      </c>
      <c r="P1800" s="101">
        <v>20</v>
      </c>
      <c r="Q1800" s="101">
        <v>16</v>
      </c>
      <c r="R1800" s="101">
        <v>16</v>
      </c>
      <c r="S1800" s="101">
        <v>20</v>
      </c>
      <c r="T1800" s="101">
        <v>22</v>
      </c>
      <c r="U1800" s="101">
        <v>18</v>
      </c>
      <c r="V1800" s="404">
        <f>IF(J1800="Canvas",P1800+Border,P1800)</f>
        <v>20</v>
      </c>
      <c r="W1800" s="404">
        <f>IF(J1800="Canvas",Q1800+Border,Q1800)</f>
        <v>16</v>
      </c>
      <c r="X1800" s="137">
        <v>40</v>
      </c>
      <c r="Y1800" s="101">
        <v>20</v>
      </c>
      <c r="Z1800" s="101">
        <v>16</v>
      </c>
      <c r="AA1800" s="724">
        <f t="shared" si="661"/>
        <v>2.2222222222222223</v>
      </c>
      <c r="AB1800" s="184">
        <f>AA1800*IncaG</f>
        <v>46.755555555555553</v>
      </c>
      <c r="AC1800" s="104">
        <f>Table1[[#This Row],[Substrate SF]]*Paper</f>
        <v>3.0066666666666668</v>
      </c>
      <c r="AD1800" s="405">
        <f>Table1[[#This Row],[Substrate SF]]*IncaC</f>
        <v>3.7404444444444445</v>
      </c>
      <c r="AE1800" s="104">
        <f>IF(Table1[[#This Row],[Work Center]]="SwissQ",Materials!G$37,IF(Table1[[#This Row],[Work Center]]="Inca",Materials!G$29,IF(Table1[[#This Row],[Work Center]]="Canon",Materials!G$49,Materials!G$45)))</f>
        <v>8</v>
      </c>
      <c r="AF1800" s="406">
        <f>'Cali Frames'!D$22</f>
        <v>82.44</v>
      </c>
      <c r="AG1800" s="115"/>
      <c r="AH1800" s="498">
        <f t="shared" si="662"/>
        <v>10</v>
      </c>
      <c r="AI1800" s="498"/>
      <c r="AJ1800" s="406">
        <f t="shared" si="664"/>
        <v>107.18711111111111</v>
      </c>
      <c r="AK1800" s="650">
        <f t="shared" si="663"/>
        <v>0.46406444444444445</v>
      </c>
      <c r="AL1800" s="225">
        <f>Table1[[#This Row],[WSP/Dealer]]/Table1[[#This Row],[OD Sq Inch]]</f>
        <v>0.50505050505050508</v>
      </c>
      <c r="AM1800" s="399">
        <f>Table1[[#This Row],[OD Wdth]]*Table1[[#This Row],[OD Hgt]]</f>
        <v>396</v>
      </c>
      <c r="AN1800" s="400" t="str">
        <f>Table1[[#This Row],[Color]]</f>
        <v>BA</v>
      </c>
      <c r="AO1800" s="115" t="str">
        <f>Table1[[#This Row],[Print Type]]</f>
        <v>Synograph</v>
      </c>
      <c r="AP1800" s="121"/>
      <c r="AQ1800" s="121"/>
      <c r="AR1800" s="121"/>
      <c r="AS1800" s="121"/>
      <c r="AT1800" s="104"/>
      <c r="AU1800" s="830" t="str">
        <f t="shared" si="651"/>
        <v>-</v>
      </c>
    </row>
    <row r="1801" spans="1:47" s="103" customFormat="1" hidden="1" x14ac:dyDescent="0.2">
      <c r="A1801" s="485" t="s">
        <v>318</v>
      </c>
      <c r="B1801" s="279" t="s">
        <v>96</v>
      </c>
      <c r="C1801" s="100" t="s">
        <v>4195</v>
      </c>
      <c r="D1801" s="94">
        <v>184734</v>
      </c>
      <c r="E1801" s="100" t="s">
        <v>4196</v>
      </c>
      <c r="F1801" s="115" t="s">
        <v>150</v>
      </c>
      <c r="G1801" s="101" t="s">
        <v>643</v>
      </c>
      <c r="H1801" s="101" t="s">
        <v>810</v>
      </c>
      <c r="I1801" s="101" t="s">
        <v>52</v>
      </c>
      <c r="J1801" s="101" t="s">
        <v>257</v>
      </c>
      <c r="K1801" s="180" t="s">
        <v>1444</v>
      </c>
      <c r="L1801" s="101" t="s">
        <v>259</v>
      </c>
      <c r="M1801" s="544">
        <v>200</v>
      </c>
      <c r="N1801" s="786">
        <v>500</v>
      </c>
      <c r="O1801" s="101" t="s">
        <v>56</v>
      </c>
      <c r="P1801" s="101">
        <v>20</v>
      </c>
      <c r="Q1801" s="101">
        <v>16</v>
      </c>
      <c r="R1801" s="101">
        <v>16</v>
      </c>
      <c r="S1801" s="101">
        <v>20</v>
      </c>
      <c r="T1801" s="101">
        <v>22</v>
      </c>
      <c r="U1801" s="101">
        <v>18</v>
      </c>
      <c r="V1801" s="404">
        <f>IF(J1801="Canvas",P1801+Border,P1801)</f>
        <v>20</v>
      </c>
      <c r="W1801" s="404">
        <f>IF(J1801="Canvas",Q1801+Border,Q1801)</f>
        <v>16</v>
      </c>
      <c r="X1801" s="137">
        <v>40</v>
      </c>
      <c r="Y1801" s="101">
        <v>20</v>
      </c>
      <c r="Z1801" s="101">
        <v>16</v>
      </c>
      <c r="AA1801" s="724">
        <f t="shared" si="661"/>
        <v>2.2222222222222223</v>
      </c>
      <c r="AB1801" s="184">
        <f>AA1801*IncaG</f>
        <v>46.755555555555553</v>
      </c>
      <c r="AC1801" s="104">
        <f>Table1[[#This Row],[Substrate SF]]*Paper</f>
        <v>3.0066666666666668</v>
      </c>
      <c r="AD1801" s="405">
        <f>Table1[[#This Row],[Substrate SF]]*IncaC</f>
        <v>3.7404444444444445</v>
      </c>
      <c r="AE1801" s="104">
        <f>IF(Table1[[#This Row],[Work Center]]="SwissQ",Materials!G$37,IF(Table1[[#This Row],[Work Center]]="Inca",Materials!G$29,IF(Table1[[#This Row],[Work Center]]="Canon",Materials!G$49,Materials!G$45)))</f>
        <v>8</v>
      </c>
      <c r="AF1801" s="406">
        <f>'Cali Frames'!D$22</f>
        <v>82.44</v>
      </c>
      <c r="AG1801" s="115"/>
      <c r="AH1801" s="498">
        <f t="shared" si="662"/>
        <v>10</v>
      </c>
      <c r="AI1801" s="498"/>
      <c r="AJ1801" s="406">
        <f t="shared" si="664"/>
        <v>107.18711111111111</v>
      </c>
      <c r="AK1801" s="650">
        <f t="shared" si="663"/>
        <v>0.46406444444444445</v>
      </c>
      <c r="AL1801" s="225">
        <f>Table1[[#This Row],[WSP/Dealer]]/Table1[[#This Row],[OD Sq Inch]]</f>
        <v>0.50505050505050508</v>
      </c>
      <c r="AM1801" s="399">
        <f>Table1[[#This Row],[OD Wdth]]*Table1[[#This Row],[OD Hgt]]</f>
        <v>396</v>
      </c>
      <c r="AN1801" s="400" t="str">
        <f>Table1[[#This Row],[Color]]</f>
        <v>BA</v>
      </c>
      <c r="AO1801" s="115" t="str">
        <f>Table1[[#This Row],[Print Type]]</f>
        <v>Synograph</v>
      </c>
      <c r="AP1801" s="121"/>
      <c r="AQ1801" s="121"/>
      <c r="AR1801" s="121"/>
      <c r="AS1801" s="121"/>
      <c r="AT1801" s="104"/>
      <c r="AU1801" s="1359" t="str">
        <f t="shared" si="651"/>
        <v>-</v>
      </c>
    </row>
    <row r="1802" spans="1:47" s="103" customFormat="1" hidden="1" x14ac:dyDescent="0.2">
      <c r="A1802" s="68" t="s">
        <v>101</v>
      </c>
      <c r="B1802" s="1072" t="s">
        <v>102</v>
      </c>
      <c r="C1802" s="78" t="s">
        <v>4197</v>
      </c>
      <c r="D1802" s="94"/>
      <c r="E1802" s="84" t="s">
        <v>4198</v>
      </c>
      <c r="F1802" s="84" t="s">
        <v>138</v>
      </c>
      <c r="G1802" s="68" t="s">
        <v>139</v>
      </c>
      <c r="H1802" s="68" t="s">
        <v>139</v>
      </c>
      <c r="I1802" s="68" t="s">
        <v>52</v>
      </c>
      <c r="J1802" s="140" t="s">
        <v>53</v>
      </c>
      <c r="K1802" s="68" t="s">
        <v>54</v>
      </c>
      <c r="L1802" s="68" t="s">
        <v>55</v>
      </c>
      <c r="M1802" s="141">
        <v>185</v>
      </c>
      <c r="N1802" s="93"/>
      <c r="O1802" s="68" t="s">
        <v>56</v>
      </c>
      <c r="P1802" s="68">
        <v>24</v>
      </c>
      <c r="Q1802" s="68">
        <v>24</v>
      </c>
      <c r="R1802" s="68">
        <v>24</v>
      </c>
      <c r="S1802" s="623">
        <v>24</v>
      </c>
      <c r="T1802" s="68">
        <v>24</v>
      </c>
      <c r="U1802" s="623">
        <v>24</v>
      </c>
      <c r="V1802" s="239">
        <f>IF(J1802="Canvas",P1802+BorderGW,P1802)</f>
        <v>32</v>
      </c>
      <c r="W1802" s="239">
        <f>IF(J1802="Canvas",Q1802+BorderGW,Q1802)</f>
        <v>32</v>
      </c>
      <c r="X1802" s="68">
        <v>40</v>
      </c>
      <c r="Y1802" s="917">
        <f>Table1[[#This Row],[Print Wth]]</f>
        <v>32</v>
      </c>
      <c r="Z1802" s="917">
        <f>Table1[[#This Row],[Print Ht]]</f>
        <v>32</v>
      </c>
      <c r="AA1802" s="1027">
        <f>Table1[[#This Row],[Cut Width]]*Table1[[#This Row],[Cut Height]]/144</f>
        <v>7.1111111111111107</v>
      </c>
      <c r="AB1802" s="1130">
        <f>Table1[[#This Row],[Print Wth]]*Table1[[#This Row],[Print Ht]]/144*IncaG</f>
        <v>149.61777777777777</v>
      </c>
      <c r="AC1802" s="278">
        <f>Table1[[#This Row],[Substrate SF]]*Canvas</f>
        <v>4.6933333333333334</v>
      </c>
      <c r="AD1802" s="263">
        <f>(Table1[[#This Row],[Print Wth]]*Table1[[#This Row],[Print Ht]])/144*IncaC</f>
        <v>11.969422222222223</v>
      </c>
      <c r="AE1802" s="74">
        <f>IF(Table1[[#This Row],[Work Center]]="SwissQ",Materials!G$37,IF(Table1[[#This Row],[Work Center]]="Inca",Materials!G$29,IF(Table1[[#This Row],[Work Center]]="Canon",Materials!G$49,Materials!G$45)))</f>
        <v>8</v>
      </c>
      <c r="AF1802" s="73">
        <f>'Cali FPS'!C32</f>
        <v>63.47</v>
      </c>
      <c r="AG1802" s="126"/>
      <c r="AH1802" s="74">
        <f t="shared" si="662"/>
        <v>9.25</v>
      </c>
      <c r="AI1802" s="278"/>
      <c r="AJ1802" s="74">
        <f t="shared" si="664"/>
        <v>97.382755555555548</v>
      </c>
      <c r="AK1802" s="1001">
        <f t="shared" si="663"/>
        <v>0.47360672672672677</v>
      </c>
      <c r="AL1802" s="74">
        <f>Table1[[#This Row],[WSP/Dealer]]/Table1[[#This Row],[OD Sq Inch]]</f>
        <v>0.32118055555555558</v>
      </c>
      <c r="AM1802" s="63">
        <f>Table1[[#This Row],[OD Wdth]]*Table1[[#This Row],[OD Hgt]]</f>
        <v>576</v>
      </c>
      <c r="AN1802" s="68">
        <f>Table1[[#This Row],[Min VO]]+Table1[[#This Row],[Max VO]]</f>
        <v>48</v>
      </c>
      <c r="AO1802" s="84"/>
      <c r="AP1802" s="535"/>
      <c r="AQ1802" s="535"/>
      <c r="AR1802" s="535"/>
      <c r="AS1802" s="1146"/>
      <c r="AT1802" s="1147"/>
      <c r="AU1802" s="1357" t="str">
        <f t="shared" si="651"/>
        <v>-</v>
      </c>
    </row>
    <row r="1803" spans="1:47" s="103" customFormat="1" hidden="1" x14ac:dyDescent="0.2">
      <c r="A1803" s="551" t="s">
        <v>140</v>
      </c>
      <c r="B1803" s="1061" t="s">
        <v>141</v>
      </c>
      <c r="C1803" s="805" t="s">
        <v>4199</v>
      </c>
      <c r="D1803" s="94"/>
      <c r="E1803" s="653" t="s">
        <v>4198</v>
      </c>
      <c r="F1803" s="653" t="s">
        <v>138</v>
      </c>
      <c r="G1803" s="551" t="s">
        <v>139</v>
      </c>
      <c r="H1803" s="551" t="s">
        <v>139</v>
      </c>
      <c r="I1803" s="551" t="s">
        <v>52</v>
      </c>
      <c r="J1803" s="856" t="s">
        <v>280</v>
      </c>
      <c r="K1803" s="551" t="s">
        <v>281</v>
      </c>
      <c r="L1803" s="551" t="s">
        <v>282</v>
      </c>
      <c r="M1803" s="857">
        <v>350</v>
      </c>
      <c r="N1803" s="858">
        <f>Table1[[#This Row],[WSP/Dealer]]/0.35</f>
        <v>1000.0000000000001</v>
      </c>
      <c r="O1803" s="551" t="s">
        <v>56</v>
      </c>
      <c r="P1803" s="551">
        <v>24</v>
      </c>
      <c r="Q1803" s="551">
        <v>24</v>
      </c>
      <c r="R1803" s="551">
        <v>24</v>
      </c>
      <c r="S1803" s="984">
        <v>24</v>
      </c>
      <c r="T1803" s="551">
        <v>24</v>
      </c>
      <c r="U1803" s="984">
        <v>24</v>
      </c>
      <c r="V1803" s="881">
        <v>24</v>
      </c>
      <c r="W1803" s="881">
        <v>24</v>
      </c>
      <c r="X1803" s="311" t="s">
        <v>283</v>
      </c>
      <c r="Y1803" s="551">
        <v>24</v>
      </c>
      <c r="Z1803" s="551">
        <v>24</v>
      </c>
      <c r="AA1803" s="860">
        <f t="shared" ref="AA1803:AA1813" si="665">V1803*W1803/144</f>
        <v>4</v>
      </c>
      <c r="AB1803" s="861">
        <f>AA1803*IncaG</f>
        <v>84.16</v>
      </c>
      <c r="AC1803" s="862">
        <f>AA1803*MDF</f>
        <v>3.9568750000000006</v>
      </c>
      <c r="AD1803" s="876">
        <f>Table1[[#This Row],[Substrate SF]]*IncaC</f>
        <v>6.7328000000000001</v>
      </c>
      <c r="AE1803" s="863">
        <f>IF(Table1[[#This Row],[Work Center]]="SwissQ",Materials!G$37,IF(Table1[[#This Row],[Work Center]]="Inca",Materials!G$29,IF(Table1[[#This Row],[Work Center]]="Canon",Materials!G$49,Materials!G$45)))</f>
        <v>8</v>
      </c>
      <c r="AF1803" s="71">
        <f>'Cali Frames'!D538</f>
        <v>90.37</v>
      </c>
      <c r="AG1803" s="864"/>
      <c r="AH1803" s="865">
        <f t="shared" si="662"/>
        <v>17.5</v>
      </c>
      <c r="AI1803" s="865"/>
      <c r="AJ1803" s="865">
        <f t="shared" si="664"/>
        <v>126.559675</v>
      </c>
      <c r="AK1803" s="866">
        <f t="shared" si="663"/>
        <v>0.63840092857142861</v>
      </c>
      <c r="AL1803" s="867">
        <f>Table1[[#This Row],[WSP/Dealer]]/Table1[[#This Row],[OD Sq Inch]]</f>
        <v>0.60763888888888884</v>
      </c>
      <c r="AM1803" s="868">
        <f>Table1[[#This Row],[OD Wdth]]*Table1[[#This Row],[OD Hgt]]</f>
        <v>576</v>
      </c>
      <c r="AN1803" s="869">
        <f>Table1[[#This Row],[Min VO]]+Table1[[#This Row],[Max VO]]</f>
        <v>48</v>
      </c>
      <c r="AO1803" s="1545"/>
      <c r="AP1803" s="870"/>
      <c r="AQ1803" s="870"/>
      <c r="AR1803" s="870"/>
      <c r="AS1803" s="870"/>
      <c r="AT1803" s="71"/>
      <c r="AU1803" s="1705" t="str">
        <f t="shared" si="651"/>
        <v>-</v>
      </c>
    </row>
    <row r="1804" spans="1:47" s="103" customFormat="1" hidden="1" x14ac:dyDescent="0.2">
      <c r="A1804" s="101" t="s">
        <v>110</v>
      </c>
      <c r="B1804" s="1067" t="s">
        <v>111</v>
      </c>
      <c r="C1804" s="100" t="s">
        <v>4197</v>
      </c>
      <c r="D1804" s="168"/>
      <c r="E1804" s="115" t="s">
        <v>4198</v>
      </c>
      <c r="F1804" s="115" t="s">
        <v>138</v>
      </c>
      <c r="G1804" s="101" t="s">
        <v>139</v>
      </c>
      <c r="H1804" s="101" t="s">
        <v>139</v>
      </c>
      <c r="I1804" s="101" t="s">
        <v>52</v>
      </c>
      <c r="J1804" s="487" t="s">
        <v>53</v>
      </c>
      <c r="K1804" s="101" t="s">
        <v>54</v>
      </c>
      <c r="L1804" s="101" t="s">
        <v>55</v>
      </c>
      <c r="M1804" s="114">
        <v>325</v>
      </c>
      <c r="N1804" s="114"/>
      <c r="O1804" s="101" t="s">
        <v>56</v>
      </c>
      <c r="P1804" s="101">
        <v>24</v>
      </c>
      <c r="Q1804" s="101">
        <v>24</v>
      </c>
      <c r="R1804" s="101">
        <v>24</v>
      </c>
      <c r="S1804" s="697">
        <v>24</v>
      </c>
      <c r="T1804" s="101">
        <v>24</v>
      </c>
      <c r="U1804" s="697">
        <v>24</v>
      </c>
      <c r="V1804" s="489">
        <f>IF(J1804="Canvas",P1804+BorderGW,P1804)</f>
        <v>32</v>
      </c>
      <c r="W1804" s="489">
        <f>IF(J1804="Canvas",Q1804+BorderGW,Q1804)</f>
        <v>32</v>
      </c>
      <c r="X1804" s="101">
        <v>40</v>
      </c>
      <c r="Y1804" s="101">
        <v>32</v>
      </c>
      <c r="Z1804" s="101">
        <v>32</v>
      </c>
      <c r="AA1804" s="649">
        <f t="shared" si="665"/>
        <v>7.1111111111111107</v>
      </c>
      <c r="AB1804" s="184">
        <f>AA1804*IncaG</f>
        <v>149.61777777777777</v>
      </c>
      <c r="AC1804" s="104">
        <f>AA1804*MDF</f>
        <v>7.0344444444444454</v>
      </c>
      <c r="AD1804" s="1066">
        <f>Table1[[#This Row],[Substrate SF]]*IncaC</f>
        <v>11.969422222222223</v>
      </c>
      <c r="AE1804" s="104">
        <f>IF(Table1[[#This Row],[Work Center]]="SwissQ",Materials!G$37,IF(Table1[[#This Row],[Work Center]]="Inca",Materials!G$29,IF(Table1[[#This Row],[Work Center]]="Canon",Materials!G$49,Materials!G$45)))</f>
        <v>8</v>
      </c>
      <c r="AF1804" s="102">
        <f>'Cali FPS'!C32</f>
        <v>63.47</v>
      </c>
      <c r="AG1804" s="121"/>
      <c r="AH1804" s="107">
        <f t="shared" si="662"/>
        <v>16.25</v>
      </c>
      <c r="AI1804" s="405">
        <f>IF(A1804="Codarus",(M1804*0.13))</f>
        <v>42.25</v>
      </c>
      <c r="AJ1804" s="104">
        <f>SUM(AC1804:AI1804)</f>
        <v>148.97386666666665</v>
      </c>
      <c r="AK1804" s="108">
        <f t="shared" si="663"/>
        <v>0.54161887179487189</v>
      </c>
      <c r="AL1804" s="104">
        <f>Table1[[#This Row],[WSP/Dealer]]/Table1[[#This Row],[OD Sq Inch]]</f>
        <v>0.56423611111111116</v>
      </c>
      <c r="AM1804" s="103">
        <f>Table1[[#This Row],[OD Wdth]]*Table1[[#This Row],[OD Hgt]]</f>
        <v>576</v>
      </c>
      <c r="AN1804" s="101">
        <f>Table1[[#This Row],[Min VO]]+Table1[[#This Row],[Max VO]]</f>
        <v>48</v>
      </c>
      <c r="AO1804" s="113"/>
      <c r="AP1804" s="408">
        <v>650</v>
      </c>
      <c r="AQ1804" s="408">
        <f>(Table1[[#This Row],[Desgnr/Retail P]]*0.05)</f>
        <v>32.5</v>
      </c>
      <c r="AR1804" s="121">
        <f>IF(A1804="Codarus",(AP1804*0.13))</f>
        <v>84.5</v>
      </c>
      <c r="AS1804" s="121">
        <f>SUM(Table1[[#This Row],[Substrate $]:[GP FINISH]])+Table1[[#This Row],[Retail Royalty]]+Table1[[#This Row],[Retail$Comm]]</f>
        <v>207.47386666666665</v>
      </c>
      <c r="AT1804" s="830">
        <f>IF(AP1804=0,"-",(AP1804-AS1804)/AP1804)</f>
        <v>0.68080943589743592</v>
      </c>
      <c r="AU1804" s="1367">
        <f t="shared" si="651"/>
        <v>0.97905201735700198</v>
      </c>
    </row>
    <row r="1805" spans="1:47" s="46" customFormat="1" hidden="1" x14ac:dyDescent="0.2">
      <c r="A1805" s="216" t="s">
        <v>272</v>
      </c>
      <c r="B1805" s="279" t="s">
        <v>273</v>
      </c>
      <c r="C1805" s="232" t="s">
        <v>4200</v>
      </c>
      <c r="D1805" s="94"/>
      <c r="E1805" s="217" t="s">
        <v>4201</v>
      </c>
      <c r="F1805" s="217" t="s">
        <v>138</v>
      </c>
      <c r="G1805" s="216" t="s">
        <v>276</v>
      </c>
      <c r="H1805" s="216" t="s">
        <v>276</v>
      </c>
      <c r="I1805" s="216" t="s">
        <v>108</v>
      </c>
      <c r="J1805" s="216" t="s">
        <v>53</v>
      </c>
      <c r="K1805" s="216" t="s">
        <v>54</v>
      </c>
      <c r="L1805" s="216" t="s">
        <v>55</v>
      </c>
      <c r="M1805" s="219">
        <v>100</v>
      </c>
      <c r="N1805" s="219"/>
      <c r="O1805" s="216" t="s">
        <v>109</v>
      </c>
      <c r="P1805" s="218">
        <v>16</v>
      </c>
      <c r="Q1805" s="218">
        <v>16</v>
      </c>
      <c r="R1805" s="216">
        <v>16</v>
      </c>
      <c r="S1805" s="221">
        <v>16</v>
      </c>
      <c r="T1805" s="218">
        <f>P1805</f>
        <v>16</v>
      </c>
      <c r="U1805" s="221" t="str">
        <f>RIGHT(Table1[[#This Row],[OD]],2)</f>
        <v>16</v>
      </c>
      <c r="V1805" s="222">
        <f>IF(J1805="Canvas",P1805+BorderGW,P1805)</f>
        <v>24</v>
      </c>
      <c r="W1805" s="222">
        <f>IF(J1805="Canvas",Q1805+BorderGW,Q1805)</f>
        <v>24</v>
      </c>
      <c r="X1805" s="223">
        <v>40</v>
      </c>
      <c r="Y1805" s="216"/>
      <c r="Z1805" s="216"/>
      <c r="AA1805" s="718">
        <f t="shared" si="665"/>
        <v>4</v>
      </c>
      <c r="AB1805" s="233">
        <f>AA1805*EPSONM</f>
        <v>18</v>
      </c>
      <c r="AC1805" s="225">
        <f>AA1805*Canvas</f>
        <v>2.64</v>
      </c>
      <c r="AD1805" s="207">
        <f>Table1[[#This Row],[Ink g/mL]]*EPSONC</f>
        <v>3.96</v>
      </c>
      <c r="AE1805" s="104">
        <f>IF(Table1[[#This Row],[Work Center]]="SwissQ",Materials!G$37,IF(Table1[[#This Row],[Work Center]]="Inca",Materials!G$29,IF(Table1[[#This Row],[Work Center]]="Canon",Materials!G$49,Materials!G$45)))</f>
        <v>5</v>
      </c>
      <c r="AF1805" s="226">
        <f>'CALI_SONDER '!H$3</f>
        <v>43.8</v>
      </c>
      <c r="AG1805" s="225"/>
      <c r="AH1805" s="112">
        <f t="shared" si="662"/>
        <v>5</v>
      </c>
      <c r="AI1805" s="112"/>
      <c r="AJ1805" s="225">
        <f t="shared" ref="AJ1805:AJ1813" si="666">SUM(AC1805:AH1805)</f>
        <v>60.4</v>
      </c>
      <c r="AK1805" s="62">
        <f t="shared" si="663"/>
        <v>0.39600000000000002</v>
      </c>
      <c r="AL1805" s="225">
        <f>Table1[[#This Row],[WSP/Dealer]]/Table1[[#This Row],[OD Sq Inch]]</f>
        <v>0.390625</v>
      </c>
      <c r="AM1805" s="218">
        <f>Table1[[#This Row],[OD Wdth]]*Table1[[#This Row],[OD Hgt]]</f>
        <v>256</v>
      </c>
      <c r="AN1805" s="216">
        <f>Table1[[#This Row],[Min VO]]+Table1[[#This Row],[Max VO]]</f>
        <v>32</v>
      </c>
      <c r="AO1805" s="218" t="s">
        <v>277</v>
      </c>
      <c r="AP1805" s="226"/>
      <c r="AQ1805" s="226"/>
      <c r="AR1805" s="226"/>
      <c r="AS1805" s="226"/>
      <c r="AT1805" s="226"/>
      <c r="AU1805" s="1369" t="str">
        <f t="shared" si="651"/>
        <v>-</v>
      </c>
    </row>
    <row r="1806" spans="1:47" s="63" customFormat="1" hidden="1" x14ac:dyDescent="0.2">
      <c r="A1806" s="216" t="s">
        <v>272</v>
      </c>
      <c r="B1806" s="279" t="s">
        <v>273</v>
      </c>
      <c r="C1806" s="232" t="s">
        <v>4202</v>
      </c>
      <c r="D1806" s="94"/>
      <c r="E1806" s="217" t="s">
        <v>4203</v>
      </c>
      <c r="F1806" s="217" t="s">
        <v>138</v>
      </c>
      <c r="G1806" s="216" t="s">
        <v>276</v>
      </c>
      <c r="H1806" s="216" t="s">
        <v>276</v>
      </c>
      <c r="I1806" s="216" t="s">
        <v>52</v>
      </c>
      <c r="J1806" s="216" t="s">
        <v>53</v>
      </c>
      <c r="K1806" s="216" t="s">
        <v>54</v>
      </c>
      <c r="L1806" s="216" t="s">
        <v>55</v>
      </c>
      <c r="M1806" s="219">
        <v>150</v>
      </c>
      <c r="N1806" s="219"/>
      <c r="O1806" s="216" t="s">
        <v>56</v>
      </c>
      <c r="P1806" s="216">
        <v>16</v>
      </c>
      <c r="Q1806" s="216">
        <v>16</v>
      </c>
      <c r="R1806" s="216">
        <v>16</v>
      </c>
      <c r="S1806" s="221">
        <v>16</v>
      </c>
      <c r="T1806" s="218">
        <f>P1806</f>
        <v>16</v>
      </c>
      <c r="U1806" s="221" t="str">
        <f>RIGHT(Table1[[#This Row],[OD]],2)</f>
        <v>16</v>
      </c>
      <c r="V1806" s="222">
        <f>IF(J1806="Canvas",P1806+BorderGW,P1806)</f>
        <v>24</v>
      </c>
      <c r="W1806" s="222">
        <f>IF(J1806="Canvas",Q1806+BorderGW,Q1806)</f>
        <v>24</v>
      </c>
      <c r="X1806" s="223" t="s">
        <v>286</v>
      </c>
      <c r="Y1806" s="216">
        <v>28</v>
      </c>
      <c r="Z1806" s="216">
        <v>92</v>
      </c>
      <c r="AA1806" s="718">
        <f t="shared" si="665"/>
        <v>4</v>
      </c>
      <c r="AB1806" s="861">
        <f>AA1806*IncaG</f>
        <v>84.16</v>
      </c>
      <c r="AC1806" s="863">
        <f>AA1806*MDF</f>
        <v>3.9568750000000006</v>
      </c>
      <c r="AD1806" s="876">
        <f>Table1[[#This Row],[Substrate SF]]*IncaC</f>
        <v>6.7328000000000001</v>
      </c>
      <c r="AE1806" s="863">
        <f>IF(Table1[[#This Row],[Work Center]]="SwissQ",Materials!G$37,IF(Table1[[#This Row],[Work Center]]="Inca",Materials!G$29,IF(Table1[[#This Row],[Work Center]]="Canon",Materials!G$49,Materials!G$45)))</f>
        <v>8</v>
      </c>
      <c r="AF1806" s="226">
        <f>'CALI_SONDER '!H$3</f>
        <v>43.8</v>
      </c>
      <c r="AG1806" s="225"/>
      <c r="AH1806" s="112">
        <f t="shared" si="662"/>
        <v>7.5</v>
      </c>
      <c r="AI1806" s="112"/>
      <c r="AJ1806" s="207">
        <f t="shared" si="666"/>
        <v>69.989675000000005</v>
      </c>
      <c r="AK1806" s="62">
        <f t="shared" si="663"/>
        <v>0.53340216666666662</v>
      </c>
      <c r="AL1806" s="225">
        <f>Table1[[#This Row],[WSP/Dealer]]/Table1[[#This Row],[OD Sq Inch]]</f>
        <v>0.5859375</v>
      </c>
      <c r="AM1806" s="103">
        <f>Table1[[#This Row],[OD Wdth]]*Table1[[#This Row],[OD Hgt]]</f>
        <v>256</v>
      </c>
      <c r="AN1806" s="216">
        <f>Table1[[#This Row],[Min VO]]+Table1[[#This Row],[Max VO]]</f>
        <v>32</v>
      </c>
      <c r="AO1806" s="218" t="s">
        <v>277</v>
      </c>
      <c r="AP1806" s="226"/>
      <c r="AQ1806" s="226"/>
      <c r="AR1806" s="226"/>
      <c r="AS1806" s="226"/>
      <c r="AT1806" s="226"/>
      <c r="AU1806" s="1820" t="str">
        <f t="shared" si="651"/>
        <v>-</v>
      </c>
    </row>
    <row r="1807" spans="1:47" s="46" customFormat="1" ht="16" x14ac:dyDescent="0.2">
      <c r="A1807" s="60" t="s">
        <v>58</v>
      </c>
      <c r="B1807" s="1061" t="s">
        <v>587</v>
      </c>
      <c r="C1807" s="293" t="s">
        <v>4204</v>
      </c>
      <c r="D1807" s="94"/>
      <c r="E1807" s="294" t="s">
        <v>4205</v>
      </c>
      <c r="F1807" s="294" t="s">
        <v>1364</v>
      </c>
      <c r="G1807" s="295" t="s">
        <v>751</v>
      </c>
      <c r="H1807" s="295" t="s">
        <v>4206</v>
      </c>
      <c r="I1807" s="181" t="s">
        <v>52</v>
      </c>
      <c r="J1807" s="181" t="s">
        <v>53</v>
      </c>
      <c r="K1807" s="295" t="s">
        <v>69</v>
      </c>
      <c r="L1807" s="181" t="s">
        <v>73</v>
      </c>
      <c r="M1807" s="292">
        <v>850</v>
      </c>
      <c r="N1807" s="639">
        <v>825</v>
      </c>
      <c r="O1807" s="180" t="s">
        <v>64</v>
      </c>
      <c r="P1807" s="180">
        <v>40</v>
      </c>
      <c r="Q1807" s="180">
        <v>40</v>
      </c>
      <c r="R1807" s="60">
        <v>40</v>
      </c>
      <c r="S1807" s="60">
        <v>40</v>
      </c>
      <c r="T1807" s="698">
        <f>Table1[[#This Row],[VO Wdth]]+1</f>
        <v>41</v>
      </c>
      <c r="U1807" s="698">
        <f>Table1[[#This Row],[VO Hgt]]+1</f>
        <v>41</v>
      </c>
      <c r="V1807" s="149">
        <f t="shared" ref="V1807:V1813" si="667">IF(J1807="Canvas",P1807+Border,P1807)</f>
        <v>48</v>
      </c>
      <c r="W1807" s="149">
        <f t="shared" ref="W1807:W1813" si="668">IF(J1807="Canvas",Q1807+Border,Q1807)</f>
        <v>48</v>
      </c>
      <c r="X1807" s="289">
        <v>53</v>
      </c>
      <c r="Y1807" s="180"/>
      <c r="Z1807" s="180"/>
      <c r="AA1807" s="717">
        <f t="shared" si="665"/>
        <v>16</v>
      </c>
      <c r="AB1807" s="125">
        <f t="shared" ref="AB1807:AB1812" si="669">AA1807*Swiss1</f>
        <v>452.8</v>
      </c>
      <c r="AC1807" s="69">
        <f t="shared" ref="AC1807:AC1813" si="670">AA1807*Canvas</f>
        <v>10.56</v>
      </c>
      <c r="AD1807" s="48">
        <f>Table1[[#This Row],[Substrate SF]]*Materials!C$37</f>
        <v>44.8</v>
      </c>
      <c r="AE1807" s="104">
        <f>IF(Table1[[#This Row],[Work Center]]="SwissQ",Materials!G$37,IF(Table1[[#This Row],[Work Center]]="Inca",Materials!G$29,IF(Table1[[#This Row],[Work Center]]="Canon",Materials!G$49,Materials!G$45)))</f>
        <v>20</v>
      </c>
      <c r="AF1807" s="69">
        <f>'Cali Frames'!D$448</f>
        <v>143.85</v>
      </c>
      <c r="AG1807" s="83"/>
      <c r="AH1807" s="498">
        <f t="shared" si="662"/>
        <v>42.5</v>
      </c>
      <c r="AI1807" s="498"/>
      <c r="AJ1807" s="69">
        <f t="shared" si="666"/>
        <v>261.70999999999998</v>
      </c>
      <c r="AK1807" s="650">
        <f t="shared" si="663"/>
        <v>0.69210588235294113</v>
      </c>
      <c r="AL1807" s="225">
        <f>Table1[[#This Row],[WSP/Dealer]]/Table1[[#This Row],[OD Sq Inch]]</f>
        <v>0.50565139797739445</v>
      </c>
      <c r="AM1807" s="46">
        <f>Table1[[#This Row],[OD Wdth]]*Table1[[#This Row],[OD Hgt]]</f>
        <v>1681</v>
      </c>
      <c r="AN1807" s="216">
        <f>Table1[[#This Row],[Min VO]]+Table1[[#This Row],[Max VO]]</f>
        <v>80</v>
      </c>
      <c r="AO1807" s="284"/>
      <c r="AP1807" s="284"/>
      <c r="AQ1807" s="296"/>
      <c r="AR1807" s="296"/>
      <c r="AS1807" s="296"/>
      <c r="AT1807" s="176"/>
      <c r="AU1807" s="1358" t="str">
        <f t="shared" si="651"/>
        <v>-</v>
      </c>
    </row>
    <row r="1808" spans="1:47" s="103" customFormat="1" ht="16" x14ac:dyDescent="0.2">
      <c r="A1808" s="68" t="s">
        <v>58</v>
      </c>
      <c r="B1808" s="1061" t="s">
        <v>587</v>
      </c>
      <c r="C1808" s="316" t="s">
        <v>4204</v>
      </c>
      <c r="D1808" s="94"/>
      <c r="E1808" s="313" t="s">
        <v>4207</v>
      </c>
      <c r="F1808" s="313" t="s">
        <v>1364</v>
      </c>
      <c r="G1808" s="314" t="s">
        <v>751</v>
      </c>
      <c r="H1808" s="314" t="s">
        <v>4206</v>
      </c>
      <c r="I1808" s="315" t="s">
        <v>52</v>
      </c>
      <c r="J1808" s="315" t="s">
        <v>53</v>
      </c>
      <c r="K1808" s="314" t="s">
        <v>69</v>
      </c>
      <c r="L1808" s="315" t="s">
        <v>73</v>
      </c>
      <c r="M1808" s="178">
        <v>1100</v>
      </c>
      <c r="N1808" s="639">
        <v>825</v>
      </c>
      <c r="O1808" s="274" t="s">
        <v>64</v>
      </c>
      <c r="P1808" s="274">
        <v>40</v>
      </c>
      <c r="Q1808" s="274">
        <v>40</v>
      </c>
      <c r="R1808" s="68">
        <v>40</v>
      </c>
      <c r="S1808" s="63">
        <v>40</v>
      </c>
      <c r="T1808" s="1776">
        <f>Table1[[#This Row],[VO Wdth]]+1</f>
        <v>41</v>
      </c>
      <c r="U1808" s="1776">
        <f>Table1[[#This Row],[VO Hgt]]+1</f>
        <v>41</v>
      </c>
      <c r="V1808" s="1198">
        <f t="shared" si="667"/>
        <v>48</v>
      </c>
      <c r="W1808" s="1198">
        <f t="shared" si="668"/>
        <v>48</v>
      </c>
      <c r="X1808" s="343">
        <v>53</v>
      </c>
      <c r="Y1808" s="274"/>
      <c r="Z1808" s="274"/>
      <c r="AA1808" s="699">
        <f t="shared" si="665"/>
        <v>16</v>
      </c>
      <c r="AB1808" s="297">
        <f t="shared" si="669"/>
        <v>452.8</v>
      </c>
      <c r="AC1808" s="74">
        <f t="shared" si="670"/>
        <v>10.56</v>
      </c>
      <c r="AD1808" s="67">
        <f>Table1[[#This Row],[Substrate SF]]*Materials!C$37</f>
        <v>44.8</v>
      </c>
      <c r="AE1808" s="104">
        <f>IF(Table1[[#This Row],[Work Center]]="SwissQ",Materials!G$37,IF(Table1[[#This Row],[Work Center]]="Inca",Materials!G$29,IF(Table1[[#This Row],[Work Center]]="Canon",Materials!G$49,Materials!G$45)))</f>
        <v>20</v>
      </c>
      <c r="AF1808" s="74">
        <f>'Cali Frames'!D562</f>
        <v>155.505</v>
      </c>
      <c r="AG1808" s="84"/>
      <c r="AH1808" s="112">
        <f t="shared" si="662"/>
        <v>55</v>
      </c>
      <c r="AI1808" s="112"/>
      <c r="AJ1808" s="74">
        <f t="shared" si="666"/>
        <v>285.86500000000001</v>
      </c>
      <c r="AK1808" s="62">
        <f t="shared" si="663"/>
        <v>0.74012272727272721</v>
      </c>
      <c r="AL1808" s="225">
        <f>Table1[[#This Row],[WSP/Dealer]]/Table1[[#This Row],[OD Sq Inch]]</f>
        <v>0.65437239738251041</v>
      </c>
      <c r="AM1808" s="63">
        <f>Table1[[#This Row],[OD Wdth]]*Table1[[#This Row],[OD Hgt]]</f>
        <v>1681</v>
      </c>
      <c r="AN1808" s="238">
        <f>Table1[[#This Row],[Min VO]]+Table1[[#This Row],[Max VO]]</f>
        <v>80</v>
      </c>
      <c r="AO1808" s="171"/>
      <c r="AP1808" s="275"/>
      <c r="AQ1808" s="320"/>
      <c r="AR1808" s="320"/>
      <c r="AS1808" s="320"/>
      <c r="AT1808" s="278"/>
      <c r="AU1808" s="1815" t="str">
        <f t="shared" si="651"/>
        <v>-</v>
      </c>
    </row>
    <row r="1809" spans="1:47" s="46" customFormat="1" ht="16" x14ac:dyDescent="0.2">
      <c r="A1809" s="60" t="s">
        <v>58</v>
      </c>
      <c r="B1809" s="1061" t="s">
        <v>587</v>
      </c>
      <c r="C1809" s="293" t="s">
        <v>4208</v>
      </c>
      <c r="D1809" s="94"/>
      <c r="E1809" s="294" t="s">
        <v>4209</v>
      </c>
      <c r="F1809" s="294" t="s">
        <v>1364</v>
      </c>
      <c r="G1809" s="295" t="s">
        <v>751</v>
      </c>
      <c r="H1809" s="295" t="s">
        <v>4206</v>
      </c>
      <c r="I1809" s="181" t="s">
        <v>52</v>
      </c>
      <c r="J1809" s="181" t="s">
        <v>53</v>
      </c>
      <c r="K1809" s="295" t="s">
        <v>69</v>
      </c>
      <c r="L1809" s="181" t="s">
        <v>73</v>
      </c>
      <c r="M1809" s="292">
        <v>850</v>
      </c>
      <c r="N1809" s="639">
        <v>825</v>
      </c>
      <c r="O1809" s="180" t="s">
        <v>64</v>
      </c>
      <c r="P1809" s="173">
        <v>40</v>
      </c>
      <c r="Q1809" s="173">
        <v>40</v>
      </c>
      <c r="R1809" s="60">
        <v>40</v>
      </c>
      <c r="S1809" s="46">
        <v>40</v>
      </c>
      <c r="T1809" s="698">
        <f>Table1[[#This Row],[VO Wdth]]+1</f>
        <v>41</v>
      </c>
      <c r="U1809" s="698">
        <f>Table1[[#This Row],[VO Hgt]]+1</f>
        <v>41</v>
      </c>
      <c r="V1809" s="149">
        <f t="shared" si="667"/>
        <v>48</v>
      </c>
      <c r="W1809" s="149">
        <f t="shared" si="668"/>
        <v>48</v>
      </c>
      <c r="X1809" s="289">
        <v>53</v>
      </c>
      <c r="Y1809" s="180"/>
      <c r="Z1809" s="180"/>
      <c r="AA1809" s="717">
        <f t="shared" si="665"/>
        <v>16</v>
      </c>
      <c r="AB1809" s="125">
        <f t="shared" si="669"/>
        <v>452.8</v>
      </c>
      <c r="AC1809" s="48">
        <f t="shared" si="670"/>
        <v>10.56</v>
      </c>
      <c r="AD1809" s="48">
        <f>Table1[[#This Row],[Substrate SF]]*Materials!C$37</f>
        <v>44.8</v>
      </c>
      <c r="AE1809" s="104">
        <f>IF(Table1[[#This Row],[Work Center]]="SwissQ",Materials!G$37,IF(Table1[[#This Row],[Work Center]]="Inca",Materials!G$29,IF(Table1[[#This Row],[Work Center]]="Canon",Materials!G$49,Materials!G$45)))</f>
        <v>20</v>
      </c>
      <c r="AF1809" s="69">
        <f>'Cali Frames'!D$448</f>
        <v>143.85</v>
      </c>
      <c r="AG1809" s="83"/>
      <c r="AH1809" s="112">
        <f t="shared" si="662"/>
        <v>42.5</v>
      </c>
      <c r="AI1809" s="112"/>
      <c r="AJ1809" s="48">
        <f t="shared" si="666"/>
        <v>261.70999999999998</v>
      </c>
      <c r="AK1809" s="62">
        <f t="shared" si="663"/>
        <v>0.69210588235294113</v>
      </c>
      <c r="AL1809" s="225">
        <f>Table1[[#This Row],[WSP/Dealer]]/Table1[[#This Row],[OD Sq Inch]]</f>
        <v>0.50565139797739445</v>
      </c>
      <c r="AM1809" s="218">
        <f>Table1[[#This Row],[OD Wdth]]*Table1[[#This Row],[OD Hgt]]</f>
        <v>1681</v>
      </c>
      <c r="AN1809" s="216">
        <f>Table1[[#This Row],[Min VO]]+Table1[[#This Row],[Max VO]]</f>
        <v>80</v>
      </c>
      <c r="AO1809" s="286"/>
      <c r="AP1809" s="284"/>
      <c r="AQ1809" s="296"/>
      <c r="AR1809" s="296"/>
      <c r="AS1809" s="296"/>
      <c r="AT1809" s="176"/>
      <c r="AU1809" s="1362" t="str">
        <f t="shared" si="651"/>
        <v>-</v>
      </c>
    </row>
    <row r="1810" spans="1:47" s="103" customFormat="1" ht="16" x14ac:dyDescent="0.2">
      <c r="A1810" s="68" t="s">
        <v>58</v>
      </c>
      <c r="B1810" s="1061" t="s">
        <v>587</v>
      </c>
      <c r="C1810" s="316" t="s">
        <v>4208</v>
      </c>
      <c r="D1810" s="94"/>
      <c r="E1810" s="313" t="s">
        <v>4210</v>
      </c>
      <c r="F1810" s="313" t="s">
        <v>1364</v>
      </c>
      <c r="G1810" s="314" t="s">
        <v>751</v>
      </c>
      <c r="H1810" s="314" t="s">
        <v>4206</v>
      </c>
      <c r="I1810" s="315" t="s">
        <v>52</v>
      </c>
      <c r="J1810" s="315" t="s">
        <v>53</v>
      </c>
      <c r="K1810" s="314" t="s">
        <v>69</v>
      </c>
      <c r="L1810" s="315" t="s">
        <v>73</v>
      </c>
      <c r="M1810" s="178">
        <v>905</v>
      </c>
      <c r="N1810" s="639">
        <v>825</v>
      </c>
      <c r="O1810" s="274" t="s">
        <v>64</v>
      </c>
      <c r="P1810" s="274">
        <v>40</v>
      </c>
      <c r="Q1810" s="274">
        <v>40</v>
      </c>
      <c r="R1810" s="68">
        <v>40</v>
      </c>
      <c r="S1810" s="68">
        <v>40</v>
      </c>
      <c r="T1810" s="916">
        <f>Table1[[#This Row],[VO Wdth]]+1</f>
        <v>41</v>
      </c>
      <c r="U1810" s="916">
        <f>Table1[[#This Row],[VO Hgt]]+1</f>
        <v>41</v>
      </c>
      <c r="V1810" s="1198">
        <f t="shared" si="667"/>
        <v>48</v>
      </c>
      <c r="W1810" s="1198">
        <f t="shared" si="668"/>
        <v>48</v>
      </c>
      <c r="X1810" s="343">
        <v>53</v>
      </c>
      <c r="Y1810" s="274"/>
      <c r="Z1810" s="274"/>
      <c r="AA1810" s="699">
        <f t="shared" si="665"/>
        <v>16</v>
      </c>
      <c r="AB1810" s="297">
        <f t="shared" si="669"/>
        <v>452.8</v>
      </c>
      <c r="AC1810" s="74">
        <f t="shared" si="670"/>
        <v>10.56</v>
      </c>
      <c r="AD1810" s="74">
        <f>Table1[[#This Row],[Substrate SF]]*Materials!C$37</f>
        <v>44.8</v>
      </c>
      <c r="AE1810" s="104">
        <f>IF(Table1[[#This Row],[Work Center]]="SwissQ",Materials!G$37,IF(Table1[[#This Row],[Work Center]]="Inca",Materials!G$29,IF(Table1[[#This Row],[Work Center]]="Canon",Materials!G$49,Materials!G$45)))</f>
        <v>20</v>
      </c>
      <c r="AF1810" s="74">
        <f>'Cali Frames'!D562</f>
        <v>155.505</v>
      </c>
      <c r="AG1810" s="84"/>
      <c r="AH1810" s="498">
        <f t="shared" si="662"/>
        <v>45.25</v>
      </c>
      <c r="AI1810" s="498"/>
      <c r="AJ1810" s="74">
        <f t="shared" si="666"/>
        <v>276.11500000000001</v>
      </c>
      <c r="AK1810" s="650">
        <f t="shared" si="663"/>
        <v>0.69490055248618787</v>
      </c>
      <c r="AL1810" s="225">
        <f>Table1[[#This Row],[WSP/Dealer]]/Table1[[#This Row],[OD Sq Inch]]</f>
        <v>0.53837001784651994</v>
      </c>
      <c r="AM1810" s="238">
        <f>Table1[[#This Row],[OD Wdth]]*Table1[[#This Row],[OD Hgt]]</f>
        <v>1681</v>
      </c>
      <c r="AN1810" s="238">
        <f>Table1[[#This Row],[Min VO]]+Table1[[#This Row],[Max VO]]</f>
        <v>80</v>
      </c>
      <c r="AO1810" s="275"/>
      <c r="AP1810" s="275"/>
      <c r="AQ1810" s="320"/>
      <c r="AR1810" s="320"/>
      <c r="AS1810" s="320"/>
      <c r="AT1810" s="278"/>
      <c r="AU1810" s="1368" t="str">
        <f t="shared" si="651"/>
        <v>-</v>
      </c>
    </row>
    <row r="1811" spans="1:47" s="173" customFormat="1" ht="16" x14ac:dyDescent="0.2">
      <c r="A1811" s="60" t="s">
        <v>58</v>
      </c>
      <c r="B1811" s="1061" t="s">
        <v>587</v>
      </c>
      <c r="C1811" s="293" t="s">
        <v>4211</v>
      </c>
      <c r="D1811" s="94"/>
      <c r="E1811" s="294" t="s">
        <v>4212</v>
      </c>
      <c r="F1811" s="294" t="s">
        <v>1364</v>
      </c>
      <c r="G1811" s="295" t="s">
        <v>751</v>
      </c>
      <c r="H1811" s="295" t="s">
        <v>4206</v>
      </c>
      <c r="I1811" s="181" t="s">
        <v>52</v>
      </c>
      <c r="J1811" s="181" t="s">
        <v>53</v>
      </c>
      <c r="K1811" s="295" t="s">
        <v>69</v>
      </c>
      <c r="L1811" s="181" t="s">
        <v>73</v>
      </c>
      <c r="M1811" s="292">
        <v>850</v>
      </c>
      <c r="N1811" s="639">
        <v>825</v>
      </c>
      <c r="O1811" s="180" t="s">
        <v>64</v>
      </c>
      <c r="P1811" s="180">
        <v>40</v>
      </c>
      <c r="Q1811" s="180">
        <v>40</v>
      </c>
      <c r="R1811" s="60">
        <v>40</v>
      </c>
      <c r="S1811" s="46">
        <v>40</v>
      </c>
      <c r="T1811" s="1777">
        <f>Table1[[#This Row],[VO Wdth]]+1</f>
        <v>41</v>
      </c>
      <c r="U1811" s="1777">
        <f>Table1[[#This Row],[VO Hgt]]+1</f>
        <v>41</v>
      </c>
      <c r="V1811" s="149">
        <f t="shared" si="667"/>
        <v>48</v>
      </c>
      <c r="W1811" s="149">
        <f t="shared" si="668"/>
        <v>48</v>
      </c>
      <c r="X1811" s="289">
        <v>53</v>
      </c>
      <c r="Y1811" s="180"/>
      <c r="Z1811" s="180"/>
      <c r="AA1811" s="717">
        <f t="shared" si="665"/>
        <v>16</v>
      </c>
      <c r="AB1811" s="125">
        <f t="shared" si="669"/>
        <v>452.8</v>
      </c>
      <c r="AC1811" s="69">
        <f t="shared" si="670"/>
        <v>10.56</v>
      </c>
      <c r="AD1811" s="48">
        <f>Table1[[#This Row],[Substrate SF]]*Materials!C$37</f>
        <v>44.8</v>
      </c>
      <c r="AE1811" s="104">
        <f>IF(Table1[[#This Row],[Work Center]]="SwissQ",Materials!G$37,IF(Table1[[#This Row],[Work Center]]="Inca",Materials!G$29,IF(Table1[[#This Row],[Work Center]]="Canon",Materials!G$49,Materials!G$45)))</f>
        <v>20</v>
      </c>
      <c r="AF1811" s="69">
        <f>'Cali Frames'!D$448</f>
        <v>143.85</v>
      </c>
      <c r="AG1811" s="83"/>
      <c r="AH1811" s="112">
        <f t="shared" si="662"/>
        <v>42.5</v>
      </c>
      <c r="AI1811" s="112"/>
      <c r="AJ1811" s="48">
        <f t="shared" si="666"/>
        <v>261.70999999999998</v>
      </c>
      <c r="AK1811" s="62">
        <f t="shared" si="663"/>
        <v>0.69210588235294113</v>
      </c>
      <c r="AL1811" s="225">
        <f>Table1[[#This Row],[WSP/Dealer]]/Table1[[#This Row],[OD Sq Inch]]</f>
        <v>0.50565139797739445</v>
      </c>
      <c r="AM1811" s="46">
        <f>Table1[[#This Row],[OD Wdth]]*Table1[[#This Row],[OD Hgt]]</f>
        <v>1681</v>
      </c>
      <c r="AN1811" s="216">
        <f>Table1[[#This Row],[Min VO]]+Table1[[#This Row],[Max VO]]</f>
        <v>80</v>
      </c>
      <c r="AO1811" s="286"/>
      <c r="AP1811" s="284"/>
      <c r="AQ1811" s="296"/>
      <c r="AR1811" s="296"/>
      <c r="AS1811" s="296"/>
      <c r="AT1811" s="176"/>
      <c r="AU1811" s="1362" t="str">
        <f t="shared" si="651"/>
        <v>-</v>
      </c>
    </row>
    <row r="1812" spans="1:47" s="173" customFormat="1" ht="16" x14ac:dyDescent="0.2">
      <c r="A1812" s="68" t="s">
        <v>58</v>
      </c>
      <c r="B1812" s="1061" t="s">
        <v>587</v>
      </c>
      <c r="C1812" s="316" t="s">
        <v>4211</v>
      </c>
      <c r="D1812" s="94"/>
      <c r="E1812" s="313" t="s">
        <v>4213</v>
      </c>
      <c r="F1812" s="313" t="s">
        <v>1364</v>
      </c>
      <c r="G1812" s="314" t="s">
        <v>751</v>
      </c>
      <c r="H1812" s="314" t="s">
        <v>4206</v>
      </c>
      <c r="I1812" s="315" t="s">
        <v>52</v>
      </c>
      <c r="J1812" s="315" t="s">
        <v>53</v>
      </c>
      <c r="K1812" s="314" t="s">
        <v>69</v>
      </c>
      <c r="L1812" s="315" t="s">
        <v>73</v>
      </c>
      <c r="M1812" s="178">
        <v>905</v>
      </c>
      <c r="N1812" s="639">
        <v>825</v>
      </c>
      <c r="O1812" s="274" t="s">
        <v>64</v>
      </c>
      <c r="P1812" s="170">
        <v>40</v>
      </c>
      <c r="Q1812" s="170">
        <v>40</v>
      </c>
      <c r="R1812" s="68">
        <v>40</v>
      </c>
      <c r="S1812" s="63">
        <v>40</v>
      </c>
      <c r="T1812" s="1776">
        <f>Table1[[#This Row],[VO Wdth]]+1</f>
        <v>41</v>
      </c>
      <c r="U1812" s="1776">
        <f>Table1[[#This Row],[VO Hgt]]+1</f>
        <v>41</v>
      </c>
      <c r="V1812" s="160">
        <f t="shared" si="667"/>
        <v>48</v>
      </c>
      <c r="W1812" s="160">
        <f t="shared" si="668"/>
        <v>48</v>
      </c>
      <c r="X1812" s="343">
        <v>53</v>
      </c>
      <c r="Y1812" s="274"/>
      <c r="Z1812" s="274"/>
      <c r="AA1812" s="699">
        <f t="shared" si="665"/>
        <v>16</v>
      </c>
      <c r="AB1812" s="297">
        <f t="shared" si="669"/>
        <v>452.8</v>
      </c>
      <c r="AC1812" s="67">
        <f t="shared" si="670"/>
        <v>10.56</v>
      </c>
      <c r="AD1812" s="67">
        <f>Table1[[#This Row],[Substrate SF]]*Materials!C$37</f>
        <v>44.8</v>
      </c>
      <c r="AE1812" s="104">
        <f>IF(Table1[[#This Row],[Work Center]]="SwissQ",Materials!G$37,IF(Table1[[#This Row],[Work Center]]="Inca",Materials!G$29,IF(Table1[[#This Row],[Work Center]]="Canon",Materials!G$49,Materials!G$45)))</f>
        <v>20</v>
      </c>
      <c r="AF1812" s="74">
        <f>'Cali Frames'!D562</f>
        <v>155.505</v>
      </c>
      <c r="AG1812" s="84"/>
      <c r="AH1812" s="112">
        <f t="shared" si="662"/>
        <v>45.25</v>
      </c>
      <c r="AI1812" s="112"/>
      <c r="AJ1812" s="74">
        <f t="shared" si="666"/>
        <v>276.11500000000001</v>
      </c>
      <c r="AK1812" s="62">
        <f t="shared" si="663"/>
        <v>0.69490055248618787</v>
      </c>
      <c r="AL1812" s="225">
        <f>Table1[[#This Row],[WSP/Dealer]]/Table1[[#This Row],[OD Sq Inch]]</f>
        <v>0.53837001784651994</v>
      </c>
      <c r="AM1812" s="63">
        <f>Table1[[#This Row],[OD Wdth]]*Table1[[#This Row],[OD Hgt]]</f>
        <v>1681</v>
      </c>
      <c r="AN1812" s="238">
        <f>Table1[[#This Row],[Min VO]]+Table1[[#This Row],[Max VO]]</f>
        <v>80</v>
      </c>
      <c r="AO1812" s="275"/>
      <c r="AP1812" s="275"/>
      <c r="AQ1812" s="320"/>
      <c r="AR1812" s="320"/>
      <c r="AS1812" s="320"/>
      <c r="AT1812" s="278"/>
      <c r="AU1812" s="1368" t="str">
        <f t="shared" si="651"/>
        <v>-</v>
      </c>
    </row>
    <row r="1813" spans="1:47" s="173" customFormat="1" x14ac:dyDescent="0.2">
      <c r="A1813" s="60" t="s">
        <v>58</v>
      </c>
      <c r="B1813" s="1071" t="s">
        <v>305</v>
      </c>
      <c r="C1813" s="434" t="s">
        <v>4214</v>
      </c>
      <c r="D1813" s="79"/>
      <c r="E1813" s="83" t="s">
        <v>4215</v>
      </c>
      <c r="F1813" s="83" t="s">
        <v>308</v>
      </c>
      <c r="G1813" s="60" t="s">
        <v>819</v>
      </c>
      <c r="H1813" s="60" t="s">
        <v>819</v>
      </c>
      <c r="I1813" s="605" t="s">
        <v>52</v>
      </c>
      <c r="J1813" s="435" t="s">
        <v>53</v>
      </c>
      <c r="K1813" s="60" t="s">
        <v>54</v>
      </c>
      <c r="L1813" s="605" t="s">
        <v>55</v>
      </c>
      <c r="M1813" s="124">
        <v>575</v>
      </c>
      <c r="N1813" s="124"/>
      <c r="O1813" s="60" t="s">
        <v>56</v>
      </c>
      <c r="P1813" s="60">
        <v>32</v>
      </c>
      <c r="Q1813" s="60">
        <v>40</v>
      </c>
      <c r="R1813" s="60">
        <v>32</v>
      </c>
      <c r="S1813" s="46">
        <v>40</v>
      </c>
      <c r="T1813" s="61">
        <v>32</v>
      </c>
      <c r="U1813" s="61">
        <v>40</v>
      </c>
      <c r="V1813" s="149">
        <f t="shared" si="667"/>
        <v>40</v>
      </c>
      <c r="W1813" s="149">
        <f t="shared" si="668"/>
        <v>48</v>
      </c>
      <c r="X1813" s="60">
        <v>40</v>
      </c>
      <c r="Y1813" s="60">
        <v>40</v>
      </c>
      <c r="Z1813" s="60">
        <v>48</v>
      </c>
      <c r="AA1813" s="717">
        <f t="shared" si="665"/>
        <v>13.333333333333334</v>
      </c>
      <c r="AB1813" s="125">
        <f>AA1813*IncaG</f>
        <v>280.53333333333336</v>
      </c>
      <c r="AC1813" s="69">
        <f t="shared" si="670"/>
        <v>8.8000000000000007</v>
      </c>
      <c r="AD1813" s="48">
        <f>AA1813*IncaC</f>
        <v>22.442666666666668</v>
      </c>
      <c r="AE1813" s="69">
        <f>IF(Table1[[#This Row],[Work Center]]="SwissQ",Materials!G$37,IF(Table1[[#This Row],[Work Center]]="Inca",Materials!G$29,IF(Table1[[#This Row],[Work Center]]="Canon",Materials!G$49,Materials!G$45)))</f>
        <v>8</v>
      </c>
      <c r="AF1813" s="72">
        <f>'Cali FPS'!C58</f>
        <v>83.3</v>
      </c>
      <c r="AG1813" s="83"/>
      <c r="AH1813" s="48">
        <f t="shared" si="662"/>
        <v>28.75</v>
      </c>
      <c r="AI1813" s="48"/>
      <c r="AJ1813" s="69">
        <f t="shared" si="666"/>
        <v>151.29266666666666</v>
      </c>
      <c r="AK1813" s="62">
        <f t="shared" si="663"/>
        <v>0.73688231884057975</v>
      </c>
      <c r="AL1813" s="225">
        <f>Table1[[#This Row],[WSP/Dealer]]/Table1[[#This Row],[OD Sq Inch]]</f>
        <v>0.44921875</v>
      </c>
      <c r="AM1813" s="46">
        <f>Table1[[#This Row],[OD Wdth]]*Table1[[#This Row],[OD Hgt]]</f>
        <v>1280</v>
      </c>
      <c r="AN1813" s="216">
        <f>Table1[[#This Row],[Min VO]]+Table1[[#This Row],[Max VO]]</f>
        <v>72</v>
      </c>
      <c r="AO1813" s="284"/>
      <c r="AP1813" s="83"/>
      <c r="AQ1813" s="540">
        <f>(Table1[[#This Row],[Desgnr/Retail P]]*0.05)</f>
        <v>0</v>
      </c>
      <c r="AR1813" s="540" t="b">
        <f>IF(A1813="Codarus",(AP1813*0.13))</f>
        <v>0</v>
      </c>
      <c r="AS1813" s="540" t="e" cm="1">
        <f t="array" ref="AS1813">SUM(AC1813:AG1813+AQ+AR)</f>
        <v>#NAME?</v>
      </c>
      <c r="AT1813" s="69" t="e">
        <f>(AP1813-AS1813)/AP1813</f>
        <v>#NAME?</v>
      </c>
      <c r="AU1813" s="1361" t="str">
        <f t="shared" si="651"/>
        <v>-</v>
      </c>
    </row>
    <row r="1814" spans="1:47" s="173" customFormat="1" hidden="1" x14ac:dyDescent="0.2">
      <c r="A1814" s="68"/>
      <c r="B1814" s="1061"/>
      <c r="C1814" s="94" t="s">
        <v>4216</v>
      </c>
      <c r="D1814" s="94"/>
      <c r="E1814" s="84" t="s">
        <v>4217</v>
      </c>
      <c r="F1814" s="84" t="s">
        <v>960</v>
      </c>
      <c r="G1814" s="68" t="s">
        <v>462</v>
      </c>
      <c r="H1814" s="68"/>
      <c r="I1814" s="68" t="s">
        <v>304</v>
      </c>
      <c r="J1814" s="68" t="s">
        <v>257</v>
      </c>
      <c r="K1814" s="68" t="s">
        <v>258</v>
      </c>
      <c r="L1814" s="68" t="s">
        <v>83</v>
      </c>
      <c r="M1814" s="93"/>
      <c r="N1814" s="71"/>
      <c r="O1814" s="68"/>
      <c r="P1814" s="68"/>
      <c r="Q1814" s="68"/>
      <c r="R1814" s="68"/>
      <c r="S1814" s="68"/>
      <c r="T1814" s="68"/>
      <c r="U1814" s="68"/>
      <c r="V1814" s="66"/>
      <c r="W1814" s="66"/>
      <c r="X1814" s="189"/>
      <c r="Y1814" s="68"/>
      <c r="Z1814" s="68"/>
      <c r="AA1814" s="699"/>
      <c r="AB1814" s="297"/>
      <c r="AC1814" s="74"/>
      <c r="AD1814" s="118"/>
      <c r="AE1814" s="126"/>
      <c r="AF1814" s="73"/>
      <c r="AG1814" s="126"/>
      <c r="AH1814" s="112">
        <f t="shared" si="662"/>
        <v>0</v>
      </c>
      <c r="AI1814" s="112"/>
      <c r="AJ1814" s="118"/>
      <c r="AK1814" s="62" t="e">
        <f t="shared" si="663"/>
        <v>#DIV/0!</v>
      </c>
      <c r="AL1814" s="225" t="e">
        <f>Table1[[#This Row],[WSP/Dealer]]/Table1[[#This Row],[OD Sq Inch]]</f>
        <v>#DIV/0!</v>
      </c>
      <c r="AM1814" s="119"/>
      <c r="AN1814" s="216">
        <f>Table1[[#This Row],[Min VO]]+Table1[[#This Row],[Max VO]]</f>
        <v>0</v>
      </c>
      <c r="AO1814" s="84"/>
      <c r="AP1814" s="84"/>
      <c r="AQ1814" s="126"/>
      <c r="AR1814" s="126"/>
      <c r="AS1814" s="126"/>
      <c r="AT1814" s="74"/>
      <c r="AU1814" s="1357" t="str">
        <f t="shared" si="651"/>
        <v>-</v>
      </c>
    </row>
    <row r="1815" spans="1:47" s="46" customFormat="1" x14ac:dyDescent="0.2">
      <c r="A1815" s="86" t="s">
        <v>58</v>
      </c>
      <c r="B1815" s="1061" t="s">
        <v>591</v>
      </c>
      <c r="C1815" s="75" t="s">
        <v>4218</v>
      </c>
      <c r="D1815" s="94" t="s">
        <v>4219</v>
      </c>
      <c r="E1815" s="85" t="s">
        <v>4220</v>
      </c>
      <c r="F1815" s="85" t="s">
        <v>789</v>
      </c>
      <c r="G1815" s="86" t="s">
        <v>139</v>
      </c>
      <c r="H1815" s="86" t="s">
        <v>1067</v>
      </c>
      <c r="I1815" s="86" t="s">
        <v>52</v>
      </c>
      <c r="J1815" s="86" t="s">
        <v>53</v>
      </c>
      <c r="K1815" s="86" t="s">
        <v>69</v>
      </c>
      <c r="L1815" s="86" t="s">
        <v>70</v>
      </c>
      <c r="M1815" s="87">
        <v>308</v>
      </c>
      <c r="N1815" s="639">
        <v>350</v>
      </c>
      <c r="O1815" s="101" t="s">
        <v>56</v>
      </c>
      <c r="P1815" s="273">
        <v>24</v>
      </c>
      <c r="Q1815" s="273">
        <v>24</v>
      </c>
      <c r="R1815" s="60">
        <v>24</v>
      </c>
      <c r="S1815" s="273">
        <v>24</v>
      </c>
      <c r="T1815" s="697">
        <v>25</v>
      </c>
      <c r="U1815" s="697">
        <v>25</v>
      </c>
      <c r="V1815" s="106">
        <f>IF(J1815="Canvas",P1815+Border,P1815)</f>
        <v>32</v>
      </c>
      <c r="W1815" s="106">
        <f>IF(J1815="Canvas",Q1815+Border,Q1815)</f>
        <v>32</v>
      </c>
      <c r="X1815" s="157" t="s">
        <v>1070</v>
      </c>
      <c r="Y1815" s="60">
        <v>32</v>
      </c>
      <c r="Z1815" s="60">
        <v>96</v>
      </c>
      <c r="AA1815" s="649">
        <f>V1815*W1815/144</f>
        <v>7.1111111111111107</v>
      </c>
      <c r="AB1815" s="184">
        <f>AA1815*IncaG</f>
        <v>149.61777777777777</v>
      </c>
      <c r="AC1815" s="104">
        <f>AA1815*Canvas</f>
        <v>4.6933333333333334</v>
      </c>
      <c r="AD1815" s="107">
        <f>AA1815*IncaC</f>
        <v>11.969422222222223</v>
      </c>
      <c r="AE1815" s="104">
        <f>IF(Table1[[#This Row],[Work Center]]="SwissQ",Materials!G$37,IF(Table1[[#This Row],[Work Center]]="Inca",Materials!G$29,IF(Table1[[#This Row],[Work Center]]="Canon",Materials!G$49,Materials!G$45)))</f>
        <v>8</v>
      </c>
      <c r="AF1815" s="104">
        <f>'Cali Frames'!D$278</f>
        <v>93.42</v>
      </c>
      <c r="AG1815" s="115"/>
      <c r="AH1815" s="498">
        <f t="shared" si="662"/>
        <v>15.4</v>
      </c>
      <c r="AI1815" s="498"/>
      <c r="AJ1815" s="104">
        <f>SUM(AC1815:AH1815)</f>
        <v>133.48275555555557</v>
      </c>
      <c r="AK1815" s="650">
        <f t="shared" si="663"/>
        <v>0.56661443001443001</v>
      </c>
      <c r="AL1815" s="225">
        <f>Table1[[#This Row],[WSP/Dealer]]/Table1[[#This Row],[OD Sq Inch]]</f>
        <v>0.49280000000000002</v>
      </c>
      <c r="AM1815" s="218">
        <f>Table1[[#This Row],[OD Wdth]]*Table1[[#This Row],[OD Hgt]]</f>
        <v>625</v>
      </c>
      <c r="AN1815" s="216">
        <f>Table1[[#This Row],[Min VO]]+Table1[[#This Row],[Max VO]]</f>
        <v>48</v>
      </c>
      <c r="AO1815" s="101"/>
      <c r="AP1815" s="101"/>
      <c r="AQ1815" s="104"/>
      <c r="AR1815" s="104"/>
      <c r="AS1815" s="104"/>
      <c r="AT1815" s="104"/>
      <c r="AU1815" s="830" t="str">
        <f t="shared" si="651"/>
        <v>-</v>
      </c>
    </row>
    <row r="1816" spans="1:47" s="46" customFormat="1" hidden="1" x14ac:dyDescent="0.2">
      <c r="A1816" s="180" t="s">
        <v>272</v>
      </c>
      <c r="B1816" s="1061" t="s">
        <v>1062</v>
      </c>
      <c r="C1816" s="607" t="s">
        <v>4221</v>
      </c>
      <c r="D1816" s="94" t="s">
        <v>4222</v>
      </c>
      <c r="E1816" s="284" t="s">
        <v>4220</v>
      </c>
      <c r="F1816" s="284" t="s">
        <v>789</v>
      </c>
      <c r="G1816" s="180" t="s">
        <v>139</v>
      </c>
      <c r="H1816" s="180" t="s">
        <v>139</v>
      </c>
      <c r="I1816" s="180" t="s">
        <v>52</v>
      </c>
      <c r="J1816" s="180" t="s">
        <v>53</v>
      </c>
      <c r="K1816" s="180" t="s">
        <v>54</v>
      </c>
      <c r="L1816" s="180" t="s">
        <v>55</v>
      </c>
      <c r="M1816" s="285">
        <v>215</v>
      </c>
      <c r="N1816" s="285"/>
      <c r="O1816" s="180" t="s">
        <v>56</v>
      </c>
      <c r="P1816" s="813">
        <v>24</v>
      </c>
      <c r="Q1816" s="813">
        <v>24</v>
      </c>
      <c r="R1816" s="180">
        <v>24</v>
      </c>
      <c r="S1816" s="813">
        <v>24</v>
      </c>
      <c r="T1816" s="813">
        <v>24</v>
      </c>
      <c r="U1816" s="813">
        <v>24</v>
      </c>
      <c r="V1816" s="913">
        <v>31</v>
      </c>
      <c r="W1816" s="913">
        <v>31</v>
      </c>
      <c r="X1816" s="289" t="s">
        <v>1070</v>
      </c>
      <c r="Y1816" s="180">
        <v>32</v>
      </c>
      <c r="Z1816" s="180">
        <v>96</v>
      </c>
      <c r="AA1816" s="678">
        <f>V1816*W1816/144</f>
        <v>6.6736111111111107</v>
      </c>
      <c r="AB1816" s="329">
        <f>AA1816*IncaG</f>
        <v>140.41277777777776</v>
      </c>
      <c r="AC1816" s="69">
        <f>AA1816*Canvas</f>
        <v>4.4045833333333331</v>
      </c>
      <c r="AD1816" s="176">
        <f>AA1816*IncaC</f>
        <v>11.233022222222221</v>
      </c>
      <c r="AE1816" s="104">
        <f>IF(Table1[[#This Row],[Work Center]]="SwissQ",Materials!G$37,IF(Table1[[#This Row],[Work Center]]="Inca",Materials!G$29,IF(Table1[[#This Row],[Work Center]]="Canon",Materials!G$49,Materials!G$45)))</f>
        <v>8</v>
      </c>
      <c r="AF1816" s="176">
        <f>'Cali FPS'!C32</f>
        <v>63.47</v>
      </c>
      <c r="AG1816" s="284"/>
      <c r="AH1816" s="498">
        <f t="shared" si="662"/>
        <v>10.75</v>
      </c>
      <c r="AI1816" s="498"/>
      <c r="AJ1816" s="176">
        <f>SUM(AC1816:AH1816)</f>
        <v>97.857605555555551</v>
      </c>
      <c r="AK1816" s="650">
        <f t="shared" si="663"/>
        <v>0.54484834625322998</v>
      </c>
      <c r="AL1816" s="225">
        <f>Table1[[#This Row],[WSP/Dealer]]/Table1[[#This Row],[OD Sq Inch]]</f>
        <v>0.3732638888888889</v>
      </c>
      <c r="AM1816" s="180">
        <f>Table1[[#This Row],[OD Wdth]]*Table1[[#This Row],[OD Hgt]]</f>
        <v>576</v>
      </c>
      <c r="AN1816" s="216">
        <f>Table1[[#This Row],[Min VO]]+Table1[[#This Row],[Max VO]]</f>
        <v>48</v>
      </c>
      <c r="AO1816" s="180"/>
      <c r="AP1816" s="180"/>
      <c r="AQ1816" s="176"/>
      <c r="AR1816" s="176"/>
      <c r="AS1816" s="176"/>
      <c r="AT1816" s="176"/>
      <c r="AU1816" s="1201" t="str">
        <f t="shared" si="651"/>
        <v>-</v>
      </c>
    </row>
    <row r="1817" spans="1:47" s="46" customFormat="1" x14ac:dyDescent="0.2">
      <c r="A1817" s="86" t="s">
        <v>58</v>
      </c>
      <c r="B1817" s="279" t="s">
        <v>591</v>
      </c>
      <c r="C1817" s="75" t="s">
        <v>4223</v>
      </c>
      <c r="D1817" s="94" t="s">
        <v>4224</v>
      </c>
      <c r="E1817" s="85" t="s">
        <v>4225</v>
      </c>
      <c r="F1817" s="85" t="s">
        <v>789</v>
      </c>
      <c r="G1817" s="86" t="s">
        <v>139</v>
      </c>
      <c r="H1817" s="86" t="s">
        <v>1067</v>
      </c>
      <c r="I1817" s="86" t="s">
        <v>52</v>
      </c>
      <c r="J1817" s="86" t="s">
        <v>53</v>
      </c>
      <c r="K1817" s="91" t="s">
        <v>69</v>
      </c>
      <c r="L1817" s="86" t="s">
        <v>70</v>
      </c>
      <c r="M1817" s="87">
        <v>308</v>
      </c>
      <c r="N1817" s="639">
        <v>350</v>
      </c>
      <c r="O1817" s="101" t="s">
        <v>56</v>
      </c>
      <c r="P1817" s="273">
        <v>24</v>
      </c>
      <c r="Q1817" s="273">
        <v>24</v>
      </c>
      <c r="R1817" s="60">
        <v>24</v>
      </c>
      <c r="S1817" s="273">
        <v>24</v>
      </c>
      <c r="T1817" s="697">
        <v>25</v>
      </c>
      <c r="U1817" s="697">
        <v>25</v>
      </c>
      <c r="V1817" s="608">
        <f>IF(J1817="Canvas",P1817+Border,P1817)</f>
        <v>32</v>
      </c>
      <c r="W1817" s="608">
        <f>IF(J1817="Canvas",Q1817+Border,Q1817)</f>
        <v>32</v>
      </c>
      <c r="X1817" s="157" t="s">
        <v>1070</v>
      </c>
      <c r="Y1817" s="60">
        <v>32</v>
      </c>
      <c r="Z1817" s="60">
        <v>96</v>
      </c>
      <c r="AA1817" s="649">
        <f>V1817*W1817/144</f>
        <v>7.1111111111111107</v>
      </c>
      <c r="AB1817" s="184">
        <f>AA1817*IncaG</f>
        <v>149.61777777777777</v>
      </c>
      <c r="AC1817" s="104">
        <f>AA1817*Canvas</f>
        <v>4.6933333333333334</v>
      </c>
      <c r="AD1817" s="104">
        <f>AA1817*IncaC</f>
        <v>11.969422222222223</v>
      </c>
      <c r="AE1817" s="104">
        <f>IF(Table1[[#This Row],[Work Center]]="SwissQ",Materials!G$37,IF(Table1[[#This Row],[Work Center]]="Inca",Materials!G$29,IF(Table1[[#This Row],[Work Center]]="Canon",Materials!G$49,Materials!G$45)))</f>
        <v>8</v>
      </c>
      <c r="AF1817" s="104">
        <f>'Cali Frames'!D$278</f>
        <v>93.42</v>
      </c>
      <c r="AG1817" s="115"/>
      <c r="AH1817" s="498">
        <f t="shared" si="662"/>
        <v>15.4</v>
      </c>
      <c r="AI1817" s="498"/>
      <c r="AJ1817" s="104">
        <f>SUM(AC1817:AH1817)</f>
        <v>133.48275555555557</v>
      </c>
      <c r="AK1817" s="650">
        <f t="shared" si="663"/>
        <v>0.56661443001443001</v>
      </c>
      <c r="AL1817" s="225">
        <f>Table1[[#This Row],[WSP/Dealer]]/Table1[[#This Row],[OD Sq Inch]]</f>
        <v>0.49280000000000002</v>
      </c>
      <c r="AM1817" s="101">
        <f>Table1[[#This Row],[OD Wdth]]*Table1[[#This Row],[OD Hgt]]</f>
        <v>625</v>
      </c>
      <c r="AN1817" s="216">
        <f>Table1[[#This Row],[Min VO]]+Table1[[#This Row],[Max VO]]</f>
        <v>48</v>
      </c>
      <c r="AO1817" s="101"/>
      <c r="AP1817" s="101"/>
      <c r="AQ1817" s="104"/>
      <c r="AR1817" s="104"/>
      <c r="AS1817" s="104"/>
      <c r="AT1817" s="104"/>
      <c r="AU1817" s="830" t="str">
        <f t="shared" si="651"/>
        <v>-</v>
      </c>
    </row>
    <row r="1818" spans="1:47" s="46" customFormat="1" hidden="1" x14ac:dyDescent="0.2">
      <c r="A1818" s="68" t="s">
        <v>187</v>
      </c>
      <c r="B1818" s="1061" t="s">
        <v>445</v>
      </c>
      <c r="C1818" s="94" t="s">
        <v>4226</v>
      </c>
      <c r="D1818" s="94"/>
      <c r="E1818" s="84" t="s">
        <v>4227</v>
      </c>
      <c r="F1818" s="84" t="s">
        <v>960</v>
      </c>
      <c r="G1818" s="68" t="s">
        <v>643</v>
      </c>
      <c r="H1818" s="68"/>
      <c r="I1818" s="68" t="s">
        <v>256</v>
      </c>
      <c r="J1818" s="68" t="s">
        <v>257</v>
      </c>
      <c r="K1818" s="282" t="s">
        <v>4228</v>
      </c>
      <c r="L1818" s="68" t="s">
        <v>1921</v>
      </c>
      <c r="M1818" s="93"/>
      <c r="N1818" s="71"/>
      <c r="O1818" s="68"/>
      <c r="P1818" s="68"/>
      <c r="Q1818" s="68"/>
      <c r="R1818" s="68"/>
      <c r="S1818" s="68"/>
      <c r="T1818" s="68"/>
      <c r="U1818" s="68"/>
      <c r="V1818" s="917"/>
      <c r="W1818" s="917"/>
      <c r="X1818" s="189"/>
      <c r="Y1818" s="68"/>
      <c r="Z1818" s="68"/>
      <c r="AA1818" s="699"/>
      <c r="AB1818" s="297"/>
      <c r="AC1818" s="74"/>
      <c r="AD1818" s="118"/>
      <c r="AE1818" s="126"/>
      <c r="AF1818" s="73"/>
      <c r="AG1818" s="126"/>
      <c r="AH1818" s="112">
        <f t="shared" si="662"/>
        <v>0</v>
      </c>
      <c r="AI1818" s="112"/>
      <c r="AJ1818" s="126"/>
      <c r="AK1818" s="62" t="e">
        <f t="shared" si="663"/>
        <v>#DIV/0!</v>
      </c>
      <c r="AL1818" s="225" t="e">
        <f>Table1[[#This Row],[WSP/Dealer]]/Table1[[#This Row],[OD Sq Inch]]</f>
        <v>#DIV/0!</v>
      </c>
      <c r="AM1818" s="119"/>
      <c r="AN1818" s="216">
        <f>Table1[[#This Row],[Min VO]]+Table1[[#This Row],[Max VO]]</f>
        <v>0</v>
      </c>
      <c r="AO1818" s="84"/>
      <c r="AP1818" s="84"/>
      <c r="AQ1818" s="126"/>
      <c r="AR1818" s="126"/>
      <c r="AS1818" s="126"/>
      <c r="AT1818" s="74"/>
      <c r="AU1818" s="1357" t="str">
        <f t="shared" si="651"/>
        <v>-</v>
      </c>
    </row>
    <row r="1819" spans="1:47" s="46" customFormat="1" hidden="1" x14ac:dyDescent="0.2">
      <c r="A1819" s="68" t="s">
        <v>187</v>
      </c>
      <c r="B1819" s="1061" t="s">
        <v>445</v>
      </c>
      <c r="C1819" s="94" t="s">
        <v>4229</v>
      </c>
      <c r="D1819" s="94"/>
      <c r="E1819" s="84" t="s">
        <v>4227</v>
      </c>
      <c r="F1819" s="84" t="s">
        <v>960</v>
      </c>
      <c r="G1819" s="68" t="s">
        <v>643</v>
      </c>
      <c r="H1819" s="68"/>
      <c r="I1819" s="68" t="s">
        <v>256</v>
      </c>
      <c r="J1819" s="68" t="s">
        <v>257</v>
      </c>
      <c r="K1819" s="282" t="s">
        <v>4228</v>
      </c>
      <c r="L1819" s="68" t="s">
        <v>4230</v>
      </c>
      <c r="M1819" s="93"/>
      <c r="N1819" s="71"/>
      <c r="O1819" s="68"/>
      <c r="P1819" s="68"/>
      <c r="Q1819" s="68"/>
      <c r="R1819" s="68"/>
      <c r="S1819" s="68"/>
      <c r="T1819" s="68"/>
      <c r="U1819" s="68"/>
      <c r="V1819" s="917"/>
      <c r="W1819" s="917"/>
      <c r="X1819" s="189"/>
      <c r="Y1819" s="68"/>
      <c r="Z1819" s="68"/>
      <c r="AA1819" s="699"/>
      <c r="AB1819" s="297"/>
      <c r="AC1819" s="74"/>
      <c r="AD1819" s="118"/>
      <c r="AE1819" s="126"/>
      <c r="AF1819" s="73"/>
      <c r="AG1819" s="126"/>
      <c r="AH1819" s="112">
        <f t="shared" si="662"/>
        <v>0</v>
      </c>
      <c r="AI1819" s="112"/>
      <c r="AJ1819" s="126"/>
      <c r="AK1819" s="62" t="e">
        <f t="shared" si="663"/>
        <v>#DIV/0!</v>
      </c>
      <c r="AL1819" s="225" t="e">
        <f>Table1[[#This Row],[WSP/Dealer]]/Table1[[#This Row],[OD Sq Inch]]</f>
        <v>#DIV/0!</v>
      </c>
      <c r="AM1819" s="119"/>
      <c r="AN1819" s="216">
        <f>Table1[[#This Row],[Min VO]]+Table1[[#This Row],[Max VO]]</f>
        <v>0</v>
      </c>
      <c r="AO1819" s="84"/>
      <c r="AP1819" s="84"/>
      <c r="AQ1819" s="126"/>
      <c r="AR1819" s="126"/>
      <c r="AS1819" s="126"/>
      <c r="AT1819" s="74"/>
      <c r="AU1819" s="1357" t="str">
        <f t="shared" si="651"/>
        <v>-</v>
      </c>
    </row>
    <row r="1820" spans="1:47" s="46" customFormat="1" hidden="1" x14ac:dyDescent="0.2">
      <c r="A1820" s="470" t="s">
        <v>318</v>
      </c>
      <c r="B1820" s="279" t="s">
        <v>96</v>
      </c>
      <c r="C1820" s="79" t="s">
        <v>4231</v>
      </c>
      <c r="D1820" s="94">
        <v>196157</v>
      </c>
      <c r="E1820" s="83" t="s">
        <v>4232</v>
      </c>
      <c r="F1820" s="83" t="s">
        <v>571</v>
      </c>
      <c r="G1820" s="60" t="s">
        <v>115</v>
      </c>
      <c r="H1820" s="60" t="s">
        <v>145</v>
      </c>
      <c r="I1820" s="60" t="s">
        <v>574</v>
      </c>
      <c r="J1820" s="60" t="s">
        <v>53</v>
      </c>
      <c r="K1820" s="92" t="s">
        <v>69</v>
      </c>
      <c r="L1820" s="60" t="s">
        <v>73</v>
      </c>
      <c r="M1820" s="544">
        <v>450</v>
      </c>
      <c r="N1820" s="786">
        <v>995</v>
      </c>
      <c r="O1820" s="145" t="s">
        <v>575</v>
      </c>
      <c r="P1820" s="60">
        <v>48</v>
      </c>
      <c r="Q1820" s="60">
        <v>48</v>
      </c>
      <c r="R1820" s="60">
        <v>48</v>
      </c>
      <c r="S1820" s="60">
        <v>48</v>
      </c>
      <c r="T1820" s="60">
        <v>49</v>
      </c>
      <c r="U1820" s="60">
        <v>49</v>
      </c>
      <c r="V1820" s="947">
        <f>IF(J1820="Canvas",P1820+Border,P1820)</f>
        <v>56</v>
      </c>
      <c r="W1820" s="947">
        <f>IF(J1820="Canvas",Q1820+Border,Q1820)</f>
        <v>56</v>
      </c>
      <c r="X1820" s="138"/>
      <c r="Y1820" s="60">
        <v>56</v>
      </c>
      <c r="Z1820" s="60">
        <v>56</v>
      </c>
      <c r="AA1820" s="678">
        <f t="shared" ref="AA1820:AA1848" si="671">V1820*W1820/144</f>
        <v>21.777777777777779</v>
      </c>
      <c r="AB1820" s="329">
        <f>Table1[[#This Row],[Substrate SF]]*SWISSMLR*3</f>
        <v>130.66666666666669</v>
      </c>
      <c r="AC1820" s="176">
        <f>AA1820*Canvas</f>
        <v>14.373333333333335</v>
      </c>
      <c r="AD1820" s="176">
        <f>Table1[[#This Row],[Substrate SF]]*SWISSCR*3</f>
        <v>14.373333333333335</v>
      </c>
      <c r="AE1820" s="69">
        <f>Materials!I$41</f>
        <v>8</v>
      </c>
      <c r="AF1820" s="72">
        <f>'Cali Frames'!D466</f>
        <v>150.6575</v>
      </c>
      <c r="AG1820" s="540"/>
      <c r="AH1820" s="498">
        <f t="shared" si="662"/>
        <v>22.5</v>
      </c>
      <c r="AI1820" s="498"/>
      <c r="AJ1820" s="176">
        <f t="shared" ref="AJ1820:AJ1846" si="672">SUM(AC1820:AH1820)</f>
        <v>209.90416666666667</v>
      </c>
      <c r="AK1820" s="650">
        <f t="shared" si="663"/>
        <v>0.53354629629629624</v>
      </c>
      <c r="AL1820" s="225">
        <f>Table1[[#This Row],[WSP/Dealer]]/Table1[[#This Row],[OD Sq Inch]]</f>
        <v>0.18742190753852561</v>
      </c>
      <c r="AM1820" s="180">
        <f>Table1[[#This Row],[OD Wdth]]*Table1[[#This Row],[OD Hgt]]</f>
        <v>2401</v>
      </c>
      <c r="AN1820" s="180" t="str">
        <f>Table1[[#This Row],[Color]]</f>
        <v>NF</v>
      </c>
      <c r="AO1820" s="83" t="str">
        <f>Table1[[#This Row],[Print Type]]</f>
        <v>Reductive+</v>
      </c>
      <c r="AP1820" s="83"/>
      <c r="AQ1820" s="540"/>
      <c r="AR1820" s="540"/>
      <c r="AS1820" s="540"/>
      <c r="AT1820" s="69"/>
      <c r="AU1820" s="1361" t="str">
        <f t="shared" si="651"/>
        <v>-</v>
      </c>
    </row>
    <row r="1821" spans="1:47" s="63" customFormat="1" hidden="1" x14ac:dyDescent="0.2">
      <c r="A1821" s="68" t="s">
        <v>187</v>
      </c>
      <c r="B1821" s="279" t="s">
        <v>292</v>
      </c>
      <c r="C1821" s="653" t="s">
        <v>4233</v>
      </c>
      <c r="D1821" s="94"/>
      <c r="E1821" s="84" t="s">
        <v>4234</v>
      </c>
      <c r="F1821" s="84" t="s">
        <v>349</v>
      </c>
      <c r="G1821" s="68" t="s">
        <v>2353</v>
      </c>
      <c r="H1821" s="68" t="s">
        <v>2354</v>
      </c>
      <c r="I1821" s="68" t="s">
        <v>52</v>
      </c>
      <c r="J1821" s="68" t="s">
        <v>53</v>
      </c>
      <c r="K1821" s="68" t="s">
        <v>54</v>
      </c>
      <c r="L1821" s="68" t="s">
        <v>70</v>
      </c>
      <c r="M1821" s="93">
        <v>500</v>
      </c>
      <c r="N1821" s="71"/>
      <c r="O1821" s="68" t="s">
        <v>56</v>
      </c>
      <c r="P1821" s="68">
        <v>16</v>
      </c>
      <c r="Q1821" s="68">
        <v>12</v>
      </c>
      <c r="R1821" s="68">
        <v>12</v>
      </c>
      <c r="S1821" s="68">
        <v>16</v>
      </c>
      <c r="T1821" s="68">
        <v>17</v>
      </c>
      <c r="U1821" s="68">
        <v>13</v>
      </c>
      <c r="V1821" s="917">
        <f>IF(J1821="Canvas",P1821+Border,P1821)</f>
        <v>24</v>
      </c>
      <c r="W1821" s="917">
        <f>IF(J1821="Canvas",Q1821+Border,Q1821)</f>
        <v>20</v>
      </c>
      <c r="X1821" s="189"/>
      <c r="Y1821" s="68"/>
      <c r="Z1821" s="68"/>
      <c r="AA1821" s="699">
        <f t="shared" si="671"/>
        <v>3.3333333333333335</v>
      </c>
      <c r="AB1821" s="297">
        <f>AA1821*IncaG</f>
        <v>70.13333333333334</v>
      </c>
      <c r="AC1821" s="74">
        <f>AA1821*Canvas</f>
        <v>2.2000000000000002</v>
      </c>
      <c r="AD1821" s="320">
        <f>Table1[[#This Row],[Substrate SF]]*IncaC</f>
        <v>5.6106666666666669</v>
      </c>
      <c r="AE1821" s="278">
        <f>IF(Table1[[#This Row],[Work Center]]="SwissQ",Materials!G$37,IF(Table1[[#This Row],[Work Center]]="Inca",Materials!G$29,IF(Table1[[#This Row],[Work Center]]="Canon",Materials!G$49,Materials!G$45)))</f>
        <v>8</v>
      </c>
      <c r="AF1821" s="321">
        <f>'Cali Frames'!D260</f>
        <v>73</v>
      </c>
      <c r="AG1821" s="126"/>
      <c r="AH1821" s="278">
        <f t="shared" si="662"/>
        <v>25</v>
      </c>
      <c r="AI1821" s="263"/>
      <c r="AJ1821" s="278">
        <f t="shared" si="672"/>
        <v>113.81066666666666</v>
      </c>
      <c r="AK1821" s="62">
        <f t="shared" si="663"/>
        <v>0.77237866666666677</v>
      </c>
      <c r="AL1821" s="225">
        <f>Table1[[#This Row],[WSP/Dealer]]/Table1[[#This Row],[OD Sq Inch]]</f>
        <v>2.2624434389140271</v>
      </c>
      <c r="AM1821" s="274">
        <f>Table1[[#This Row],[OD Wdth]]*Table1[[#This Row],[OD Hgt]]</f>
        <v>221</v>
      </c>
      <c r="AN1821" s="216">
        <f>Table1[[#This Row],[Min VO]]+Table1[[#This Row],[Max VO]]</f>
        <v>28</v>
      </c>
      <c r="AO1821" s="84"/>
      <c r="AP1821" s="84"/>
      <c r="AQ1821" s="126"/>
      <c r="AR1821" s="126"/>
      <c r="AS1821" s="126"/>
      <c r="AT1821" s="74"/>
      <c r="AU1821" s="1357" t="str">
        <f t="shared" si="651"/>
        <v>-</v>
      </c>
    </row>
    <row r="1822" spans="1:47" s="63" customFormat="1" x14ac:dyDescent="0.2">
      <c r="A1822" s="145" t="s">
        <v>58</v>
      </c>
      <c r="B1822" s="1061" t="s">
        <v>533</v>
      </c>
      <c r="C1822" s="146" t="s">
        <v>4235</v>
      </c>
      <c r="D1822" s="94" t="s">
        <v>4236</v>
      </c>
      <c r="E1822" s="146" t="s">
        <v>4237</v>
      </c>
      <c r="F1822" s="147" t="s">
        <v>531</v>
      </c>
      <c r="G1822" s="156" t="s">
        <v>4238</v>
      </c>
      <c r="H1822" s="156" t="s">
        <v>4238</v>
      </c>
      <c r="I1822" s="156" t="s">
        <v>52</v>
      </c>
      <c r="J1822" s="156" t="s">
        <v>53</v>
      </c>
      <c r="K1822" s="1338" t="s">
        <v>54</v>
      </c>
      <c r="L1822" s="156" t="s">
        <v>55</v>
      </c>
      <c r="M1822" s="151">
        <v>1120</v>
      </c>
      <c r="N1822" s="639">
        <v>1120</v>
      </c>
      <c r="O1822" s="145" t="s">
        <v>56</v>
      </c>
      <c r="P1822" s="145">
        <v>48</v>
      </c>
      <c r="Q1822" s="145">
        <v>72</v>
      </c>
      <c r="R1822" s="145">
        <v>48</v>
      </c>
      <c r="S1822" s="145">
        <v>72</v>
      </c>
      <c r="T1822" s="698">
        <f>Table1[[#This Row],[VO Wdth]]</f>
        <v>48</v>
      </c>
      <c r="U1822" s="698">
        <f>Table1[[#This Row],[VO Hgt]]</f>
        <v>72</v>
      </c>
      <c r="V1822" s="149">
        <f>IF(J1822="Canvas",P1822+Border,P1822)</f>
        <v>56</v>
      </c>
      <c r="W1822" s="149">
        <f>IF(J1822="Canvas",Q1822+Border,Q1822)</f>
        <v>80</v>
      </c>
      <c r="X1822" s="157">
        <v>82</v>
      </c>
      <c r="Y1822" s="145"/>
      <c r="Z1822" s="145"/>
      <c r="AA1822" s="722">
        <f t="shared" si="671"/>
        <v>31.111111111111111</v>
      </c>
      <c r="AB1822" s="389">
        <f>AA1822*IncaG</f>
        <v>654.57777777777778</v>
      </c>
      <c r="AC1822" s="143">
        <f>Table1[[#This Row],[Substrate SF]]*Paper</f>
        <v>42.093333333333334</v>
      </c>
      <c r="AD1822" s="150">
        <f>AA1822*IncaC</f>
        <v>52.36622222222222</v>
      </c>
      <c r="AE1822" s="104">
        <f>IF(Table1[[#This Row],[Work Center]]="SwissQ",Materials!G$37,IF(Table1[[#This Row],[Work Center]]="Inca",Materials!G$29,IF(Table1[[#This Row],[Work Center]]="Canon",Materials!G$49,Materials!G$45)))</f>
        <v>8</v>
      </c>
      <c r="AF1822" s="143">
        <f>'Cali FPS'!C$126</f>
        <v>189.88</v>
      </c>
      <c r="AG1822" s="115"/>
      <c r="AH1822" s="112">
        <f t="shared" si="662"/>
        <v>56</v>
      </c>
      <c r="AI1822" s="112"/>
      <c r="AJ1822" s="143">
        <f t="shared" si="672"/>
        <v>348.33955555555553</v>
      </c>
      <c r="AK1822" s="62">
        <f t="shared" si="663"/>
        <v>0.68898253968253975</v>
      </c>
      <c r="AL1822" s="225">
        <f>Table1[[#This Row],[WSP/Dealer]]/Table1[[#This Row],[OD Sq Inch]]</f>
        <v>0.32407407407407407</v>
      </c>
      <c r="AM1822" s="218">
        <f>Table1[[#This Row],[OD Wdth]]*Table1[[#This Row],[OD Hgt]]</f>
        <v>3456</v>
      </c>
      <c r="AN1822" s="216">
        <f>Table1[[#This Row],[Min VO]]+Table1[[#This Row],[Max VO]]</f>
        <v>120</v>
      </c>
      <c r="AO1822" s="145"/>
      <c r="AP1822" s="145"/>
      <c r="AQ1822" s="143"/>
      <c r="AR1822" s="143"/>
      <c r="AS1822" s="143"/>
      <c r="AT1822" s="143"/>
      <c r="AU1822" s="1371" t="str">
        <f t="shared" si="651"/>
        <v>-</v>
      </c>
    </row>
    <row r="1823" spans="1:47" s="113" customFormat="1" x14ac:dyDescent="0.2">
      <c r="A1823" s="145" t="s">
        <v>58</v>
      </c>
      <c r="B1823" s="1061" t="s">
        <v>533</v>
      </c>
      <c r="C1823" s="146" t="s">
        <v>4239</v>
      </c>
      <c r="D1823" s="94" t="s">
        <v>4240</v>
      </c>
      <c r="E1823" s="146" t="s">
        <v>4241</v>
      </c>
      <c r="F1823" s="154" t="s">
        <v>531</v>
      </c>
      <c r="G1823" s="145" t="s">
        <v>4238</v>
      </c>
      <c r="H1823" s="145" t="s">
        <v>4238</v>
      </c>
      <c r="I1823" s="145" t="s">
        <v>52</v>
      </c>
      <c r="J1823" s="145" t="s">
        <v>53</v>
      </c>
      <c r="K1823" s="177" t="s">
        <v>54</v>
      </c>
      <c r="L1823" s="145" t="s">
        <v>55</v>
      </c>
      <c r="M1823" s="151">
        <v>1125</v>
      </c>
      <c r="N1823" s="639">
        <v>1120</v>
      </c>
      <c r="O1823" s="145" t="s">
        <v>56</v>
      </c>
      <c r="P1823" s="145">
        <v>48</v>
      </c>
      <c r="Q1823" s="145">
        <v>72</v>
      </c>
      <c r="R1823" s="145">
        <v>48</v>
      </c>
      <c r="S1823" s="145">
        <v>72</v>
      </c>
      <c r="T1823" s="698">
        <f>Table1[[#This Row],[VO Wdth]]</f>
        <v>48</v>
      </c>
      <c r="U1823" s="698">
        <f>Table1[[#This Row],[VO Hgt]]</f>
        <v>72</v>
      </c>
      <c r="V1823" s="913">
        <f>IF(J1823="Canvas",P1823+Border,P1823)</f>
        <v>56</v>
      </c>
      <c r="W1823" s="913">
        <f>IF(J1823="Canvas",Q1823+Border,Q1823)</f>
        <v>80</v>
      </c>
      <c r="X1823" s="157">
        <v>82</v>
      </c>
      <c r="Y1823" s="145"/>
      <c r="Z1823" s="145"/>
      <c r="AA1823" s="722">
        <f t="shared" si="671"/>
        <v>31.111111111111111</v>
      </c>
      <c r="AB1823" s="389">
        <f>AA1823*IncaG</f>
        <v>654.57777777777778</v>
      </c>
      <c r="AC1823" s="143">
        <f>Table1[[#This Row],[Substrate SF]]*Paper</f>
        <v>42.093333333333334</v>
      </c>
      <c r="AD1823" s="150">
        <f>AA1823*IncaC</f>
        <v>52.36622222222222</v>
      </c>
      <c r="AE1823" s="104">
        <f>IF(Table1[[#This Row],[Work Center]]="SwissQ",Materials!G$37,IF(Table1[[#This Row],[Work Center]]="Inca",Materials!G$29,IF(Table1[[#This Row],[Work Center]]="Canon",Materials!G$49,Materials!G$45)))</f>
        <v>8</v>
      </c>
      <c r="AF1823" s="143">
        <f>'Cali FPS'!C$126</f>
        <v>189.88</v>
      </c>
      <c r="AG1823" s="115"/>
      <c r="AH1823" s="498">
        <f t="shared" si="662"/>
        <v>56.25</v>
      </c>
      <c r="AI1823" s="498"/>
      <c r="AJ1823" s="143">
        <f t="shared" si="672"/>
        <v>348.58955555555553</v>
      </c>
      <c r="AK1823" s="650">
        <f t="shared" si="663"/>
        <v>0.69014261728395065</v>
      </c>
      <c r="AL1823" s="225">
        <f>Table1[[#This Row],[WSP/Dealer]]/Table1[[#This Row],[OD Sq Inch]]</f>
        <v>0.32552083333333331</v>
      </c>
      <c r="AM1823" s="60">
        <f>Table1[[#This Row],[OD Wdth]]*Table1[[#This Row],[OD Hgt]]</f>
        <v>3456</v>
      </c>
      <c r="AN1823" s="216">
        <f>Table1[[#This Row],[Min VO]]+Table1[[#This Row],[Max VO]]</f>
        <v>120</v>
      </c>
      <c r="AO1823" s="145"/>
      <c r="AP1823" s="145"/>
      <c r="AQ1823" s="143"/>
      <c r="AR1823" s="143"/>
      <c r="AS1823" s="143"/>
      <c r="AT1823" s="143"/>
      <c r="AU1823" s="1371" t="str">
        <f t="shared" si="651"/>
        <v>-</v>
      </c>
    </row>
    <row r="1824" spans="1:47" s="113" customFormat="1" x14ac:dyDescent="0.2">
      <c r="A1824" s="145" t="s">
        <v>58</v>
      </c>
      <c r="B1824" s="1061" t="s">
        <v>445</v>
      </c>
      <c r="C1824" s="75" t="s">
        <v>4242</v>
      </c>
      <c r="D1824" s="94"/>
      <c r="E1824" s="83" t="s">
        <v>4243</v>
      </c>
      <c r="F1824" s="284" t="s">
        <v>92</v>
      </c>
      <c r="G1824" s="60" t="s">
        <v>3167</v>
      </c>
      <c r="H1824" s="60" t="s">
        <v>951</v>
      </c>
      <c r="I1824" s="60" t="s">
        <v>256</v>
      </c>
      <c r="J1824" s="59" t="s">
        <v>257</v>
      </c>
      <c r="K1824" s="1482" t="s">
        <v>4244</v>
      </c>
      <c r="L1824" s="60" t="s">
        <v>259</v>
      </c>
      <c r="M1824" s="179">
        <v>1200</v>
      </c>
      <c r="N1824" s="639">
        <v>1100</v>
      </c>
      <c r="O1824" s="60" t="s">
        <v>260</v>
      </c>
      <c r="P1824" s="273">
        <v>44</v>
      </c>
      <c r="Q1824" s="273">
        <v>60</v>
      </c>
      <c r="R1824" s="273">
        <v>44</v>
      </c>
      <c r="S1824" s="273">
        <v>60</v>
      </c>
      <c r="T1824" s="273">
        <v>48</v>
      </c>
      <c r="U1824" s="273">
        <v>64</v>
      </c>
      <c r="V1824" s="47">
        <f t="shared" ref="V1824:V1832" si="673">IF(J1824="Canvas",P1824+BorderGW,P1824)</f>
        <v>44</v>
      </c>
      <c r="W1824" s="47">
        <f t="shared" ref="W1824:W1832" si="674">IF(J1824="Canvas",Q1824+BorderGW,Q1824)</f>
        <v>60</v>
      </c>
      <c r="X1824" s="138" t="s">
        <v>1018</v>
      </c>
      <c r="Y1824" s="60">
        <v>44</v>
      </c>
      <c r="Z1824" s="60">
        <v>60</v>
      </c>
      <c r="AA1824" s="717">
        <f t="shared" si="671"/>
        <v>18.333333333333332</v>
      </c>
      <c r="AB1824" s="125">
        <f t="shared" ref="AB1824:AB1836" si="675">AA1824*canonML</f>
        <v>87.999999999999986</v>
      </c>
      <c r="AC1824" s="143">
        <f>Table1[[#This Row],[Substrate SF]]*Paper</f>
        <v>24.805</v>
      </c>
      <c r="AD1824" s="48">
        <f>Table1[[#This Row],[Ink g/mL]]*CanonC</f>
        <v>23.759999999999998</v>
      </c>
      <c r="AE1824" s="69">
        <f>IF(Table1[[#This Row],[Work Center]]="SwissQ",Materials!G$37,IF(Table1[[#This Row],[Work Center]]="Inca",Materials!G$29,IF(Table1[[#This Row],[Work Center]]="Canon",Materials!G$49,Materials!G$45)))</f>
        <v>7</v>
      </c>
      <c r="AF1824" s="72">
        <f>'Cali Frames'!D583</f>
        <v>502.74</v>
      </c>
      <c r="AG1824" s="83"/>
      <c r="AH1824" s="112">
        <f t="shared" ref="AH1824:AH1851" si="676">(M1824*0.05)</f>
        <v>60</v>
      </c>
      <c r="AI1824" s="112"/>
      <c r="AJ1824" s="69">
        <f t="shared" si="672"/>
        <v>618.30500000000006</v>
      </c>
      <c r="AK1824" s="62">
        <f t="shared" ref="AK1824:AK1855" si="677">(M1824-AJ1824)/M1824</f>
        <v>0.48474583333333326</v>
      </c>
      <c r="AL1824" s="225">
        <f>Table1[[#This Row],[WSP/Dealer]]/Table1[[#This Row],[OD Sq Inch]]</f>
        <v>0.390625</v>
      </c>
      <c r="AM1824" s="218">
        <f>Table1[[#This Row],[OD Wdth]]*Table1[[#This Row],[OD Hgt]]</f>
        <v>3072</v>
      </c>
      <c r="AN1824" s="216">
        <f>Table1[[#This Row],[Min VO]]+Table1[[#This Row],[Max VO]]</f>
        <v>104</v>
      </c>
      <c r="AO1824" s="95"/>
      <c r="AP1824" s="83"/>
      <c r="AQ1824" s="540"/>
      <c r="AR1824" s="540"/>
      <c r="AS1824" s="540"/>
      <c r="AT1824" s="69"/>
      <c r="AU1824" s="1355" t="str">
        <f t="shared" si="651"/>
        <v>-</v>
      </c>
    </row>
    <row r="1825" spans="1:47" s="103" customFormat="1" x14ac:dyDescent="0.2">
      <c r="A1825" s="60" t="s">
        <v>58</v>
      </c>
      <c r="B1825" s="1061" t="s">
        <v>445</v>
      </c>
      <c r="C1825" s="75" t="s">
        <v>4245</v>
      </c>
      <c r="D1825" s="94"/>
      <c r="E1825" s="83" t="s">
        <v>4246</v>
      </c>
      <c r="F1825" s="284" t="s">
        <v>92</v>
      </c>
      <c r="G1825" s="60" t="s">
        <v>3167</v>
      </c>
      <c r="H1825" s="60" t="s">
        <v>951</v>
      </c>
      <c r="I1825" s="60" t="s">
        <v>256</v>
      </c>
      <c r="J1825" s="59" t="s">
        <v>257</v>
      </c>
      <c r="K1825" s="1482" t="s">
        <v>4244</v>
      </c>
      <c r="L1825" s="60" t="s">
        <v>259</v>
      </c>
      <c r="M1825" s="179">
        <v>1200</v>
      </c>
      <c r="N1825" s="639">
        <v>1100</v>
      </c>
      <c r="O1825" s="60" t="s">
        <v>260</v>
      </c>
      <c r="P1825" s="273">
        <v>44</v>
      </c>
      <c r="Q1825" s="273">
        <v>60</v>
      </c>
      <c r="R1825" s="273">
        <v>44</v>
      </c>
      <c r="S1825" s="273">
        <v>60</v>
      </c>
      <c r="T1825" s="273">
        <v>48</v>
      </c>
      <c r="U1825" s="273">
        <v>64</v>
      </c>
      <c r="V1825" s="946">
        <f t="shared" si="673"/>
        <v>44</v>
      </c>
      <c r="W1825" s="946">
        <f t="shared" si="674"/>
        <v>60</v>
      </c>
      <c r="X1825" s="138" t="s">
        <v>1018</v>
      </c>
      <c r="Y1825" s="60">
        <v>44</v>
      </c>
      <c r="Z1825" s="60">
        <v>60</v>
      </c>
      <c r="AA1825" s="717">
        <f t="shared" si="671"/>
        <v>18.333333333333332</v>
      </c>
      <c r="AB1825" s="125">
        <f t="shared" si="675"/>
        <v>87.999999999999986</v>
      </c>
      <c r="AC1825" s="143">
        <f>Table1[[#This Row],[Substrate SF]]*Paper</f>
        <v>24.805</v>
      </c>
      <c r="AD1825" s="48">
        <f>Table1[[#This Row],[Ink g/mL]]*CanonC</f>
        <v>23.759999999999998</v>
      </c>
      <c r="AE1825" s="69">
        <f>IF(Table1[[#This Row],[Work Center]]="SwissQ",Materials!G$37,IF(Table1[[#This Row],[Work Center]]="Inca",Materials!G$29,IF(Table1[[#This Row],[Work Center]]="Canon",Materials!G$49,Materials!G$45)))</f>
        <v>7</v>
      </c>
      <c r="AF1825" s="72">
        <f>'Cali Frames'!D583</f>
        <v>502.74</v>
      </c>
      <c r="AG1825" s="83"/>
      <c r="AH1825" s="498">
        <f t="shared" si="676"/>
        <v>60</v>
      </c>
      <c r="AI1825" s="498"/>
      <c r="AJ1825" s="69">
        <f t="shared" si="672"/>
        <v>618.30500000000006</v>
      </c>
      <c r="AK1825" s="650">
        <f t="shared" si="677"/>
        <v>0.48474583333333326</v>
      </c>
      <c r="AL1825" s="225">
        <f>Table1[[#This Row],[WSP/Dealer]]/Table1[[#This Row],[OD Sq Inch]]</f>
        <v>0.390625</v>
      </c>
      <c r="AM1825" s="218">
        <f>Table1[[#This Row],[OD Wdth]]*Table1[[#This Row],[OD Hgt]]</f>
        <v>3072</v>
      </c>
      <c r="AN1825" s="216">
        <f>Table1[[#This Row],[Min VO]]+Table1[[#This Row],[Max VO]]</f>
        <v>104</v>
      </c>
      <c r="AO1825" s="83"/>
      <c r="AP1825" s="83"/>
      <c r="AQ1825" s="540"/>
      <c r="AR1825" s="540"/>
      <c r="AS1825" s="540"/>
      <c r="AT1825" s="69"/>
      <c r="AU1825" s="1361" t="str">
        <f t="shared" si="651"/>
        <v>-</v>
      </c>
    </row>
    <row r="1826" spans="1:47" s="46" customFormat="1" x14ac:dyDescent="0.2">
      <c r="A1826" s="60" t="s">
        <v>58</v>
      </c>
      <c r="B1826" s="1061" t="s">
        <v>445</v>
      </c>
      <c r="C1826" s="75" t="s">
        <v>4247</v>
      </c>
      <c r="D1826" s="94"/>
      <c r="E1826" s="83" t="s">
        <v>4248</v>
      </c>
      <c r="F1826" s="284" t="s">
        <v>92</v>
      </c>
      <c r="G1826" s="60" t="s">
        <v>3167</v>
      </c>
      <c r="H1826" s="60" t="s">
        <v>951</v>
      </c>
      <c r="I1826" s="60" t="s">
        <v>256</v>
      </c>
      <c r="J1826" s="59" t="s">
        <v>257</v>
      </c>
      <c r="K1826" s="1482" t="s">
        <v>4244</v>
      </c>
      <c r="L1826" s="60" t="s">
        <v>259</v>
      </c>
      <c r="M1826" s="179">
        <v>1200</v>
      </c>
      <c r="N1826" s="639">
        <v>1100</v>
      </c>
      <c r="O1826" s="60" t="s">
        <v>260</v>
      </c>
      <c r="P1826" s="273">
        <v>44</v>
      </c>
      <c r="Q1826" s="273">
        <v>60</v>
      </c>
      <c r="R1826" s="273">
        <v>44</v>
      </c>
      <c r="S1826" s="61">
        <v>60</v>
      </c>
      <c r="T1826" s="273">
        <v>48</v>
      </c>
      <c r="U1826" s="273">
        <v>64</v>
      </c>
      <c r="V1826" s="47">
        <f t="shared" si="673"/>
        <v>44</v>
      </c>
      <c r="W1826" s="47">
        <f t="shared" si="674"/>
        <v>60</v>
      </c>
      <c r="X1826" s="138" t="s">
        <v>1018</v>
      </c>
      <c r="Y1826" s="60">
        <v>44</v>
      </c>
      <c r="Z1826" s="60">
        <v>60</v>
      </c>
      <c r="AA1826" s="717">
        <f t="shared" si="671"/>
        <v>18.333333333333332</v>
      </c>
      <c r="AB1826" s="125">
        <f t="shared" si="675"/>
        <v>87.999999999999986</v>
      </c>
      <c r="AC1826" s="143">
        <f>Table1[[#This Row],[Substrate SF]]*Paper</f>
        <v>24.805</v>
      </c>
      <c r="AD1826" s="48">
        <f>Table1[[#This Row],[Ink g/mL]]*CanonC</f>
        <v>23.759999999999998</v>
      </c>
      <c r="AE1826" s="69">
        <f>IF(Table1[[#This Row],[Work Center]]="SwissQ",Materials!G$37,IF(Table1[[#This Row],[Work Center]]="Inca",Materials!G$29,IF(Table1[[#This Row],[Work Center]]="Canon",Materials!G$49,Materials!G$45)))</f>
        <v>7</v>
      </c>
      <c r="AF1826" s="72">
        <f>'Cali Frames'!D583</f>
        <v>502.74</v>
      </c>
      <c r="AG1826" s="83"/>
      <c r="AH1826" s="112">
        <f t="shared" si="676"/>
        <v>60</v>
      </c>
      <c r="AI1826" s="112"/>
      <c r="AJ1826" s="69">
        <f t="shared" si="672"/>
        <v>618.30500000000006</v>
      </c>
      <c r="AK1826" s="62">
        <f t="shared" si="677"/>
        <v>0.48474583333333326</v>
      </c>
      <c r="AL1826" s="225">
        <f>Table1[[#This Row],[WSP/Dealer]]/Table1[[#This Row],[OD Sq Inch]]</f>
        <v>0.390625</v>
      </c>
      <c r="AM1826" s="218">
        <f>Table1[[#This Row],[OD Wdth]]*Table1[[#This Row],[OD Hgt]]</f>
        <v>3072</v>
      </c>
      <c r="AN1826" s="216">
        <f>Table1[[#This Row],[Min VO]]+Table1[[#This Row],[Max VO]]</f>
        <v>104</v>
      </c>
      <c r="AO1826" s="95"/>
      <c r="AP1826" s="83"/>
      <c r="AQ1826" s="540"/>
      <c r="AR1826" s="540"/>
      <c r="AS1826" s="540"/>
      <c r="AT1826" s="69"/>
      <c r="AU1826" s="1355" t="str">
        <f t="shared" si="651"/>
        <v>-</v>
      </c>
    </row>
    <row r="1827" spans="1:47" s="63" customFormat="1" x14ac:dyDescent="0.2">
      <c r="A1827" s="60" t="s">
        <v>58</v>
      </c>
      <c r="B1827" s="1071" t="s">
        <v>1013</v>
      </c>
      <c r="C1827" s="75" t="s">
        <v>4249</v>
      </c>
      <c r="D1827" s="94" t="s">
        <v>4103</v>
      </c>
      <c r="E1827" s="83" t="s">
        <v>4250</v>
      </c>
      <c r="F1827" s="284" t="s">
        <v>92</v>
      </c>
      <c r="G1827" s="60" t="s">
        <v>948</v>
      </c>
      <c r="H1827" s="60" t="s">
        <v>4251</v>
      </c>
      <c r="I1827" s="60" t="s">
        <v>256</v>
      </c>
      <c r="J1827" s="59" t="s">
        <v>257</v>
      </c>
      <c r="K1827" s="1764" t="s">
        <v>4244</v>
      </c>
      <c r="L1827" s="60" t="s">
        <v>259</v>
      </c>
      <c r="M1827" s="124">
        <v>1275</v>
      </c>
      <c r="N1827" s="124"/>
      <c r="O1827" s="60" t="s">
        <v>260</v>
      </c>
      <c r="P1827" s="273">
        <v>48</v>
      </c>
      <c r="Q1827" s="273">
        <v>64</v>
      </c>
      <c r="R1827" s="273">
        <v>48</v>
      </c>
      <c r="S1827" s="273">
        <v>64</v>
      </c>
      <c r="T1827" s="61">
        <v>52</v>
      </c>
      <c r="U1827" s="61">
        <v>68</v>
      </c>
      <c r="V1827" s="946">
        <f t="shared" si="673"/>
        <v>48</v>
      </c>
      <c r="W1827" s="946">
        <f t="shared" si="674"/>
        <v>64</v>
      </c>
      <c r="X1827" s="60" t="s">
        <v>1018</v>
      </c>
      <c r="Y1827" s="60">
        <v>48</v>
      </c>
      <c r="Z1827" s="60">
        <v>64</v>
      </c>
      <c r="AA1827" s="717">
        <f t="shared" si="671"/>
        <v>21.333333333333332</v>
      </c>
      <c r="AB1827" s="125">
        <f t="shared" si="675"/>
        <v>102.39999999999999</v>
      </c>
      <c r="AC1827" s="143">
        <f>Table1[[#This Row],[Substrate SF]]*Paper</f>
        <v>28.863999999999997</v>
      </c>
      <c r="AD1827" s="48">
        <f>Table1[[#This Row],[Ink g/mL]]*CanonC</f>
        <v>27.648</v>
      </c>
      <c r="AE1827" s="69">
        <f>IF(Table1[[#This Row],[Work Center]]="SwissQ",Materials!G$37,IF(Table1[[#This Row],[Work Center]]="Inca",Materials!G$29,IF(Table1[[#This Row],[Work Center]]="Canon",Materials!G$49,Materials!G$45)))</f>
        <v>7</v>
      </c>
      <c r="AF1827" s="72">
        <f>'Cali Frames'!D567</f>
        <v>356.28250000000003</v>
      </c>
      <c r="AG1827" s="83"/>
      <c r="AH1827" s="69">
        <f t="shared" si="676"/>
        <v>63.75</v>
      </c>
      <c r="AI1827" s="48"/>
      <c r="AJ1827" s="48">
        <f t="shared" si="672"/>
        <v>483.54450000000003</v>
      </c>
      <c r="AK1827" s="650">
        <f t="shared" si="677"/>
        <v>0.62074941176470588</v>
      </c>
      <c r="AL1827" s="225">
        <f>Table1[[#This Row],[WSP/Dealer]]/Table1[[#This Row],[OD Sq Inch]]</f>
        <v>0.36057692307692307</v>
      </c>
      <c r="AM1827" s="218">
        <f>Table1[[#This Row],[OD Wdth]]*Table1[[#This Row],[OD Hgt]]</f>
        <v>3536</v>
      </c>
      <c r="AN1827" s="216">
        <f>Table1[[#This Row],[Min VO]]+Table1[[#This Row],[Max VO]]</f>
        <v>112</v>
      </c>
      <c r="AO1827" s="95"/>
      <c r="AP1827" s="83"/>
      <c r="AQ1827" s="540"/>
      <c r="AR1827" s="540"/>
      <c r="AS1827" s="540"/>
      <c r="AT1827" s="69"/>
      <c r="AU1827" s="1355" t="str">
        <f t="shared" si="651"/>
        <v>-</v>
      </c>
    </row>
    <row r="1828" spans="1:47" s="46" customFormat="1" x14ac:dyDescent="0.2">
      <c r="A1828" s="60" t="s">
        <v>58</v>
      </c>
      <c r="B1828" s="1061" t="s">
        <v>445</v>
      </c>
      <c r="C1828" s="75" t="s">
        <v>4252</v>
      </c>
      <c r="D1828" s="94"/>
      <c r="E1828" s="83" t="s">
        <v>4253</v>
      </c>
      <c r="F1828" s="284" t="s">
        <v>92</v>
      </c>
      <c r="G1828" s="60" t="s">
        <v>3167</v>
      </c>
      <c r="H1828" s="60" t="s">
        <v>951</v>
      </c>
      <c r="I1828" s="60" t="s">
        <v>256</v>
      </c>
      <c r="J1828" s="59" t="s">
        <v>257</v>
      </c>
      <c r="K1828" s="1482" t="s">
        <v>4244</v>
      </c>
      <c r="L1828" s="60" t="s">
        <v>259</v>
      </c>
      <c r="M1828" s="179">
        <v>1200</v>
      </c>
      <c r="N1828" s="639">
        <v>1100</v>
      </c>
      <c r="O1828" s="60" t="s">
        <v>260</v>
      </c>
      <c r="P1828" s="273">
        <v>44</v>
      </c>
      <c r="Q1828" s="273">
        <v>60</v>
      </c>
      <c r="R1828" s="273">
        <v>44</v>
      </c>
      <c r="S1828" s="273">
        <v>60</v>
      </c>
      <c r="T1828" s="273">
        <v>48</v>
      </c>
      <c r="U1828" s="273">
        <v>64</v>
      </c>
      <c r="V1828" s="47">
        <f t="shared" si="673"/>
        <v>44</v>
      </c>
      <c r="W1828" s="47">
        <f t="shared" si="674"/>
        <v>60</v>
      </c>
      <c r="X1828" s="138" t="s">
        <v>1018</v>
      </c>
      <c r="Y1828" s="60">
        <v>44</v>
      </c>
      <c r="Z1828" s="60">
        <v>60</v>
      </c>
      <c r="AA1828" s="717">
        <f t="shared" si="671"/>
        <v>18.333333333333332</v>
      </c>
      <c r="AB1828" s="125">
        <f t="shared" si="675"/>
        <v>87.999999999999986</v>
      </c>
      <c r="AC1828" s="143">
        <f>Table1[[#This Row],[Substrate SF]]*Paper</f>
        <v>24.805</v>
      </c>
      <c r="AD1828" s="48">
        <f>Table1[[#This Row],[Ink g/mL]]*CanonC</f>
        <v>23.759999999999998</v>
      </c>
      <c r="AE1828" s="69">
        <f>IF(Table1[[#This Row],[Work Center]]="SwissQ",Materials!G$37,IF(Table1[[#This Row],[Work Center]]="Inca",Materials!G$29,IF(Table1[[#This Row],[Work Center]]="Canon",Materials!G$49,Materials!G$45)))</f>
        <v>7</v>
      </c>
      <c r="AF1828" s="72">
        <f>'Cali Frames'!D583</f>
        <v>502.74</v>
      </c>
      <c r="AG1828" s="83"/>
      <c r="AH1828" s="112">
        <f t="shared" si="676"/>
        <v>60</v>
      </c>
      <c r="AI1828" s="112"/>
      <c r="AJ1828" s="69">
        <f t="shared" si="672"/>
        <v>618.30500000000006</v>
      </c>
      <c r="AK1828" s="62">
        <f t="shared" si="677"/>
        <v>0.48474583333333326</v>
      </c>
      <c r="AL1828" s="225">
        <f>Table1[[#This Row],[WSP/Dealer]]/Table1[[#This Row],[OD Sq Inch]]</f>
        <v>0.390625</v>
      </c>
      <c r="AM1828" s="218">
        <f>Table1[[#This Row],[OD Wdth]]*Table1[[#This Row],[OD Hgt]]</f>
        <v>3072</v>
      </c>
      <c r="AN1828" s="216">
        <f>Table1[[#This Row],[Min VO]]+Table1[[#This Row],[Max VO]]</f>
        <v>104</v>
      </c>
      <c r="AO1828" s="95"/>
      <c r="AP1828" s="83"/>
      <c r="AQ1828" s="540"/>
      <c r="AR1828" s="540"/>
      <c r="AS1828" s="540"/>
      <c r="AT1828" s="69"/>
      <c r="AU1828" s="1355" t="str">
        <f t="shared" si="651"/>
        <v>-</v>
      </c>
    </row>
    <row r="1829" spans="1:47" s="103" customFormat="1" x14ac:dyDescent="0.2">
      <c r="A1829" s="60" t="s">
        <v>58</v>
      </c>
      <c r="B1829" s="1071" t="s">
        <v>1013</v>
      </c>
      <c r="C1829" s="75" t="s">
        <v>4254</v>
      </c>
      <c r="D1829" s="94" t="s">
        <v>4103</v>
      </c>
      <c r="E1829" s="83" t="s">
        <v>4255</v>
      </c>
      <c r="F1829" s="284" t="s">
        <v>92</v>
      </c>
      <c r="G1829" s="60" t="s">
        <v>948</v>
      </c>
      <c r="H1829" s="60" t="s">
        <v>4251</v>
      </c>
      <c r="I1829" s="60" t="s">
        <v>256</v>
      </c>
      <c r="J1829" s="59" t="s">
        <v>257</v>
      </c>
      <c r="K1829" s="1443" t="s">
        <v>4244</v>
      </c>
      <c r="L1829" s="60" t="s">
        <v>259</v>
      </c>
      <c r="M1829" s="124">
        <v>1275</v>
      </c>
      <c r="N1829" s="124"/>
      <c r="O1829" s="60" t="s">
        <v>260</v>
      </c>
      <c r="P1829" s="273">
        <v>48</v>
      </c>
      <c r="Q1829" s="273">
        <v>64</v>
      </c>
      <c r="R1829" s="273">
        <v>48</v>
      </c>
      <c r="S1829" s="273">
        <v>64</v>
      </c>
      <c r="T1829" s="273">
        <v>52</v>
      </c>
      <c r="U1829" s="273">
        <v>68</v>
      </c>
      <c r="V1829" s="946">
        <f t="shared" si="673"/>
        <v>48</v>
      </c>
      <c r="W1829" s="946">
        <f t="shared" si="674"/>
        <v>64</v>
      </c>
      <c r="X1829" s="60" t="s">
        <v>1018</v>
      </c>
      <c r="Y1829" s="60">
        <v>48</v>
      </c>
      <c r="Z1829" s="60">
        <v>64</v>
      </c>
      <c r="AA1829" s="717">
        <f t="shared" si="671"/>
        <v>21.333333333333332</v>
      </c>
      <c r="AB1829" s="125">
        <f t="shared" si="675"/>
        <v>102.39999999999999</v>
      </c>
      <c r="AC1829" s="143">
        <f>Table1[[#This Row],[Substrate SF]]*Paper</f>
        <v>28.863999999999997</v>
      </c>
      <c r="AD1829" s="69">
        <f>Table1[[#This Row],[Ink g/mL]]*CanonC</f>
        <v>27.648</v>
      </c>
      <c r="AE1829" s="69">
        <f>IF(Table1[[#This Row],[Work Center]]="SwissQ",Materials!G$37,IF(Table1[[#This Row],[Work Center]]="Inca",Materials!G$29,IF(Table1[[#This Row],[Work Center]]="Canon",Materials!G$49,Materials!G$45)))</f>
        <v>7</v>
      </c>
      <c r="AF1829" s="72">
        <f>'Cali Frames'!D567</f>
        <v>356.28250000000003</v>
      </c>
      <c r="AG1829" s="83"/>
      <c r="AH1829" s="69">
        <f t="shared" si="676"/>
        <v>63.75</v>
      </c>
      <c r="AI1829" s="69"/>
      <c r="AJ1829" s="69">
        <f t="shared" si="672"/>
        <v>483.54450000000003</v>
      </c>
      <c r="AK1829" s="650">
        <f t="shared" si="677"/>
        <v>0.62074941176470588</v>
      </c>
      <c r="AL1829" s="225">
        <f>Table1[[#This Row],[WSP/Dealer]]/Table1[[#This Row],[OD Sq Inch]]</f>
        <v>0.36057692307692307</v>
      </c>
      <c r="AM1829" s="216">
        <f>Table1[[#This Row],[OD Wdth]]*Table1[[#This Row],[OD Hgt]]</f>
        <v>3536</v>
      </c>
      <c r="AN1829" s="216">
        <f>Table1[[#This Row],[Min VO]]+Table1[[#This Row],[Max VO]]</f>
        <v>112</v>
      </c>
      <c r="AO1829" s="83"/>
      <c r="AP1829" s="83"/>
      <c r="AQ1829" s="540"/>
      <c r="AR1829" s="540"/>
      <c r="AS1829" s="540"/>
      <c r="AT1829" s="69"/>
      <c r="AU1829" s="1361" t="str">
        <f t="shared" si="651"/>
        <v>-</v>
      </c>
    </row>
    <row r="1830" spans="1:47" s="63" customFormat="1" hidden="1" x14ac:dyDescent="0.2">
      <c r="A1830" s="68"/>
      <c r="B1830" s="1061"/>
      <c r="C1830" s="257" t="s">
        <v>4256</v>
      </c>
      <c r="D1830" s="94"/>
      <c r="E1830" s="84" t="s">
        <v>4257</v>
      </c>
      <c r="F1830" s="275" t="s">
        <v>92</v>
      </c>
      <c r="G1830" s="68" t="s">
        <v>3167</v>
      </c>
      <c r="H1830" s="68" t="s">
        <v>4258</v>
      </c>
      <c r="I1830" s="68" t="s">
        <v>2028</v>
      </c>
      <c r="J1830" s="140" t="s">
        <v>257</v>
      </c>
      <c r="K1830" s="68" t="s">
        <v>2159</v>
      </c>
      <c r="L1830" s="68" t="s">
        <v>4259</v>
      </c>
      <c r="M1830" s="141">
        <v>1200</v>
      </c>
      <c r="N1830" s="71"/>
      <c r="O1830" s="68" t="s">
        <v>260</v>
      </c>
      <c r="P1830" s="623">
        <v>44</v>
      </c>
      <c r="Q1830" s="623">
        <v>60</v>
      </c>
      <c r="R1830" s="623">
        <v>44</v>
      </c>
      <c r="S1830" s="65">
        <v>60</v>
      </c>
      <c r="T1830" s="623">
        <v>46</v>
      </c>
      <c r="U1830" s="623">
        <v>62</v>
      </c>
      <c r="V1830" s="66">
        <f t="shared" si="673"/>
        <v>44</v>
      </c>
      <c r="W1830" s="66">
        <f t="shared" si="674"/>
        <v>60</v>
      </c>
      <c r="X1830" s="138" t="s">
        <v>1018</v>
      </c>
      <c r="Y1830" s="68">
        <v>44</v>
      </c>
      <c r="Z1830" s="68">
        <v>60</v>
      </c>
      <c r="AA1830" s="699">
        <f t="shared" si="671"/>
        <v>18.333333333333332</v>
      </c>
      <c r="AB1830" s="297">
        <f t="shared" si="675"/>
        <v>87.999999999999986</v>
      </c>
      <c r="AC1830" s="162">
        <f>Table1[[#This Row],[Substrate SF]]*Paper</f>
        <v>24.805</v>
      </c>
      <c r="AD1830" s="67">
        <f>Table1[[#This Row],[Ink g/mL]]*CanonC</f>
        <v>23.759999999999998</v>
      </c>
      <c r="AE1830" s="74">
        <f>IF(Table1[[#This Row],[Work Center]]="SwissQ",Materials!G$37,IF(Table1[[#This Row],[Work Center]]="Inca",Materials!G$29,IF(Table1[[#This Row],[Work Center]]="Canon",Materials!G$49,Materials!G$45)))</f>
        <v>7</v>
      </c>
      <c r="AF1830" s="73">
        <f>'Cali Frames'!D595</f>
        <v>335.14249999999998</v>
      </c>
      <c r="AG1830" s="84"/>
      <c r="AH1830" s="112">
        <f t="shared" si="676"/>
        <v>60</v>
      </c>
      <c r="AI1830" s="112"/>
      <c r="AJ1830" s="74">
        <f t="shared" si="672"/>
        <v>450.70749999999998</v>
      </c>
      <c r="AK1830" s="62">
        <f t="shared" si="677"/>
        <v>0.62441041666666663</v>
      </c>
      <c r="AL1830" s="225">
        <f>Table1[[#This Row],[WSP/Dealer]]/Table1[[#This Row],[OD Sq Inch]]</f>
        <v>0.42075736325385693</v>
      </c>
      <c r="AM1830" s="235">
        <f>Table1[[#This Row],[OD Wdth]]*Table1[[#This Row],[OD Hgt]]</f>
        <v>2852</v>
      </c>
      <c r="AN1830" s="238">
        <f>Table1[[#This Row],[Min VO]]+Table1[[#This Row],[Max VO]]</f>
        <v>104</v>
      </c>
      <c r="AO1830" s="119"/>
      <c r="AP1830" s="84"/>
      <c r="AQ1830" s="126"/>
      <c r="AR1830" s="126"/>
      <c r="AS1830" s="126"/>
      <c r="AT1830" s="74"/>
      <c r="AU1830" s="1356" t="str">
        <f t="shared" si="651"/>
        <v>-</v>
      </c>
    </row>
    <row r="1831" spans="1:47" s="103" customFormat="1" x14ac:dyDescent="0.2">
      <c r="A1831" s="60" t="s">
        <v>58</v>
      </c>
      <c r="B1831" s="1061" t="s">
        <v>445</v>
      </c>
      <c r="C1831" s="75" t="s">
        <v>4260</v>
      </c>
      <c r="D1831" s="94"/>
      <c r="E1831" s="83" t="s">
        <v>4261</v>
      </c>
      <c r="F1831" s="284" t="s">
        <v>92</v>
      </c>
      <c r="G1831" s="60" t="s">
        <v>3167</v>
      </c>
      <c r="H1831" s="60" t="s">
        <v>951</v>
      </c>
      <c r="I1831" s="60" t="s">
        <v>256</v>
      </c>
      <c r="J1831" s="59" t="s">
        <v>257</v>
      </c>
      <c r="K1831" s="1047" t="s">
        <v>4244</v>
      </c>
      <c r="L1831" s="60" t="s">
        <v>259</v>
      </c>
      <c r="M1831" s="179">
        <v>1200</v>
      </c>
      <c r="N1831" s="639">
        <v>1100</v>
      </c>
      <c r="O1831" s="60" t="s">
        <v>260</v>
      </c>
      <c r="P1831" s="273">
        <v>44</v>
      </c>
      <c r="Q1831" s="273">
        <v>60</v>
      </c>
      <c r="R1831" s="273">
        <v>44</v>
      </c>
      <c r="S1831" s="273">
        <v>60</v>
      </c>
      <c r="T1831" s="273">
        <v>48</v>
      </c>
      <c r="U1831" s="273">
        <v>64</v>
      </c>
      <c r="V1831" s="946">
        <f t="shared" si="673"/>
        <v>44</v>
      </c>
      <c r="W1831" s="946">
        <f t="shared" si="674"/>
        <v>60</v>
      </c>
      <c r="X1831" s="138" t="s">
        <v>1018</v>
      </c>
      <c r="Y1831" s="60">
        <v>44</v>
      </c>
      <c r="Z1831" s="60">
        <v>60</v>
      </c>
      <c r="AA1831" s="717">
        <f t="shared" si="671"/>
        <v>18.333333333333332</v>
      </c>
      <c r="AB1831" s="125">
        <f t="shared" si="675"/>
        <v>87.999999999999986</v>
      </c>
      <c r="AC1831" s="143">
        <f>Table1[[#This Row],[Substrate SF]]*Paper</f>
        <v>24.805</v>
      </c>
      <c r="AD1831" s="69">
        <f>Table1[[#This Row],[Ink g/mL]]*CanonC</f>
        <v>23.759999999999998</v>
      </c>
      <c r="AE1831" s="69">
        <f>IF(Table1[[#This Row],[Work Center]]="SwissQ",Materials!G$37,IF(Table1[[#This Row],[Work Center]]="Inca",Materials!G$29,IF(Table1[[#This Row],[Work Center]]="Canon",Materials!G$49,Materials!G$45)))</f>
        <v>7</v>
      </c>
      <c r="AF1831" s="72" t="s">
        <v>4262</v>
      </c>
      <c r="AG1831" s="83"/>
      <c r="AH1831" s="112">
        <f t="shared" si="676"/>
        <v>60</v>
      </c>
      <c r="AI1831" s="112"/>
      <c r="AJ1831" s="69">
        <f t="shared" si="672"/>
        <v>115.565</v>
      </c>
      <c r="AK1831" s="62">
        <f t="shared" si="677"/>
        <v>0.90369583333333325</v>
      </c>
      <c r="AL1831" s="225">
        <f>Table1[[#This Row],[WSP/Dealer]]/Table1[[#This Row],[OD Sq Inch]]</f>
        <v>0.390625</v>
      </c>
      <c r="AM1831" s="218">
        <f>Table1[[#This Row],[OD Wdth]]*Table1[[#This Row],[OD Hgt]]</f>
        <v>3072</v>
      </c>
      <c r="AN1831" s="216">
        <f>Table1[[#This Row],[Min VO]]+Table1[[#This Row],[Max VO]]</f>
        <v>104</v>
      </c>
      <c r="AO1831" s="83"/>
      <c r="AP1831" s="83"/>
      <c r="AQ1831" s="540"/>
      <c r="AR1831" s="540"/>
      <c r="AS1831" s="540"/>
      <c r="AT1831" s="69"/>
      <c r="AU1831" s="1355" t="str">
        <f t="shared" si="651"/>
        <v>-</v>
      </c>
    </row>
    <row r="1832" spans="1:47" s="103" customFormat="1" x14ac:dyDescent="0.2">
      <c r="A1832" s="60" t="s">
        <v>58</v>
      </c>
      <c r="B1832" s="1061" t="s">
        <v>445</v>
      </c>
      <c r="C1832" s="75" t="s">
        <v>4263</v>
      </c>
      <c r="D1832" s="94"/>
      <c r="E1832" s="83" t="s">
        <v>4264</v>
      </c>
      <c r="F1832" s="284" t="s">
        <v>92</v>
      </c>
      <c r="G1832" s="60" t="s">
        <v>3167</v>
      </c>
      <c r="H1832" s="60" t="s">
        <v>951</v>
      </c>
      <c r="I1832" s="60" t="s">
        <v>256</v>
      </c>
      <c r="J1832" s="59" t="s">
        <v>257</v>
      </c>
      <c r="K1832" s="1047" t="s">
        <v>4244</v>
      </c>
      <c r="L1832" s="60" t="s">
        <v>259</v>
      </c>
      <c r="M1832" s="179">
        <v>1200</v>
      </c>
      <c r="N1832" s="639">
        <v>1100</v>
      </c>
      <c r="O1832" s="60" t="s">
        <v>260</v>
      </c>
      <c r="P1832" s="273">
        <v>44</v>
      </c>
      <c r="Q1832" s="273">
        <v>60</v>
      </c>
      <c r="R1832" s="273">
        <v>44</v>
      </c>
      <c r="S1832" s="273">
        <v>60</v>
      </c>
      <c r="T1832" s="273">
        <v>48</v>
      </c>
      <c r="U1832" s="273">
        <v>64</v>
      </c>
      <c r="V1832" s="946">
        <f t="shared" si="673"/>
        <v>44</v>
      </c>
      <c r="W1832" s="946">
        <f t="shared" si="674"/>
        <v>60</v>
      </c>
      <c r="X1832" s="138" t="s">
        <v>1018</v>
      </c>
      <c r="Y1832" s="60">
        <v>44</v>
      </c>
      <c r="Z1832" s="60">
        <v>60</v>
      </c>
      <c r="AA1832" s="717">
        <f t="shared" si="671"/>
        <v>18.333333333333332</v>
      </c>
      <c r="AB1832" s="125">
        <f t="shared" si="675"/>
        <v>87.999999999999986</v>
      </c>
      <c r="AC1832" s="143">
        <f>Table1[[#This Row],[Substrate SF]]*Paper</f>
        <v>24.805</v>
      </c>
      <c r="AD1832" s="69">
        <f>Table1[[#This Row],[Ink g/mL]]*CanonC</f>
        <v>23.759999999999998</v>
      </c>
      <c r="AE1832" s="69">
        <f>IF(Table1[[#This Row],[Work Center]]="SwissQ",Materials!G$37,IF(Table1[[#This Row],[Work Center]]="Inca",Materials!G$29,IF(Table1[[#This Row],[Work Center]]="Canon",Materials!G$49,Materials!G$45)))</f>
        <v>7</v>
      </c>
      <c r="AF1832" s="72">
        <f>'Cali Frames'!D583</f>
        <v>502.74</v>
      </c>
      <c r="AG1832" s="83"/>
      <c r="AH1832" s="498">
        <f t="shared" si="676"/>
        <v>60</v>
      </c>
      <c r="AI1832" s="498"/>
      <c r="AJ1832" s="69">
        <f t="shared" si="672"/>
        <v>618.30500000000006</v>
      </c>
      <c r="AK1832" s="650">
        <f t="shared" si="677"/>
        <v>0.48474583333333326</v>
      </c>
      <c r="AL1832" s="225">
        <f>Table1[[#This Row],[WSP/Dealer]]/Table1[[#This Row],[OD Sq Inch]]</f>
        <v>0.390625</v>
      </c>
      <c r="AM1832" s="216">
        <f>Table1[[#This Row],[OD Wdth]]*Table1[[#This Row],[OD Hgt]]</f>
        <v>3072</v>
      </c>
      <c r="AN1832" s="216">
        <f>Table1[[#This Row],[Min VO]]+Table1[[#This Row],[Max VO]]</f>
        <v>104</v>
      </c>
      <c r="AO1832" s="83"/>
      <c r="AP1832" s="83"/>
      <c r="AQ1832" s="540"/>
      <c r="AR1832" s="540"/>
      <c r="AS1832" s="540"/>
      <c r="AT1832" s="69"/>
      <c r="AU1832" s="1361" t="str">
        <f t="shared" si="651"/>
        <v>-</v>
      </c>
    </row>
    <row r="1833" spans="1:47" s="103" customFormat="1" hidden="1" x14ac:dyDescent="0.2">
      <c r="A1833" s="101" t="s">
        <v>110</v>
      </c>
      <c r="B1833" s="1062" t="s">
        <v>134</v>
      </c>
      <c r="C1833" s="719" t="s">
        <v>4265</v>
      </c>
      <c r="D1833" s="168"/>
      <c r="E1833" s="115" t="s">
        <v>4266</v>
      </c>
      <c r="F1833" s="115" t="s">
        <v>92</v>
      </c>
      <c r="G1833" s="101" t="s">
        <v>100</v>
      </c>
      <c r="H1833" s="101" t="s">
        <v>4267</v>
      </c>
      <c r="I1833" s="101" t="s">
        <v>256</v>
      </c>
      <c r="J1833" s="487" t="s">
        <v>257</v>
      </c>
      <c r="K1833" s="1216" t="s">
        <v>4244</v>
      </c>
      <c r="L1833" s="101" t="s">
        <v>83</v>
      </c>
      <c r="M1833" s="114">
        <v>700</v>
      </c>
      <c r="N1833" s="114"/>
      <c r="O1833" s="101" t="s">
        <v>260</v>
      </c>
      <c r="P1833" s="697">
        <v>24</v>
      </c>
      <c r="Q1833" s="697">
        <v>36</v>
      </c>
      <c r="R1833" s="697">
        <v>24</v>
      </c>
      <c r="S1833" s="697">
        <v>36</v>
      </c>
      <c r="T1833" s="697">
        <v>28</v>
      </c>
      <c r="U1833" s="697">
        <v>40</v>
      </c>
      <c r="V1833" s="918">
        <f>IF(J1833="Canvas",P1833+BorderL,P1833)</f>
        <v>24</v>
      </c>
      <c r="W1833" s="918">
        <f>IF(J1833="Canvas",Q1833+BorderL,Q1833)</f>
        <v>36</v>
      </c>
      <c r="X1833" s="1010" t="s">
        <v>257</v>
      </c>
      <c r="Y1833" s="101">
        <v>24</v>
      </c>
      <c r="Z1833" s="101">
        <v>36</v>
      </c>
      <c r="AA1833" s="724">
        <f t="shared" si="671"/>
        <v>6</v>
      </c>
      <c r="AB1833" s="1015">
        <f t="shared" si="675"/>
        <v>28.799999999999997</v>
      </c>
      <c r="AC1833" s="406">
        <f>MDFSHEET/10</f>
        <v>2.4350000000000001</v>
      </c>
      <c r="AD1833" s="405">
        <f>Table1[[#This Row],[Substrate SF]]*CanonC</f>
        <v>1.62</v>
      </c>
      <c r="AE1833" s="104">
        <f>IF(Table1[[#This Row],[Work Center]]="SwissQ",Materials!G$37,IF(Table1[[#This Row],[Work Center]]="Inca",Materials!G$29,IF(Table1[[#This Row],[Work Center]]="Canon",Materials!G$49,Materials!G$45)))</f>
        <v>7</v>
      </c>
      <c r="AF1833" s="102">
        <f>'Cali Frames'!D582</f>
        <v>300</v>
      </c>
      <c r="AG1833" s="115"/>
      <c r="AH1833" s="104">
        <f t="shared" si="676"/>
        <v>35</v>
      </c>
      <c r="AI1833" s="406">
        <f>IF(A1833="Codarus",(M1833*0.13))</f>
        <v>91</v>
      </c>
      <c r="AJ1833" s="406">
        <f t="shared" si="672"/>
        <v>346.05500000000001</v>
      </c>
      <c r="AK1833" s="830">
        <f t="shared" si="677"/>
        <v>0.5056357142857143</v>
      </c>
      <c r="AL1833" s="660">
        <f>Table1[[#This Row],[WSP/Dealer]]/Table1[[#This Row],[OD Sq Inch]]</f>
        <v>0.625</v>
      </c>
      <c r="AM1833" s="400">
        <f>Table1[[#This Row],[OD Wdth]]*Table1[[#This Row],[OD Hgt]]</f>
        <v>1120</v>
      </c>
      <c r="AN1833" s="400">
        <f>Table1[[#This Row],[Min VO]]+Table1[[#This Row],[Max VO]]</f>
        <v>60</v>
      </c>
      <c r="AO1833" s="115"/>
      <c r="AP1833" s="121">
        <v>1400</v>
      </c>
      <c r="AQ1833" s="121">
        <f>(Table1[[#This Row],[Desgnr/Retail P]]*0.05)</f>
        <v>70</v>
      </c>
      <c r="AR1833" s="121">
        <f>IF(A1833="Codarus",(AP1833*0.13))</f>
        <v>182</v>
      </c>
      <c r="AS1833" s="121">
        <f>SUM(Table1[[#This Row],[Substrate $]:[GP FINISH]])+Table1[[#This Row],[Retail Royalty]]+Table1[[#This Row],[Retail$Comm]]</f>
        <v>563.05500000000006</v>
      </c>
      <c r="AT1833" s="830">
        <f>IF(AP1833=0,"-",(AP1833-AS1833)/AP1833)</f>
        <v>0.59781785714285707</v>
      </c>
      <c r="AU1833" s="1359">
        <f t="shared" si="651"/>
        <v>0.99145974489795918</v>
      </c>
    </row>
    <row r="1834" spans="1:47" s="103" customFormat="1" x14ac:dyDescent="0.2">
      <c r="A1834" s="60" t="s">
        <v>58</v>
      </c>
      <c r="B1834" s="1061" t="s">
        <v>445</v>
      </c>
      <c r="C1834" s="81" t="s">
        <v>4268</v>
      </c>
      <c r="D1834" s="94"/>
      <c r="E1834" s="1751" t="s">
        <v>4269</v>
      </c>
      <c r="F1834" s="1681" t="s">
        <v>92</v>
      </c>
      <c r="G1834" s="1756" t="s">
        <v>3167</v>
      </c>
      <c r="H1834" s="1756" t="s">
        <v>951</v>
      </c>
      <c r="I1834" s="1756" t="s">
        <v>256</v>
      </c>
      <c r="J1834" s="1763" t="s">
        <v>257</v>
      </c>
      <c r="K1834" s="1766" t="s">
        <v>4244</v>
      </c>
      <c r="L1834" s="1756" t="s">
        <v>259</v>
      </c>
      <c r="M1834" s="179">
        <v>1200</v>
      </c>
      <c r="N1834" s="639">
        <v>1100</v>
      </c>
      <c r="O1834" s="60" t="s">
        <v>260</v>
      </c>
      <c r="P1834" s="273">
        <v>44</v>
      </c>
      <c r="Q1834" s="273">
        <v>60</v>
      </c>
      <c r="R1834" s="273">
        <v>44</v>
      </c>
      <c r="S1834" s="273">
        <v>60</v>
      </c>
      <c r="T1834" s="273">
        <v>48</v>
      </c>
      <c r="U1834" s="273">
        <v>64</v>
      </c>
      <c r="V1834" s="946">
        <f>IF(J1834="Canvas",P1834+BorderGW,P1834)</f>
        <v>44</v>
      </c>
      <c r="W1834" s="946">
        <f>IF(J1834="Canvas",Q1834+BorderGW,Q1834)</f>
        <v>60</v>
      </c>
      <c r="X1834" s="138">
        <v>60</v>
      </c>
      <c r="Y1834" s="60">
        <v>44</v>
      </c>
      <c r="Z1834" s="60">
        <v>60</v>
      </c>
      <c r="AA1834" s="717">
        <f t="shared" si="671"/>
        <v>18.333333333333332</v>
      </c>
      <c r="AB1834" s="125">
        <f t="shared" si="675"/>
        <v>87.999999999999986</v>
      </c>
      <c r="AC1834" s="143">
        <f>Table1[[#This Row],[Substrate SF]]*Paper</f>
        <v>24.805</v>
      </c>
      <c r="AD1834" s="69">
        <f>Table1[[#This Row],[Ink g/mL]]*CanonC</f>
        <v>23.759999999999998</v>
      </c>
      <c r="AE1834" s="69">
        <f>IF(Table1[[#This Row],[Work Center]]="SwissQ",Materials!G$37,IF(Table1[[#This Row],[Work Center]]="Inca",Materials!G$29,IF(Table1[[#This Row],[Work Center]]="Canon",Materials!G$49,Materials!G$45)))</f>
        <v>7</v>
      </c>
      <c r="AF1834" s="72">
        <f>'Cali Frames'!D583</f>
        <v>502.74</v>
      </c>
      <c r="AG1834" s="83"/>
      <c r="AH1834" s="498">
        <f t="shared" si="676"/>
        <v>60</v>
      </c>
      <c r="AI1834" s="498"/>
      <c r="AJ1834" s="69">
        <f t="shared" si="672"/>
        <v>618.30500000000006</v>
      </c>
      <c r="AK1834" s="650">
        <f t="shared" si="677"/>
        <v>0.48474583333333326</v>
      </c>
      <c r="AL1834" s="225">
        <f>Table1[[#This Row],[WSP/Dealer]]/Table1[[#This Row],[OD Sq Inch]]</f>
        <v>0.390625</v>
      </c>
      <c r="AM1834" s="216">
        <f>Table1[[#This Row],[OD Wdth]]*Table1[[#This Row],[OD Hgt]]</f>
        <v>3072</v>
      </c>
      <c r="AN1834" s="216">
        <f>Table1[[#This Row],[Min VO]]+Table1[[#This Row],[Max VO]]</f>
        <v>104</v>
      </c>
      <c r="AO1834" s="83"/>
      <c r="AP1834" s="83"/>
      <c r="AQ1834" s="540"/>
      <c r="AR1834" s="540"/>
      <c r="AS1834" s="540"/>
      <c r="AT1834" s="69"/>
      <c r="AU1834" s="1361" t="str">
        <f t="shared" ref="AU1834:AU1897" si="678">IF(AQ1834=0,"-",(AQ1834-AT1834)/AQ1834)</f>
        <v>-</v>
      </c>
    </row>
    <row r="1835" spans="1:47" s="63" customFormat="1" x14ac:dyDescent="0.2">
      <c r="A1835" s="60" t="s">
        <v>58</v>
      </c>
      <c r="B1835" s="279" t="s">
        <v>445</v>
      </c>
      <c r="C1835" s="75" t="s">
        <v>4270</v>
      </c>
      <c r="D1835" s="94"/>
      <c r="E1835" s="83" t="s">
        <v>4271</v>
      </c>
      <c r="F1835" s="284" t="s">
        <v>92</v>
      </c>
      <c r="G1835" s="60" t="s">
        <v>3167</v>
      </c>
      <c r="H1835" s="60" t="s">
        <v>951</v>
      </c>
      <c r="I1835" s="60" t="s">
        <v>256</v>
      </c>
      <c r="J1835" s="59" t="s">
        <v>257</v>
      </c>
      <c r="K1835" s="1047" t="s">
        <v>4244</v>
      </c>
      <c r="L1835" s="60" t="s">
        <v>259</v>
      </c>
      <c r="M1835" s="179">
        <v>1200</v>
      </c>
      <c r="N1835" s="639">
        <v>1100</v>
      </c>
      <c r="O1835" s="60" t="s">
        <v>260</v>
      </c>
      <c r="P1835" s="273">
        <v>44</v>
      </c>
      <c r="Q1835" s="273">
        <v>60</v>
      </c>
      <c r="R1835" s="273">
        <v>44</v>
      </c>
      <c r="S1835" s="273">
        <v>60</v>
      </c>
      <c r="T1835" s="273">
        <v>48</v>
      </c>
      <c r="U1835" s="273">
        <v>64</v>
      </c>
      <c r="V1835" s="946">
        <f>IF(J1835="Canvas",P1835+BorderGW,P1835)</f>
        <v>44</v>
      </c>
      <c r="W1835" s="946">
        <f>IF(J1835="Canvas",Q1835+BorderGW,Q1835)</f>
        <v>60</v>
      </c>
      <c r="X1835" s="138">
        <v>60</v>
      </c>
      <c r="Y1835" s="60">
        <v>44</v>
      </c>
      <c r="Z1835" s="60">
        <v>60</v>
      </c>
      <c r="AA1835" s="717">
        <f t="shared" si="671"/>
        <v>18.333333333333332</v>
      </c>
      <c r="AB1835" s="125">
        <f t="shared" si="675"/>
        <v>87.999999999999986</v>
      </c>
      <c r="AC1835" s="143">
        <f>Table1[[#This Row],[Substrate SF]]*Paper</f>
        <v>24.805</v>
      </c>
      <c r="AD1835" s="69">
        <f>Table1[[#This Row],[Ink g/mL]]*CanonC</f>
        <v>23.759999999999998</v>
      </c>
      <c r="AE1835" s="69">
        <f>IF(Table1[[#This Row],[Work Center]]="SwissQ",Materials!G$37,IF(Table1[[#This Row],[Work Center]]="Inca",Materials!G$29,IF(Table1[[#This Row],[Work Center]]="Canon",Materials!G$49,Materials!G$45)))</f>
        <v>7</v>
      </c>
      <c r="AF1835" s="72">
        <f>'Cali Frames'!D583</f>
        <v>502.74</v>
      </c>
      <c r="AG1835" s="83"/>
      <c r="AH1835" s="112">
        <f t="shared" si="676"/>
        <v>60</v>
      </c>
      <c r="AI1835" s="112"/>
      <c r="AJ1835" s="69">
        <f t="shared" si="672"/>
        <v>618.30500000000006</v>
      </c>
      <c r="AK1835" s="62">
        <f t="shared" si="677"/>
        <v>0.48474583333333326</v>
      </c>
      <c r="AL1835" s="225">
        <f>Table1[[#This Row],[WSP/Dealer]]/Table1[[#This Row],[OD Sq Inch]]</f>
        <v>0.390625</v>
      </c>
      <c r="AM1835" s="216">
        <f>Table1[[#This Row],[OD Wdth]]*Table1[[#This Row],[OD Hgt]]</f>
        <v>3072</v>
      </c>
      <c r="AN1835" s="216">
        <f>Table1[[#This Row],[Min VO]]+Table1[[#This Row],[Max VO]]</f>
        <v>104</v>
      </c>
      <c r="AO1835" s="83"/>
      <c r="AP1835" s="83"/>
      <c r="AQ1835" s="540"/>
      <c r="AR1835" s="540"/>
      <c r="AS1835" s="540"/>
      <c r="AT1835" s="69"/>
      <c r="AU1835" s="1361" t="str">
        <f t="shared" si="678"/>
        <v>-</v>
      </c>
    </row>
    <row r="1836" spans="1:47" s="103" customFormat="1" hidden="1" x14ac:dyDescent="0.2">
      <c r="A1836" s="68"/>
      <c r="B1836" s="279"/>
      <c r="C1836" s="257" t="s">
        <v>4272</v>
      </c>
      <c r="D1836" s="94"/>
      <c r="E1836" s="84" t="s">
        <v>4273</v>
      </c>
      <c r="F1836" s="275" t="s">
        <v>92</v>
      </c>
      <c r="G1836" s="68" t="s">
        <v>3167</v>
      </c>
      <c r="H1836" s="68" t="s">
        <v>4258</v>
      </c>
      <c r="I1836" s="68" t="s">
        <v>2028</v>
      </c>
      <c r="J1836" s="140" t="s">
        <v>257</v>
      </c>
      <c r="K1836" s="68" t="s">
        <v>2159</v>
      </c>
      <c r="L1836" s="68" t="s">
        <v>4259</v>
      </c>
      <c r="M1836" s="141">
        <v>1200</v>
      </c>
      <c r="N1836" s="71"/>
      <c r="O1836" s="68" t="s">
        <v>260</v>
      </c>
      <c r="P1836" s="623">
        <v>44</v>
      </c>
      <c r="Q1836" s="623">
        <v>60</v>
      </c>
      <c r="R1836" s="623">
        <v>44</v>
      </c>
      <c r="S1836" s="623">
        <v>60</v>
      </c>
      <c r="T1836" s="623">
        <v>46</v>
      </c>
      <c r="U1836" s="623">
        <v>62</v>
      </c>
      <c r="V1836" s="917">
        <f>IF(J1836="Canvas",P1836+BorderGW,P1836)</f>
        <v>44</v>
      </c>
      <c r="W1836" s="917">
        <f>IF(J1836="Canvas",Q1836+BorderGW,Q1836)</f>
        <v>60</v>
      </c>
      <c r="X1836" s="189">
        <v>60</v>
      </c>
      <c r="Y1836" s="68">
        <v>44</v>
      </c>
      <c r="Z1836" s="68">
        <v>60</v>
      </c>
      <c r="AA1836" s="699">
        <f t="shared" si="671"/>
        <v>18.333333333333332</v>
      </c>
      <c r="AB1836" s="297">
        <f t="shared" si="675"/>
        <v>87.999999999999986</v>
      </c>
      <c r="AC1836" s="162">
        <f>Table1[[#This Row],[Substrate SF]]*Paper</f>
        <v>24.805</v>
      </c>
      <c r="AD1836" s="74">
        <f>Table1[[#This Row],[Ink g/mL]]*CanonC</f>
        <v>23.759999999999998</v>
      </c>
      <c r="AE1836" s="74">
        <f>IF(Table1[[#This Row],[Work Center]]="SwissQ",Materials!G$37,IF(Table1[[#This Row],[Work Center]]="Inca",Materials!G$29,IF(Table1[[#This Row],[Work Center]]="Canon",Materials!G$49,Materials!G$45)))</f>
        <v>7</v>
      </c>
      <c r="AF1836" s="73">
        <f>'Cali Frames'!D595</f>
        <v>335.14249999999998</v>
      </c>
      <c r="AG1836" s="84"/>
      <c r="AH1836" s="498">
        <f t="shared" si="676"/>
        <v>60</v>
      </c>
      <c r="AI1836" s="498"/>
      <c r="AJ1836" s="74">
        <f t="shared" si="672"/>
        <v>450.70749999999998</v>
      </c>
      <c r="AK1836" s="650">
        <f t="shared" si="677"/>
        <v>0.62441041666666663</v>
      </c>
      <c r="AL1836" s="225">
        <f>Table1[[#This Row],[WSP/Dealer]]/Table1[[#This Row],[OD Sq Inch]]</f>
        <v>0.42075736325385693</v>
      </c>
      <c r="AM1836" s="238">
        <f>Table1[[#This Row],[OD Wdth]]*Table1[[#This Row],[OD Hgt]]</f>
        <v>2852</v>
      </c>
      <c r="AN1836" s="238">
        <f>Table1[[#This Row],[Min VO]]+Table1[[#This Row],[Max VO]]</f>
        <v>104</v>
      </c>
      <c r="AO1836" s="84"/>
      <c r="AP1836" s="84"/>
      <c r="AQ1836" s="126"/>
      <c r="AR1836" s="126"/>
      <c r="AS1836" s="126"/>
      <c r="AT1836" s="74"/>
      <c r="AU1836" s="1357" t="str">
        <f t="shared" si="678"/>
        <v>-</v>
      </c>
    </row>
    <row r="1837" spans="1:47" s="103" customFormat="1" x14ac:dyDescent="0.2">
      <c r="A1837" s="86" t="s">
        <v>58</v>
      </c>
      <c r="B1837" s="279" t="s">
        <v>2452</v>
      </c>
      <c r="C1837" s="790" t="s">
        <v>4274</v>
      </c>
      <c r="D1837" s="94"/>
      <c r="E1837" s="85" t="s">
        <v>4275</v>
      </c>
      <c r="F1837" s="85" t="s">
        <v>386</v>
      </c>
      <c r="G1837" s="86" t="s">
        <v>1508</v>
      </c>
      <c r="H1837" s="86" t="s">
        <v>1508</v>
      </c>
      <c r="I1837" s="86" t="s">
        <v>52</v>
      </c>
      <c r="J1837" s="86" t="s">
        <v>53</v>
      </c>
      <c r="K1837" s="86" t="s">
        <v>54</v>
      </c>
      <c r="L1837" s="86" t="s">
        <v>55</v>
      </c>
      <c r="M1837" s="87">
        <v>850</v>
      </c>
      <c r="N1837" s="639">
        <v>890</v>
      </c>
      <c r="O1837" s="101" t="s">
        <v>56</v>
      </c>
      <c r="P1837" s="273">
        <v>72</v>
      </c>
      <c r="Q1837" s="273">
        <v>36</v>
      </c>
      <c r="R1837" s="60">
        <v>36</v>
      </c>
      <c r="S1837" s="273">
        <v>72</v>
      </c>
      <c r="T1837" s="273">
        <f>Table1[[#This Row],[VO Wdth]]</f>
        <v>72</v>
      </c>
      <c r="U1837" s="273">
        <f>Table1[[#This Row],[VO Hgt]]</f>
        <v>36</v>
      </c>
      <c r="V1837" s="608">
        <f>IF(J1837="Canvas",P1837+BorderGW,P1837)</f>
        <v>80</v>
      </c>
      <c r="W1837" s="608">
        <f>IF(J1837="Canvas",Q1837+BorderGW,Q1837)</f>
        <v>44</v>
      </c>
      <c r="X1837" s="137">
        <v>122</v>
      </c>
      <c r="Y1837" s="101"/>
      <c r="Z1837" s="101"/>
      <c r="AA1837" s="649">
        <f t="shared" si="671"/>
        <v>24.444444444444443</v>
      </c>
      <c r="AB1837" s="184">
        <f t="shared" ref="AB1837:AB1845" si="679">AA1837*IncaG</f>
        <v>514.31111111111102</v>
      </c>
      <c r="AC1837" s="104">
        <f>AA1837*Canvas</f>
        <v>16.133333333333333</v>
      </c>
      <c r="AD1837" s="104">
        <f t="shared" ref="AD1837:AD1845" si="680">AA1837*IncaC</f>
        <v>41.144888888888886</v>
      </c>
      <c r="AE1837" s="104">
        <f>IF(Table1[[#This Row],[Work Center]]="SwissQ",Materials!G$37,IF(Table1[[#This Row],[Work Center]]="Inca",Materials!G$29,IF(Table1[[#This Row],[Work Center]]="Canon",Materials!G$49,Materials!G$45)))</f>
        <v>8</v>
      </c>
      <c r="AF1837" s="74">
        <f>'Cali FPS'!C$76</f>
        <v>175.17499999999998</v>
      </c>
      <c r="AG1837" s="115"/>
      <c r="AH1837" s="498">
        <f t="shared" si="676"/>
        <v>42.5</v>
      </c>
      <c r="AI1837" s="498"/>
      <c r="AJ1837" s="104">
        <f t="shared" si="672"/>
        <v>282.95322222222217</v>
      </c>
      <c r="AK1837" s="650">
        <f t="shared" si="677"/>
        <v>0.66711385620915042</v>
      </c>
      <c r="AL1837" s="225">
        <f>Table1[[#This Row],[WSP/Dealer]]/Table1[[#This Row],[OD Sq Inch]]</f>
        <v>0.32793209876543211</v>
      </c>
      <c r="AM1837" s="101">
        <f>Table1[[#This Row],[OD Wdth]]*Table1[[#This Row],[OD Hgt]]</f>
        <v>2592</v>
      </c>
      <c r="AN1837" s="216">
        <f>Table1[[#This Row],[Min VO]]+Table1[[#This Row],[Max VO]]</f>
        <v>108</v>
      </c>
      <c r="AO1837" s="101"/>
      <c r="AP1837" s="101"/>
      <c r="AQ1837" s="104"/>
      <c r="AR1837" s="104"/>
      <c r="AS1837" s="104"/>
      <c r="AT1837" s="104"/>
      <c r="AU1837" s="830" t="str">
        <f t="shared" si="678"/>
        <v>-</v>
      </c>
    </row>
    <row r="1838" spans="1:47" s="103" customFormat="1" x14ac:dyDescent="0.2">
      <c r="A1838" s="145" t="s">
        <v>58</v>
      </c>
      <c r="B1838" s="1061" t="s">
        <v>533</v>
      </c>
      <c r="C1838" s="962" t="s">
        <v>4276</v>
      </c>
      <c r="D1838" s="94" t="s">
        <v>4277</v>
      </c>
      <c r="E1838" s="146" t="s">
        <v>4278</v>
      </c>
      <c r="F1838" s="154" t="s">
        <v>386</v>
      </c>
      <c r="G1838" s="145" t="s">
        <v>1477</v>
      </c>
      <c r="H1838" s="145" t="s">
        <v>1477</v>
      </c>
      <c r="I1838" s="145" t="s">
        <v>52</v>
      </c>
      <c r="J1838" s="145" t="s">
        <v>53</v>
      </c>
      <c r="K1838" s="145" t="s">
        <v>54</v>
      </c>
      <c r="L1838" s="145" t="s">
        <v>55</v>
      </c>
      <c r="M1838" s="151">
        <v>850</v>
      </c>
      <c r="N1838" s="639">
        <v>890</v>
      </c>
      <c r="O1838" s="145" t="s">
        <v>56</v>
      </c>
      <c r="P1838" s="145">
        <v>72</v>
      </c>
      <c r="Q1838" s="145">
        <v>36</v>
      </c>
      <c r="R1838" s="145">
        <v>36</v>
      </c>
      <c r="S1838" s="145">
        <v>72</v>
      </c>
      <c r="T1838" s="698">
        <f>Table1[[#This Row],[VO Wdth]]</f>
        <v>72</v>
      </c>
      <c r="U1838" s="698">
        <f>Table1[[#This Row],[VO Hgt]]</f>
        <v>36</v>
      </c>
      <c r="V1838" s="913">
        <f>IF(J1838="Canvas",P1838+Border,P1838)</f>
        <v>80</v>
      </c>
      <c r="W1838" s="913">
        <f>IF(J1838="Canvas",Q1838+Border,Q1838)</f>
        <v>44</v>
      </c>
      <c r="X1838" s="157">
        <v>82</v>
      </c>
      <c r="Y1838" s="145"/>
      <c r="Z1838" s="145"/>
      <c r="AA1838" s="722">
        <f t="shared" si="671"/>
        <v>24.444444444444443</v>
      </c>
      <c r="AB1838" s="389">
        <f t="shared" si="679"/>
        <v>514.31111111111102</v>
      </c>
      <c r="AC1838" s="143">
        <f>Table1[[#This Row],[Substrate SF]]*Paper</f>
        <v>33.073333333333331</v>
      </c>
      <c r="AD1838" s="143">
        <f t="shared" si="680"/>
        <v>41.144888888888886</v>
      </c>
      <c r="AE1838" s="104">
        <f>IF(Table1[[#This Row],[Work Center]]="SwissQ",Materials!G$37,IF(Table1[[#This Row],[Work Center]]="Inca",Materials!G$29,IF(Table1[[#This Row],[Work Center]]="Canon",Materials!G$49,Materials!G$45)))</f>
        <v>8</v>
      </c>
      <c r="AF1838" s="143">
        <f>'Cali FPS'!C$76</f>
        <v>175.17499999999998</v>
      </c>
      <c r="AG1838" s="115"/>
      <c r="AH1838" s="498">
        <f t="shared" si="676"/>
        <v>42.5</v>
      </c>
      <c r="AI1838" s="498"/>
      <c r="AJ1838" s="143">
        <f t="shared" si="672"/>
        <v>299.89322222222222</v>
      </c>
      <c r="AK1838" s="650">
        <f t="shared" si="677"/>
        <v>0.64718444444444445</v>
      </c>
      <c r="AL1838" s="225">
        <f>Table1[[#This Row],[WSP/Dealer]]/Table1[[#This Row],[OD Sq Inch]]</f>
        <v>0.32793209876543211</v>
      </c>
      <c r="AM1838" s="60">
        <f>Table1[[#This Row],[OD Wdth]]*Table1[[#This Row],[OD Hgt]]</f>
        <v>2592</v>
      </c>
      <c r="AN1838" s="216">
        <f>Table1[[#This Row],[Min VO]]+Table1[[#This Row],[Max VO]]</f>
        <v>108</v>
      </c>
      <c r="AO1838" s="145"/>
      <c r="AP1838" s="145"/>
      <c r="AQ1838" s="143"/>
      <c r="AR1838" s="143"/>
      <c r="AS1838" s="143"/>
      <c r="AT1838" s="143"/>
      <c r="AU1838" s="1371" t="str">
        <f t="shared" si="678"/>
        <v>-</v>
      </c>
    </row>
    <row r="1839" spans="1:47" s="63" customFormat="1" x14ac:dyDescent="0.2">
      <c r="A1839" s="400" t="s">
        <v>58</v>
      </c>
      <c r="B1839" s="1061" t="s">
        <v>445</v>
      </c>
      <c r="C1839" s="1034" t="s">
        <v>4279</v>
      </c>
      <c r="D1839" s="94"/>
      <c r="E1839" s="536" t="s">
        <v>4280</v>
      </c>
      <c r="F1839" s="536" t="s">
        <v>448</v>
      </c>
      <c r="G1839" s="400" t="s">
        <v>191</v>
      </c>
      <c r="H1839" s="400" t="s">
        <v>191</v>
      </c>
      <c r="I1839" s="400" t="s">
        <v>52</v>
      </c>
      <c r="J1839" s="497" t="s">
        <v>53</v>
      </c>
      <c r="K1839" s="400" t="s">
        <v>54</v>
      </c>
      <c r="L1839" s="400" t="s">
        <v>55</v>
      </c>
      <c r="M1839" s="488">
        <v>975</v>
      </c>
      <c r="N1839" s="639">
        <v>950</v>
      </c>
      <c r="O1839" s="400" t="s">
        <v>56</v>
      </c>
      <c r="P1839" s="400">
        <v>48</v>
      </c>
      <c r="Q1839" s="400">
        <v>60</v>
      </c>
      <c r="R1839" s="400">
        <v>48</v>
      </c>
      <c r="S1839" s="400">
        <v>60</v>
      </c>
      <c r="T1839" s="400">
        <v>48</v>
      </c>
      <c r="U1839" s="400">
        <v>60</v>
      </c>
      <c r="V1839" s="106">
        <f>IF(J1839="Canvas",P1839+BorderGW,P1839)</f>
        <v>56</v>
      </c>
      <c r="W1839" s="106">
        <f>IF(J1839="Canvas",Q1839+BorderGW,Q1839)</f>
        <v>68</v>
      </c>
      <c r="X1839" s="525">
        <v>69</v>
      </c>
      <c r="Y1839" s="400">
        <v>56</v>
      </c>
      <c r="Z1839" s="400">
        <v>68</v>
      </c>
      <c r="AA1839" s="649">
        <f t="shared" si="671"/>
        <v>26.444444444444443</v>
      </c>
      <c r="AB1839" s="184">
        <f t="shared" si="679"/>
        <v>556.39111111111106</v>
      </c>
      <c r="AC1839" s="104">
        <f t="shared" ref="AC1839:AC1848" si="681">AA1839*Canvas</f>
        <v>17.453333333333333</v>
      </c>
      <c r="AD1839" s="107">
        <f t="shared" si="680"/>
        <v>44.511288888888885</v>
      </c>
      <c r="AE1839" s="104">
        <f>IF(Table1[[#This Row],[Work Center]]="SwissQ",Materials!G$37,IF(Table1[[#This Row],[Work Center]]="Inca",Materials!G$29,IF(Table1[[#This Row],[Work Center]]="Canon",Materials!G$49,Materials!G$45)))</f>
        <v>8</v>
      </c>
      <c r="AF1839" s="403">
        <f>'Cali FPS'!C121</f>
        <v>188.18</v>
      </c>
      <c r="AG1839" s="401"/>
      <c r="AH1839" s="498">
        <f t="shared" si="676"/>
        <v>48.75</v>
      </c>
      <c r="AI1839" s="112"/>
      <c r="AJ1839" s="104">
        <f t="shared" si="672"/>
        <v>306.89462222222221</v>
      </c>
      <c r="AK1839" s="62">
        <f t="shared" si="677"/>
        <v>0.68523628490028488</v>
      </c>
      <c r="AL1839" s="225">
        <f>Table1[[#This Row],[WSP/Dealer]]/Table1[[#This Row],[OD Sq Inch]]</f>
        <v>0.33854166666666669</v>
      </c>
      <c r="AM1839" s="229">
        <f>Table1[[#This Row],[OD Wdth]]*Table1[[#This Row],[OD Hgt]]</f>
        <v>2880</v>
      </c>
      <c r="AN1839" s="266">
        <f>Table1[[#This Row],[Min VO]]+Table1[[#This Row],[Max VO]]</f>
        <v>108</v>
      </c>
      <c r="AO1839" s="401"/>
      <c r="AP1839" s="401"/>
      <c r="AQ1839" s="1000"/>
      <c r="AR1839" s="1000"/>
      <c r="AS1839" s="1000"/>
      <c r="AT1839" s="406"/>
      <c r="AU1839" s="1366" t="str">
        <f t="shared" si="678"/>
        <v>-</v>
      </c>
    </row>
    <row r="1840" spans="1:47" s="46" customFormat="1" x14ac:dyDescent="0.2">
      <c r="A1840" s="274" t="s">
        <v>58</v>
      </c>
      <c r="B1840" s="1061" t="s">
        <v>445</v>
      </c>
      <c r="C1840" s="964" t="s">
        <v>4281</v>
      </c>
      <c r="D1840" s="94"/>
      <c r="E1840" s="375" t="s">
        <v>4280</v>
      </c>
      <c r="F1840" s="375" t="s">
        <v>448</v>
      </c>
      <c r="G1840" s="274" t="s">
        <v>191</v>
      </c>
      <c r="H1840" s="68" t="s">
        <v>193</v>
      </c>
      <c r="I1840" s="68" t="s">
        <v>52</v>
      </c>
      <c r="J1840" s="68" t="s">
        <v>53</v>
      </c>
      <c r="K1840" s="68" t="s">
        <v>82</v>
      </c>
      <c r="L1840" s="68" t="s">
        <v>83</v>
      </c>
      <c r="M1840" s="178">
        <v>1250</v>
      </c>
      <c r="N1840" s="639">
        <v>1250</v>
      </c>
      <c r="O1840" s="274" t="s">
        <v>56</v>
      </c>
      <c r="P1840" s="274">
        <v>48</v>
      </c>
      <c r="Q1840" s="274">
        <v>60</v>
      </c>
      <c r="R1840" s="274">
        <v>48</v>
      </c>
      <c r="S1840" s="274">
        <v>60</v>
      </c>
      <c r="T1840" s="623">
        <v>50</v>
      </c>
      <c r="U1840" s="623">
        <v>62</v>
      </c>
      <c r="V1840" s="917">
        <v>55.06</v>
      </c>
      <c r="W1840" s="917">
        <v>67.06</v>
      </c>
      <c r="X1840" s="343">
        <v>69</v>
      </c>
      <c r="Y1840" s="274">
        <v>56</v>
      </c>
      <c r="Z1840" s="274">
        <v>68</v>
      </c>
      <c r="AA1840" s="699">
        <f t="shared" si="671"/>
        <v>25.641136111111113</v>
      </c>
      <c r="AB1840" s="297">
        <f t="shared" si="679"/>
        <v>539.48950377777783</v>
      </c>
      <c r="AC1840" s="74">
        <f t="shared" si="681"/>
        <v>16.923149833333333</v>
      </c>
      <c r="AD1840" s="67">
        <f t="shared" si="680"/>
        <v>43.159160302222226</v>
      </c>
      <c r="AE1840" s="74">
        <f>IF(Table1[[#This Row],[Work Center]]="SwissQ",Materials!G$37,IF(Table1[[#This Row],[Work Center]]="Inca",Materials!G$29,IF(Table1[[#This Row],[Work Center]]="Canon",Materials!G$49,Materials!G$45)))</f>
        <v>8</v>
      </c>
      <c r="AF1840" s="321">
        <f>'Cali Frames'!D155</f>
        <v>265.04000000000002</v>
      </c>
      <c r="AG1840" s="275"/>
      <c r="AH1840" s="112">
        <f t="shared" si="676"/>
        <v>62.5</v>
      </c>
      <c r="AI1840" s="112"/>
      <c r="AJ1840" s="74">
        <f t="shared" si="672"/>
        <v>395.62231013555561</v>
      </c>
      <c r="AK1840" s="62">
        <f t="shared" si="677"/>
        <v>0.6835021518915555</v>
      </c>
      <c r="AL1840" s="225">
        <f>Table1[[#This Row],[WSP/Dealer]]/Table1[[#This Row],[OD Sq Inch]]</f>
        <v>0.40322580645161288</v>
      </c>
      <c r="AM1840" s="235">
        <f>Table1[[#This Row],[OD Wdth]]*Table1[[#This Row],[OD Hgt]]</f>
        <v>3100</v>
      </c>
      <c r="AN1840" s="238">
        <f>Table1[[#This Row],[Min VO]]+Table1[[#This Row],[Max VO]]</f>
        <v>108</v>
      </c>
      <c r="AO1840" s="275"/>
      <c r="AP1840" s="275"/>
      <c r="AQ1840" s="320"/>
      <c r="AR1840" s="320"/>
      <c r="AS1840" s="320"/>
      <c r="AT1840" s="278"/>
      <c r="AU1840" s="1368" t="str">
        <f t="shared" si="678"/>
        <v>-</v>
      </c>
    </row>
    <row r="1841" spans="1:47" s="63" customFormat="1" x14ac:dyDescent="0.2">
      <c r="A1841" s="400" t="s">
        <v>58</v>
      </c>
      <c r="B1841" s="279" t="s">
        <v>445</v>
      </c>
      <c r="C1841" s="1034" t="s">
        <v>4282</v>
      </c>
      <c r="D1841" s="94"/>
      <c r="E1841" s="536" t="s">
        <v>4283</v>
      </c>
      <c r="F1841" s="536" t="s">
        <v>448</v>
      </c>
      <c r="G1841" s="400" t="s">
        <v>191</v>
      </c>
      <c r="H1841" s="400" t="s">
        <v>191</v>
      </c>
      <c r="I1841" s="400" t="s">
        <v>52</v>
      </c>
      <c r="J1841" s="497" t="s">
        <v>53</v>
      </c>
      <c r="K1841" s="400" t="s">
        <v>54</v>
      </c>
      <c r="L1841" s="400" t="s">
        <v>55</v>
      </c>
      <c r="M1841" s="488">
        <v>975</v>
      </c>
      <c r="N1841" s="639">
        <v>950</v>
      </c>
      <c r="O1841" s="400" t="s">
        <v>56</v>
      </c>
      <c r="P1841" s="400">
        <v>48</v>
      </c>
      <c r="Q1841" s="400">
        <v>60</v>
      </c>
      <c r="R1841" s="400">
        <v>48</v>
      </c>
      <c r="S1841" s="400">
        <v>60</v>
      </c>
      <c r="T1841" s="400">
        <v>48</v>
      </c>
      <c r="U1841" s="400">
        <v>60</v>
      </c>
      <c r="V1841" s="106">
        <f>IF(J1841="Canvas",P1841+BorderGW,P1841)</f>
        <v>56</v>
      </c>
      <c r="W1841" s="106">
        <f>IF(J1841="Canvas",Q1841+BorderGW,Q1841)</f>
        <v>68</v>
      </c>
      <c r="X1841" s="525">
        <v>69</v>
      </c>
      <c r="Y1841" s="400">
        <v>56</v>
      </c>
      <c r="Z1841" s="400">
        <v>68</v>
      </c>
      <c r="AA1841" s="649">
        <f t="shared" si="671"/>
        <v>26.444444444444443</v>
      </c>
      <c r="AB1841" s="184">
        <f t="shared" si="679"/>
        <v>556.39111111111106</v>
      </c>
      <c r="AC1841" s="104">
        <f t="shared" si="681"/>
        <v>17.453333333333333</v>
      </c>
      <c r="AD1841" s="107">
        <f t="shared" si="680"/>
        <v>44.511288888888885</v>
      </c>
      <c r="AE1841" s="104">
        <f>IF(Table1[[#This Row],[Work Center]]="SwissQ",Materials!G$37,IF(Table1[[#This Row],[Work Center]]="Inca",Materials!G$29,IF(Table1[[#This Row],[Work Center]]="Canon",Materials!G$49,Materials!G$45)))</f>
        <v>8</v>
      </c>
      <c r="AF1841" s="403">
        <f>'Cali FPS'!C121</f>
        <v>188.18</v>
      </c>
      <c r="AG1841" s="401"/>
      <c r="AH1841" s="112">
        <f t="shared" si="676"/>
        <v>48.75</v>
      </c>
      <c r="AI1841" s="112"/>
      <c r="AJ1841" s="104">
        <f t="shared" si="672"/>
        <v>306.89462222222221</v>
      </c>
      <c r="AK1841" s="62">
        <f t="shared" si="677"/>
        <v>0.68523628490028488</v>
      </c>
      <c r="AL1841" s="225">
        <f>Table1[[#This Row],[WSP/Dealer]]/Table1[[#This Row],[OD Sq Inch]]</f>
        <v>0.33854166666666669</v>
      </c>
      <c r="AM1841" s="229">
        <f>Table1[[#This Row],[OD Wdth]]*Table1[[#This Row],[OD Hgt]]</f>
        <v>2880</v>
      </c>
      <c r="AN1841" s="266">
        <f>Table1[[#This Row],[Min VO]]+Table1[[#This Row],[Max VO]]</f>
        <v>108</v>
      </c>
      <c r="AO1841" s="401"/>
      <c r="AP1841" s="401"/>
      <c r="AQ1841" s="1000"/>
      <c r="AR1841" s="1000"/>
      <c r="AS1841" s="1000"/>
      <c r="AT1841" s="406"/>
      <c r="AU1841" s="1366" t="str">
        <f t="shared" si="678"/>
        <v>-</v>
      </c>
    </row>
    <row r="1842" spans="1:47" s="46" customFormat="1" x14ac:dyDescent="0.2">
      <c r="A1842" s="274" t="s">
        <v>58</v>
      </c>
      <c r="B1842" s="1061" t="s">
        <v>445</v>
      </c>
      <c r="C1842" s="964" t="s">
        <v>4284</v>
      </c>
      <c r="D1842" s="94"/>
      <c r="E1842" s="375" t="s">
        <v>4283</v>
      </c>
      <c r="F1842" s="375" t="s">
        <v>448</v>
      </c>
      <c r="G1842" s="274" t="s">
        <v>191</v>
      </c>
      <c r="H1842" s="68" t="s">
        <v>193</v>
      </c>
      <c r="I1842" s="68" t="s">
        <v>52</v>
      </c>
      <c r="J1842" s="68" t="s">
        <v>53</v>
      </c>
      <c r="K1842" s="68" t="s">
        <v>82</v>
      </c>
      <c r="L1842" s="68" t="s">
        <v>83</v>
      </c>
      <c r="M1842" s="178">
        <v>1250</v>
      </c>
      <c r="N1842" s="639">
        <v>1250</v>
      </c>
      <c r="O1842" s="274" t="s">
        <v>56</v>
      </c>
      <c r="P1842" s="274">
        <v>48</v>
      </c>
      <c r="Q1842" s="274">
        <v>60</v>
      </c>
      <c r="R1842" s="274">
        <v>48</v>
      </c>
      <c r="S1842" s="274">
        <v>60</v>
      </c>
      <c r="T1842" s="623">
        <v>50</v>
      </c>
      <c r="U1842" s="623">
        <v>62</v>
      </c>
      <c r="V1842" s="66">
        <v>55.06</v>
      </c>
      <c r="W1842" s="66">
        <v>67.06</v>
      </c>
      <c r="X1842" s="343">
        <v>69</v>
      </c>
      <c r="Y1842" s="274">
        <v>56</v>
      </c>
      <c r="Z1842" s="274">
        <v>68</v>
      </c>
      <c r="AA1842" s="699">
        <f t="shared" si="671"/>
        <v>25.641136111111113</v>
      </c>
      <c r="AB1842" s="297">
        <f t="shared" si="679"/>
        <v>539.48950377777783</v>
      </c>
      <c r="AC1842" s="74">
        <f t="shared" si="681"/>
        <v>16.923149833333333</v>
      </c>
      <c r="AD1842" s="67">
        <f t="shared" si="680"/>
        <v>43.159160302222226</v>
      </c>
      <c r="AE1842" s="74">
        <f>IF(Table1[[#This Row],[Work Center]]="SwissQ",Materials!G$37,IF(Table1[[#This Row],[Work Center]]="Inca",Materials!G$29,IF(Table1[[#This Row],[Work Center]]="Canon",Materials!G$49,Materials!G$45)))</f>
        <v>8</v>
      </c>
      <c r="AF1842" s="321">
        <f>'Cali Frames'!D155</f>
        <v>265.04000000000002</v>
      </c>
      <c r="AG1842" s="275"/>
      <c r="AH1842" s="112">
        <f t="shared" si="676"/>
        <v>62.5</v>
      </c>
      <c r="AI1842" s="112"/>
      <c r="AJ1842" s="67">
        <f t="shared" si="672"/>
        <v>395.62231013555561</v>
      </c>
      <c r="AK1842" s="62">
        <f t="shared" si="677"/>
        <v>0.6835021518915555</v>
      </c>
      <c r="AL1842" s="225">
        <f>Table1[[#This Row],[WSP/Dealer]]/Table1[[#This Row],[OD Sq Inch]]</f>
        <v>0.40322580645161288</v>
      </c>
      <c r="AM1842" s="235">
        <f>Table1[[#This Row],[OD Wdth]]*Table1[[#This Row],[OD Hgt]]</f>
        <v>3100</v>
      </c>
      <c r="AN1842" s="238">
        <f>Table1[[#This Row],[Min VO]]+Table1[[#This Row],[Max VO]]</f>
        <v>108</v>
      </c>
      <c r="AO1842" s="275"/>
      <c r="AP1842" s="275"/>
      <c r="AQ1842" s="320"/>
      <c r="AR1842" s="320"/>
      <c r="AS1842" s="320"/>
      <c r="AT1842" s="278"/>
      <c r="AU1842" s="1368" t="str">
        <f t="shared" si="678"/>
        <v>-</v>
      </c>
    </row>
    <row r="1843" spans="1:47" s="63" customFormat="1" x14ac:dyDescent="0.2">
      <c r="A1843" s="400" t="s">
        <v>581</v>
      </c>
      <c r="B1843" s="279" t="s">
        <v>292</v>
      </c>
      <c r="C1843" s="1034" t="s">
        <v>4284</v>
      </c>
      <c r="D1843" s="94" t="s">
        <v>4285</v>
      </c>
      <c r="E1843" s="536" t="s">
        <v>4283</v>
      </c>
      <c r="F1843" s="536" t="s">
        <v>448</v>
      </c>
      <c r="G1843" s="400" t="s">
        <v>191</v>
      </c>
      <c r="H1843" s="101" t="s">
        <v>193</v>
      </c>
      <c r="I1843" s="101" t="s">
        <v>52</v>
      </c>
      <c r="J1843" s="101" t="s">
        <v>53</v>
      </c>
      <c r="K1843" s="101" t="s">
        <v>82</v>
      </c>
      <c r="L1843" s="101" t="s">
        <v>83</v>
      </c>
      <c r="M1843" s="832">
        <v>1250</v>
      </c>
      <c r="N1843" s="102">
        <v>1250</v>
      </c>
      <c r="O1843" s="400" t="s">
        <v>56</v>
      </c>
      <c r="P1843" s="400">
        <v>48</v>
      </c>
      <c r="Q1843" s="400">
        <v>60</v>
      </c>
      <c r="R1843" s="400">
        <v>48</v>
      </c>
      <c r="S1843" s="400">
        <v>60</v>
      </c>
      <c r="T1843" s="697">
        <v>50</v>
      </c>
      <c r="U1843" s="697">
        <v>62</v>
      </c>
      <c r="V1843" s="608">
        <v>55.06</v>
      </c>
      <c r="W1843" s="608">
        <v>67.06</v>
      </c>
      <c r="X1843" s="400">
        <v>69</v>
      </c>
      <c r="Y1843" s="400">
        <v>56</v>
      </c>
      <c r="Z1843" s="400">
        <v>68</v>
      </c>
      <c r="AA1843" s="649">
        <f t="shared" si="671"/>
        <v>25.641136111111113</v>
      </c>
      <c r="AB1843" s="184">
        <f t="shared" si="679"/>
        <v>539.48950377777783</v>
      </c>
      <c r="AC1843" s="104">
        <f t="shared" si="681"/>
        <v>16.923149833333333</v>
      </c>
      <c r="AD1843" s="107">
        <f t="shared" si="680"/>
        <v>43.159160302222226</v>
      </c>
      <c r="AE1843" s="104">
        <f>IF(Table1[[#This Row],[Work Center]]="SwissQ",Materials!G$37,IF(Table1[[#This Row],[Work Center]]="Inca",Materials!G$29,IF(Table1[[#This Row],[Work Center]]="Canon",Materials!G$49,Materials!G$45)))</f>
        <v>8</v>
      </c>
      <c r="AF1843" s="403">
        <f>'Cali Frames'!D156</f>
        <v>236.14499999999998</v>
      </c>
      <c r="AG1843" s="540"/>
      <c r="AH1843" s="104">
        <f t="shared" si="676"/>
        <v>62.5</v>
      </c>
      <c r="AI1843" s="107"/>
      <c r="AJ1843" s="104">
        <f t="shared" si="672"/>
        <v>366.72731013555551</v>
      </c>
      <c r="AK1843" s="830">
        <f t="shared" si="677"/>
        <v>0.70661815189155563</v>
      </c>
      <c r="AL1843" s="660">
        <f>Table1[[#This Row],[WSP/Dealer]]/Table1[[#This Row],[OD Sq Inch]]</f>
        <v>0.40322580645161288</v>
      </c>
      <c r="AM1843" s="266">
        <f>Table1[[#This Row],[OD Wdth]]*Table1[[#This Row],[OD Hgt]]</f>
        <v>3100</v>
      </c>
      <c r="AN1843" s="266">
        <f>Table1[[#This Row],[Min VO]]+Table1[[#This Row],[Max VO]]</f>
        <v>108</v>
      </c>
      <c r="AO1843" s="401"/>
      <c r="AP1843" s="401"/>
      <c r="AQ1843" s="1000"/>
      <c r="AR1843" s="1000"/>
      <c r="AS1843" s="1000"/>
      <c r="AT1843" s="406"/>
      <c r="AU1843" s="1366" t="str">
        <f t="shared" si="678"/>
        <v>-</v>
      </c>
    </row>
    <row r="1844" spans="1:47" s="63" customFormat="1" x14ac:dyDescent="0.2">
      <c r="A1844" s="400" t="s">
        <v>58</v>
      </c>
      <c r="B1844" s="1061" t="s">
        <v>445</v>
      </c>
      <c r="C1844" s="1034" t="s">
        <v>4286</v>
      </c>
      <c r="D1844" s="94"/>
      <c r="E1844" s="536" t="s">
        <v>4287</v>
      </c>
      <c r="F1844" s="536" t="s">
        <v>448</v>
      </c>
      <c r="G1844" s="400" t="s">
        <v>191</v>
      </c>
      <c r="H1844" s="400" t="s">
        <v>191</v>
      </c>
      <c r="I1844" s="400" t="s">
        <v>52</v>
      </c>
      <c r="J1844" s="497" t="s">
        <v>53</v>
      </c>
      <c r="K1844" s="400" t="s">
        <v>54</v>
      </c>
      <c r="L1844" s="400" t="s">
        <v>55</v>
      </c>
      <c r="M1844" s="488">
        <v>975</v>
      </c>
      <c r="N1844" s="639">
        <v>950</v>
      </c>
      <c r="O1844" s="400" t="s">
        <v>56</v>
      </c>
      <c r="P1844" s="400">
        <v>48</v>
      </c>
      <c r="Q1844" s="400">
        <v>60</v>
      </c>
      <c r="R1844" s="400">
        <v>48</v>
      </c>
      <c r="S1844" s="400">
        <v>60</v>
      </c>
      <c r="T1844" s="400">
        <v>48</v>
      </c>
      <c r="U1844" s="400">
        <v>60</v>
      </c>
      <c r="V1844" s="608">
        <f>IF(J1844="Canvas",P1844+BorderGW,P1844)</f>
        <v>56</v>
      </c>
      <c r="W1844" s="608">
        <f>IF(J1844="Canvas",Q1844+BorderGW,Q1844)</f>
        <v>68</v>
      </c>
      <c r="X1844" s="525">
        <v>69</v>
      </c>
      <c r="Y1844" s="400">
        <v>56</v>
      </c>
      <c r="Z1844" s="400">
        <v>68</v>
      </c>
      <c r="AA1844" s="649">
        <f t="shared" si="671"/>
        <v>26.444444444444443</v>
      </c>
      <c r="AB1844" s="184">
        <f t="shared" si="679"/>
        <v>556.39111111111106</v>
      </c>
      <c r="AC1844" s="104">
        <f t="shared" si="681"/>
        <v>17.453333333333333</v>
      </c>
      <c r="AD1844" s="104">
        <f t="shared" si="680"/>
        <v>44.511288888888885</v>
      </c>
      <c r="AE1844" s="104">
        <f>IF(Table1[[#This Row],[Work Center]]="SwissQ",Materials!G$37,IF(Table1[[#This Row],[Work Center]]="Inca",Materials!G$29,IF(Table1[[#This Row],[Work Center]]="Canon",Materials!G$49,Materials!G$45)))</f>
        <v>8</v>
      </c>
      <c r="AF1844" s="403">
        <f>'Cali FPS'!C121</f>
        <v>188.18</v>
      </c>
      <c r="AG1844" s="401"/>
      <c r="AH1844" s="498">
        <f t="shared" si="676"/>
        <v>48.75</v>
      </c>
      <c r="AI1844" s="498"/>
      <c r="AJ1844" s="104">
        <f t="shared" si="672"/>
        <v>306.89462222222221</v>
      </c>
      <c r="AK1844" s="650">
        <f t="shared" si="677"/>
        <v>0.68523628490028488</v>
      </c>
      <c r="AL1844" s="225">
        <f>Table1[[#This Row],[WSP/Dealer]]/Table1[[#This Row],[OD Sq Inch]]</f>
        <v>0.33854166666666669</v>
      </c>
      <c r="AM1844" s="266">
        <f>Table1[[#This Row],[OD Wdth]]*Table1[[#This Row],[OD Hgt]]</f>
        <v>2880</v>
      </c>
      <c r="AN1844" s="266">
        <f>Table1[[#This Row],[Min VO]]+Table1[[#This Row],[Max VO]]</f>
        <v>108</v>
      </c>
      <c r="AO1844" s="401"/>
      <c r="AP1844" s="401"/>
      <c r="AQ1844" s="1000"/>
      <c r="AR1844" s="1000"/>
      <c r="AS1844" s="1000"/>
      <c r="AT1844" s="406"/>
      <c r="AU1844" s="1366" t="str">
        <f t="shared" si="678"/>
        <v>-</v>
      </c>
    </row>
    <row r="1845" spans="1:47" s="103" customFormat="1" x14ac:dyDescent="0.2">
      <c r="A1845" s="68" t="s">
        <v>58</v>
      </c>
      <c r="B1845" s="1061" t="s">
        <v>445</v>
      </c>
      <c r="C1845" s="1030" t="s">
        <v>4288</v>
      </c>
      <c r="D1845" s="94"/>
      <c r="E1845" s="84" t="s">
        <v>4287</v>
      </c>
      <c r="F1845" s="84" t="s">
        <v>448</v>
      </c>
      <c r="G1845" s="68" t="s">
        <v>191</v>
      </c>
      <c r="H1845" s="68" t="s">
        <v>193</v>
      </c>
      <c r="I1845" s="68" t="s">
        <v>52</v>
      </c>
      <c r="J1845" s="68" t="s">
        <v>53</v>
      </c>
      <c r="K1845" s="68" t="s">
        <v>82</v>
      </c>
      <c r="L1845" s="68" t="s">
        <v>83</v>
      </c>
      <c r="M1845" s="141">
        <v>1250</v>
      </c>
      <c r="N1845" s="639">
        <v>1250</v>
      </c>
      <c r="O1845" s="68" t="s">
        <v>56</v>
      </c>
      <c r="P1845" s="623">
        <v>48</v>
      </c>
      <c r="Q1845" s="623">
        <v>60</v>
      </c>
      <c r="R1845" s="68">
        <v>48</v>
      </c>
      <c r="S1845" s="623">
        <v>60</v>
      </c>
      <c r="T1845" s="623">
        <v>50</v>
      </c>
      <c r="U1845" s="623">
        <v>62</v>
      </c>
      <c r="V1845" s="66">
        <v>55.06</v>
      </c>
      <c r="W1845" s="66">
        <v>67.06</v>
      </c>
      <c r="X1845" s="189">
        <v>69</v>
      </c>
      <c r="Y1845" s="274">
        <v>56</v>
      </c>
      <c r="Z1845" s="274">
        <v>68</v>
      </c>
      <c r="AA1845" s="699">
        <f t="shared" si="671"/>
        <v>25.641136111111113</v>
      </c>
      <c r="AB1845" s="297">
        <f t="shared" si="679"/>
        <v>539.48950377777783</v>
      </c>
      <c r="AC1845" s="74">
        <f t="shared" si="681"/>
        <v>16.923149833333333</v>
      </c>
      <c r="AD1845" s="67">
        <f t="shared" si="680"/>
        <v>43.159160302222226</v>
      </c>
      <c r="AE1845" s="74">
        <f>IF(Table1[[#This Row],[Work Center]]="SwissQ",Materials!G$37,IF(Table1[[#This Row],[Work Center]]="Inca",Materials!G$29,IF(Table1[[#This Row],[Work Center]]="Canon",Materials!G$49,Materials!G$45)))</f>
        <v>8</v>
      </c>
      <c r="AF1845" s="74">
        <f>'Cali Frames'!D155</f>
        <v>265.04000000000002</v>
      </c>
      <c r="AG1845" s="84"/>
      <c r="AH1845" s="112">
        <f t="shared" si="676"/>
        <v>62.5</v>
      </c>
      <c r="AI1845" s="112"/>
      <c r="AJ1845" s="74">
        <f t="shared" si="672"/>
        <v>395.62231013555561</v>
      </c>
      <c r="AK1845" s="62">
        <f t="shared" si="677"/>
        <v>0.6835021518915555</v>
      </c>
      <c r="AL1845" s="225">
        <f>Table1[[#This Row],[WSP/Dealer]]/Table1[[#This Row],[OD Sq Inch]]</f>
        <v>0.40322580645161288</v>
      </c>
      <c r="AM1845" s="103">
        <f>Table1[[#This Row],[OD Wdth]]*Table1[[#This Row],[OD Hgt]]</f>
        <v>3100</v>
      </c>
      <c r="AN1845" s="68">
        <f>Table1[[#This Row],[Min VO]]+Table1[[#This Row],[Max VO]]</f>
        <v>108</v>
      </c>
      <c r="AO1845" s="68"/>
      <c r="AP1845" s="68"/>
      <c r="AQ1845" s="74"/>
      <c r="AR1845" s="74"/>
      <c r="AS1845" s="74"/>
      <c r="AT1845" s="74"/>
      <c r="AU1845" s="1001" t="str">
        <f t="shared" si="678"/>
        <v>-</v>
      </c>
    </row>
    <row r="1846" spans="1:47" s="103" customFormat="1" hidden="1" x14ac:dyDescent="0.2">
      <c r="A1846" s="101" t="s">
        <v>110</v>
      </c>
      <c r="B1846" s="1322" t="s">
        <v>96</v>
      </c>
      <c r="C1846" s="1726" t="s">
        <v>4289</v>
      </c>
      <c r="D1846" s="168"/>
      <c r="E1846" s="115" t="s">
        <v>4290</v>
      </c>
      <c r="F1846" s="115" t="s">
        <v>454</v>
      </c>
      <c r="G1846" s="101" t="s">
        <v>572</v>
      </c>
      <c r="H1846" s="101" t="s">
        <v>572</v>
      </c>
      <c r="I1846" s="101" t="s">
        <v>52</v>
      </c>
      <c r="J1846" s="487" t="s">
        <v>53</v>
      </c>
      <c r="K1846" s="101" t="s">
        <v>54</v>
      </c>
      <c r="L1846" s="101" t="s">
        <v>55</v>
      </c>
      <c r="M1846" s="299">
        <v>800</v>
      </c>
      <c r="N1846" s="829">
        <v>850</v>
      </c>
      <c r="O1846" s="101" t="s">
        <v>64</v>
      </c>
      <c r="P1846" s="697">
        <v>60</v>
      </c>
      <c r="Q1846" s="697">
        <v>40</v>
      </c>
      <c r="R1846" s="101">
        <v>40</v>
      </c>
      <c r="S1846" s="697">
        <v>60</v>
      </c>
      <c r="T1846" s="697">
        <v>60</v>
      </c>
      <c r="U1846" s="697">
        <v>40</v>
      </c>
      <c r="V1846" s="608">
        <f>IF(J1846="Canvas",P1846+Materials!C$5,P1846)</f>
        <v>67</v>
      </c>
      <c r="W1846" s="608">
        <f>IF(J1846="Canvas",Q1846+Materials!C$5,Q1846)</f>
        <v>47</v>
      </c>
      <c r="X1846" s="1010"/>
      <c r="Y1846" s="101">
        <v>67</v>
      </c>
      <c r="Z1846" s="101">
        <v>47</v>
      </c>
      <c r="AA1846" s="649">
        <f t="shared" si="671"/>
        <v>21.868055555555557</v>
      </c>
      <c r="AB1846" s="184">
        <f>AA1846*Swiss1</f>
        <v>618.86597222222224</v>
      </c>
      <c r="AC1846" s="104">
        <f t="shared" si="681"/>
        <v>14.432916666666669</v>
      </c>
      <c r="AD1846" s="104">
        <f>Table1[[#This Row],[Substrate SF]]*Materials!C$37</f>
        <v>61.230555555555554</v>
      </c>
      <c r="AE1846" s="104">
        <f>IF(Table1[[#This Row],[Work Center]]="SwissQ",Materials!G$37,IF(Table1[[#This Row],[Work Center]]="Inca",Materials!G$29,IF(Table1[[#This Row],[Work Center]]="Canon",Materials!G$49,Materials!G$45)))</f>
        <v>20</v>
      </c>
      <c r="AF1846" s="102">
        <f>'Cali FPS'!C89</f>
        <v>112.01750000000001</v>
      </c>
      <c r="AG1846" s="115"/>
      <c r="AH1846" s="104">
        <f t="shared" si="676"/>
        <v>40</v>
      </c>
      <c r="AI1846" s="406">
        <f>IF(A1846="Codarus",(M1846*0.13))</f>
        <v>104</v>
      </c>
      <c r="AJ1846" s="406">
        <f t="shared" si="672"/>
        <v>247.68097222222224</v>
      </c>
      <c r="AK1846" s="830">
        <f t="shared" si="677"/>
        <v>0.69039878472222227</v>
      </c>
      <c r="AL1846" s="660">
        <f>Table1[[#This Row],[WSP/Dealer]]/Table1[[#This Row],[OD Sq Inch]]</f>
        <v>0.33333333333333331</v>
      </c>
      <c r="AM1846" s="400">
        <f>Table1[[#This Row],[OD Wdth]]*Table1[[#This Row],[OD Hgt]]</f>
        <v>2400</v>
      </c>
      <c r="AN1846" s="400">
        <f>Table1[[#This Row],[Min VO]]+Table1[[#This Row],[Max VO]]</f>
        <v>100</v>
      </c>
      <c r="AO1846" s="115"/>
      <c r="AP1846" s="121">
        <v>1600</v>
      </c>
      <c r="AQ1846" s="121">
        <f>(Table1[[#This Row],[Desgnr/Retail P]]*0.05)</f>
        <v>80</v>
      </c>
      <c r="AR1846" s="121">
        <f>IF(A1846="Codarus",(AP1846*0.13))</f>
        <v>208</v>
      </c>
      <c r="AS1846" s="121">
        <f>SUM(Table1[[#This Row],[Substrate $]:[GP FINISH]])+Table1[[#This Row],[Retail Royalty]]+Table1[[#This Row],[Retail$Comm]]</f>
        <v>495.68097222222224</v>
      </c>
      <c r="AT1846" s="830">
        <f>IF(AP1846=0,"-",(AP1846-AS1846)/AP1846)</f>
        <v>0.69019939236111116</v>
      </c>
      <c r="AU1846" s="1359">
        <f t="shared" si="678"/>
        <v>0.99137250759548612</v>
      </c>
    </row>
    <row r="1847" spans="1:47" s="103" customFormat="1" x14ac:dyDescent="0.2">
      <c r="A1847" s="68" t="s">
        <v>58</v>
      </c>
      <c r="B1847" s="1061" t="s">
        <v>134</v>
      </c>
      <c r="C1847" s="1030" t="s">
        <v>4289</v>
      </c>
      <c r="D1847" s="94"/>
      <c r="E1847" s="84" t="s">
        <v>4290</v>
      </c>
      <c r="F1847" s="84" t="s">
        <v>454</v>
      </c>
      <c r="G1847" s="68" t="s">
        <v>572</v>
      </c>
      <c r="H1847" s="68" t="s">
        <v>572</v>
      </c>
      <c r="I1847" s="68" t="s">
        <v>108</v>
      </c>
      <c r="J1847" s="140" t="s">
        <v>53</v>
      </c>
      <c r="K1847" s="68" t="s">
        <v>54</v>
      </c>
      <c r="L1847" s="68" t="s">
        <v>55</v>
      </c>
      <c r="M1847" s="141">
        <v>525</v>
      </c>
      <c r="N1847" s="831">
        <v>850</v>
      </c>
      <c r="O1847" s="68" t="s">
        <v>109</v>
      </c>
      <c r="P1847" s="623">
        <v>60</v>
      </c>
      <c r="Q1847" s="623">
        <v>40</v>
      </c>
      <c r="R1847" s="68">
        <v>40</v>
      </c>
      <c r="S1847" s="65">
        <v>60</v>
      </c>
      <c r="T1847" s="65">
        <v>60</v>
      </c>
      <c r="U1847" s="65">
        <v>40</v>
      </c>
      <c r="V1847" s="66">
        <f>IF(J1847="Canvas",P1847+Border,P1847)</f>
        <v>68</v>
      </c>
      <c r="W1847" s="66">
        <f>IF(J1847="Canvas",Q1847+Border,Q1847)</f>
        <v>48</v>
      </c>
      <c r="X1847" s="189">
        <v>69</v>
      </c>
      <c r="Y1847" s="68">
        <v>68</v>
      </c>
      <c r="Z1847" s="68">
        <v>48</v>
      </c>
      <c r="AA1847" s="699">
        <f t="shared" si="671"/>
        <v>22.666666666666668</v>
      </c>
      <c r="AB1847" s="297">
        <f>AA1847*EPSONML</f>
        <v>102</v>
      </c>
      <c r="AC1847" s="74">
        <f t="shared" si="681"/>
        <v>14.96</v>
      </c>
      <c r="AD1847" s="107">
        <f>AA1847*EPSONC</f>
        <v>4.9866666666666672</v>
      </c>
      <c r="AE1847" s="74">
        <f>IF(Table1[[#This Row],[Work Center]]="SwissQ",Materials!G$37,IF(Table1[[#This Row],[Work Center]]="Inca",Materials!G$29,IF(Table1[[#This Row],[Work Center]]="Canon",Materials!G$49,Materials!G$45)))</f>
        <v>5</v>
      </c>
      <c r="AF1847" s="73">
        <f>'Cali FPS'!C89</f>
        <v>112.01750000000001</v>
      </c>
      <c r="AG1847" s="84"/>
      <c r="AH1847" s="67">
        <f t="shared" si="676"/>
        <v>26.25</v>
      </c>
      <c r="AI1847" s="67"/>
      <c r="AJ1847" s="74">
        <f>SUM(AC1847:AI1847)</f>
        <v>163.21416666666667</v>
      </c>
      <c r="AK1847" s="661">
        <f t="shared" si="677"/>
        <v>0.68911587301587307</v>
      </c>
      <c r="AL1847" s="240">
        <f>Table1[[#This Row],[WSP/Dealer]]/Table1[[#This Row],[OD Sq Inch]]</f>
        <v>0.21875</v>
      </c>
      <c r="AM1847" s="170">
        <f>Table1[[#This Row],[OD Wdth]]*Table1[[#This Row],[OD Hgt]]</f>
        <v>2400</v>
      </c>
      <c r="AN1847" s="274">
        <f>Table1[[#This Row],[Min VO]]+Table1[[#This Row],[Max VO]]</f>
        <v>100</v>
      </c>
      <c r="AO1847" s="84"/>
      <c r="AP1847" s="126"/>
      <c r="AQ1847" s="126"/>
      <c r="AR1847" s="126"/>
      <c r="AS1847" s="1146"/>
      <c r="AT1847" s="1147"/>
      <c r="AU1847" s="1357" t="str">
        <f t="shared" si="678"/>
        <v>-</v>
      </c>
    </row>
    <row r="1848" spans="1:47" s="46" customFormat="1" x14ac:dyDescent="0.2">
      <c r="A1848" s="86" t="s">
        <v>58</v>
      </c>
      <c r="B1848" s="1061" t="s">
        <v>619</v>
      </c>
      <c r="C1848" s="790" t="s">
        <v>4291</v>
      </c>
      <c r="D1848" s="94" t="s">
        <v>4292</v>
      </c>
      <c r="E1848" s="85" t="s">
        <v>4293</v>
      </c>
      <c r="F1848" s="85" t="s">
        <v>124</v>
      </c>
      <c r="G1848" s="86" t="s">
        <v>4294</v>
      </c>
      <c r="H1848" s="86" t="s">
        <v>4294</v>
      </c>
      <c r="I1848" s="86" t="s">
        <v>52</v>
      </c>
      <c r="J1848" s="86" t="s">
        <v>53</v>
      </c>
      <c r="K1848" s="86" t="s">
        <v>54</v>
      </c>
      <c r="L1848" s="86" t="s">
        <v>55</v>
      </c>
      <c r="M1848" s="87">
        <v>1540</v>
      </c>
      <c r="N1848" s="639">
        <v>1540</v>
      </c>
      <c r="O1848" s="101" t="s">
        <v>64</v>
      </c>
      <c r="P1848" s="273">
        <v>84</v>
      </c>
      <c r="Q1848" s="273">
        <v>60</v>
      </c>
      <c r="R1848" s="60">
        <v>60</v>
      </c>
      <c r="S1848" s="273">
        <v>84</v>
      </c>
      <c r="T1848" s="273">
        <f>Table1[[#This Row],[VO Wdth]]</f>
        <v>84</v>
      </c>
      <c r="U1848" s="273">
        <f>Table1[[#This Row],[VO Hgt]]</f>
        <v>60</v>
      </c>
      <c r="V1848" s="608">
        <f>IF(J1848="Canvas",P1848+BorderL,P1848)</f>
        <v>95</v>
      </c>
      <c r="W1848" s="608">
        <f>IF(J1848="Canvas",Q1848+BorderL,Q1848)</f>
        <v>71</v>
      </c>
      <c r="X1848" s="138">
        <v>82</v>
      </c>
      <c r="Y1848" s="60"/>
      <c r="Z1848" s="60"/>
      <c r="AA1848" s="649">
        <f t="shared" si="671"/>
        <v>46.840277777777779</v>
      </c>
      <c r="AB1848" s="125">
        <f>AA1848*Swiss1</f>
        <v>1325.5798611111111</v>
      </c>
      <c r="AC1848" s="104">
        <f t="shared" si="681"/>
        <v>30.914583333333336</v>
      </c>
      <c r="AD1848" s="104">
        <f>Table1[[#This Row],[Substrate SF]]*Materials!C$37</f>
        <v>131.15277777777777</v>
      </c>
      <c r="AE1848" s="104">
        <f>IF(Table1[[#This Row],[Work Center]]="SwissQ",Materials!G$37,IF(Table1[[#This Row],[Work Center]]="Inca",Materials!G$29,IF(Table1[[#This Row],[Work Center]]="Canon",Materials!G$49,Materials!G$45)))</f>
        <v>20</v>
      </c>
      <c r="AF1848" s="69">
        <f>'Cali FPS'!C$165</f>
        <v>258.52749999999997</v>
      </c>
      <c r="AG1848" s="115"/>
      <c r="AH1848" s="498">
        <f t="shared" si="676"/>
        <v>77</v>
      </c>
      <c r="AI1848" s="498"/>
      <c r="AJ1848" s="104">
        <f t="shared" ref="AJ1848:AJ1860" si="682">SUM(AC1848:AH1848)</f>
        <v>517.59486111111107</v>
      </c>
      <c r="AK1848" s="650">
        <f t="shared" si="677"/>
        <v>0.66389944083694086</v>
      </c>
      <c r="AL1848" s="225">
        <f>Table1[[#This Row],[WSP/Dealer]]/Table1[[#This Row],[OD Sq Inch]]</f>
        <v>0.30555555555555558</v>
      </c>
      <c r="AM1848" s="101">
        <f>Table1[[#This Row],[OD Wdth]]*Table1[[#This Row],[OD Hgt]]</f>
        <v>5040</v>
      </c>
      <c r="AN1848" s="216">
        <f>Table1[[#This Row],[Min VO]]+Table1[[#This Row],[Max VO]]</f>
        <v>144</v>
      </c>
      <c r="AO1848" s="101"/>
      <c r="AP1848" s="101"/>
      <c r="AQ1848" s="104"/>
      <c r="AR1848" s="104"/>
      <c r="AS1848" s="104"/>
      <c r="AT1848" s="104"/>
      <c r="AU1848" s="830" t="str">
        <f t="shared" si="678"/>
        <v>-</v>
      </c>
    </row>
    <row r="1849" spans="1:47" s="63" customFormat="1" hidden="1" x14ac:dyDescent="0.2">
      <c r="A1849" s="60" t="s">
        <v>318</v>
      </c>
      <c r="B1849" s="1106" t="s">
        <v>305</v>
      </c>
      <c r="C1849" s="790" t="s">
        <v>4295</v>
      </c>
      <c r="D1849" s="79"/>
      <c r="E1849" s="83" t="s">
        <v>4296</v>
      </c>
      <c r="F1849" s="83" t="s">
        <v>301</v>
      </c>
      <c r="G1849" s="60" t="s">
        <v>302</v>
      </c>
      <c r="H1849" s="60" t="s">
        <v>303</v>
      </c>
      <c r="I1849" s="60" t="s">
        <v>256</v>
      </c>
      <c r="J1849" s="59" t="s">
        <v>257</v>
      </c>
      <c r="K1849" s="60" t="s">
        <v>258</v>
      </c>
      <c r="L1849" s="60" t="s">
        <v>259</v>
      </c>
      <c r="M1849" s="124">
        <v>400</v>
      </c>
      <c r="N1849" s="124"/>
      <c r="O1849" s="60" t="s">
        <v>260</v>
      </c>
      <c r="P1849" s="273">
        <v>24</v>
      </c>
      <c r="Q1849" s="273">
        <v>32</v>
      </c>
      <c r="R1849" s="60">
        <v>24</v>
      </c>
      <c r="S1849" s="273">
        <v>32</v>
      </c>
      <c r="T1849" s="273">
        <v>26</v>
      </c>
      <c r="U1849" s="273">
        <v>34</v>
      </c>
      <c r="V1849" s="946">
        <f>IF(J1849="Canvas",P1849+BorderGW,P1849)</f>
        <v>24</v>
      </c>
      <c r="W1849" s="946">
        <f>IF(J1849="Canvas",Q1849+BorderGW,Q1849)</f>
        <v>32</v>
      </c>
      <c r="X1849" s="60" t="s">
        <v>257</v>
      </c>
      <c r="Y1849" s="1444">
        <v>24</v>
      </c>
      <c r="Z1849" s="1444">
        <v>32</v>
      </c>
      <c r="AA1849" s="678">
        <f>(Table1[[#This Row],[Cut Width]]*Table1[[#This Row],[Cut Height]])/144</f>
        <v>5.333333333333333</v>
      </c>
      <c r="AB1849" s="125">
        <f>(Table1[[#This Row],[Print Wth]]*Table1[[#This Row],[Print Ht]])/144*canonML</f>
        <v>25.599999999999998</v>
      </c>
      <c r="AC1849" s="69">
        <f>Table1[[#This Row],[Substrate SF]]*Paper</f>
        <v>7.2159999999999993</v>
      </c>
      <c r="AD1849" s="48">
        <f>(Table1[[#This Row],[Print Wth]]*Table1[[#This Row],[Print Ht]])/144*CanonC</f>
        <v>1.44</v>
      </c>
      <c r="AE1849" s="69">
        <f>IF(Table1[[#This Row],[Work Center]]="SwissQ",Materials!G$37,IF(Table1[[#This Row],[Work Center]]="Inca",Materials!G$29,IF(Table1[[#This Row],[Work Center]]="Canon",Materials!G$49,Materials!G$45)))</f>
        <v>7</v>
      </c>
      <c r="AF1849" s="72">
        <f>'Cali Frames'!D36</f>
        <v>114.08</v>
      </c>
      <c r="AG1849" s="83"/>
      <c r="AH1849" s="69">
        <f t="shared" si="676"/>
        <v>20</v>
      </c>
      <c r="AI1849" s="176"/>
      <c r="AJ1849" s="176">
        <f t="shared" si="682"/>
        <v>149.73599999999999</v>
      </c>
      <c r="AK1849" s="650">
        <f t="shared" si="677"/>
        <v>0.62565999999999999</v>
      </c>
      <c r="AL1849" s="225">
        <f>Table1[[#This Row],[WSP/Dealer]]/Table1[[#This Row],[OD Sq Inch]]</f>
        <v>0.45248868778280543</v>
      </c>
      <c r="AM1849" s="173">
        <f>Table1[[#This Row],[OD Wdth]]*Table1[[#This Row],[OD Hgt]]</f>
        <v>884</v>
      </c>
      <c r="AN1849" s="180">
        <f>Table1[[#This Row],[Min VO]]+Table1[[#This Row],[Max VO]]</f>
        <v>56</v>
      </c>
      <c r="AO1849" s="83"/>
      <c r="AP1849" s="540"/>
      <c r="AQ1849" s="540">
        <f>(Table1[[#This Row],[Desgnr/Retail P]]*0.05)</f>
        <v>0</v>
      </c>
      <c r="AR1849" s="540" t="b">
        <f>IF(A1849="Codarus",(AP1849*0.13))</f>
        <v>0</v>
      </c>
      <c r="AS1849" s="540" t="e" cm="1">
        <f t="array" ref="AS1849">SUM(AC1849:AG1849+AQ+AR)</f>
        <v>#NAME?</v>
      </c>
      <c r="AT1849" s="69" t="e">
        <f>(AP1849-AS1849)/AP1849</f>
        <v>#NAME?</v>
      </c>
      <c r="AU1849" s="1361" t="str">
        <f t="shared" si="678"/>
        <v>-</v>
      </c>
    </row>
    <row r="1850" spans="1:47" s="170" customFormat="1" hidden="1" x14ac:dyDescent="0.2">
      <c r="A1850" s="101" t="s">
        <v>110</v>
      </c>
      <c r="B1850" s="1067" t="s">
        <v>250</v>
      </c>
      <c r="C1850" s="1726" t="s">
        <v>4295</v>
      </c>
      <c r="D1850" s="168"/>
      <c r="E1850" s="115" t="s">
        <v>4296</v>
      </c>
      <c r="F1850" s="154" t="s">
        <v>301</v>
      </c>
      <c r="G1850" s="101" t="s">
        <v>302</v>
      </c>
      <c r="H1850" s="101" t="s">
        <v>303</v>
      </c>
      <c r="I1850" s="101" t="s">
        <v>256</v>
      </c>
      <c r="J1850" s="487" t="s">
        <v>257</v>
      </c>
      <c r="K1850" s="101" t="s">
        <v>258</v>
      </c>
      <c r="L1850" s="101" t="s">
        <v>259</v>
      </c>
      <c r="M1850" s="114">
        <v>400</v>
      </c>
      <c r="N1850" s="114"/>
      <c r="O1850" s="101" t="s">
        <v>260</v>
      </c>
      <c r="P1850" s="697">
        <v>24</v>
      </c>
      <c r="Q1850" s="697">
        <v>32</v>
      </c>
      <c r="R1850" s="101">
        <v>24</v>
      </c>
      <c r="S1850" s="697">
        <v>32</v>
      </c>
      <c r="T1850" s="116">
        <v>26</v>
      </c>
      <c r="U1850" s="116">
        <v>34</v>
      </c>
      <c r="V1850" s="165">
        <f>IF(J1850="Canvas",P1850+Border,P1850)</f>
        <v>24</v>
      </c>
      <c r="W1850" s="165">
        <f>IF(J1850="Canvas",Q1850+Border,Q1850)</f>
        <v>32</v>
      </c>
      <c r="X1850" s="101" t="s">
        <v>1018</v>
      </c>
      <c r="Y1850" s="1345">
        <v>24</v>
      </c>
      <c r="Z1850" s="1345">
        <v>32</v>
      </c>
      <c r="AA1850" s="1011">
        <f>(Table1[[#This Row],[Cut Width]]*Table1[[#This Row],[Cut Height]])/144</f>
        <v>5.333333333333333</v>
      </c>
      <c r="AB1850" s="184">
        <f>(Table1[[#This Row],[Print Wth]]*Table1[[#This Row],[Print Ht]])/144*canonML</f>
        <v>25.599999999999998</v>
      </c>
      <c r="AC1850" s="104">
        <f>Table1[[#This Row],[Substrate SF]]*Paper</f>
        <v>7.2159999999999993</v>
      </c>
      <c r="AD1850" s="107">
        <f>(Table1[[#This Row],[Print Wth]]*Table1[[#This Row],[Print Ht]])/144*CanonC</f>
        <v>1.44</v>
      </c>
      <c r="AE1850" s="104">
        <f>IF(Table1[[#This Row],[Work Center]]="SwissQ",Materials!G$37,IF(Table1[[#This Row],[Work Center]]="Inca",Materials!G$29,IF(Table1[[#This Row],[Work Center]]="Canon",Materials!G$49,Materials!G$45)))</f>
        <v>7</v>
      </c>
      <c r="AF1850" s="102">
        <f>'Cali Frames'!D36</f>
        <v>114.08</v>
      </c>
      <c r="AG1850" s="115"/>
      <c r="AH1850" s="107">
        <f t="shared" si="676"/>
        <v>20</v>
      </c>
      <c r="AI1850" s="405">
        <f>IF(A1850="Codarus",(M1850*0.13))</f>
        <v>52</v>
      </c>
      <c r="AJ1850" s="406">
        <f t="shared" si="682"/>
        <v>149.73599999999999</v>
      </c>
      <c r="AK1850" s="108">
        <f t="shared" si="677"/>
        <v>0.62565999999999999</v>
      </c>
      <c r="AL1850" s="660">
        <f>Table1[[#This Row],[WSP/Dealer]]/Table1[[#This Row],[OD Sq Inch]]</f>
        <v>0.45248868778280543</v>
      </c>
      <c r="AM1850" s="399">
        <f>Table1[[#This Row],[OD Wdth]]*Table1[[#This Row],[OD Hgt]]</f>
        <v>884</v>
      </c>
      <c r="AN1850" s="400">
        <f>Table1[[#This Row],[Min VO]]+Table1[[#This Row],[Max VO]]</f>
        <v>56</v>
      </c>
      <c r="AO1850" s="113"/>
      <c r="AP1850" s="121">
        <v>800</v>
      </c>
      <c r="AQ1850" s="121">
        <f>(Table1[[#This Row],[Desgnr/Retail P]]*0.05)</f>
        <v>40</v>
      </c>
      <c r="AR1850" s="121">
        <f>IF(A1850="Codarus",(AP1850*0.13))</f>
        <v>104</v>
      </c>
      <c r="AS1850" s="121">
        <f>SUM(Table1[[#This Row],[Substrate $]:[GP FINISH]])+Table1[[#This Row],[Retail Royalty]]+Table1[[#This Row],[Retail$Comm]]</f>
        <v>273.73599999999999</v>
      </c>
      <c r="AT1850" s="830">
        <f>IF(AP1850=0,"-",(AP1850-AS1850)/AP1850)</f>
        <v>0.65783000000000003</v>
      </c>
      <c r="AU1850" s="1367">
        <f t="shared" si="678"/>
        <v>0.98355425000000007</v>
      </c>
    </row>
    <row r="1851" spans="1:47" s="103" customFormat="1" x14ac:dyDescent="0.2">
      <c r="A1851" s="60" t="s">
        <v>58</v>
      </c>
      <c r="B1851" s="1061" t="s">
        <v>96</v>
      </c>
      <c r="C1851" s="790" t="s">
        <v>4297</v>
      </c>
      <c r="D1851" s="94"/>
      <c r="E1851" s="83" t="s">
        <v>4298</v>
      </c>
      <c r="F1851" s="83" t="s">
        <v>650</v>
      </c>
      <c r="G1851" s="60" t="s">
        <v>191</v>
      </c>
      <c r="H1851" s="60" t="s">
        <v>191</v>
      </c>
      <c r="I1851" s="60" t="s">
        <v>52</v>
      </c>
      <c r="J1851" s="59" t="s">
        <v>53</v>
      </c>
      <c r="K1851" s="60" t="s">
        <v>54</v>
      </c>
      <c r="L1851" s="60" t="s">
        <v>55</v>
      </c>
      <c r="M1851" s="179">
        <v>950</v>
      </c>
      <c r="N1851" s="656">
        <v>950</v>
      </c>
      <c r="O1851" s="60" t="s">
        <v>64</v>
      </c>
      <c r="P1851" s="273">
        <v>48</v>
      </c>
      <c r="Q1851" s="273">
        <v>60</v>
      </c>
      <c r="R1851" s="60">
        <v>48</v>
      </c>
      <c r="S1851" s="273">
        <v>60</v>
      </c>
      <c r="T1851" s="273">
        <v>48</v>
      </c>
      <c r="U1851" s="273">
        <v>60</v>
      </c>
      <c r="V1851" s="946">
        <f>IF(J1851="Canvas",P1851+Materials!C$5,P1851)</f>
        <v>55</v>
      </c>
      <c r="W1851" s="946">
        <f>IF(J1851="Canvas",Q1851+Materials!C$5,Q1851)</f>
        <v>67</v>
      </c>
      <c r="X1851" s="138"/>
      <c r="Y1851" s="60">
        <v>55</v>
      </c>
      <c r="Z1851" s="60">
        <v>67</v>
      </c>
      <c r="AA1851" s="717">
        <f>V1851*W1851/144</f>
        <v>25.590277777777779</v>
      </c>
      <c r="AB1851" s="125">
        <f>AA1851*Swiss1</f>
        <v>724.2048611111112</v>
      </c>
      <c r="AC1851" s="69">
        <f>AA1851*Canvas</f>
        <v>16.889583333333334</v>
      </c>
      <c r="AD1851" s="107">
        <f>Table1[[#This Row],[Substrate SF]]*Materials!C$37</f>
        <v>71.652777777777771</v>
      </c>
      <c r="AE1851" s="69">
        <f>IF(Table1[[#This Row],[Work Center]]="SwissQ",Materials!G$37,IF(Table1[[#This Row],[Work Center]]="Inca",Materials!G$29,IF(Table1[[#This Row],[Work Center]]="Canon",Materials!G$49,Materials!G$45)))</f>
        <v>20</v>
      </c>
      <c r="AF1851" s="72">
        <f>'Cali FPS'!C121</f>
        <v>188.18</v>
      </c>
      <c r="AG1851" s="83"/>
      <c r="AH1851" s="69">
        <f t="shared" si="676"/>
        <v>47.5</v>
      </c>
      <c r="AI1851" s="69"/>
      <c r="AJ1851" s="176">
        <f t="shared" si="682"/>
        <v>344.22236111111113</v>
      </c>
      <c r="AK1851" s="650">
        <f t="shared" si="677"/>
        <v>0.63766067251461989</v>
      </c>
      <c r="AL1851" s="225">
        <f>Table1[[#This Row],[WSP/Dealer]]/Table1[[#This Row],[OD Sq Inch]]</f>
        <v>0.3298611111111111</v>
      </c>
      <c r="AM1851" s="173">
        <f>Table1[[#This Row],[OD Wdth]]*Table1[[#This Row],[OD Hgt]]</f>
        <v>2880</v>
      </c>
      <c r="AN1851" s="180">
        <f>Table1[[#This Row],[Min VO]]+Table1[[#This Row],[Max VO]]</f>
        <v>108</v>
      </c>
      <c r="AO1851" s="83"/>
      <c r="AP1851" s="83"/>
      <c r="AQ1851" s="540"/>
      <c r="AR1851" s="540"/>
      <c r="AS1851" s="540"/>
      <c r="AT1851" s="69"/>
      <c r="AU1851" s="1361" t="str">
        <f t="shared" si="678"/>
        <v>-</v>
      </c>
    </row>
    <row r="1852" spans="1:47" s="103" customFormat="1" hidden="1" x14ac:dyDescent="0.2">
      <c r="A1852" s="68" t="s">
        <v>101</v>
      </c>
      <c r="B1852" s="1152" t="s">
        <v>102</v>
      </c>
      <c r="C1852" s="1030" t="s">
        <v>4299</v>
      </c>
      <c r="D1852" s="94"/>
      <c r="E1852" s="84" t="s">
        <v>4300</v>
      </c>
      <c r="F1852" s="84" t="s">
        <v>105</v>
      </c>
      <c r="G1852" s="68" t="s">
        <v>4301</v>
      </c>
      <c r="H1852" s="68" t="s">
        <v>4302</v>
      </c>
      <c r="I1852" s="68" t="s">
        <v>256</v>
      </c>
      <c r="J1852" s="140" t="s">
        <v>257</v>
      </c>
      <c r="K1852" s="68" t="s">
        <v>258</v>
      </c>
      <c r="L1852" s="68" t="s">
        <v>259</v>
      </c>
      <c r="M1852" s="141">
        <v>149</v>
      </c>
      <c r="N1852" s="93"/>
      <c r="O1852" s="68" t="s">
        <v>260</v>
      </c>
      <c r="P1852" s="623">
        <v>10</v>
      </c>
      <c r="Q1852" s="623">
        <v>16</v>
      </c>
      <c r="R1852" s="68">
        <v>10</v>
      </c>
      <c r="S1852" s="623">
        <v>16</v>
      </c>
      <c r="T1852" s="623">
        <v>12</v>
      </c>
      <c r="U1852" s="623">
        <v>18</v>
      </c>
      <c r="V1852" s="1198">
        <f>IF(J1852="Canvas",P1852+Border,P1852)</f>
        <v>10</v>
      </c>
      <c r="W1852" s="1198">
        <f>IF(J1852="Canvas",Q1852+Border,Q1852)</f>
        <v>16</v>
      </c>
      <c r="X1852" s="68" t="s">
        <v>1018</v>
      </c>
      <c r="Y1852" s="1347">
        <f>Table1[[#This Row],[Print Wth]]+Materials!$C$7</f>
        <v>12</v>
      </c>
      <c r="Z1852" s="1347">
        <f>Table1[[#This Row],[Print Ht]]+Materials!$C$7</f>
        <v>18</v>
      </c>
      <c r="AA1852" s="1027">
        <f>(Table1[[#This Row],[Cut Width]]*Table1[[#This Row],[Cut Height]])/144</f>
        <v>1.5</v>
      </c>
      <c r="AB1852" s="297">
        <f>(Table1[[#This Row],[Print Wth]]*Table1[[#This Row],[Print Ht]])/144*canonML</f>
        <v>5.333333333333333</v>
      </c>
      <c r="AC1852" s="74">
        <f>Table1[[#This Row],[Substrate SF]]*Paper</f>
        <v>2.0295000000000001</v>
      </c>
      <c r="AD1852" s="67">
        <f>(Table1[[#This Row],[Print Wth]]*Table1[[#This Row],[Print Ht]])/144*CanonC</f>
        <v>0.30000000000000004</v>
      </c>
      <c r="AE1852" s="74">
        <f>IF(Table1[[#This Row],[Work Center]]="SwissQ",Materials!G$37,IF(Table1[[#This Row],[Work Center]]="Inca",Materials!G$29,IF(Table1[[#This Row],[Work Center]]="Canon",Materials!G$49,Materials!G$45)))</f>
        <v>7</v>
      </c>
      <c r="AF1852" s="73">
        <f>'Cali Frames'!D8</f>
        <v>65</v>
      </c>
      <c r="AG1852" s="84"/>
      <c r="AH1852" s="112">
        <v>0</v>
      </c>
      <c r="AI1852" s="112"/>
      <c r="AJ1852" s="104">
        <f t="shared" si="682"/>
        <v>74.329499999999996</v>
      </c>
      <c r="AK1852" s="62">
        <f t="shared" si="677"/>
        <v>0.50114429530201343</v>
      </c>
      <c r="AL1852" s="225">
        <f>Table1[[#This Row],[WSP/Dealer]]/Table1[[#This Row],[OD Sq Inch]]</f>
        <v>0.68981481481481477</v>
      </c>
      <c r="AM1852" s="218">
        <f>Table1[[#This Row],[OD Wdth]]*Table1[[#This Row],[OD Hgt]]</f>
        <v>216</v>
      </c>
      <c r="AN1852" s="216">
        <f>Table1[[#This Row],[Min VO]]+Table1[[#This Row],[Max VO]]</f>
        <v>26</v>
      </c>
      <c r="AO1852" s="84"/>
      <c r="AP1852" s="84"/>
      <c r="AQ1852" s="74"/>
      <c r="AR1852" s="74"/>
      <c r="AS1852" s="74"/>
      <c r="AT1852" s="74"/>
      <c r="AU1852" s="1357" t="str">
        <f t="shared" si="678"/>
        <v>-</v>
      </c>
    </row>
    <row r="1853" spans="1:47" s="63" customFormat="1" x14ac:dyDescent="0.2">
      <c r="A1853" s="86" t="s">
        <v>58</v>
      </c>
      <c r="B1853" s="279" t="s">
        <v>591</v>
      </c>
      <c r="C1853" s="790" t="s">
        <v>4303</v>
      </c>
      <c r="D1853" s="94" t="s">
        <v>4304</v>
      </c>
      <c r="E1853" s="85" t="s">
        <v>4305</v>
      </c>
      <c r="F1853" s="85" t="s">
        <v>301</v>
      </c>
      <c r="G1853" s="86" t="s">
        <v>51</v>
      </c>
      <c r="H1853" s="86" t="s">
        <v>51</v>
      </c>
      <c r="I1853" s="86" t="s">
        <v>52</v>
      </c>
      <c r="J1853" s="86" t="s">
        <v>53</v>
      </c>
      <c r="K1853" s="86" t="s">
        <v>54</v>
      </c>
      <c r="L1853" s="86" t="s">
        <v>55</v>
      </c>
      <c r="M1853" s="87">
        <v>560</v>
      </c>
      <c r="N1853" s="639">
        <v>560</v>
      </c>
      <c r="O1853" s="101" t="s">
        <v>56</v>
      </c>
      <c r="P1853" s="273">
        <v>30</v>
      </c>
      <c r="Q1853" s="273">
        <v>40</v>
      </c>
      <c r="R1853" s="60">
        <v>30</v>
      </c>
      <c r="S1853" s="273">
        <v>40</v>
      </c>
      <c r="T1853" s="273">
        <f>Table1[[#This Row],[VO Wdth]]</f>
        <v>30</v>
      </c>
      <c r="U1853" s="273">
        <f>Table1[[#This Row],[VO Hgt]]</f>
        <v>40</v>
      </c>
      <c r="V1853" s="106">
        <f>IF(J1853="Canvas",P1853+BorderGW,P1853)</f>
        <v>38</v>
      </c>
      <c r="W1853" s="106">
        <f>IF(J1853="Canvas",Q1853+BorderGW,Q1853)</f>
        <v>48</v>
      </c>
      <c r="X1853" s="157" t="s">
        <v>57</v>
      </c>
      <c r="Y1853" s="60">
        <v>38</v>
      </c>
      <c r="Z1853" s="60">
        <v>96</v>
      </c>
      <c r="AA1853" s="649">
        <f>V1853*W1853/144</f>
        <v>12.666666666666666</v>
      </c>
      <c r="AB1853" s="184">
        <f>AA1853*IncaG</f>
        <v>266.50666666666666</v>
      </c>
      <c r="AC1853" s="104">
        <f>AA1853*Canvas</f>
        <v>8.36</v>
      </c>
      <c r="AD1853" s="107">
        <f>AA1853*IncaC</f>
        <v>21.320533333333334</v>
      </c>
      <c r="AE1853" s="104">
        <f>IF(Table1[[#This Row],[Work Center]]="SwissQ",Materials!G$37,IF(Table1[[#This Row],[Work Center]]="Inca",Materials!G$29,IF(Table1[[#This Row],[Work Center]]="Canon",Materials!G$49,Materials!G$45)))</f>
        <v>8</v>
      </c>
      <c r="AF1853" s="69">
        <f>'Cali FPS'!C$48</f>
        <v>76.3</v>
      </c>
      <c r="AG1853" s="115"/>
      <c r="AH1853" s="498">
        <f t="shared" ref="AH1853:AH1860" si="683">(M1853*0.05)</f>
        <v>28</v>
      </c>
      <c r="AI1853" s="498"/>
      <c r="AJ1853" s="104">
        <f t="shared" si="682"/>
        <v>141.98053333333331</v>
      </c>
      <c r="AK1853" s="650">
        <f t="shared" si="677"/>
        <v>0.74646333333333337</v>
      </c>
      <c r="AL1853" s="225">
        <f>Table1[[#This Row],[WSP/Dealer]]/Table1[[#This Row],[OD Sq Inch]]</f>
        <v>0.46666666666666667</v>
      </c>
      <c r="AM1853" s="218">
        <f>Table1[[#This Row],[OD Wdth]]*Table1[[#This Row],[OD Hgt]]</f>
        <v>1200</v>
      </c>
      <c r="AN1853" s="216">
        <f>Table1[[#This Row],[Min VO]]+Table1[[#This Row],[Max VO]]</f>
        <v>70</v>
      </c>
      <c r="AO1853" s="101"/>
      <c r="AP1853" s="101"/>
      <c r="AQ1853" s="104"/>
      <c r="AR1853" s="104"/>
      <c r="AS1853" s="104"/>
      <c r="AT1853" s="104"/>
      <c r="AU1853" s="830" t="str">
        <f t="shared" si="678"/>
        <v>-</v>
      </c>
    </row>
    <row r="1854" spans="1:47" s="103" customFormat="1" ht="16" x14ac:dyDescent="0.2">
      <c r="A1854" s="60" t="s">
        <v>58</v>
      </c>
      <c r="B1854" s="1061" t="s">
        <v>587</v>
      </c>
      <c r="C1854" s="1555" t="s">
        <v>4306</v>
      </c>
      <c r="D1854" s="94"/>
      <c r="E1854" s="294" t="s">
        <v>4307</v>
      </c>
      <c r="F1854" s="294" t="s">
        <v>124</v>
      </c>
      <c r="G1854" s="295" t="s">
        <v>1508</v>
      </c>
      <c r="H1854" s="295" t="s">
        <v>1508</v>
      </c>
      <c r="I1854" s="181" t="s">
        <v>52</v>
      </c>
      <c r="J1854" s="181" t="s">
        <v>53</v>
      </c>
      <c r="K1854" s="295" t="s">
        <v>54</v>
      </c>
      <c r="L1854" s="181" t="s">
        <v>55</v>
      </c>
      <c r="M1854" s="292">
        <v>900</v>
      </c>
      <c r="N1854" s="639">
        <v>890</v>
      </c>
      <c r="O1854" s="180" t="s">
        <v>56</v>
      </c>
      <c r="P1854" s="180">
        <v>72</v>
      </c>
      <c r="Q1854" s="180">
        <v>36</v>
      </c>
      <c r="R1854" s="60">
        <v>36</v>
      </c>
      <c r="S1854" s="60">
        <v>72</v>
      </c>
      <c r="T1854" s="698">
        <f>Table1[[#This Row],[VO Wdth]]</f>
        <v>72</v>
      </c>
      <c r="U1854" s="698">
        <f>Table1[[#This Row],[VO Hgt]]</f>
        <v>36</v>
      </c>
      <c r="V1854" s="149">
        <f>IF(J1854="Canvas",P1854+Border,P1854)</f>
        <v>80</v>
      </c>
      <c r="W1854" s="149">
        <f>IF(J1854="Canvas",Q1854+Border,Q1854)</f>
        <v>44</v>
      </c>
      <c r="X1854" s="289">
        <v>82</v>
      </c>
      <c r="Y1854" s="180"/>
      <c r="Z1854" s="180"/>
      <c r="AA1854" s="722">
        <f>V1854*W1854/144</f>
        <v>24.444444444444443</v>
      </c>
      <c r="AB1854" s="125">
        <f>AA1854*IncaG</f>
        <v>514.31111111111102</v>
      </c>
      <c r="AC1854" s="69">
        <f>AA1854*Canvas</f>
        <v>16.133333333333333</v>
      </c>
      <c r="AD1854" s="48">
        <f>AA1854*IncaC</f>
        <v>41.144888888888886</v>
      </c>
      <c r="AE1854" s="104">
        <f>IF(Table1[[#This Row],[Work Center]]="SwissQ",Materials!G$37,IF(Table1[[#This Row],[Work Center]]="Inca",Materials!G$29,IF(Table1[[#This Row],[Work Center]]="Canon",Materials!G$49,Materials!G$45)))</f>
        <v>8</v>
      </c>
      <c r="AF1854" s="296">
        <f>'Cali FPS'!C76</f>
        <v>175.17499999999998</v>
      </c>
      <c r="AG1854" s="83"/>
      <c r="AH1854" s="498">
        <f t="shared" si="683"/>
        <v>45</v>
      </c>
      <c r="AI1854" s="498"/>
      <c r="AJ1854" s="48">
        <f t="shared" si="682"/>
        <v>285.45322222222217</v>
      </c>
      <c r="AK1854" s="650">
        <f t="shared" si="677"/>
        <v>0.6828297530864198</v>
      </c>
      <c r="AL1854" s="225">
        <f>Table1[[#This Row],[WSP/Dealer]]/Table1[[#This Row],[OD Sq Inch]]</f>
        <v>0.34722222222222221</v>
      </c>
      <c r="AM1854" s="218">
        <f>Table1[[#This Row],[OD Wdth]]*Table1[[#This Row],[OD Hgt]]</f>
        <v>2592</v>
      </c>
      <c r="AN1854" s="216">
        <f>Table1[[#This Row],[Min VO]]+Table1[[#This Row],[Max VO]]</f>
        <v>108</v>
      </c>
      <c r="AO1854" s="284"/>
      <c r="AP1854" s="284"/>
      <c r="AQ1854" s="296"/>
      <c r="AR1854" s="296"/>
      <c r="AS1854" s="296"/>
      <c r="AT1854" s="176"/>
      <c r="AU1854" s="1358" t="str">
        <f t="shared" si="678"/>
        <v>-</v>
      </c>
    </row>
    <row r="1855" spans="1:47" s="103" customFormat="1" ht="16" x14ac:dyDescent="0.2">
      <c r="A1855" s="60" t="s">
        <v>58</v>
      </c>
      <c r="B1855" s="1061" t="s">
        <v>587</v>
      </c>
      <c r="C1855" s="1555" t="s">
        <v>4308</v>
      </c>
      <c r="D1855" s="94"/>
      <c r="E1855" s="294" t="s">
        <v>4309</v>
      </c>
      <c r="F1855" s="294" t="s">
        <v>124</v>
      </c>
      <c r="G1855" s="295" t="s">
        <v>1913</v>
      </c>
      <c r="H1855" s="295" t="s">
        <v>1913</v>
      </c>
      <c r="I1855" s="181" t="s">
        <v>52</v>
      </c>
      <c r="J1855" s="181" t="s">
        <v>53</v>
      </c>
      <c r="K1855" s="295" t="s">
        <v>54</v>
      </c>
      <c r="L1855" s="181" t="s">
        <v>55</v>
      </c>
      <c r="M1855" s="292">
        <v>1300</v>
      </c>
      <c r="N1855" s="639">
        <v>1300</v>
      </c>
      <c r="O1855" s="180" t="s">
        <v>56</v>
      </c>
      <c r="P1855" s="180">
        <v>90</v>
      </c>
      <c r="Q1855" s="180">
        <v>45</v>
      </c>
      <c r="R1855" s="60">
        <v>45</v>
      </c>
      <c r="S1855" s="60">
        <v>90</v>
      </c>
      <c r="T1855" s="698">
        <f>Table1[[#This Row],[VO Wdth]]</f>
        <v>90</v>
      </c>
      <c r="U1855" s="698">
        <f>Table1[[#This Row],[VO Hgt]]</f>
        <v>45</v>
      </c>
      <c r="V1855" s="149">
        <f>IF(J1855="Canvas",P1855+Border,P1855)</f>
        <v>98</v>
      </c>
      <c r="W1855" s="149">
        <f>IF(J1855="Canvas",Q1855+Border,Q1855)</f>
        <v>53</v>
      </c>
      <c r="X1855" s="289">
        <v>53</v>
      </c>
      <c r="Y1855" s="180"/>
      <c r="Z1855" s="180"/>
      <c r="AA1855" s="722">
        <f>V1855*W1855/144</f>
        <v>36.069444444444443</v>
      </c>
      <c r="AB1855" s="125">
        <f>AA1855*IncaG</f>
        <v>758.90111111111105</v>
      </c>
      <c r="AC1855" s="69">
        <f>AA1855*Canvas</f>
        <v>23.805833333333332</v>
      </c>
      <c r="AD1855" s="48">
        <f>AA1855*IncaC</f>
        <v>60.712088888888886</v>
      </c>
      <c r="AE1855" s="104">
        <f>IF(Table1[[#This Row],[Work Center]]="SwissQ",Materials!G$37,IF(Table1[[#This Row],[Work Center]]="Inca",Materials!G$29,IF(Table1[[#This Row],[Work Center]]="Canon",Materials!G$49,Materials!G$45)))</f>
        <v>8</v>
      </c>
      <c r="AF1855" s="296">
        <f>'Cali FPS'!C107</f>
        <v>230.05500000000001</v>
      </c>
      <c r="AG1855" s="83"/>
      <c r="AH1855" s="498">
        <f t="shared" si="683"/>
        <v>65</v>
      </c>
      <c r="AI1855" s="498"/>
      <c r="AJ1855" s="69">
        <f t="shared" si="682"/>
        <v>387.57292222222225</v>
      </c>
      <c r="AK1855" s="650">
        <f t="shared" si="677"/>
        <v>0.70186698290598293</v>
      </c>
      <c r="AL1855" s="225">
        <f>Table1[[#This Row],[WSP/Dealer]]/Table1[[#This Row],[OD Sq Inch]]</f>
        <v>0.32098765432098764</v>
      </c>
      <c r="AM1855" s="218">
        <f>Table1[[#This Row],[OD Wdth]]*Table1[[#This Row],[OD Hgt]]</f>
        <v>4050</v>
      </c>
      <c r="AN1855" s="216">
        <f>Table1[[#This Row],[Min VO]]+Table1[[#This Row],[Max VO]]</f>
        <v>135</v>
      </c>
      <c r="AO1855" s="284"/>
      <c r="AP1855" s="284"/>
      <c r="AQ1855" s="296"/>
      <c r="AR1855" s="296"/>
      <c r="AS1855" s="296"/>
      <c r="AT1855" s="176"/>
      <c r="AU1855" s="1358" t="str">
        <f t="shared" si="678"/>
        <v>-</v>
      </c>
    </row>
    <row r="1856" spans="1:47" s="103" customFormat="1" hidden="1" x14ac:dyDescent="0.2">
      <c r="A1856" s="373"/>
      <c r="B1856" s="1061"/>
      <c r="C1856" s="1736"/>
      <c r="D1856" s="94"/>
      <c r="E1856" s="84" t="s">
        <v>4310</v>
      </c>
      <c r="F1856" s="84" t="s">
        <v>50</v>
      </c>
      <c r="G1856" s="68" t="s">
        <v>519</v>
      </c>
      <c r="H1856" s="68" t="s">
        <v>519</v>
      </c>
      <c r="I1856" s="363" t="s">
        <v>52</v>
      </c>
      <c r="J1856" s="646" t="s">
        <v>280</v>
      </c>
      <c r="K1856" s="68" t="s">
        <v>281</v>
      </c>
      <c r="L1856" s="363" t="s">
        <v>282</v>
      </c>
      <c r="M1856" s="141">
        <v>230</v>
      </c>
      <c r="N1856" s="71"/>
      <c r="O1856" s="68" t="s">
        <v>56</v>
      </c>
      <c r="P1856" s="68">
        <v>16</v>
      </c>
      <c r="Q1856" s="68">
        <v>20</v>
      </c>
      <c r="R1856" s="68">
        <v>16</v>
      </c>
      <c r="S1856" s="68">
        <v>20</v>
      </c>
      <c r="T1856" s="623">
        <v>16</v>
      </c>
      <c r="U1856" s="623">
        <v>20</v>
      </c>
      <c r="V1856" s="686">
        <f>IF(J1856="Canvas",P1856+Border,P1856)</f>
        <v>16</v>
      </c>
      <c r="W1856" s="686">
        <f>IF(J1856="Canvas",Q1856+Border,Q1856)</f>
        <v>20</v>
      </c>
      <c r="X1856" s="189" t="s">
        <v>283</v>
      </c>
      <c r="Y1856" s="68">
        <v>16</v>
      </c>
      <c r="Z1856" s="68">
        <v>20</v>
      </c>
      <c r="AA1856" s="727">
        <f>V1856*W1856/144</f>
        <v>2.2222222222222223</v>
      </c>
      <c r="AB1856" s="297">
        <f>AA1856*IncaG</f>
        <v>46.755555555555553</v>
      </c>
      <c r="AC1856" s="278">
        <f>MDFSHEET/10</f>
        <v>2.4350000000000001</v>
      </c>
      <c r="AD1856" s="263">
        <f>Table1[[#This Row],[Substrate SF]]*IncaC</f>
        <v>3.7404444444444445</v>
      </c>
      <c r="AE1856" s="104">
        <f>IF(Table1[[#This Row],[Work Center]]="SwissQ",Materials!G$37,IF(Table1[[#This Row],[Work Center]]="Inca",Materials!G$29,IF(Table1[[#This Row],[Work Center]]="Canon",Materials!G$49,Materials!G$45)))</f>
        <v>8</v>
      </c>
      <c r="AF1856" s="278">
        <f>'Cali Frames'!D$535</f>
        <v>87.64</v>
      </c>
      <c r="AG1856" s="115"/>
      <c r="AH1856" s="498">
        <f t="shared" si="683"/>
        <v>11.5</v>
      </c>
      <c r="AI1856" s="498"/>
      <c r="AJ1856" s="278">
        <f t="shared" si="682"/>
        <v>113.31544444444444</v>
      </c>
      <c r="AK1856" s="650">
        <f t="shared" ref="AK1856:AK1887" si="684">(M1856-AJ1856)/M1856</f>
        <v>0.50732415458937197</v>
      </c>
      <c r="AL1856" s="225">
        <f>Table1[[#This Row],[WSP/Dealer]]/Table1[[#This Row],[OD Sq Inch]]</f>
        <v>0.71875</v>
      </c>
      <c r="AM1856" s="274">
        <f>Table1[[#This Row],[OD Wdth]]*Table1[[#This Row],[OD Hgt]]</f>
        <v>320</v>
      </c>
      <c r="AN1856" s="274" t="str">
        <f>Table1[[#This Row],[Color]]</f>
        <v>NGM</v>
      </c>
      <c r="AO1856" s="84" t="str">
        <f>Table1[[#This Row],[Print Type]]</f>
        <v>Synograph</v>
      </c>
      <c r="AP1856" s="121"/>
      <c r="AQ1856" s="121"/>
      <c r="AR1856" s="121"/>
      <c r="AS1856" s="121"/>
      <c r="AT1856" s="104"/>
      <c r="AU1856" s="1357" t="str">
        <f t="shared" si="678"/>
        <v>-</v>
      </c>
    </row>
    <row r="1857" spans="1:47" s="103" customFormat="1" hidden="1" x14ac:dyDescent="0.2">
      <c r="A1857" s="60" t="s">
        <v>318</v>
      </c>
      <c r="B1857" s="1071" t="s">
        <v>305</v>
      </c>
      <c r="C1857" s="1035" t="s">
        <v>4311</v>
      </c>
      <c r="D1857" s="79"/>
      <c r="E1857" s="83" t="s">
        <v>4312</v>
      </c>
      <c r="F1857" s="83" t="s">
        <v>322</v>
      </c>
      <c r="G1857" s="60" t="s">
        <v>2194</v>
      </c>
      <c r="H1857" s="60" t="s">
        <v>302</v>
      </c>
      <c r="I1857" s="60" t="s">
        <v>256</v>
      </c>
      <c r="J1857" s="59" t="s">
        <v>257</v>
      </c>
      <c r="K1857" s="60" t="s">
        <v>258</v>
      </c>
      <c r="L1857" s="60" t="s">
        <v>259</v>
      </c>
      <c r="M1857" s="124">
        <v>400</v>
      </c>
      <c r="N1857" s="124"/>
      <c r="O1857" s="60" t="s">
        <v>260</v>
      </c>
      <c r="P1857" s="60">
        <v>22</v>
      </c>
      <c r="Q1857" s="60">
        <v>30</v>
      </c>
      <c r="R1857" s="60">
        <v>22</v>
      </c>
      <c r="S1857" s="273">
        <v>30</v>
      </c>
      <c r="T1857" s="60">
        <v>24</v>
      </c>
      <c r="U1857" s="60">
        <v>32</v>
      </c>
      <c r="V1857" s="946">
        <f>IF(J1857="Canvas",P1857+BorderGW,P1857)</f>
        <v>22</v>
      </c>
      <c r="W1857" s="946">
        <f>IF(J1857="Canvas",Q1857+BorderGW,Q1857)</f>
        <v>30</v>
      </c>
      <c r="X1857" s="60" t="s">
        <v>257</v>
      </c>
      <c r="Y1857" s="1444">
        <v>24</v>
      </c>
      <c r="Z1857" s="1444">
        <v>32</v>
      </c>
      <c r="AA1857" s="678">
        <f>(Table1[[#This Row],[Cut Width]]*Table1[[#This Row],[Cut Height]])/144</f>
        <v>5.333333333333333</v>
      </c>
      <c r="AB1857" s="125">
        <f>(Table1[[#This Row],[Print Wth]]*Table1[[#This Row],[Print Ht]])/144*canonML</f>
        <v>21.999999999999996</v>
      </c>
      <c r="AC1857" s="69">
        <f>Table1[[#This Row],[Substrate SF]]*Paper</f>
        <v>7.2159999999999993</v>
      </c>
      <c r="AD1857" s="48">
        <f>(Table1[[#This Row],[Print Wth]]*Table1[[#This Row],[Print Ht]])/144*CanonC</f>
        <v>1.2375</v>
      </c>
      <c r="AE1857" s="69">
        <f>IF(Table1[[#This Row],[Work Center]]="SwissQ",Materials!G$37,IF(Table1[[#This Row],[Work Center]]="Inca",Materials!G$29,IF(Table1[[#This Row],[Work Center]]="Canon",Materials!G$49,Materials!G$45)))</f>
        <v>7</v>
      </c>
      <c r="AF1857" s="72">
        <f>'Cali Frames'!D33</f>
        <v>95</v>
      </c>
      <c r="AG1857" s="540"/>
      <c r="AH1857" s="48">
        <f t="shared" si="683"/>
        <v>20</v>
      </c>
      <c r="AI1857" s="175"/>
      <c r="AJ1857" s="176">
        <f t="shared" si="682"/>
        <v>130.45350000000002</v>
      </c>
      <c r="AK1857" s="62">
        <f t="shared" si="684"/>
        <v>0.67386625</v>
      </c>
      <c r="AL1857" s="225">
        <f>Table1[[#This Row],[WSP/Dealer]]/Table1[[#This Row],[OD Sq Inch]]</f>
        <v>0.52083333333333337</v>
      </c>
      <c r="AM1857" s="173">
        <f>Table1[[#This Row],[OD Wdth]]*Table1[[#This Row],[OD Hgt]]</f>
        <v>768</v>
      </c>
      <c r="AN1857" s="180">
        <f>Table1[[#This Row],[Min VO]]+Table1[[#This Row],[Max VO]]</f>
        <v>52</v>
      </c>
      <c r="AO1857" s="83"/>
      <c r="AP1857" s="821"/>
      <c r="AQ1857" s="72">
        <f>(Table1[[#This Row],[Desgnr/Retail P]]*0.05)</f>
        <v>0</v>
      </c>
      <c r="AR1857" s="72" t="b">
        <f>IF(A1857="Codarus",(AP1857*0.13))</f>
        <v>0</v>
      </c>
      <c r="AS1857" s="72" t="e" cm="1">
        <f t="array" ref="AS1857">SUM(AC1857:AG1857+AQ+AR)</f>
        <v>#NAME?</v>
      </c>
      <c r="AT1857" s="72" t="e">
        <f>(AP1857-AS1857)/AP1857</f>
        <v>#NAME?</v>
      </c>
      <c r="AU1857" s="1361" t="str">
        <f t="shared" si="678"/>
        <v>-</v>
      </c>
    </row>
    <row r="1858" spans="1:47" s="63" customFormat="1" hidden="1" x14ac:dyDescent="0.2">
      <c r="A1858" s="101" t="s">
        <v>110</v>
      </c>
      <c r="B1858" s="1067" t="s">
        <v>250</v>
      </c>
      <c r="C1858" s="1093" t="s">
        <v>4313</v>
      </c>
      <c r="D1858" s="168"/>
      <c r="E1858" s="115" t="s">
        <v>4314</v>
      </c>
      <c r="F1858" s="115" t="s">
        <v>99</v>
      </c>
      <c r="G1858" s="101" t="s">
        <v>115</v>
      </c>
      <c r="H1858" s="101" t="s">
        <v>145</v>
      </c>
      <c r="I1858" s="101" t="s">
        <v>52</v>
      </c>
      <c r="J1858" s="487" t="s">
        <v>53</v>
      </c>
      <c r="K1858" s="101" t="s">
        <v>69</v>
      </c>
      <c r="L1858" s="101" t="s">
        <v>73</v>
      </c>
      <c r="M1858" s="114">
        <v>600</v>
      </c>
      <c r="N1858" s="114"/>
      <c r="O1858" s="101" t="s">
        <v>56</v>
      </c>
      <c r="P1858" s="101">
        <v>48</v>
      </c>
      <c r="Q1858" s="101">
        <v>48</v>
      </c>
      <c r="R1858" s="101">
        <v>48</v>
      </c>
      <c r="S1858" s="697">
        <v>48</v>
      </c>
      <c r="T1858" s="101">
        <v>49</v>
      </c>
      <c r="U1858" s="101">
        <v>49</v>
      </c>
      <c r="V1858" s="608">
        <f>IF(J1858="Canvas",P1858+Border,P1858)</f>
        <v>56</v>
      </c>
      <c r="W1858" s="608">
        <v>56</v>
      </c>
      <c r="X1858" s="101">
        <v>59</v>
      </c>
      <c r="Y1858" s="101">
        <v>56</v>
      </c>
      <c r="Z1858" s="101">
        <v>56</v>
      </c>
      <c r="AA1858" s="1011">
        <f>V1858*W1858/144</f>
        <v>21.777777777777779</v>
      </c>
      <c r="AB1858" s="1015">
        <f>AA1858*IncaG</f>
        <v>458.20444444444445</v>
      </c>
      <c r="AC1858" s="406">
        <f>AA1858*Canvas</f>
        <v>14.373333333333335</v>
      </c>
      <c r="AD1858" s="1000">
        <f>Table1[[#This Row],[Ink g/mL]]*Materials!$C$29</f>
        <v>36.656355555555557</v>
      </c>
      <c r="AE1858" s="406">
        <f>IF(Table1[[#This Row],[Work Center]]="SwissQ",Materials!G$37,IF(Table1[[#This Row],[Work Center]]="Inca",Materials!G$29,IF(Table1[[#This Row],[Work Center]]="Canon",Materials!G$49,Materials!G$45)))</f>
        <v>8</v>
      </c>
      <c r="AF1858" s="102">
        <f>'Cali Frames'!D466</f>
        <v>150.6575</v>
      </c>
      <c r="AG1858" s="115"/>
      <c r="AH1858" s="107">
        <f t="shared" si="683"/>
        <v>30</v>
      </c>
      <c r="AI1858" s="405">
        <f>IF(A1858="Codarus",(M1858*0.13))</f>
        <v>78</v>
      </c>
      <c r="AJ1858" s="406">
        <f t="shared" si="682"/>
        <v>239.6871888888889</v>
      </c>
      <c r="AK1858" s="108">
        <f t="shared" si="684"/>
        <v>0.60052135185185185</v>
      </c>
      <c r="AL1858" s="660">
        <f>Table1[[#This Row],[WSP/Dealer]]/Table1[[#This Row],[OD Sq Inch]]</f>
        <v>0.24989587671803415</v>
      </c>
      <c r="AM1858" s="399">
        <f>Table1[[#This Row],[OD Wdth]]*Table1[[#This Row],[OD Hgt]]</f>
        <v>2401</v>
      </c>
      <c r="AN1858" s="400">
        <f>Table1[[#This Row],[Min VO]]+Table1[[#This Row],[Max VO]]</f>
        <v>96</v>
      </c>
      <c r="AO1858" s="115"/>
      <c r="AP1858" s="121">
        <v>1200</v>
      </c>
      <c r="AQ1858" s="121">
        <f>(Table1[[#This Row],[Desgnr/Retail P]]*0.05)</f>
        <v>60</v>
      </c>
      <c r="AR1858" s="121">
        <f>IF(A1858="Codarus",(AP1858*0.13))</f>
        <v>156</v>
      </c>
      <c r="AS1858" s="121">
        <f>SUM(Table1[[#This Row],[Substrate $]:[GP FINISH]])+Table1[[#This Row],[Retail Royalty]]+Table1[[#This Row],[Retail$Comm]]</f>
        <v>425.6871888888889</v>
      </c>
      <c r="AT1858" s="830">
        <f>IF(AP1858=0,"-",(AP1858-AS1858)/AP1858)</f>
        <v>0.64526067592592595</v>
      </c>
      <c r="AU1858" s="1359">
        <f t="shared" si="678"/>
        <v>0.98924565540123455</v>
      </c>
    </row>
    <row r="1859" spans="1:47" s="103" customFormat="1" x14ac:dyDescent="0.2">
      <c r="A1859" s="86" t="s">
        <v>58</v>
      </c>
      <c r="B1859" s="1061" t="s">
        <v>366</v>
      </c>
      <c r="C1859" s="1093" t="s">
        <v>4315</v>
      </c>
      <c r="D1859" s="94" t="s">
        <v>4316</v>
      </c>
      <c r="E1859" s="85" t="s">
        <v>4314</v>
      </c>
      <c r="F1859" s="85" t="s">
        <v>99</v>
      </c>
      <c r="G1859" s="86" t="s">
        <v>115</v>
      </c>
      <c r="H1859" s="86" t="s">
        <v>387</v>
      </c>
      <c r="I1859" s="86" t="s">
        <v>52</v>
      </c>
      <c r="J1859" s="86" t="s">
        <v>53</v>
      </c>
      <c r="K1859" s="86" t="s">
        <v>82</v>
      </c>
      <c r="L1859" s="86" t="s">
        <v>334</v>
      </c>
      <c r="M1859" s="87">
        <v>770</v>
      </c>
      <c r="N1859" s="639">
        <v>970</v>
      </c>
      <c r="O1859" s="551" t="s">
        <v>64</v>
      </c>
      <c r="P1859" s="101">
        <v>48</v>
      </c>
      <c r="Q1859" s="101">
        <v>48</v>
      </c>
      <c r="R1859" s="60">
        <v>48</v>
      </c>
      <c r="S1859" s="273">
        <v>48</v>
      </c>
      <c r="T1859" s="101">
        <v>50</v>
      </c>
      <c r="U1859" s="101" t="str">
        <f>RIGHT(H1859,2)</f>
        <v>50</v>
      </c>
      <c r="V1859" s="608">
        <f>IF(J1859="Canvas",P1859+Border,P1859)</f>
        <v>56</v>
      </c>
      <c r="W1859" s="608">
        <f>IF(J1859="Canvas",Q1859+Border,Q1859)</f>
        <v>56</v>
      </c>
      <c r="X1859" s="311" t="s">
        <v>2722</v>
      </c>
      <c r="Y1859" s="551"/>
      <c r="Z1859" s="551"/>
      <c r="AA1859" s="649">
        <f>V1859*W1859/144</f>
        <v>21.777777777777779</v>
      </c>
      <c r="AB1859" s="125">
        <f>AA1859*Swiss1</f>
        <v>616.31111111111113</v>
      </c>
      <c r="AC1859" s="104">
        <f>AA1859*Canvas</f>
        <v>14.373333333333335</v>
      </c>
      <c r="AD1859" s="104">
        <f>AA1859*Materials!D37</f>
        <v>98</v>
      </c>
      <c r="AE1859" s="104">
        <f>IF(Table1[[#This Row],[Work Center]]="SwissQ",Materials!G$37,IF(Table1[[#This Row],[Work Center]]="Inca",Materials!G$29,IF(Table1[[#This Row],[Work Center]]="Canon",Materials!G$49,Materials!G$45)))</f>
        <v>20</v>
      </c>
      <c r="AF1859" s="104">
        <f>'Cali Frames'!D$215</f>
        <v>150.88499999999999</v>
      </c>
      <c r="AG1859" s="115"/>
      <c r="AH1859" s="498">
        <f t="shared" si="683"/>
        <v>38.5</v>
      </c>
      <c r="AI1859" s="498"/>
      <c r="AJ1859" s="104">
        <f t="shared" si="682"/>
        <v>321.75833333333333</v>
      </c>
      <c r="AK1859" s="650">
        <f t="shared" si="684"/>
        <v>0.58213203463203467</v>
      </c>
      <c r="AL1859" s="225">
        <f>Table1[[#This Row],[WSP/Dealer]]/Table1[[#This Row],[OD Sq Inch]]</f>
        <v>0.308</v>
      </c>
      <c r="AM1859" s="97">
        <f>Table1[[#This Row],[OD Wdth]]*Table1[[#This Row],[OD Hgt]]</f>
        <v>2500</v>
      </c>
      <c r="AN1859" s="216">
        <f>Table1[[#This Row],[Min VO]]+Table1[[#This Row],[Max VO]]</f>
        <v>96</v>
      </c>
      <c r="AO1859" s="101"/>
      <c r="AP1859" s="101"/>
      <c r="AQ1859" s="104"/>
      <c r="AR1859" s="104"/>
      <c r="AS1859" s="104"/>
      <c r="AT1859" s="104"/>
      <c r="AU1859" s="830" t="str">
        <f t="shared" si="678"/>
        <v>-</v>
      </c>
    </row>
    <row r="1860" spans="1:47" s="63" customFormat="1" hidden="1" x14ac:dyDescent="0.2">
      <c r="A1860" s="101"/>
      <c r="B1860" s="1061"/>
      <c r="C1860" s="1420" t="s">
        <v>4317</v>
      </c>
      <c r="D1860" s="94"/>
      <c r="E1860" s="115" t="s">
        <v>4318</v>
      </c>
      <c r="F1860" s="154" t="s">
        <v>301</v>
      </c>
      <c r="G1860" s="101" t="s">
        <v>4319</v>
      </c>
      <c r="H1860" s="101"/>
      <c r="I1860" s="60" t="s">
        <v>52</v>
      </c>
      <c r="J1860" s="59" t="s">
        <v>53</v>
      </c>
      <c r="K1860" s="60" t="s">
        <v>54</v>
      </c>
      <c r="L1860" s="101" t="s">
        <v>55</v>
      </c>
      <c r="M1860" s="299">
        <v>800</v>
      </c>
      <c r="N1860" s="71"/>
      <c r="O1860" s="101" t="s">
        <v>56</v>
      </c>
      <c r="P1860" s="60">
        <v>89</v>
      </c>
      <c r="Q1860" s="60">
        <v>69</v>
      </c>
      <c r="R1860" s="60">
        <v>69</v>
      </c>
      <c r="S1860" s="60">
        <v>89</v>
      </c>
      <c r="T1860" s="60">
        <v>89</v>
      </c>
      <c r="U1860" s="60">
        <v>69</v>
      </c>
      <c r="V1860" s="149">
        <f>IF(J1860="Canvas",P1860+Border,P1860)</f>
        <v>97</v>
      </c>
      <c r="W1860" s="149">
        <f>IF(J1860="Canvas",Q1860+Border,Q1860)</f>
        <v>77</v>
      </c>
      <c r="X1860" s="137">
        <v>82</v>
      </c>
      <c r="Y1860" s="101"/>
      <c r="Z1860" s="101"/>
      <c r="AA1860" s="649">
        <f>V1860*W1860/144</f>
        <v>51.868055555555557</v>
      </c>
      <c r="AB1860" s="125">
        <f>AA1860*Swiss1</f>
        <v>1467.8659722222224</v>
      </c>
      <c r="AC1860" s="104">
        <f>AA1860*Canvas</f>
        <v>34.232916666666668</v>
      </c>
      <c r="AD1860" s="107">
        <f>AA1860*IncaC</f>
        <v>87.304311111111119</v>
      </c>
      <c r="AE1860" s="104">
        <f>IF(Table1[[#This Row],[Work Center]]="SwissQ",Materials!G$37,IF(Table1[[#This Row],[Work Center]]="Inca",Materials!G$29,IF(Table1[[#This Row],[Work Center]]="Canon",Materials!G$49,Materials!G$45)))</f>
        <v>8</v>
      </c>
      <c r="AF1860" s="102">
        <f>'Cali FPS'!H169</f>
        <v>225.67</v>
      </c>
      <c r="AG1860" s="121"/>
      <c r="AH1860" s="112">
        <f t="shared" si="683"/>
        <v>40</v>
      </c>
      <c r="AI1860" s="112"/>
      <c r="AJ1860" s="107">
        <f t="shared" si="682"/>
        <v>395.2072277777778</v>
      </c>
      <c r="AK1860" s="62">
        <f t="shared" si="684"/>
        <v>0.50599096527777776</v>
      </c>
      <c r="AL1860" s="225" t="e">
        <f>Table1[[#This Row],[WSP/Dealer]]/Table1[[#This Row],[OD Sq Inch]]</f>
        <v>#DIV/0!</v>
      </c>
      <c r="AM1860" s="113"/>
      <c r="AN1860" s="216">
        <f>Table1[[#This Row],[Min VO]]+Table1[[#This Row],[Max VO]]</f>
        <v>158</v>
      </c>
      <c r="AO1860" s="115"/>
      <c r="AP1860" s="115"/>
      <c r="AQ1860" s="121"/>
      <c r="AR1860" s="121"/>
      <c r="AS1860" s="121"/>
      <c r="AT1860" s="104"/>
      <c r="AU1860" s="1359" t="str">
        <f t="shared" si="678"/>
        <v>-</v>
      </c>
    </row>
    <row r="1861" spans="1:47" s="63" customFormat="1" hidden="1" x14ac:dyDescent="0.2">
      <c r="A1861" s="166"/>
      <c r="B1861" s="1061"/>
      <c r="C1861" s="1557" t="s">
        <v>4320</v>
      </c>
      <c r="D1861" s="94"/>
      <c r="E1861" s="158" t="s">
        <v>4321</v>
      </c>
      <c r="F1861" s="167" t="s">
        <v>301</v>
      </c>
      <c r="G1861" s="166"/>
      <c r="H1861" s="166"/>
      <c r="I1861" s="166"/>
      <c r="J1861" s="1418"/>
      <c r="K1861" s="166"/>
      <c r="L1861" s="166"/>
      <c r="M1861" s="1770"/>
      <c r="N1861" s="831"/>
      <c r="O1861" s="166"/>
      <c r="P1861" s="159"/>
      <c r="Q1861" s="159"/>
      <c r="R1861" s="166"/>
      <c r="S1861" s="159"/>
      <c r="T1861" s="916"/>
      <c r="U1861" s="916"/>
      <c r="V1861" s="1198"/>
      <c r="W1861" s="1198"/>
      <c r="X1861" s="381"/>
      <c r="Y1861" s="166"/>
      <c r="Z1861" s="166"/>
      <c r="AA1861" s="766"/>
      <c r="AB1861" s="382"/>
      <c r="AC1861" s="162"/>
      <c r="AD1861" s="161"/>
      <c r="AE1861" s="74"/>
      <c r="AF1861" s="162"/>
      <c r="AG1861" s="84"/>
      <c r="AH1861" s="67"/>
      <c r="AI1861" s="67"/>
      <c r="AJ1861" s="161"/>
      <c r="AK1861" s="661"/>
      <c r="AL1861" s="240"/>
      <c r="AM1861" s="235"/>
      <c r="AN1861" s="238"/>
      <c r="AO1861" s="142"/>
      <c r="AP1861" s="142"/>
      <c r="AQ1861" s="924">
        <f>(Table1[[#This Row],[Desgnr/Retail P]]*0.05)</f>
        <v>0</v>
      </c>
      <c r="AR1861" s="924" t="b">
        <f>IF(A1861="Codarus",(AP1861*0.13))</f>
        <v>0</v>
      </c>
      <c r="AS1861" s="924" t="e" cm="1">
        <f t="array" ref="AS1861">SUM(AC1861:AG1861+AQ+AR)</f>
        <v>#NAME?</v>
      </c>
      <c r="AT1861" s="162" t="e">
        <f>(AP1861-AS1861)/AP1861</f>
        <v>#NAME?</v>
      </c>
      <c r="AU1861" s="1644" t="str">
        <f t="shared" si="678"/>
        <v>-</v>
      </c>
    </row>
    <row r="1862" spans="1:47" s="1429" customFormat="1" x14ac:dyDescent="0.2">
      <c r="A1862" s="145" t="s">
        <v>58</v>
      </c>
      <c r="B1862" s="279" t="s">
        <v>533</v>
      </c>
      <c r="C1862" s="962" t="s">
        <v>4322</v>
      </c>
      <c r="D1862" s="94" t="s">
        <v>4323</v>
      </c>
      <c r="E1862" s="146" t="s">
        <v>4324</v>
      </c>
      <c r="F1862" s="154" t="s">
        <v>301</v>
      </c>
      <c r="G1862" s="145" t="s">
        <v>4325</v>
      </c>
      <c r="H1862" s="145" t="s">
        <v>4325</v>
      </c>
      <c r="I1862" s="145" t="s">
        <v>52</v>
      </c>
      <c r="J1862" s="632" t="s">
        <v>53</v>
      </c>
      <c r="K1862" s="145" t="s">
        <v>54</v>
      </c>
      <c r="L1862" s="145" t="s">
        <v>55</v>
      </c>
      <c r="M1862" s="155">
        <v>900</v>
      </c>
      <c r="N1862" s="639">
        <v>900</v>
      </c>
      <c r="O1862" s="145" t="s">
        <v>64</v>
      </c>
      <c r="P1862" s="145">
        <v>58</v>
      </c>
      <c r="Q1862" s="145">
        <v>45</v>
      </c>
      <c r="R1862" s="145">
        <v>58</v>
      </c>
      <c r="S1862" s="145">
        <v>45</v>
      </c>
      <c r="T1862" s="698">
        <v>58</v>
      </c>
      <c r="U1862" s="698">
        <v>45</v>
      </c>
      <c r="V1862" s="149">
        <f>IF(J1862="Canvas",P1862+BorderL,P1862)</f>
        <v>69</v>
      </c>
      <c r="W1862" s="149">
        <f>IF(J1862="Canvas",Q1862+BorderL,Q1862)</f>
        <v>56</v>
      </c>
      <c r="X1862" s="157" t="s">
        <v>2722</v>
      </c>
      <c r="Y1862" s="145"/>
      <c r="Z1862" s="145"/>
      <c r="AA1862" s="722">
        <f>V1862*W1862/144</f>
        <v>26.833333333333332</v>
      </c>
      <c r="AB1862" s="389">
        <f>AA1862*Swiss1</f>
        <v>759.38333333333333</v>
      </c>
      <c r="AC1862" s="606">
        <f>AA1862*Canvas</f>
        <v>17.71</v>
      </c>
      <c r="AD1862" s="150">
        <f>Table1[[#This Row],[Substrate SF]]*Materials!C$37</f>
        <v>75.133333333333326</v>
      </c>
      <c r="AE1862" s="104">
        <f>IF(Table1[[#This Row],[Work Center]]="SwissQ",Materials!G$37,IF(Table1[[#This Row],[Work Center]]="Inca",Materials!G$29,IF(Table1[[#This Row],[Work Center]]="Canon",Materials!G$49,Materials!G$45)))</f>
        <v>20</v>
      </c>
      <c r="AF1862" s="143">
        <f>'Cali FPS'!C105</f>
        <v>172.20000000000002</v>
      </c>
      <c r="AG1862" s="115"/>
      <c r="AH1862" s="112">
        <f>(M1862*0.05)</f>
        <v>45</v>
      </c>
      <c r="AI1862" s="112"/>
      <c r="AJ1862" s="143">
        <f>SUM(AC1862:AH1862)</f>
        <v>330.04333333333335</v>
      </c>
      <c r="AK1862" s="62">
        <f t="shared" ref="AK1862:AK1893" si="685">(M1862-AJ1862)/M1862</f>
        <v>0.63328518518518528</v>
      </c>
      <c r="AL1862" s="225">
        <f>Table1[[#This Row],[WSP/Dealer]]/Table1[[#This Row],[OD Sq Inch]]</f>
        <v>0.34482758620689657</v>
      </c>
      <c r="AM1862" s="218">
        <f>Table1[[#This Row],[OD Wdth]]*Table1[[#This Row],[OD Hgt]]</f>
        <v>2610</v>
      </c>
      <c r="AN1862" s="216">
        <f>Table1[[#This Row],[Min VO]]+Table1[[#This Row],[Max VO]]</f>
        <v>103</v>
      </c>
      <c r="AO1862" s="147"/>
      <c r="AP1862" s="147"/>
      <c r="AQ1862" s="635"/>
      <c r="AR1862" s="635"/>
      <c r="AS1862" s="635"/>
      <c r="AT1862" s="143"/>
      <c r="AU1862" s="1370" t="str">
        <f t="shared" si="678"/>
        <v>-</v>
      </c>
    </row>
    <row r="1863" spans="1:47" s="103" customFormat="1" x14ac:dyDescent="0.2">
      <c r="A1863" s="145" t="s">
        <v>58</v>
      </c>
      <c r="B1863" s="279" t="s">
        <v>533</v>
      </c>
      <c r="C1863" s="962" t="s">
        <v>4326</v>
      </c>
      <c r="D1863" s="94" t="s">
        <v>4327</v>
      </c>
      <c r="E1863" s="146" t="s">
        <v>4328</v>
      </c>
      <c r="F1863" s="154" t="s">
        <v>301</v>
      </c>
      <c r="G1863" s="145" t="s">
        <v>4319</v>
      </c>
      <c r="H1863" s="145" t="s">
        <v>4319</v>
      </c>
      <c r="I1863" s="145" t="s">
        <v>52</v>
      </c>
      <c r="J1863" s="145" t="s">
        <v>53</v>
      </c>
      <c r="K1863" s="145" t="s">
        <v>54</v>
      </c>
      <c r="L1863" s="145" t="s">
        <v>55</v>
      </c>
      <c r="M1863" s="151">
        <v>1800</v>
      </c>
      <c r="N1863" s="639">
        <v>1800</v>
      </c>
      <c r="O1863" s="145" t="s">
        <v>64</v>
      </c>
      <c r="P1863" s="145">
        <v>89</v>
      </c>
      <c r="Q1863" s="145">
        <v>69</v>
      </c>
      <c r="R1863" s="145">
        <v>69</v>
      </c>
      <c r="S1863" s="145">
        <v>89</v>
      </c>
      <c r="T1863" s="698">
        <f>Table1[[#This Row],[VO Wdth]]</f>
        <v>89</v>
      </c>
      <c r="U1863" s="698">
        <f>Table1[[#This Row],[VO Hgt]]</f>
        <v>69</v>
      </c>
      <c r="V1863" s="913">
        <f>IF(J1863="Canvas",P1863+BorderL,P1863)</f>
        <v>100</v>
      </c>
      <c r="W1863" s="913">
        <f>IF(J1863="Canvas",Q1863+BorderL,Q1863)</f>
        <v>80</v>
      </c>
      <c r="X1863" s="68">
        <v>122</v>
      </c>
      <c r="Y1863" s="145"/>
      <c r="Z1863" s="145"/>
      <c r="AA1863" s="722">
        <f>V1863*W1863/144</f>
        <v>55.555555555555557</v>
      </c>
      <c r="AB1863" s="389">
        <f>AA1863*Swiss1</f>
        <v>1572.2222222222224</v>
      </c>
      <c r="AC1863" s="606">
        <f>AA1863*Canvas</f>
        <v>36.666666666666671</v>
      </c>
      <c r="AD1863" s="150">
        <f>Table1[[#This Row],[Substrate SF]]*Materials!C$37</f>
        <v>155.55555555555554</v>
      </c>
      <c r="AE1863" s="104">
        <f>IF(Table1[[#This Row],[Work Center]]="SwissQ",Materials!G$37,IF(Table1[[#This Row],[Work Center]]="Inca",Materials!G$29,IF(Table1[[#This Row],[Work Center]]="Canon",Materials!G$49,Materials!G$45)))</f>
        <v>20</v>
      </c>
      <c r="AF1863" s="143">
        <f>'Cali FPS'!C169</f>
        <v>255.55250000000001</v>
      </c>
      <c r="AG1863" s="115"/>
      <c r="AH1863" s="112">
        <f>(M1863*0.05)</f>
        <v>90</v>
      </c>
      <c r="AI1863" s="112"/>
      <c r="AJ1863" s="143">
        <f>SUM(AC1863:AH1863)</f>
        <v>557.77472222222218</v>
      </c>
      <c r="AK1863" s="62">
        <f t="shared" si="685"/>
        <v>0.69012515432098764</v>
      </c>
      <c r="AL1863" s="225">
        <f>Table1[[#This Row],[WSP/Dealer]]/Table1[[#This Row],[OD Sq Inch]]</f>
        <v>0.29311187103077674</v>
      </c>
      <c r="AM1863" s="103">
        <f>Table1[[#This Row],[OD Wdth]]*Table1[[#This Row],[OD Hgt]]</f>
        <v>6141</v>
      </c>
      <c r="AN1863" s="216">
        <f>Table1[[#This Row],[Min VO]]+Table1[[#This Row],[Max VO]]</f>
        <v>158</v>
      </c>
      <c r="AO1863" s="145"/>
      <c r="AP1863" s="145"/>
      <c r="AQ1863" s="143"/>
      <c r="AR1863" s="143"/>
      <c r="AS1863" s="143"/>
      <c r="AT1863" s="143"/>
      <c r="AU1863" s="1371" t="str">
        <f t="shared" si="678"/>
        <v>-</v>
      </c>
    </row>
    <row r="1864" spans="1:47" s="63" customFormat="1" hidden="1" x14ac:dyDescent="0.2">
      <c r="A1864" s="551" t="s">
        <v>318</v>
      </c>
      <c r="B1864" s="1150" t="s">
        <v>111</v>
      </c>
      <c r="C1864" s="1549" t="s">
        <v>4329</v>
      </c>
      <c r="D1864" s="77"/>
      <c r="E1864" s="653" t="s">
        <v>4330</v>
      </c>
      <c r="F1864" s="653" t="s">
        <v>634</v>
      </c>
      <c r="G1864" s="551" t="s">
        <v>100</v>
      </c>
      <c r="H1864" s="551" t="s">
        <v>100</v>
      </c>
      <c r="I1864" s="551" t="s">
        <v>108</v>
      </c>
      <c r="J1864" s="856" t="s">
        <v>53</v>
      </c>
      <c r="K1864" s="551" t="s">
        <v>54</v>
      </c>
      <c r="L1864" s="551" t="s">
        <v>55</v>
      </c>
      <c r="M1864" s="857">
        <v>300</v>
      </c>
      <c r="N1864" s="1167"/>
      <c r="O1864" s="551" t="s">
        <v>56</v>
      </c>
      <c r="P1864" s="551">
        <v>24</v>
      </c>
      <c r="Q1864" s="551">
        <v>36</v>
      </c>
      <c r="R1864" s="551">
        <v>24</v>
      </c>
      <c r="S1864" s="551">
        <v>36</v>
      </c>
      <c r="T1864" s="551">
        <v>24</v>
      </c>
      <c r="U1864" s="551">
        <v>36</v>
      </c>
      <c r="V1864" s="859">
        <f t="shared" ref="V1864:V1870" si="686">IF(J1864="Canvas",P1864+Border,P1864)</f>
        <v>32</v>
      </c>
      <c r="W1864" s="859">
        <f t="shared" ref="W1864:W1870" si="687">IF(J1864="Canvas",Q1864+Border,Q1864)</f>
        <v>44</v>
      </c>
      <c r="X1864" s="551">
        <v>40</v>
      </c>
      <c r="Y1864" s="551">
        <v>32</v>
      </c>
      <c r="Z1864" s="551">
        <v>44</v>
      </c>
      <c r="AA1864" s="903">
        <f>V1864*W1864/144</f>
        <v>9.7777777777777786</v>
      </c>
      <c r="AB1864" s="898">
        <f>AA1864*IncaGR</f>
        <v>9.9733333333333345</v>
      </c>
      <c r="AC1864" s="867">
        <f>AA1864*Canvas</f>
        <v>6.453333333333334</v>
      </c>
      <c r="AD1864" s="876">
        <f>Table1[[#This Row],[Ink g/mL]]*Materials!$C$32</f>
        <v>0.79786666666666672</v>
      </c>
      <c r="AE1864" s="867">
        <f>IF(Table1[[#This Row],[Work Center]]="SwissQ",Materials!G$37,IF(Table1[[#This Row],[Work Center]]="Inca",Materials!G$29,IF(Table1[[#This Row],[Work Center]]="Canon",Materials!G$49,Materials!G$45)))</f>
        <v>8</v>
      </c>
      <c r="AF1864" s="902">
        <f>'Cali FPS'!C37</f>
        <v>75.162500000000009</v>
      </c>
      <c r="AG1864" s="653"/>
      <c r="AH1864" s="863">
        <v>0</v>
      </c>
      <c r="AI1864" s="863"/>
      <c r="AJ1864" s="867">
        <f>SUM(AC1864:AH1864)</f>
        <v>90.413700000000006</v>
      </c>
      <c r="AK1864" s="1163">
        <f t="shared" si="685"/>
        <v>0.69862099999999994</v>
      </c>
      <c r="AL1864" s="895">
        <f>Table1[[#This Row],[WSP/Dealer]]/Table1[[#This Row],[OD Sq Inch]]</f>
        <v>0.34722222222222221</v>
      </c>
      <c r="AM1864" s="868">
        <f>Table1[[#This Row],[OD Wdth]]*Table1[[#This Row],[OD Hgt]]</f>
        <v>864</v>
      </c>
      <c r="AN1864" s="869" t="str">
        <f>Table1[[#This Row],[Color]]</f>
        <v>GW</v>
      </c>
      <c r="AO1864" s="653" t="str">
        <f>Table1[[#This Row],[Print Type]]</f>
        <v>Reductive</v>
      </c>
      <c r="AP1864" s="1186"/>
      <c r="AQ1864" s="1186"/>
      <c r="AR1864" s="1186"/>
      <c r="AS1864" s="1186"/>
      <c r="AT1864" s="902"/>
      <c r="AU1864" s="1364" t="str">
        <f t="shared" si="678"/>
        <v>-</v>
      </c>
    </row>
    <row r="1865" spans="1:47" s="103" customFormat="1" hidden="1" x14ac:dyDescent="0.2">
      <c r="A1865" s="68" t="s">
        <v>318</v>
      </c>
      <c r="B1865" s="1152" t="s">
        <v>111</v>
      </c>
      <c r="C1865" s="1195" t="s">
        <v>4329</v>
      </c>
      <c r="D1865" s="94"/>
      <c r="E1865" s="84" t="s">
        <v>4330</v>
      </c>
      <c r="F1865" s="84" t="s">
        <v>634</v>
      </c>
      <c r="G1865" s="68" t="s">
        <v>100</v>
      </c>
      <c r="H1865" s="68" t="s">
        <v>100</v>
      </c>
      <c r="I1865" s="68" t="s">
        <v>52</v>
      </c>
      <c r="J1865" s="140" t="s">
        <v>53</v>
      </c>
      <c r="K1865" s="68" t="s">
        <v>54</v>
      </c>
      <c r="L1865" s="68" t="s">
        <v>55</v>
      </c>
      <c r="M1865" s="141">
        <v>300</v>
      </c>
      <c r="N1865" s="547"/>
      <c r="O1865" s="68" t="s">
        <v>56</v>
      </c>
      <c r="P1865" s="68">
        <v>24</v>
      </c>
      <c r="Q1865" s="68">
        <v>36</v>
      </c>
      <c r="R1865" s="68">
        <v>24</v>
      </c>
      <c r="S1865" s="68">
        <v>36</v>
      </c>
      <c r="T1865" s="68">
        <v>24</v>
      </c>
      <c r="U1865" s="68">
        <v>36</v>
      </c>
      <c r="V1865" s="917">
        <f t="shared" si="686"/>
        <v>32</v>
      </c>
      <c r="W1865" s="917">
        <f t="shared" si="687"/>
        <v>44</v>
      </c>
      <c r="X1865" s="68">
        <v>40</v>
      </c>
      <c r="Y1865" s="68">
        <v>32</v>
      </c>
      <c r="Z1865" s="68">
        <v>44</v>
      </c>
      <c r="AA1865" s="1027">
        <f>V1865*W1865/144</f>
        <v>9.7777777777777786</v>
      </c>
      <c r="AB1865" s="1130">
        <f>AA1865*IncaG</f>
        <v>205.72444444444446</v>
      </c>
      <c r="AC1865" s="278">
        <f>AA1865*Canvas</f>
        <v>6.453333333333334</v>
      </c>
      <c r="AD1865" s="319">
        <f>Table1[[#This Row],[Ink g/mL]]*Materials!$C$29</f>
        <v>16.457955555555557</v>
      </c>
      <c r="AE1865" s="278">
        <f>IF(Table1[[#This Row],[Work Center]]="SwissQ",Materials!G$37,IF(Table1[[#This Row],[Work Center]]="Inca",Materials!G$29,IF(Table1[[#This Row],[Work Center]]="Canon",Materials!G$49,Materials!G$45)))</f>
        <v>8</v>
      </c>
      <c r="AF1865" s="955">
        <f>'Cali FPS'!C37</f>
        <v>75.162500000000009</v>
      </c>
      <c r="AG1865" s="84"/>
      <c r="AH1865" s="74">
        <v>0</v>
      </c>
      <c r="AI1865" s="74"/>
      <c r="AJ1865" s="278">
        <f>SUM(AC1865:AH1865)</f>
        <v>106.0737888888889</v>
      </c>
      <c r="AK1865" s="1001">
        <f t="shared" si="685"/>
        <v>0.64642070370370375</v>
      </c>
      <c r="AL1865" s="240">
        <f>Table1[[#This Row],[WSP/Dealer]]/Table1[[#This Row],[OD Sq Inch]]</f>
        <v>0.34722222222222221</v>
      </c>
      <c r="AM1865" s="170">
        <f>Table1[[#This Row],[OD Wdth]]*Table1[[#This Row],[OD Hgt]]</f>
        <v>864</v>
      </c>
      <c r="AN1865" s="274" t="str">
        <f>Table1[[#This Row],[Color]]</f>
        <v>GW</v>
      </c>
      <c r="AO1865" s="84" t="str">
        <f>Table1[[#This Row],[Print Type]]</f>
        <v>Synograph</v>
      </c>
      <c r="AP1865" s="1185"/>
      <c r="AQ1865" s="1185"/>
      <c r="AR1865" s="1185"/>
      <c r="AS1865" s="1185"/>
      <c r="AT1865" s="955"/>
      <c r="AU1865" s="1357" t="str">
        <f t="shared" si="678"/>
        <v>-</v>
      </c>
    </row>
    <row r="1866" spans="1:47" s="170" customFormat="1" hidden="1" x14ac:dyDescent="0.2">
      <c r="A1866" s="101" t="s">
        <v>110</v>
      </c>
      <c r="B1866" s="1064" t="s">
        <v>250</v>
      </c>
      <c r="C1866" s="1093" t="s">
        <v>4331</v>
      </c>
      <c r="D1866" s="168"/>
      <c r="E1866" s="115" t="s">
        <v>4332</v>
      </c>
      <c r="F1866" s="115" t="s">
        <v>105</v>
      </c>
      <c r="G1866" s="101" t="s">
        <v>1946</v>
      </c>
      <c r="H1866" s="101" t="s">
        <v>1949</v>
      </c>
      <c r="I1866" s="400" t="s">
        <v>256</v>
      </c>
      <c r="J1866" s="487" t="s">
        <v>257</v>
      </c>
      <c r="K1866" s="407" t="s">
        <v>258</v>
      </c>
      <c r="L1866" s="101" t="s">
        <v>259</v>
      </c>
      <c r="M1866" s="114">
        <v>300</v>
      </c>
      <c r="N1866" s="114"/>
      <c r="O1866" s="101" t="s">
        <v>260</v>
      </c>
      <c r="P1866" s="101">
        <v>12</v>
      </c>
      <c r="Q1866" s="101">
        <v>24</v>
      </c>
      <c r="R1866" s="101">
        <v>12</v>
      </c>
      <c r="S1866" s="101">
        <v>24</v>
      </c>
      <c r="T1866" s="101">
        <v>14</v>
      </c>
      <c r="U1866" s="101">
        <v>26</v>
      </c>
      <c r="V1866" s="918">
        <f t="shared" si="686"/>
        <v>12</v>
      </c>
      <c r="W1866" s="918">
        <f t="shared" si="687"/>
        <v>24</v>
      </c>
      <c r="X1866" s="101" t="s">
        <v>257</v>
      </c>
      <c r="Y1866" s="1345">
        <f>Table1[[#This Row],[Print Wth]]+Materials!$C$7</f>
        <v>14</v>
      </c>
      <c r="Z1866" s="1345">
        <f>Table1[[#This Row],[Print Ht]]+Materials!$C$7</f>
        <v>26</v>
      </c>
      <c r="AA1866" s="1011">
        <f>(Table1[[#This Row],[Cut Width]]*Table1[[#This Row],[Cut Height]])/144</f>
        <v>2.5277777777777777</v>
      </c>
      <c r="AB1866" s="184">
        <f>(Table1[[#This Row],[Print Wth]]*Table1[[#This Row],[Print Ht]])/144*canonML</f>
        <v>9.6</v>
      </c>
      <c r="AC1866" s="104">
        <f>Table1[[#This Row],[Substrate SF]]*Paper</f>
        <v>3.4200833333333334</v>
      </c>
      <c r="AD1866" s="107">
        <f>(Table1[[#This Row],[Print Wth]]*Table1[[#This Row],[Print Ht]])/144*CanonC</f>
        <v>0.54</v>
      </c>
      <c r="AE1866" s="104">
        <f>IF(Table1[[#This Row],[Work Center]]="SwissQ",Materials!G$37,IF(Table1[[#This Row],[Work Center]]="Inca",Materials!G$29,IF(Table1[[#This Row],[Work Center]]="Canon",Materials!G$49,Materials!G$45)))</f>
        <v>7</v>
      </c>
      <c r="AF1866" s="102">
        <f>'Cali Frames'!D14</f>
        <v>80.239999999999995</v>
      </c>
      <c r="AG1866" s="115"/>
      <c r="AH1866" s="406">
        <f>(M1866*0.05)</f>
        <v>15</v>
      </c>
      <c r="AI1866" s="406">
        <f>IF(A1866="Codarus",(M1866*0.13))</f>
        <v>39</v>
      </c>
      <c r="AJ1866" s="104">
        <f>SUM(AC1866:AI1866)</f>
        <v>145.20008333333334</v>
      </c>
      <c r="AK1866" s="1065">
        <f t="shared" si="685"/>
        <v>0.51599972222222223</v>
      </c>
      <c r="AL1866" s="406">
        <f>Table1[[#This Row],[WSP/Dealer]]/Table1[[#This Row],[OD Sq Inch]]</f>
        <v>0.82417582417582413</v>
      </c>
      <c r="AM1866" s="399">
        <f>Table1[[#This Row],[OD Wdth]]*Table1[[#This Row],[OD Hgt]]</f>
        <v>364</v>
      </c>
      <c r="AN1866" s="400">
        <f>Table1[[#This Row],[Min VO]]+Table1[[#This Row],[Max VO]]</f>
        <v>36</v>
      </c>
      <c r="AO1866" s="115"/>
      <c r="AP1866" s="1388">
        <v>600</v>
      </c>
      <c r="AQ1866" s="121">
        <f>(Table1[[#This Row],[Desgnr/Retail P]]*0.05)</f>
        <v>30</v>
      </c>
      <c r="AR1866" s="121">
        <f>IF(A1866="Codarus",(AP1866*0.13))</f>
        <v>78</v>
      </c>
      <c r="AS1866" s="121">
        <f>SUM(Table1[[#This Row],[Substrate $]:[GP FINISH]])+Table1[[#This Row],[Retail Royalty]]+Table1[[#This Row],[Retail$Comm]]</f>
        <v>199.20008333333334</v>
      </c>
      <c r="AT1866" s="830">
        <f>IF(AP1866=0,"-",(AP1866-AS1866)/AP1866)</f>
        <v>0.66799986111111109</v>
      </c>
      <c r="AU1866" s="1359">
        <f t="shared" si="678"/>
        <v>0.97773333796296302</v>
      </c>
    </row>
    <row r="1867" spans="1:47" s="399" customFormat="1" hidden="1" x14ac:dyDescent="0.2">
      <c r="A1867" s="373" t="s">
        <v>101</v>
      </c>
      <c r="B1867" s="279" t="s">
        <v>65</v>
      </c>
      <c r="C1867" s="1195" t="s">
        <v>4333</v>
      </c>
      <c r="D1867" s="94"/>
      <c r="E1867" s="84" t="s">
        <v>4332</v>
      </c>
      <c r="F1867" s="83" t="s">
        <v>105</v>
      </c>
      <c r="G1867" s="68" t="s">
        <v>1946</v>
      </c>
      <c r="H1867" s="68" t="s">
        <v>1949</v>
      </c>
      <c r="I1867" s="180" t="s">
        <v>256</v>
      </c>
      <c r="J1867" s="140" t="s">
        <v>257</v>
      </c>
      <c r="K1867" s="407" t="s">
        <v>258</v>
      </c>
      <c r="L1867" s="68" t="s">
        <v>259</v>
      </c>
      <c r="M1867" s="141">
        <v>172</v>
      </c>
      <c r="N1867" s="71" t="s">
        <v>128</v>
      </c>
      <c r="O1867" s="68" t="s">
        <v>260</v>
      </c>
      <c r="P1867" s="68">
        <v>12</v>
      </c>
      <c r="Q1867" s="68">
        <v>24</v>
      </c>
      <c r="R1867" s="68">
        <v>12</v>
      </c>
      <c r="S1867" s="68">
        <v>24</v>
      </c>
      <c r="T1867" s="68">
        <v>14</v>
      </c>
      <c r="U1867" s="68">
        <v>26</v>
      </c>
      <c r="V1867" s="918">
        <f t="shared" si="686"/>
        <v>12</v>
      </c>
      <c r="W1867" s="918">
        <f t="shared" si="687"/>
        <v>24</v>
      </c>
      <c r="X1867" s="101" t="s">
        <v>257</v>
      </c>
      <c r="Y1867" s="1347">
        <f>Table1[[#This Row],[Print Wth]]+Materials!$C$7</f>
        <v>14</v>
      </c>
      <c r="Z1867" s="1347">
        <f>Table1[[#This Row],[Print Ht]]+Materials!$C$7</f>
        <v>26</v>
      </c>
      <c r="AA1867" s="1027">
        <f>(Table1[[#This Row],[Cut Width]]*Table1[[#This Row],[Cut Height]])/144</f>
        <v>2.5277777777777777</v>
      </c>
      <c r="AB1867" s="297">
        <f>(Table1[[#This Row],[Print Wth]]*Table1[[#This Row],[Print Ht]])/144*canonML</f>
        <v>9.6</v>
      </c>
      <c r="AC1867" s="74">
        <f>Table1[[#This Row],[Substrate SF]]*Paper</f>
        <v>3.4200833333333334</v>
      </c>
      <c r="AD1867" s="74">
        <f>(Table1[[#This Row],[Print Wth]]*Table1[[#This Row],[Print Ht]])/144*CanonC</f>
        <v>0.54</v>
      </c>
      <c r="AE1867" s="74">
        <f>IF(Table1[[#This Row],[Work Center]]="SwissQ",Materials!G$37,IF(Table1[[#This Row],[Work Center]]="Inca",Materials!G$29,IF(Table1[[#This Row],[Work Center]]="Canon",Materials!G$49,Materials!G$45)))</f>
        <v>7</v>
      </c>
      <c r="AF1867" s="73">
        <f>'Cali Frames'!D14</f>
        <v>80.239999999999995</v>
      </c>
      <c r="AG1867" s="84"/>
      <c r="AH1867" s="498">
        <v>0</v>
      </c>
      <c r="AI1867" s="498"/>
      <c r="AJ1867" s="278">
        <f>SUM(AC1867:AH1867)</f>
        <v>91.200083333333325</v>
      </c>
      <c r="AK1867" s="650">
        <f t="shared" si="685"/>
        <v>0.46976695736434115</v>
      </c>
      <c r="AL1867" s="225">
        <f>Table1[[#This Row],[WSP/Dealer]]/Table1[[#This Row],[OD Sq Inch]]</f>
        <v>0.47252747252747251</v>
      </c>
      <c r="AM1867" s="274">
        <f>Table1[[#This Row],[OD Wdth]]*Table1[[#This Row],[OD Hgt]]</f>
        <v>364</v>
      </c>
      <c r="AN1867" s="274" t="str">
        <f>Table1[[#This Row],[Color]]</f>
        <v>BA</v>
      </c>
      <c r="AO1867" s="84" t="str">
        <f>Table1[[#This Row],[Print Type]]</f>
        <v>Work on Paper</v>
      </c>
      <c r="AP1867" s="84"/>
      <c r="AQ1867" s="126"/>
      <c r="AR1867" s="126"/>
      <c r="AS1867" s="126"/>
      <c r="AT1867" s="74"/>
      <c r="AU1867" s="1357" t="str">
        <f t="shared" si="678"/>
        <v>-</v>
      </c>
    </row>
    <row r="1868" spans="1:47" s="399" customFormat="1" hidden="1" x14ac:dyDescent="0.2">
      <c r="A1868" s="373" t="s">
        <v>101</v>
      </c>
      <c r="B1868" s="1061" t="s">
        <v>65</v>
      </c>
      <c r="C1868" s="1195" t="s">
        <v>4334</v>
      </c>
      <c r="D1868" s="94"/>
      <c r="E1868" s="84" t="s">
        <v>4335</v>
      </c>
      <c r="F1868" s="83" t="s">
        <v>105</v>
      </c>
      <c r="G1868" s="68" t="s">
        <v>643</v>
      </c>
      <c r="H1868" s="68" t="s">
        <v>810</v>
      </c>
      <c r="I1868" s="180" t="s">
        <v>256</v>
      </c>
      <c r="J1868" s="140" t="s">
        <v>257</v>
      </c>
      <c r="K1868" s="407" t="s">
        <v>258</v>
      </c>
      <c r="L1868" s="68" t="s">
        <v>259</v>
      </c>
      <c r="M1868" s="141">
        <v>171</v>
      </c>
      <c r="N1868" s="71"/>
      <c r="O1868" s="274" t="s">
        <v>260</v>
      </c>
      <c r="P1868" s="274">
        <v>20</v>
      </c>
      <c r="Q1868" s="274">
        <v>16</v>
      </c>
      <c r="R1868" s="274">
        <v>16</v>
      </c>
      <c r="S1868" s="274">
        <v>20</v>
      </c>
      <c r="T1868" s="274">
        <v>22</v>
      </c>
      <c r="U1868" s="274">
        <v>18</v>
      </c>
      <c r="V1868" s="917">
        <f t="shared" si="686"/>
        <v>20</v>
      </c>
      <c r="W1868" s="917">
        <f t="shared" si="687"/>
        <v>16</v>
      </c>
      <c r="X1868" s="68" t="s">
        <v>257</v>
      </c>
      <c r="Y1868" s="1347">
        <f>Table1[[#This Row],[Print Wth]]+Materials!$C$7</f>
        <v>22</v>
      </c>
      <c r="Z1868" s="1347">
        <f>Table1[[#This Row],[Print Ht]]+Materials!$C$7</f>
        <v>18</v>
      </c>
      <c r="AA1868" s="1027">
        <f>(Table1[[#This Row],[Cut Width]]*Table1[[#This Row],[Cut Height]])/144</f>
        <v>2.75</v>
      </c>
      <c r="AB1868" s="297">
        <f>(Table1[[#This Row],[Print Wth]]*Table1[[#This Row],[Print Ht]])/144*canonML</f>
        <v>10.666666666666666</v>
      </c>
      <c r="AC1868" s="74">
        <f>Table1[[#This Row],[Substrate SF]]*Paper</f>
        <v>3.7207499999999998</v>
      </c>
      <c r="AD1868" s="67">
        <f>(Table1[[#This Row],[Print Wth]]*Table1[[#This Row],[Print Ht]])/144*CanonC</f>
        <v>0.60000000000000009</v>
      </c>
      <c r="AE1868" s="74">
        <f>IF(Table1[[#This Row],[Work Center]]="SwissQ",Materials!G$37,IF(Table1[[#This Row],[Work Center]]="Inca",Materials!G$29,IF(Table1[[#This Row],[Work Center]]="Canon",Materials!G$49,Materials!G$45)))</f>
        <v>7</v>
      </c>
      <c r="AF1868" s="321">
        <f>'Cali Frames'!D22</f>
        <v>82.44</v>
      </c>
      <c r="AG1868" s="320"/>
      <c r="AH1868" s="112">
        <v>0</v>
      </c>
      <c r="AI1868" s="112"/>
      <c r="AJ1868" s="278">
        <f>SUM(AC1868:AH1868)</f>
        <v>93.760750000000002</v>
      </c>
      <c r="AK1868" s="62">
        <f t="shared" si="685"/>
        <v>0.45169152046783623</v>
      </c>
      <c r="AL1868" s="225">
        <f>Table1[[#This Row],[WSP/Dealer]]/Table1[[#This Row],[OD Sq Inch]]</f>
        <v>0.43181818181818182</v>
      </c>
      <c r="AM1868" s="170">
        <f>Table1[[#This Row],[OD Wdth]]*Table1[[#This Row],[OD Hgt]]</f>
        <v>396</v>
      </c>
      <c r="AN1868" s="274" t="str">
        <f>Table1[[#This Row],[Color]]</f>
        <v>BA</v>
      </c>
      <c r="AO1868" s="84" t="str">
        <f>Table1[[#This Row],[Print Type]]</f>
        <v>Work on Paper</v>
      </c>
      <c r="AP1868" s="84"/>
      <c r="AQ1868" s="126"/>
      <c r="AR1868" s="126"/>
      <c r="AS1868" s="126"/>
      <c r="AT1868" s="74"/>
      <c r="AU1868" s="1357" t="str">
        <f t="shared" si="678"/>
        <v>-</v>
      </c>
    </row>
    <row r="1869" spans="1:47" s="103" customFormat="1" hidden="1" x14ac:dyDescent="0.2">
      <c r="A1869" s="101" t="s">
        <v>110</v>
      </c>
      <c r="B1869" s="1067" t="s">
        <v>250</v>
      </c>
      <c r="C1869" s="1093" t="s">
        <v>4336</v>
      </c>
      <c r="D1869" s="168"/>
      <c r="E1869" s="115" t="s">
        <v>4335</v>
      </c>
      <c r="F1869" s="115" t="s">
        <v>105</v>
      </c>
      <c r="G1869" s="101" t="s">
        <v>643</v>
      </c>
      <c r="H1869" s="101" t="s">
        <v>810</v>
      </c>
      <c r="I1869" s="400" t="s">
        <v>256</v>
      </c>
      <c r="J1869" s="487" t="s">
        <v>257</v>
      </c>
      <c r="K1869" s="407" t="s">
        <v>258</v>
      </c>
      <c r="L1869" s="101" t="s">
        <v>259</v>
      </c>
      <c r="M1869" s="114">
        <v>325</v>
      </c>
      <c r="N1869" s="114"/>
      <c r="O1869" s="400" t="s">
        <v>260</v>
      </c>
      <c r="P1869" s="400">
        <v>20</v>
      </c>
      <c r="Q1869" s="400">
        <v>16</v>
      </c>
      <c r="R1869" s="400">
        <v>16</v>
      </c>
      <c r="S1869" s="400">
        <v>20</v>
      </c>
      <c r="T1869" s="400">
        <v>22</v>
      </c>
      <c r="U1869" s="400">
        <v>18</v>
      </c>
      <c r="V1869" s="106">
        <f t="shared" si="686"/>
        <v>20</v>
      </c>
      <c r="W1869" s="106">
        <f t="shared" si="687"/>
        <v>16</v>
      </c>
      <c r="X1869" s="101" t="s">
        <v>257</v>
      </c>
      <c r="Y1869" s="1345">
        <f>Table1[[#This Row],[Print Wth]]+Materials!$C$7</f>
        <v>22</v>
      </c>
      <c r="Z1869" s="1345">
        <f>Table1[[#This Row],[Print Ht]]+Materials!$C$7</f>
        <v>18</v>
      </c>
      <c r="AA1869" s="1011">
        <f>(Table1[[#This Row],[Cut Width]]*Table1[[#This Row],[Cut Height]])/144</f>
        <v>2.75</v>
      </c>
      <c r="AB1869" s="184">
        <f>(Table1[[#This Row],[Print Wth]]*Table1[[#This Row],[Print Ht]])/144*canonML</f>
        <v>10.666666666666666</v>
      </c>
      <c r="AC1869" s="104">
        <f>Table1[[#This Row],[Substrate SF]]*Paper</f>
        <v>3.7207499999999998</v>
      </c>
      <c r="AD1869" s="107">
        <f>(Table1[[#This Row],[Print Wth]]*Table1[[#This Row],[Print Ht]])/144*CanonC</f>
        <v>0.60000000000000009</v>
      </c>
      <c r="AE1869" s="104">
        <f>IF(Table1[[#This Row],[Work Center]]="SwissQ",Materials!G$37,IF(Table1[[#This Row],[Work Center]]="Inca",Materials!G$29,IF(Table1[[#This Row],[Work Center]]="Canon",Materials!G$49,Materials!G$45)))</f>
        <v>7</v>
      </c>
      <c r="AF1869" s="102">
        <f>'Cali Frames'!D22</f>
        <v>82.44</v>
      </c>
      <c r="AG1869" s="121"/>
      <c r="AH1869" s="405">
        <f t="shared" ref="AH1869:AH1879" si="688">(M1869*0.05)</f>
        <v>16.25</v>
      </c>
      <c r="AI1869" s="405">
        <f>IF(A1869="Codarus",(M1869*0.13))</f>
        <v>42.25</v>
      </c>
      <c r="AJ1869" s="104">
        <f>SUM(AC1869:AI1869)</f>
        <v>152.26075</v>
      </c>
      <c r="AK1869" s="1068">
        <f t="shared" si="685"/>
        <v>0.53150538461538466</v>
      </c>
      <c r="AL1869" s="406">
        <f>Table1[[#This Row],[WSP/Dealer]]/Table1[[#This Row],[OD Sq Inch]]</f>
        <v>0.82070707070707072</v>
      </c>
      <c r="AM1869" s="399">
        <f>Table1[[#This Row],[OD Wdth]]*Table1[[#This Row],[OD Hgt]]</f>
        <v>396</v>
      </c>
      <c r="AN1869" s="400">
        <f>Table1[[#This Row],[Min VO]]+Table1[[#This Row],[Max VO]]</f>
        <v>36</v>
      </c>
      <c r="AO1869" s="115"/>
      <c r="AP1869" s="1388">
        <v>600</v>
      </c>
      <c r="AQ1869" s="121">
        <f>(Table1[[#This Row],[Desgnr/Retail P]]*0.05)</f>
        <v>30</v>
      </c>
      <c r="AR1869" s="121">
        <f>IF(A1869="Codarus",(AP1869*0.13))</f>
        <v>78</v>
      </c>
      <c r="AS1869" s="121">
        <f>SUM(Table1[[#This Row],[Substrate $]:[GP FINISH]])+Table1[[#This Row],[Retail Royalty]]+Table1[[#This Row],[Retail$Comm]]</f>
        <v>201.76075</v>
      </c>
      <c r="AT1869" s="830">
        <f>IF(AP1869=0,"-",(AP1869-AS1869)/AP1869)</f>
        <v>0.66373208333333333</v>
      </c>
      <c r="AU1869" s="1359">
        <f t="shared" si="678"/>
        <v>0.97787559722222228</v>
      </c>
    </row>
    <row r="1870" spans="1:47" s="63" customFormat="1" hidden="1" x14ac:dyDescent="0.2">
      <c r="A1870" s="101" t="s">
        <v>110</v>
      </c>
      <c r="B1870" s="1067" t="s">
        <v>134</v>
      </c>
      <c r="C1870" s="1093" t="s">
        <v>4337</v>
      </c>
      <c r="D1870" s="168"/>
      <c r="E1870" s="115" t="s">
        <v>4338</v>
      </c>
      <c r="F1870" s="115" t="s">
        <v>1451</v>
      </c>
      <c r="G1870" s="101" t="s">
        <v>115</v>
      </c>
      <c r="H1870" s="101" t="s">
        <v>115</v>
      </c>
      <c r="I1870" s="101" t="s">
        <v>52</v>
      </c>
      <c r="J1870" s="487" t="s">
        <v>53</v>
      </c>
      <c r="K1870" s="101" t="s">
        <v>54</v>
      </c>
      <c r="L1870" s="101" t="s">
        <v>55</v>
      </c>
      <c r="M1870" s="299">
        <v>600</v>
      </c>
      <c r="N1870" s="114"/>
      <c r="O1870" s="101" t="s">
        <v>56</v>
      </c>
      <c r="P1870" s="101">
        <v>48</v>
      </c>
      <c r="Q1870" s="101">
        <v>48</v>
      </c>
      <c r="R1870" s="101">
        <v>48</v>
      </c>
      <c r="S1870" s="101">
        <v>48</v>
      </c>
      <c r="T1870" s="101">
        <v>48</v>
      </c>
      <c r="U1870" s="101">
        <v>48</v>
      </c>
      <c r="V1870" s="608">
        <f t="shared" si="686"/>
        <v>56</v>
      </c>
      <c r="W1870" s="608">
        <f t="shared" si="687"/>
        <v>56</v>
      </c>
      <c r="X1870" s="137">
        <v>59</v>
      </c>
      <c r="Y1870" s="101">
        <v>56</v>
      </c>
      <c r="Z1870" s="101">
        <v>56</v>
      </c>
      <c r="AA1870" s="724">
        <f t="shared" ref="AA1870:AA1879" si="689">V1870*W1870/144</f>
        <v>21.777777777777779</v>
      </c>
      <c r="AB1870" s="633">
        <f>AA1870*IncaG</f>
        <v>458.20444444444445</v>
      </c>
      <c r="AC1870" s="406">
        <f t="shared" ref="AC1870:AC1879" si="690">AA1870*Canvas</f>
        <v>14.373333333333335</v>
      </c>
      <c r="AD1870" s="1000">
        <f>Table1[[#This Row],[Ink g/mL]]*Materials!$C$29</f>
        <v>36.656355555555557</v>
      </c>
      <c r="AE1870" s="406">
        <f>IF(Table1[[#This Row],[Work Center]]="SwissQ",Materials!G$37,IF(Table1[[#This Row],[Work Center]]="Inca",Materials!G$29,IF(Table1[[#This Row],[Work Center]]="Canon",Materials!G$49,Materials!G$45)))</f>
        <v>8</v>
      </c>
      <c r="AF1870" s="102">
        <f>'Cali FPS'!C117</f>
        <v>119.7</v>
      </c>
      <c r="AG1870" s="121"/>
      <c r="AH1870" s="406">
        <f t="shared" si="688"/>
        <v>30</v>
      </c>
      <c r="AI1870" s="406">
        <f>IF(A1870="Codarus",(M1870*0.13))</f>
        <v>78</v>
      </c>
      <c r="AJ1870" s="104">
        <f>SUM(AC1870:AI1870)</f>
        <v>286.72968888888886</v>
      </c>
      <c r="AK1870" s="1065">
        <f t="shared" si="685"/>
        <v>0.52211718518518524</v>
      </c>
      <c r="AL1870" s="406">
        <f>Table1[[#This Row],[WSP/Dealer]]/Table1[[#This Row],[OD Sq Inch]]</f>
        <v>0.26041666666666669</v>
      </c>
      <c r="AM1870" s="400">
        <f>Table1[[#This Row],[OD Wdth]]*Table1[[#This Row],[OD Hgt]]</f>
        <v>2304</v>
      </c>
      <c r="AN1870" s="400">
        <f>Table1[[#This Row],[Min VO]]+Table1[[#This Row],[Max VO]]</f>
        <v>96</v>
      </c>
      <c r="AO1870" s="115"/>
      <c r="AP1870" s="1307">
        <f>(M1870*2)</f>
        <v>1200</v>
      </c>
      <c r="AQ1870" s="121">
        <f>(Table1[[#This Row],[Desgnr/Retail P]]*0.05)</f>
        <v>60</v>
      </c>
      <c r="AR1870" s="121">
        <f>IF(A1870="Codarus",(AP1870*0.13))</f>
        <v>156</v>
      </c>
      <c r="AS1870" s="121">
        <f>SUM(Table1[[#This Row],[Substrate $]:[GP FINISH]])+Table1[[#This Row],[Retail Royalty]]+Table1[[#This Row],[Retail$Comm]]</f>
        <v>394.72968888888886</v>
      </c>
      <c r="AT1870" s="830">
        <f>IF(AP1870=0,"-",(AP1870-AS1870)/AP1870)</f>
        <v>0.6710585925925926</v>
      </c>
      <c r="AU1870" s="1359">
        <f t="shared" si="678"/>
        <v>0.98881569012345671</v>
      </c>
    </row>
    <row r="1871" spans="1:47" s="63" customFormat="1" x14ac:dyDescent="0.2">
      <c r="A1871" s="86" t="s">
        <v>58</v>
      </c>
      <c r="B1871" s="279" t="s">
        <v>619</v>
      </c>
      <c r="C1871" s="790" t="s">
        <v>4339</v>
      </c>
      <c r="D1871" s="94" t="s">
        <v>4340</v>
      </c>
      <c r="E1871" s="85" t="s">
        <v>4341</v>
      </c>
      <c r="F1871" s="85" t="s">
        <v>897</v>
      </c>
      <c r="G1871" s="86" t="s">
        <v>4342</v>
      </c>
      <c r="H1871" s="86" t="s">
        <v>4343</v>
      </c>
      <c r="I1871" s="86" t="s">
        <v>52</v>
      </c>
      <c r="J1871" s="86" t="s">
        <v>53</v>
      </c>
      <c r="K1871" s="86" t="s">
        <v>82</v>
      </c>
      <c r="L1871" s="86" t="s">
        <v>334</v>
      </c>
      <c r="M1871" s="87">
        <v>1750</v>
      </c>
      <c r="N1871" s="639">
        <v>1925.0000000000002</v>
      </c>
      <c r="O1871" s="101" t="s">
        <v>64</v>
      </c>
      <c r="P1871" s="273">
        <v>105</v>
      </c>
      <c r="Q1871" s="273">
        <v>60</v>
      </c>
      <c r="R1871" s="60">
        <v>60</v>
      </c>
      <c r="S1871" s="273">
        <v>105</v>
      </c>
      <c r="T1871" s="697">
        <v>107</v>
      </c>
      <c r="U1871" s="697">
        <v>62</v>
      </c>
      <c r="V1871" s="608">
        <f>IF(J1871="Canvas",P1871+BorderL,P1871)</f>
        <v>116</v>
      </c>
      <c r="W1871" s="608">
        <f>IF(J1871="Canvas",Q1871+BorderL,Q1871)</f>
        <v>71</v>
      </c>
      <c r="X1871" s="137" t="s">
        <v>1462</v>
      </c>
      <c r="Y1871" s="101"/>
      <c r="Z1871" s="101"/>
      <c r="AA1871" s="649">
        <f t="shared" si="689"/>
        <v>57.194444444444443</v>
      </c>
      <c r="AB1871" s="125">
        <f>AA1871*Swiss1</f>
        <v>1618.6027777777779</v>
      </c>
      <c r="AC1871" s="104">
        <f t="shared" si="690"/>
        <v>37.748333333333335</v>
      </c>
      <c r="AD1871" s="104">
        <f>Table1[[#This Row],[Substrate SF]]*Materials!C$37</f>
        <v>160.14444444444442</v>
      </c>
      <c r="AE1871" s="104">
        <f>IF(Table1[[#This Row],[Work Center]]="SwissQ",Materials!G$37,IF(Table1[[#This Row],[Work Center]]="Inca",Materials!G$29,IF(Table1[[#This Row],[Work Center]]="Canon",Materials!G$49,Materials!G$45)))</f>
        <v>20</v>
      </c>
      <c r="AF1871" s="69">
        <f>'Cali Frames'!D$219</f>
        <v>387.38</v>
      </c>
      <c r="AG1871" s="115"/>
      <c r="AH1871" s="498">
        <f t="shared" si="688"/>
        <v>87.5</v>
      </c>
      <c r="AI1871" s="498"/>
      <c r="AJ1871" s="104">
        <f t="shared" ref="AJ1871:AJ1876" si="691">SUM(AC1871:AH1871)</f>
        <v>692.77277777777772</v>
      </c>
      <c r="AK1871" s="650">
        <f t="shared" si="685"/>
        <v>0.60412984126984126</v>
      </c>
      <c r="AL1871" s="225">
        <f>Table1[[#This Row],[WSP/Dealer]]/Table1[[#This Row],[OD Sq Inch]]</f>
        <v>0.26379258365993369</v>
      </c>
      <c r="AM1871" s="110">
        <f>Table1[[#This Row],[OD Wdth]]*Table1[[#This Row],[OD Hgt]]</f>
        <v>6634</v>
      </c>
      <c r="AN1871" s="216">
        <f>Table1[[#This Row],[Min VO]]+Table1[[#This Row],[Max VO]]</f>
        <v>165</v>
      </c>
      <c r="AO1871" s="101" t="s">
        <v>4344</v>
      </c>
      <c r="AP1871" s="101"/>
      <c r="AQ1871" s="104"/>
      <c r="AR1871" s="104"/>
      <c r="AS1871" s="104"/>
      <c r="AT1871" s="104"/>
      <c r="AU1871" s="830" t="str">
        <f t="shared" si="678"/>
        <v>-</v>
      </c>
    </row>
    <row r="1872" spans="1:47" s="103" customFormat="1" hidden="1" x14ac:dyDescent="0.2">
      <c r="A1872" s="216" t="s">
        <v>272</v>
      </c>
      <c r="B1872" s="279" t="s">
        <v>273</v>
      </c>
      <c r="C1872" s="1556" t="s">
        <v>4345</v>
      </c>
      <c r="D1872" s="94"/>
      <c r="E1872" s="217" t="s">
        <v>4346</v>
      </c>
      <c r="F1872" s="217" t="s">
        <v>1834</v>
      </c>
      <c r="G1872" s="216" t="s">
        <v>4347</v>
      </c>
      <c r="H1872" s="216" t="s">
        <v>4347</v>
      </c>
      <c r="I1872" s="216" t="s">
        <v>52</v>
      </c>
      <c r="J1872" s="216" t="s">
        <v>53</v>
      </c>
      <c r="K1872" s="216" t="s">
        <v>54</v>
      </c>
      <c r="L1872" s="216" t="s">
        <v>55</v>
      </c>
      <c r="M1872" s="219">
        <f>Table1[[#This Row],[Desgnr/Retail P]]</f>
        <v>0</v>
      </c>
      <c r="N1872" s="219"/>
      <c r="O1872" s="216" t="s">
        <v>56</v>
      </c>
      <c r="P1872" s="216">
        <v>57</v>
      </c>
      <c r="Q1872" s="216">
        <v>60</v>
      </c>
      <c r="R1872" s="216">
        <v>57</v>
      </c>
      <c r="S1872" s="626">
        <v>60</v>
      </c>
      <c r="T1872" s="216">
        <v>57</v>
      </c>
      <c r="U1872" s="216">
        <v>60</v>
      </c>
      <c r="V1872" s="907">
        <f>2*35.56</f>
        <v>71.12</v>
      </c>
      <c r="W1872" s="907">
        <f>IF(J1872="Canvas",Q1872+BorderGW,Q1872)</f>
        <v>68</v>
      </c>
      <c r="X1872" s="223">
        <v>69</v>
      </c>
      <c r="Y1872" s="216"/>
      <c r="Z1872" s="216"/>
      <c r="AA1872" s="718">
        <f t="shared" si="689"/>
        <v>33.584444444444443</v>
      </c>
      <c r="AB1872" s="233">
        <f>AA1872*IncaG</f>
        <v>706.61671111111104</v>
      </c>
      <c r="AC1872" s="225">
        <f t="shared" si="690"/>
        <v>22.165733333333332</v>
      </c>
      <c r="AD1872" s="986">
        <f>Table1[[#This Row],[Ink g/mL]]*Materials!$C$29</f>
        <v>56.529336888888885</v>
      </c>
      <c r="AE1872" s="104">
        <f>IF(Table1[[#This Row],[Work Center]]="SwissQ",Materials!G$37,IF(Table1[[#This Row],[Work Center]]="Inca",Materials!G$29,IF(Table1[[#This Row],[Work Center]]="Canon",Materials!G$49,Materials!G$45)))</f>
        <v>8</v>
      </c>
      <c r="AF1872" s="226">
        <f>'CALI_SONDER '!H34</f>
        <v>149.86000000000001</v>
      </c>
      <c r="AG1872" s="225"/>
      <c r="AH1872" s="498">
        <f t="shared" si="688"/>
        <v>0</v>
      </c>
      <c r="AI1872" s="498"/>
      <c r="AJ1872" s="225">
        <f t="shared" si="691"/>
        <v>236.55507022222224</v>
      </c>
      <c r="AK1872" s="650" t="e">
        <f t="shared" si="685"/>
        <v>#DIV/0!</v>
      </c>
      <c r="AL1872" s="225">
        <f>Table1[[#This Row],[WSP/Dealer]]/Table1[[#This Row],[OD Sq Inch]]</f>
        <v>0</v>
      </c>
      <c r="AM1872" s="216">
        <f>Table1[[#This Row],[OD Wdth]]*Table1[[#This Row],[OD Hgt]]</f>
        <v>3420</v>
      </c>
      <c r="AN1872" s="216">
        <f>Table1[[#This Row],[Min VO]]+Table1[[#This Row],[Max VO]]</f>
        <v>117</v>
      </c>
      <c r="AO1872" s="216" t="s">
        <v>683</v>
      </c>
      <c r="AP1872" s="226"/>
      <c r="AQ1872" s="226"/>
      <c r="AR1872" s="226"/>
      <c r="AS1872" s="226"/>
      <c r="AT1872" s="226"/>
      <c r="AU1872" s="1365" t="str">
        <f t="shared" si="678"/>
        <v>-</v>
      </c>
    </row>
    <row r="1873" spans="1:47" s="63" customFormat="1" hidden="1" x14ac:dyDescent="0.2">
      <c r="A1873" s="216" t="s">
        <v>272</v>
      </c>
      <c r="B1873" s="1061" t="s">
        <v>273</v>
      </c>
      <c r="C1873" s="1553" t="s">
        <v>4348</v>
      </c>
      <c r="D1873" s="94"/>
      <c r="E1873" s="217" t="s">
        <v>4349</v>
      </c>
      <c r="F1873" s="217" t="s">
        <v>1834</v>
      </c>
      <c r="G1873" s="216" t="s">
        <v>4347</v>
      </c>
      <c r="H1873" s="216" t="s">
        <v>4347</v>
      </c>
      <c r="I1873" s="216" t="s">
        <v>108</v>
      </c>
      <c r="J1873" s="216" t="s">
        <v>53</v>
      </c>
      <c r="K1873" s="216" t="s">
        <v>54</v>
      </c>
      <c r="L1873" s="216" t="s">
        <v>55</v>
      </c>
      <c r="M1873" s="219">
        <v>400</v>
      </c>
      <c r="N1873" s="219"/>
      <c r="O1873" s="216" t="s">
        <v>109</v>
      </c>
      <c r="P1873" s="216">
        <v>57</v>
      </c>
      <c r="Q1873" s="216">
        <v>60</v>
      </c>
      <c r="R1873" s="216">
        <v>57</v>
      </c>
      <c r="S1873" s="626">
        <v>60</v>
      </c>
      <c r="T1873" s="216">
        <v>57</v>
      </c>
      <c r="U1873" s="216">
        <v>60</v>
      </c>
      <c r="V1873" s="907">
        <f>2*35.56</f>
        <v>71.12</v>
      </c>
      <c r="W1873" s="907">
        <f>IF(J1873="Canvas",Q1873+BorderGW,Q1873)</f>
        <v>68</v>
      </c>
      <c r="X1873" s="223">
        <v>80</v>
      </c>
      <c r="Y1873" s="216"/>
      <c r="Z1873" s="216"/>
      <c r="AA1873" s="718">
        <f t="shared" si="689"/>
        <v>33.584444444444443</v>
      </c>
      <c r="AB1873" s="233">
        <f>AA1873*EPSONM</f>
        <v>151.13</v>
      </c>
      <c r="AC1873" s="225">
        <f t="shared" si="690"/>
        <v>22.165733333333332</v>
      </c>
      <c r="AD1873" s="207">
        <f>Table1[[#This Row],[Ink g/mL]]*EPSONC</f>
        <v>33.248599999999996</v>
      </c>
      <c r="AE1873" s="104">
        <f>IF(Table1[[#This Row],[Work Center]]="SwissQ",Materials!G$37,IF(Table1[[#This Row],[Work Center]]="Inca",Materials!G$29,IF(Table1[[#This Row],[Work Center]]="Canon",Materials!G$49,Materials!G$45)))</f>
        <v>5</v>
      </c>
      <c r="AF1873" s="226">
        <f>'CALI_SONDER '!H34</f>
        <v>149.86000000000001</v>
      </c>
      <c r="AG1873" s="225"/>
      <c r="AH1873" s="498">
        <f t="shared" si="688"/>
        <v>20</v>
      </c>
      <c r="AI1873" s="498"/>
      <c r="AJ1873" s="207">
        <f t="shared" si="691"/>
        <v>230.27433333333335</v>
      </c>
      <c r="AK1873" s="650">
        <f t="shared" si="685"/>
        <v>0.42431416666666666</v>
      </c>
      <c r="AL1873" s="225">
        <f>Table1[[#This Row],[WSP/Dealer]]/Table1[[#This Row],[OD Sq Inch]]</f>
        <v>0.11695906432748537</v>
      </c>
      <c r="AM1873" s="103">
        <f>Table1[[#This Row],[OD Wdth]]*Table1[[#This Row],[OD Hgt]]</f>
        <v>3420</v>
      </c>
      <c r="AN1873" s="216">
        <f>Table1[[#This Row],[Min VO]]+Table1[[#This Row],[Max VO]]</f>
        <v>117</v>
      </c>
      <c r="AO1873" s="216" t="s">
        <v>683</v>
      </c>
      <c r="AP1873" s="226"/>
      <c r="AQ1873" s="226"/>
      <c r="AR1873" s="226"/>
      <c r="AS1873" s="226"/>
      <c r="AT1873" s="226"/>
      <c r="AU1873" s="1363" t="str">
        <f t="shared" si="678"/>
        <v>-</v>
      </c>
    </row>
    <row r="1874" spans="1:47" s="103" customFormat="1" hidden="1" x14ac:dyDescent="0.2">
      <c r="A1874" s="216" t="s">
        <v>272</v>
      </c>
      <c r="B1874" s="1061" t="s">
        <v>273</v>
      </c>
      <c r="C1874" s="1556" t="s">
        <v>4350</v>
      </c>
      <c r="D1874" s="94"/>
      <c r="E1874" s="217" t="s">
        <v>4351</v>
      </c>
      <c r="F1874" s="217" t="s">
        <v>1834</v>
      </c>
      <c r="G1874" s="216" t="s">
        <v>4352</v>
      </c>
      <c r="H1874" s="216" t="s">
        <v>4352</v>
      </c>
      <c r="I1874" s="216" t="s">
        <v>52</v>
      </c>
      <c r="J1874" s="216" t="s">
        <v>53</v>
      </c>
      <c r="K1874" s="216" t="s">
        <v>54</v>
      </c>
      <c r="L1874" s="216" t="s">
        <v>55</v>
      </c>
      <c r="M1874" s="219">
        <v>400</v>
      </c>
      <c r="N1874" s="219"/>
      <c r="O1874" s="216" t="s">
        <v>56</v>
      </c>
      <c r="P1874" s="216">
        <v>28.5</v>
      </c>
      <c r="Q1874" s="216">
        <v>60</v>
      </c>
      <c r="R1874" s="216">
        <v>28.5</v>
      </c>
      <c r="S1874" s="221">
        <v>60</v>
      </c>
      <c r="T1874" s="216">
        <v>28.5</v>
      </c>
      <c r="U1874" s="218">
        <v>60</v>
      </c>
      <c r="V1874" s="907">
        <f>IF(J1874="Canvas",P1874+BorderGW,P1874)</f>
        <v>36.5</v>
      </c>
      <c r="W1874" s="907">
        <f>IF(J1874="Canvas",Q1874+BorderGW,Q1874)</f>
        <v>68</v>
      </c>
      <c r="X1874" s="223">
        <v>40</v>
      </c>
      <c r="Y1874" s="216">
        <v>37</v>
      </c>
      <c r="Z1874" s="216">
        <v>68</v>
      </c>
      <c r="AA1874" s="718">
        <f t="shared" si="689"/>
        <v>17.236111111111111</v>
      </c>
      <c r="AB1874" s="233">
        <f>AA1874*IncaG</f>
        <v>362.64777777777778</v>
      </c>
      <c r="AC1874" s="225">
        <f t="shared" si="690"/>
        <v>11.375833333333334</v>
      </c>
      <c r="AD1874" s="206">
        <f>Table1[[#This Row],[Ink g/mL]]*Materials!$C$29</f>
        <v>29.011822222222222</v>
      </c>
      <c r="AE1874" s="104">
        <f>IF(Table1[[#This Row],[Work Center]]="SwissQ",Materials!G$37,IF(Table1[[#This Row],[Work Center]]="Inca",Materials!G$29,IF(Table1[[#This Row],[Work Center]]="Canon",Materials!G$49,Materials!G$45)))</f>
        <v>8</v>
      </c>
      <c r="AF1874" s="225">
        <f>'Cali FPS'!C$45</f>
        <v>107.53750000000001</v>
      </c>
      <c r="AG1874" s="115"/>
      <c r="AH1874" s="498">
        <f t="shared" si="688"/>
        <v>20</v>
      </c>
      <c r="AI1874" s="498"/>
      <c r="AJ1874" s="207">
        <f t="shared" si="691"/>
        <v>175.92515555555556</v>
      </c>
      <c r="AK1874" s="650">
        <f t="shared" si="685"/>
        <v>0.56018711111111108</v>
      </c>
      <c r="AL1874" s="225">
        <f>Table1[[#This Row],[WSP/Dealer]]/Table1[[#This Row],[OD Sq Inch]]</f>
        <v>0.23391812865497075</v>
      </c>
      <c r="AM1874" s="103">
        <f>Table1[[#This Row],[OD Wdth]]*Table1[[#This Row],[OD Hgt]]</f>
        <v>1710</v>
      </c>
      <c r="AN1874" s="216">
        <f>Table1[[#This Row],[Min VO]]+Table1[[#This Row],[Max VO]]</f>
        <v>88.5</v>
      </c>
      <c r="AO1874" s="218" t="s">
        <v>467</v>
      </c>
      <c r="AP1874" s="226"/>
      <c r="AQ1874" s="226"/>
      <c r="AR1874" s="226"/>
      <c r="AS1874" s="226"/>
      <c r="AT1874" s="226"/>
      <c r="AU1874" s="1365" t="str">
        <f t="shared" si="678"/>
        <v>-</v>
      </c>
    </row>
    <row r="1875" spans="1:47" s="46" customFormat="1" hidden="1" x14ac:dyDescent="0.2">
      <c r="A1875" s="216" t="s">
        <v>272</v>
      </c>
      <c r="B1875" s="279" t="s">
        <v>273</v>
      </c>
      <c r="C1875" s="1553" t="s">
        <v>4353</v>
      </c>
      <c r="D1875" s="94"/>
      <c r="E1875" s="217" t="s">
        <v>4354</v>
      </c>
      <c r="F1875" s="217" t="s">
        <v>1834</v>
      </c>
      <c r="G1875" s="216" t="s">
        <v>4352</v>
      </c>
      <c r="H1875" s="216" t="s">
        <v>4352</v>
      </c>
      <c r="I1875" s="216" t="s">
        <v>108</v>
      </c>
      <c r="J1875" s="216" t="s">
        <v>53</v>
      </c>
      <c r="K1875" s="216" t="s">
        <v>54</v>
      </c>
      <c r="L1875" s="216" t="s">
        <v>55</v>
      </c>
      <c r="M1875" s="219">
        <v>350</v>
      </c>
      <c r="N1875" s="219"/>
      <c r="O1875" s="216" t="s">
        <v>109</v>
      </c>
      <c r="P1875" s="216">
        <v>28.5</v>
      </c>
      <c r="Q1875" s="216">
        <v>60</v>
      </c>
      <c r="R1875" s="216">
        <v>28.5</v>
      </c>
      <c r="S1875" s="221">
        <v>60</v>
      </c>
      <c r="T1875" s="216">
        <v>28.5</v>
      </c>
      <c r="U1875" s="218">
        <v>60</v>
      </c>
      <c r="V1875" s="222">
        <f>IF(J1875="Canvas",P1875+BorderGW,P1875)</f>
        <v>36.5</v>
      </c>
      <c r="W1875" s="222">
        <f>IF(J1875="Canvas",Q1875+BorderGW,Q1875)</f>
        <v>68</v>
      </c>
      <c r="X1875" s="223">
        <v>80</v>
      </c>
      <c r="Y1875" s="216"/>
      <c r="Z1875" s="216"/>
      <c r="AA1875" s="718">
        <f t="shared" si="689"/>
        <v>17.236111111111111</v>
      </c>
      <c r="AB1875" s="233">
        <f>AA1875*EPSONM</f>
        <v>77.5625</v>
      </c>
      <c r="AC1875" s="225">
        <f t="shared" si="690"/>
        <v>11.375833333333334</v>
      </c>
      <c r="AD1875" s="207">
        <f>Table1[[#This Row],[Ink g/mL]]*EPSONC</f>
        <v>17.063749999999999</v>
      </c>
      <c r="AE1875" s="104">
        <f>IF(Table1[[#This Row],[Work Center]]="SwissQ",Materials!G$37,IF(Table1[[#This Row],[Work Center]]="Inca",Materials!G$29,IF(Table1[[#This Row],[Work Center]]="Canon",Materials!G$49,Materials!G$45)))</f>
        <v>5</v>
      </c>
      <c r="AF1875" s="225">
        <f>'Cali FPS'!C$45</f>
        <v>107.53750000000001</v>
      </c>
      <c r="AG1875" s="115"/>
      <c r="AH1875" s="112">
        <f t="shared" si="688"/>
        <v>17.5</v>
      </c>
      <c r="AI1875" s="112"/>
      <c r="AJ1875" s="225">
        <f t="shared" si="691"/>
        <v>158.47708333333333</v>
      </c>
      <c r="AK1875" s="62">
        <f t="shared" si="685"/>
        <v>0.54720833333333341</v>
      </c>
      <c r="AL1875" s="225">
        <f>Table1[[#This Row],[WSP/Dealer]]/Table1[[#This Row],[OD Sq Inch]]</f>
        <v>0.2046783625730994</v>
      </c>
      <c r="AM1875" s="103">
        <f>Table1[[#This Row],[OD Wdth]]*Table1[[#This Row],[OD Hgt]]</f>
        <v>1710</v>
      </c>
      <c r="AN1875" s="216">
        <f>Table1[[#This Row],[Min VO]]+Table1[[#This Row],[Max VO]]</f>
        <v>88.5</v>
      </c>
      <c r="AO1875" s="218" t="s">
        <v>467</v>
      </c>
      <c r="AP1875" s="226"/>
      <c r="AQ1875" s="226"/>
      <c r="AR1875" s="226"/>
      <c r="AS1875" s="226"/>
      <c r="AT1875" s="226"/>
      <c r="AU1875" s="1363" t="str">
        <f t="shared" si="678"/>
        <v>-</v>
      </c>
    </row>
    <row r="1876" spans="1:47" s="64" customFormat="1" hidden="1" x14ac:dyDescent="0.2">
      <c r="A1876" s="60" t="s">
        <v>318</v>
      </c>
      <c r="B1876" s="1106" t="s">
        <v>305</v>
      </c>
      <c r="C1876" s="1257" t="s">
        <v>4355</v>
      </c>
      <c r="D1876" s="79"/>
      <c r="E1876" s="99" t="s">
        <v>4356</v>
      </c>
      <c r="F1876" s="83" t="s">
        <v>322</v>
      </c>
      <c r="G1876" s="605" t="s">
        <v>191</v>
      </c>
      <c r="H1876" s="605" t="s">
        <v>193</v>
      </c>
      <c r="I1876" s="605" t="s">
        <v>52</v>
      </c>
      <c r="J1876" s="435" t="s">
        <v>53</v>
      </c>
      <c r="K1876" s="605" t="s">
        <v>69</v>
      </c>
      <c r="L1876" s="605" t="s">
        <v>70</v>
      </c>
      <c r="M1876" s="124">
        <v>700</v>
      </c>
      <c r="N1876" s="124"/>
      <c r="O1876" s="180" t="s">
        <v>56</v>
      </c>
      <c r="P1876" s="180">
        <v>48</v>
      </c>
      <c r="Q1876" s="180">
        <v>60</v>
      </c>
      <c r="R1876" s="180">
        <v>48</v>
      </c>
      <c r="S1876" s="180">
        <v>60</v>
      </c>
      <c r="T1876" s="813">
        <v>41</v>
      </c>
      <c r="U1876" s="813">
        <v>61</v>
      </c>
      <c r="V1876" s="947">
        <f>IF(J1876="Canvas",P1876+Border,P1876)</f>
        <v>56</v>
      </c>
      <c r="W1876" s="947">
        <f>IF(J1876="Canvas",Q1876+Border,Q1876)</f>
        <v>68</v>
      </c>
      <c r="X1876" s="180">
        <v>59</v>
      </c>
      <c r="Y1876" s="60">
        <v>56</v>
      </c>
      <c r="Z1876" s="60">
        <v>69</v>
      </c>
      <c r="AA1876" s="717">
        <f t="shared" si="689"/>
        <v>26.444444444444443</v>
      </c>
      <c r="AB1876" s="125">
        <f>AA1876*IncaG</f>
        <v>556.39111111111106</v>
      </c>
      <c r="AC1876" s="69">
        <f t="shared" si="690"/>
        <v>17.453333333333333</v>
      </c>
      <c r="AD1876" s="69">
        <f>AA1876*IncaC</f>
        <v>44.511288888888885</v>
      </c>
      <c r="AE1876" s="69">
        <f>IF(Table1[[#This Row],[Work Center]]="SwissQ",Materials!G$37,IF(Table1[[#This Row],[Work Center]]="Inca",Materials!G$29,IF(Table1[[#This Row],[Work Center]]="Canon",Materials!G$49,Materials!G$45)))</f>
        <v>8</v>
      </c>
      <c r="AF1876" s="72">
        <f>'Cali Frames'!D335</f>
        <v>258.27999999999997</v>
      </c>
      <c r="AG1876" s="83"/>
      <c r="AH1876" s="176">
        <f t="shared" si="688"/>
        <v>35</v>
      </c>
      <c r="AI1876" s="176"/>
      <c r="AJ1876" s="176">
        <f t="shared" si="691"/>
        <v>363.24462222222218</v>
      </c>
      <c r="AK1876" s="1201">
        <f t="shared" si="685"/>
        <v>0.48107911111111118</v>
      </c>
      <c r="AL1876" s="176">
        <f>Table1[[#This Row],[WSP/Dealer]]/Table1[[#This Row],[OD Sq Inch]]</f>
        <v>0.27988804478208718</v>
      </c>
      <c r="AM1876" s="180">
        <f>Table1[[#This Row],[OD Wdth]]*Table1[[#This Row],[OD Hgt]]</f>
        <v>2501</v>
      </c>
      <c r="AN1876" s="180">
        <f>Table1[[#This Row],[Min VO]]+Table1[[#This Row],[Max VO]]</f>
        <v>108</v>
      </c>
      <c r="AO1876" s="83"/>
      <c r="AP1876" s="540"/>
      <c r="AQ1876" s="540">
        <f>(Table1[[#This Row],[Desgnr/Retail P]]*0.05)</f>
        <v>0</v>
      </c>
      <c r="AR1876" s="540" t="b">
        <f>IF(A1876="Codarus",(AP1876*0.13))</f>
        <v>0</v>
      </c>
      <c r="AS1876" s="540" t="e" cm="1">
        <f t="array" ref="AS1876">SUM(AC1876:AG1876+AQ+AR)</f>
        <v>#NAME?</v>
      </c>
      <c r="AT1876" s="69" t="e">
        <f>(AP1876-AS1876)/AP1876</f>
        <v>#NAME?</v>
      </c>
      <c r="AU1876" s="1361" t="str">
        <f t="shared" si="678"/>
        <v>-</v>
      </c>
    </row>
    <row r="1877" spans="1:47" s="64" customFormat="1" hidden="1" x14ac:dyDescent="0.2">
      <c r="A1877" s="101" t="s">
        <v>110</v>
      </c>
      <c r="B1877" s="1064" t="s">
        <v>250</v>
      </c>
      <c r="C1877" s="1034" t="s">
        <v>4357</v>
      </c>
      <c r="D1877" s="168"/>
      <c r="E1877" s="169" t="s">
        <v>4356</v>
      </c>
      <c r="F1877" s="115" t="s">
        <v>322</v>
      </c>
      <c r="G1877" s="407" t="s">
        <v>191</v>
      </c>
      <c r="H1877" s="407" t="s">
        <v>193</v>
      </c>
      <c r="I1877" s="407" t="s">
        <v>52</v>
      </c>
      <c r="J1877" s="658" t="s">
        <v>53</v>
      </c>
      <c r="K1877" s="407" t="s">
        <v>69</v>
      </c>
      <c r="L1877" s="407" t="s">
        <v>73</v>
      </c>
      <c r="M1877" s="114">
        <v>800</v>
      </c>
      <c r="N1877" s="114"/>
      <c r="O1877" s="101" t="s">
        <v>56</v>
      </c>
      <c r="P1877" s="101">
        <v>48</v>
      </c>
      <c r="Q1877" s="101">
        <v>60</v>
      </c>
      <c r="R1877" s="101">
        <v>48</v>
      </c>
      <c r="S1877" s="101">
        <v>60</v>
      </c>
      <c r="T1877" s="697">
        <v>41</v>
      </c>
      <c r="U1877" s="697">
        <v>61</v>
      </c>
      <c r="V1877" s="1178">
        <f>IF(J1877="Canvas",P1877+Border,P1877)</f>
        <v>56</v>
      </c>
      <c r="W1877" s="1178">
        <f>IF(J1877="Canvas",Q1877+Border,Q1877)</f>
        <v>68</v>
      </c>
      <c r="X1877" s="101">
        <v>59</v>
      </c>
      <c r="Y1877" s="101">
        <v>56</v>
      </c>
      <c r="Z1877" s="101">
        <v>68</v>
      </c>
      <c r="AA1877" s="724">
        <f t="shared" si="689"/>
        <v>26.444444444444443</v>
      </c>
      <c r="AB1877" s="633">
        <f>AA1877*IncaG</f>
        <v>556.39111111111106</v>
      </c>
      <c r="AC1877" s="406">
        <f t="shared" si="690"/>
        <v>17.453333333333333</v>
      </c>
      <c r="AD1877" s="406">
        <f>AA1877*IncaC</f>
        <v>44.511288888888885</v>
      </c>
      <c r="AE1877" s="406">
        <f>IF(Table1[[#This Row],[Work Center]]="SwissQ",Materials!G$37,IF(Table1[[#This Row],[Work Center]]="Inca",Materials!G$29,IF(Table1[[#This Row],[Work Center]]="Canon",Materials!G$49,Materials!G$45)))</f>
        <v>8</v>
      </c>
      <c r="AF1877" s="102">
        <f>'Cali Frames'!D470</f>
        <v>263.70999999999998</v>
      </c>
      <c r="AG1877" s="115"/>
      <c r="AH1877" s="405">
        <f t="shared" si="688"/>
        <v>40</v>
      </c>
      <c r="AI1877" s="406">
        <f>IF(A1877="Codarus",(M1877*0.13))</f>
        <v>104</v>
      </c>
      <c r="AJ1877" s="104">
        <f>SUM(AC1877:AI1877)</f>
        <v>477.67462222222218</v>
      </c>
      <c r="AK1877" s="1068">
        <f t="shared" si="685"/>
        <v>0.40290672222222229</v>
      </c>
      <c r="AL1877" s="406">
        <f>Table1[[#This Row],[WSP/Dealer]]/Table1[[#This Row],[OD Sq Inch]]</f>
        <v>0.31987205117952822</v>
      </c>
      <c r="AM1877" s="399">
        <f>Table1[[#This Row],[OD Wdth]]*Table1[[#This Row],[OD Hgt]]</f>
        <v>2501</v>
      </c>
      <c r="AN1877" s="400">
        <f>Table1[[#This Row],[Min VO]]+Table1[[#This Row],[Max VO]]</f>
        <v>108</v>
      </c>
      <c r="AO1877" s="115"/>
      <c r="AP1877" s="1307">
        <f>(M1877*2)</f>
        <v>1600</v>
      </c>
      <c r="AQ1877" s="121">
        <f>(Table1[[#This Row],[Desgnr/Retail P]]*0.05)</f>
        <v>80</v>
      </c>
      <c r="AR1877" s="121">
        <f>IF(A1877="Codarus",(AP1877*0.13))</f>
        <v>208</v>
      </c>
      <c r="AS1877" s="121">
        <f>SUM(Table1[[#This Row],[Substrate $]:[GP FINISH]])+Table1[[#This Row],[Retail Royalty]]+Table1[[#This Row],[Retail$Comm]]</f>
        <v>621.67462222222218</v>
      </c>
      <c r="AT1877" s="830">
        <f>IF(AP1877=0,"-",(AP1877-AS1877)/AP1877)</f>
        <v>0.61145336111111115</v>
      </c>
      <c r="AU1877" s="1359">
        <f t="shared" si="678"/>
        <v>0.99235683298611099</v>
      </c>
    </row>
    <row r="1878" spans="1:47" s="173" customFormat="1" x14ac:dyDescent="0.2">
      <c r="A1878" s="145" t="s">
        <v>58</v>
      </c>
      <c r="B1878" s="1061" t="s">
        <v>533</v>
      </c>
      <c r="C1878" s="962" t="s">
        <v>4358</v>
      </c>
      <c r="D1878" s="94" t="s">
        <v>4359</v>
      </c>
      <c r="E1878" s="147" t="s">
        <v>4360</v>
      </c>
      <c r="F1878" s="147" t="s">
        <v>1834</v>
      </c>
      <c r="G1878" s="145" t="s">
        <v>4361</v>
      </c>
      <c r="H1878" s="145" t="s">
        <v>4361</v>
      </c>
      <c r="I1878" s="145" t="s">
        <v>52</v>
      </c>
      <c r="J1878" s="145" t="s">
        <v>53</v>
      </c>
      <c r="K1878" s="145" t="s">
        <v>54</v>
      </c>
      <c r="L1878" s="145" t="s">
        <v>55</v>
      </c>
      <c r="M1878" s="148">
        <v>350</v>
      </c>
      <c r="N1878" s="639">
        <v>360</v>
      </c>
      <c r="O1878" s="145" t="s">
        <v>56</v>
      </c>
      <c r="P1878" s="145">
        <v>18</v>
      </c>
      <c r="Q1878" s="145">
        <v>38</v>
      </c>
      <c r="R1878" s="145">
        <v>18</v>
      </c>
      <c r="S1878" s="145">
        <v>38</v>
      </c>
      <c r="T1878" s="698">
        <f>Table1[[#This Row],[VO Wdth]]</f>
        <v>18</v>
      </c>
      <c r="U1878" s="698">
        <f>Table1[[#This Row],[VO Hgt]]</f>
        <v>38</v>
      </c>
      <c r="V1878" s="913">
        <f>IF(J1878="Canvas",P1878+Border,P1878)</f>
        <v>26</v>
      </c>
      <c r="W1878" s="913">
        <f>IF(J1878="Canvas",Q1878+Border,Q1878)</f>
        <v>46</v>
      </c>
      <c r="X1878" s="157" t="s">
        <v>57</v>
      </c>
      <c r="Y1878" s="145">
        <v>26</v>
      </c>
      <c r="Z1878" s="145">
        <f>Table1[[#This Row],[Print Ht]]*2</f>
        <v>92</v>
      </c>
      <c r="AA1878" s="722">
        <f t="shared" si="689"/>
        <v>8.3055555555555554</v>
      </c>
      <c r="AB1878" s="389">
        <f>AA1878*IncaG</f>
        <v>174.74888888888887</v>
      </c>
      <c r="AC1878" s="225">
        <f t="shared" si="690"/>
        <v>5.4816666666666665</v>
      </c>
      <c r="AD1878" s="143">
        <f>AA1878*IncaC</f>
        <v>13.979911111111111</v>
      </c>
      <c r="AE1878" s="104">
        <f>IF(Table1[[#This Row],[Work Center]]="SwissQ",Materials!G$37,IF(Table1[[#This Row],[Work Center]]="Inca",Materials!G$29,IF(Table1[[#This Row],[Work Center]]="Canon",Materials!G$49,Materials!G$45)))</f>
        <v>8</v>
      </c>
      <c r="AF1878" s="143">
        <f>'Cali FPS'!C$24</f>
        <v>74.287500000000009</v>
      </c>
      <c r="AG1878" s="115"/>
      <c r="AH1878" s="498">
        <f t="shared" si="688"/>
        <v>17.5</v>
      </c>
      <c r="AI1878" s="498"/>
      <c r="AJ1878" s="143">
        <f t="shared" ref="AJ1878:AJ1887" si="692">SUM(AC1878:AH1878)</f>
        <v>119.24907777777779</v>
      </c>
      <c r="AK1878" s="650">
        <f t="shared" si="685"/>
        <v>0.65928834920634916</v>
      </c>
      <c r="AL1878" s="225">
        <f>Table1[[#This Row],[WSP/Dealer]]/Table1[[#This Row],[OD Sq Inch]]</f>
        <v>0.51169590643274854</v>
      </c>
      <c r="AM1878" s="101">
        <f>Table1[[#This Row],[OD Wdth]]*Table1[[#This Row],[OD Hgt]]</f>
        <v>684</v>
      </c>
      <c r="AN1878" s="216">
        <f>Table1[[#This Row],[Min VO]]+Table1[[#This Row],[Max VO]]</f>
        <v>56</v>
      </c>
      <c r="AO1878" s="145"/>
      <c r="AP1878" s="145"/>
      <c r="AQ1878" s="143"/>
      <c r="AR1878" s="143"/>
      <c r="AS1878" s="143"/>
      <c r="AT1878" s="143"/>
      <c r="AU1878" s="1371" t="str">
        <f t="shared" si="678"/>
        <v>-</v>
      </c>
    </row>
    <row r="1879" spans="1:47" s="63" customFormat="1" x14ac:dyDescent="0.2">
      <c r="A1879" s="145" t="s">
        <v>58</v>
      </c>
      <c r="B1879" s="279" t="s">
        <v>533</v>
      </c>
      <c r="C1879" s="962" t="s">
        <v>4362</v>
      </c>
      <c r="D1879" s="94" t="s">
        <v>4363</v>
      </c>
      <c r="E1879" s="146" t="s">
        <v>4364</v>
      </c>
      <c r="F1879" s="147" t="s">
        <v>1834</v>
      </c>
      <c r="G1879" s="156" t="s">
        <v>4361</v>
      </c>
      <c r="H1879" s="156" t="s">
        <v>4361</v>
      </c>
      <c r="I1879" s="156" t="s">
        <v>52</v>
      </c>
      <c r="J1879" s="156" t="s">
        <v>53</v>
      </c>
      <c r="K1879" s="156" t="s">
        <v>54</v>
      </c>
      <c r="L1879" s="156" t="s">
        <v>55</v>
      </c>
      <c r="M1879" s="151">
        <v>350</v>
      </c>
      <c r="N1879" s="639">
        <v>360</v>
      </c>
      <c r="O1879" s="145" t="s">
        <v>56</v>
      </c>
      <c r="P1879" s="145">
        <v>18</v>
      </c>
      <c r="Q1879" s="145">
        <v>38</v>
      </c>
      <c r="R1879" s="145">
        <v>18</v>
      </c>
      <c r="S1879" s="145">
        <v>38</v>
      </c>
      <c r="T1879" s="698">
        <f>Table1[[#This Row],[VO Wdth]]</f>
        <v>18</v>
      </c>
      <c r="U1879" s="698">
        <f>Table1[[#This Row],[VO Hgt]]</f>
        <v>38</v>
      </c>
      <c r="V1879" s="913">
        <f>IF(J1879="Canvas",P1879+Border,P1879)</f>
        <v>26</v>
      </c>
      <c r="W1879" s="913">
        <f>IF(J1879="Canvas",Q1879+Border,Q1879)</f>
        <v>46</v>
      </c>
      <c r="X1879" s="157" t="s">
        <v>57</v>
      </c>
      <c r="Y1879" s="145">
        <v>26</v>
      </c>
      <c r="Z1879" s="145">
        <f>Table1[[#This Row],[Print Ht]]*2</f>
        <v>92</v>
      </c>
      <c r="AA1879" s="722">
        <f t="shared" si="689"/>
        <v>8.3055555555555554</v>
      </c>
      <c r="AB1879" s="389">
        <f>AA1879*IncaG</f>
        <v>174.74888888888887</v>
      </c>
      <c r="AC1879" s="225">
        <f t="shared" si="690"/>
        <v>5.4816666666666665</v>
      </c>
      <c r="AD1879" s="150">
        <f>AA1879*IncaC</f>
        <v>13.979911111111111</v>
      </c>
      <c r="AE1879" s="104">
        <f>IF(Table1[[#This Row],[Work Center]]="SwissQ",Materials!G$37,IF(Table1[[#This Row],[Work Center]]="Inca",Materials!G$29,IF(Table1[[#This Row],[Work Center]]="Canon",Materials!G$49,Materials!G$45)))</f>
        <v>8</v>
      </c>
      <c r="AF1879" s="143">
        <f>'Cali FPS'!C$24</f>
        <v>74.287500000000009</v>
      </c>
      <c r="AG1879" s="115"/>
      <c r="AH1879" s="498">
        <f t="shared" si="688"/>
        <v>17.5</v>
      </c>
      <c r="AI1879" s="498"/>
      <c r="AJ1879" s="143">
        <f t="shared" si="692"/>
        <v>119.24907777777779</v>
      </c>
      <c r="AK1879" s="650">
        <f t="shared" si="685"/>
        <v>0.65928834920634916</v>
      </c>
      <c r="AL1879" s="225">
        <f>Table1[[#This Row],[WSP/Dealer]]/Table1[[#This Row],[OD Sq Inch]]</f>
        <v>0.51169590643274854</v>
      </c>
      <c r="AM1879" s="216">
        <f>Table1[[#This Row],[OD Wdth]]*Table1[[#This Row],[OD Hgt]]</f>
        <v>684</v>
      </c>
      <c r="AN1879" s="216">
        <f>Table1[[#This Row],[Min VO]]+Table1[[#This Row],[Max VO]]</f>
        <v>56</v>
      </c>
      <c r="AO1879" s="145"/>
      <c r="AP1879" s="145"/>
      <c r="AQ1879" s="143"/>
      <c r="AR1879" s="143"/>
      <c r="AS1879" s="143"/>
      <c r="AT1879" s="143"/>
      <c r="AU1879" s="1371" t="str">
        <f t="shared" si="678"/>
        <v>-</v>
      </c>
    </row>
    <row r="1880" spans="1:47" s="103" customFormat="1" hidden="1" x14ac:dyDescent="0.2">
      <c r="A1880" s="68" t="s">
        <v>101</v>
      </c>
      <c r="B1880" s="1072" t="s">
        <v>102</v>
      </c>
      <c r="C1880" s="964" t="s">
        <v>4365</v>
      </c>
      <c r="D1880" s="94"/>
      <c r="E1880" s="172" t="s">
        <v>4366</v>
      </c>
      <c r="F1880" s="84" t="s">
        <v>105</v>
      </c>
      <c r="G1880" s="363" t="s">
        <v>4367</v>
      </c>
      <c r="H1880" s="363" t="s">
        <v>4368</v>
      </c>
      <c r="I1880" s="363" t="s">
        <v>256</v>
      </c>
      <c r="J1880" s="646" t="s">
        <v>257</v>
      </c>
      <c r="K1880" s="68" t="s">
        <v>1315</v>
      </c>
      <c r="L1880" s="363" t="s">
        <v>269</v>
      </c>
      <c r="M1880" s="141">
        <v>188</v>
      </c>
      <c r="N1880" s="93"/>
      <c r="O1880" s="68" t="s">
        <v>260</v>
      </c>
      <c r="P1880" s="68">
        <v>7</v>
      </c>
      <c r="Q1880" s="68">
        <v>12</v>
      </c>
      <c r="R1880" s="68">
        <v>7</v>
      </c>
      <c r="S1880" s="68">
        <v>12</v>
      </c>
      <c r="T1880" s="623">
        <v>15</v>
      </c>
      <c r="U1880" s="623">
        <v>25</v>
      </c>
      <c r="V1880" s="686">
        <f>IF(J1880="Canvas",P1880+BorderL,P1880)</f>
        <v>7</v>
      </c>
      <c r="W1880" s="686">
        <f>IF(J1880="Canvas",Q1880+BorderL,Q1880)</f>
        <v>12</v>
      </c>
      <c r="X1880" s="68" t="s">
        <v>1018</v>
      </c>
      <c r="Y1880" s="1347">
        <f>Table1[[#This Row],[Print Wth]]+Materials!$C$7</f>
        <v>9</v>
      </c>
      <c r="Z1880" s="1347">
        <f>Table1[[#This Row],[Print Ht]]+Materials!$C$7</f>
        <v>14</v>
      </c>
      <c r="AA1880" s="1027">
        <f>(Table1[[#This Row],[Cut Width]]*Table1[[#This Row],[Cut Height]])/144</f>
        <v>0.875</v>
      </c>
      <c r="AB1880" s="297">
        <f>(Table1[[#This Row],[Print Wth]]*Table1[[#This Row],[Print Ht]])/144*canonML</f>
        <v>2.8000000000000003</v>
      </c>
      <c r="AC1880" s="74">
        <f>Table1[[#This Row],[Substrate SF]]*Paper</f>
        <v>1.183875</v>
      </c>
      <c r="AD1880" s="74">
        <f>(Table1[[#This Row],[Print Wth]]*Table1[[#This Row],[Print Ht]])/144*CanonC</f>
        <v>0.15750000000000003</v>
      </c>
      <c r="AE1880" s="74">
        <f>IF(Table1[[#This Row],[Work Center]]="SwissQ",Materials!G$37,IF(Table1[[#This Row],[Work Center]]="Inca",Materials!G$29,IF(Table1[[#This Row],[Work Center]]="Canon",Materials!G$49,Materials!G$45)))</f>
        <v>7</v>
      </c>
      <c r="AF1880" s="73">
        <f>'Cali Frames'!D96</f>
        <v>85.21</v>
      </c>
      <c r="AG1880" s="84"/>
      <c r="AH1880" s="74">
        <v>0</v>
      </c>
      <c r="AI1880" s="74"/>
      <c r="AJ1880" s="278">
        <f t="shared" si="692"/>
        <v>93.551374999999993</v>
      </c>
      <c r="AK1880" s="1001">
        <f t="shared" si="685"/>
        <v>0.50238630319148936</v>
      </c>
      <c r="AL1880" s="240">
        <f>Table1[[#This Row],[WSP/Dealer]]/Table1[[#This Row],[OD Sq Inch]]</f>
        <v>0.5013333333333333</v>
      </c>
      <c r="AM1880" s="274">
        <f>Table1[[#This Row],[OD Wdth]]*Table1[[#This Row],[OD Hgt]]</f>
        <v>375</v>
      </c>
      <c r="AN1880" s="274">
        <f>Table1[[#This Row],[Min VO]]+Table1[[#This Row],[Max VO]]</f>
        <v>19</v>
      </c>
      <c r="AO1880" s="84"/>
      <c r="AP1880" s="126"/>
      <c r="AQ1880" s="126"/>
      <c r="AR1880" s="126"/>
      <c r="AS1880" s="1158"/>
      <c r="AT1880" s="1187"/>
      <c r="AU1880" s="1357" t="str">
        <f t="shared" si="678"/>
        <v>-</v>
      </c>
    </row>
    <row r="1881" spans="1:47" s="63" customFormat="1" hidden="1" x14ac:dyDescent="0.2">
      <c r="A1881" s="373" t="s">
        <v>101</v>
      </c>
      <c r="B1881" s="279" t="s">
        <v>102</v>
      </c>
      <c r="C1881" s="964" t="s">
        <v>4369</v>
      </c>
      <c r="D1881" s="94"/>
      <c r="E1881" s="172" t="s">
        <v>4370</v>
      </c>
      <c r="F1881" s="84" t="s">
        <v>105</v>
      </c>
      <c r="G1881" s="363" t="s">
        <v>2353</v>
      </c>
      <c r="H1881" s="363" t="s">
        <v>2353</v>
      </c>
      <c r="I1881" s="363" t="s">
        <v>108</v>
      </c>
      <c r="J1881" s="646" t="s">
        <v>53</v>
      </c>
      <c r="K1881" s="68" t="s">
        <v>119</v>
      </c>
      <c r="L1881" s="363" t="s">
        <v>120</v>
      </c>
      <c r="M1881" s="141">
        <v>175</v>
      </c>
      <c r="N1881" s="321"/>
      <c r="O1881" s="274" t="s">
        <v>109</v>
      </c>
      <c r="P1881" s="274">
        <v>16</v>
      </c>
      <c r="Q1881" s="274">
        <v>12</v>
      </c>
      <c r="R1881" s="274">
        <v>12</v>
      </c>
      <c r="S1881" s="274">
        <v>16</v>
      </c>
      <c r="T1881" s="783">
        <v>16</v>
      </c>
      <c r="U1881" s="783">
        <v>12</v>
      </c>
      <c r="V1881" s="686">
        <f t="shared" ref="V1881:V1896" si="693">IF(J1881="Canvas",P1881+Border,P1881)</f>
        <v>24</v>
      </c>
      <c r="W1881" s="686">
        <f t="shared" ref="W1881:W1896" si="694">IF(J1881="Canvas",Q1881+Border,Q1881)</f>
        <v>20</v>
      </c>
      <c r="X1881" s="343">
        <v>40</v>
      </c>
      <c r="Y1881" s="686">
        <f>Table1[[#This Row],[Print Wth]]</f>
        <v>24</v>
      </c>
      <c r="Z1881" s="686">
        <f>Table1[[#This Row],[Print Ht]]</f>
        <v>20</v>
      </c>
      <c r="AA1881" s="727">
        <f>Table1[[#This Row],[Cut Width]]*Table1[[#This Row],[Cut Height]]/144</f>
        <v>3.3333333333333335</v>
      </c>
      <c r="AB1881" s="341">
        <f>Table1[[#This Row],[Print Wth]]*Table1[[#This Row],[Print Ht]]/144*EPSONM</f>
        <v>15</v>
      </c>
      <c r="AC1881" s="278">
        <f>Table1[[#This Row],[Substrate SF]]*Canvas</f>
        <v>2.2000000000000002</v>
      </c>
      <c r="AD1881" s="278">
        <f>Table1[[#This Row],[Ink g/mL]]*EPSONC</f>
        <v>3.3</v>
      </c>
      <c r="AE1881" s="278">
        <f>IF(Table1[[#This Row],[Work Center]]="SwissQ",Materials!G$37,IF(Table1[[#This Row],[Work Center]]="Inca",Materials!G$29,IF(Table1[[#This Row],[Work Center]]="Canon",Materials!G$49,Materials!G$45)))</f>
        <v>5</v>
      </c>
      <c r="AF1881" s="73">
        <f>'Cali FPS'!C180</f>
        <v>76.83</v>
      </c>
      <c r="AG1881" s="84"/>
      <c r="AH1881" s="126"/>
      <c r="AI1881" s="126"/>
      <c r="AJ1881" s="278">
        <f t="shared" si="692"/>
        <v>87.33</v>
      </c>
      <c r="AK1881" s="1001">
        <f t="shared" si="685"/>
        <v>0.50097142857142862</v>
      </c>
      <c r="AL1881" s="240">
        <f>Table1[[#This Row],[WSP/Dealer]]/Table1[[#This Row],[OD Sq Inch]]</f>
        <v>0.91145833333333337</v>
      </c>
      <c r="AM1881" s="274">
        <f>Table1[[#This Row],[OD Wdth]]*Table1[[#This Row],[OD Hgt]]</f>
        <v>192</v>
      </c>
      <c r="AN1881" s="274">
        <f>Table1[[#This Row],[Min VO]]+Table1[[#This Row],[Max VO]]</f>
        <v>28</v>
      </c>
      <c r="AO1881" s="84"/>
      <c r="AP1881" s="126"/>
      <c r="AQ1881" s="126"/>
      <c r="AR1881" s="126"/>
      <c r="AS1881" s="1158"/>
      <c r="AT1881" s="1187"/>
      <c r="AU1881" s="1357" t="str">
        <f t="shared" si="678"/>
        <v>-</v>
      </c>
    </row>
    <row r="1882" spans="1:47" s="63" customFormat="1" hidden="1" x14ac:dyDescent="0.2">
      <c r="A1882" s="68" t="s">
        <v>101</v>
      </c>
      <c r="B1882" s="1152" t="s">
        <v>102</v>
      </c>
      <c r="C1882" s="964" t="s">
        <v>4371</v>
      </c>
      <c r="D1882" s="94"/>
      <c r="E1882" s="172" t="s">
        <v>4372</v>
      </c>
      <c r="F1882" s="84" t="s">
        <v>105</v>
      </c>
      <c r="G1882" s="363" t="s">
        <v>350</v>
      </c>
      <c r="H1882" s="363" t="s">
        <v>351</v>
      </c>
      <c r="I1882" s="363" t="s">
        <v>108</v>
      </c>
      <c r="J1882" s="646" t="s">
        <v>53</v>
      </c>
      <c r="K1882" s="363" t="s">
        <v>69</v>
      </c>
      <c r="L1882" s="363" t="s">
        <v>70</v>
      </c>
      <c r="M1882" s="141">
        <v>167</v>
      </c>
      <c r="N1882" s="93"/>
      <c r="O1882" s="68" t="s">
        <v>109</v>
      </c>
      <c r="P1882" s="68">
        <v>12</v>
      </c>
      <c r="Q1882" s="68">
        <v>16</v>
      </c>
      <c r="R1882" s="68">
        <v>12</v>
      </c>
      <c r="S1882" s="68">
        <v>16</v>
      </c>
      <c r="T1882" s="623">
        <v>13</v>
      </c>
      <c r="U1882" s="623">
        <v>17</v>
      </c>
      <c r="V1882" s="1198">
        <f t="shared" si="693"/>
        <v>20</v>
      </c>
      <c r="W1882" s="1198">
        <f t="shared" si="694"/>
        <v>24</v>
      </c>
      <c r="X1882" s="68">
        <v>40</v>
      </c>
      <c r="Y1882" s="686">
        <f>Table1[[#This Row],[Print Wth]]</f>
        <v>20</v>
      </c>
      <c r="Z1882" s="686">
        <f>Table1[[#This Row],[Print Ht]]</f>
        <v>24</v>
      </c>
      <c r="AA1882" s="727">
        <f>Table1[[#This Row],[Cut Width]]*Table1[[#This Row],[Cut Height]]/144</f>
        <v>3.3333333333333335</v>
      </c>
      <c r="AB1882" s="341">
        <f>Table1[[#This Row],[Print Wth]]*Table1[[#This Row],[Print Ht]]/144*EPSONM</f>
        <v>15</v>
      </c>
      <c r="AC1882" s="278">
        <f>Table1[[#This Row],[Substrate SF]]*Canvas</f>
        <v>2.2000000000000002</v>
      </c>
      <c r="AD1882" s="278">
        <f>Table1[[#This Row],[Ink g/mL]]*EPSONC</f>
        <v>3.3</v>
      </c>
      <c r="AE1882" s="278">
        <f>IF(Table1[[#This Row],[Work Center]]="SwissQ",Materials!G$37,IF(Table1[[#This Row],[Work Center]]="Inca",Materials!G$29,IF(Table1[[#This Row],[Work Center]]="Canon",Materials!G$49,Materials!G$45)))</f>
        <v>5</v>
      </c>
      <c r="AF1882" s="73">
        <f>'Cali Frames'!D260</f>
        <v>73</v>
      </c>
      <c r="AG1882" s="84"/>
      <c r="AH1882" s="74">
        <v>0</v>
      </c>
      <c r="AI1882" s="74"/>
      <c r="AJ1882" s="278">
        <f t="shared" si="692"/>
        <v>83.5</v>
      </c>
      <c r="AK1882" s="1001">
        <f t="shared" si="685"/>
        <v>0.5</v>
      </c>
      <c r="AL1882" s="240">
        <f>Table1[[#This Row],[WSP/Dealer]]/Table1[[#This Row],[OD Sq Inch]]</f>
        <v>0.75565610859728505</v>
      </c>
      <c r="AM1882" s="274">
        <f>Table1[[#This Row],[OD Wdth]]*Table1[[#This Row],[OD Hgt]]</f>
        <v>221</v>
      </c>
      <c r="AN1882" s="274" t="str">
        <f>Table1[[#This Row],[Color]]</f>
        <v>BF</v>
      </c>
      <c r="AO1882" s="84" t="str">
        <f>Table1[[#This Row],[Print Type]]</f>
        <v>Reductive</v>
      </c>
      <c r="AP1882" s="84"/>
      <c r="AQ1882" s="126"/>
      <c r="AR1882" s="126"/>
      <c r="AS1882" s="126"/>
      <c r="AT1882" s="74"/>
      <c r="AU1882" s="1357" t="str">
        <f t="shared" si="678"/>
        <v>-</v>
      </c>
    </row>
    <row r="1883" spans="1:47" s="46" customFormat="1" hidden="1" x14ac:dyDescent="0.2">
      <c r="A1883" s="60" t="s">
        <v>101</v>
      </c>
      <c r="B1883" s="1106" t="s">
        <v>102</v>
      </c>
      <c r="C1883" s="1257" t="s">
        <v>4373</v>
      </c>
      <c r="D1883" s="79"/>
      <c r="E1883" s="99" t="s">
        <v>4374</v>
      </c>
      <c r="F1883" s="83" t="s">
        <v>105</v>
      </c>
      <c r="G1883" s="605" t="s">
        <v>4375</v>
      </c>
      <c r="H1883" s="605" t="s">
        <v>1937</v>
      </c>
      <c r="I1883" s="605" t="s">
        <v>108</v>
      </c>
      <c r="J1883" s="435" t="s">
        <v>53</v>
      </c>
      <c r="K1883" s="605" t="s">
        <v>69</v>
      </c>
      <c r="L1883" s="605" t="s">
        <v>315</v>
      </c>
      <c r="M1883" s="179">
        <v>195</v>
      </c>
      <c r="N1883" s="124"/>
      <c r="O1883" s="60" t="s">
        <v>109</v>
      </c>
      <c r="P1883" s="60">
        <v>15</v>
      </c>
      <c r="Q1883" s="60">
        <v>15</v>
      </c>
      <c r="R1883" s="60">
        <v>15</v>
      </c>
      <c r="S1883" s="60">
        <v>15</v>
      </c>
      <c r="T1883" s="273">
        <v>16</v>
      </c>
      <c r="U1883" s="273">
        <v>16</v>
      </c>
      <c r="V1883" s="913">
        <f t="shared" si="693"/>
        <v>23</v>
      </c>
      <c r="W1883" s="913">
        <f t="shared" si="694"/>
        <v>23</v>
      </c>
      <c r="X1883" s="60">
        <v>40</v>
      </c>
      <c r="Y1883" s="947">
        <f>Table1[[#This Row],[Print Wth]]</f>
        <v>23</v>
      </c>
      <c r="Z1883" s="947">
        <f>Table1[[#This Row],[Print Ht]]</f>
        <v>23</v>
      </c>
      <c r="AA1883" s="678">
        <f>Table1[[#This Row],[Cut Width]]*Table1[[#This Row],[Cut Height]]/144</f>
        <v>3.6736111111111112</v>
      </c>
      <c r="AB1883" s="329">
        <f>Table1[[#This Row],[Print Wth]]*Table1[[#This Row],[Print Ht]]/144*EPSONM</f>
        <v>16.53125</v>
      </c>
      <c r="AC1883" s="176">
        <f>Table1[[#This Row],[Substrate SF]]*Canvas</f>
        <v>2.4245833333333335</v>
      </c>
      <c r="AD1883" s="176">
        <f>Table1[[#This Row],[Ink g/mL]]*EPSONC</f>
        <v>3.6368749999999999</v>
      </c>
      <c r="AE1883" s="176">
        <f>IF(Table1[[#This Row],[Work Center]]="SwissQ",Materials!G$37,IF(Table1[[#This Row],[Work Center]]="Inca",Materials!G$29,IF(Table1[[#This Row],[Work Center]]="Canon",Materials!G$49,Materials!G$45)))</f>
        <v>5</v>
      </c>
      <c r="AF1883" s="72">
        <f>'Cali Frames'!D502</f>
        <v>83.91</v>
      </c>
      <c r="AG1883" s="83"/>
      <c r="AH1883" s="69">
        <v>0</v>
      </c>
      <c r="AI1883" s="69"/>
      <c r="AJ1883" s="176">
        <f t="shared" si="692"/>
        <v>94.971458333333331</v>
      </c>
      <c r="AK1883" s="650">
        <f t="shared" si="685"/>
        <v>0.51296688034188032</v>
      </c>
      <c r="AL1883" s="225">
        <f>Table1[[#This Row],[WSP/Dealer]]/Table1[[#This Row],[OD Sq Inch]]</f>
        <v>0.76171875</v>
      </c>
      <c r="AM1883" s="180">
        <f>Table1[[#This Row],[OD Wdth]]*Table1[[#This Row],[OD Hgt]]</f>
        <v>256</v>
      </c>
      <c r="AN1883" s="180" t="str">
        <f>Table1[[#This Row],[Color]]</f>
        <v>WF</v>
      </c>
      <c r="AO1883" s="83" t="str">
        <f>Table1[[#This Row],[Print Type]]</f>
        <v>Reductive</v>
      </c>
      <c r="AP1883" s="83"/>
      <c r="AQ1883" s="540"/>
      <c r="AR1883" s="540"/>
      <c r="AS1883" s="540"/>
      <c r="AT1883" s="69"/>
      <c r="AU1883" s="1361" t="str">
        <f t="shared" si="678"/>
        <v>-</v>
      </c>
    </row>
    <row r="1884" spans="1:47" s="63" customFormat="1" hidden="1" x14ac:dyDescent="0.2">
      <c r="A1884" s="68" t="s">
        <v>101</v>
      </c>
      <c r="B1884" s="1152" t="s">
        <v>102</v>
      </c>
      <c r="C1884" s="964" t="s">
        <v>4376</v>
      </c>
      <c r="D1884" s="94"/>
      <c r="E1884" s="172" t="s">
        <v>4377</v>
      </c>
      <c r="F1884" s="84" t="s">
        <v>105</v>
      </c>
      <c r="G1884" s="363" t="s">
        <v>1583</v>
      </c>
      <c r="H1884" s="363" t="s">
        <v>2574</v>
      </c>
      <c r="I1884" s="363" t="s">
        <v>108</v>
      </c>
      <c r="J1884" s="646" t="s">
        <v>53</v>
      </c>
      <c r="K1884" s="363" t="s">
        <v>69</v>
      </c>
      <c r="L1884" s="363" t="s">
        <v>73</v>
      </c>
      <c r="M1884" s="141">
        <v>167</v>
      </c>
      <c r="N1884" s="93"/>
      <c r="O1884" s="68" t="s">
        <v>109</v>
      </c>
      <c r="P1884" s="68">
        <v>8</v>
      </c>
      <c r="Q1884" s="68">
        <v>10</v>
      </c>
      <c r="R1884" s="68">
        <v>8</v>
      </c>
      <c r="S1884" s="68">
        <v>10</v>
      </c>
      <c r="T1884" s="623">
        <v>9</v>
      </c>
      <c r="U1884" s="623">
        <v>11</v>
      </c>
      <c r="V1884" s="1198">
        <f t="shared" si="693"/>
        <v>16</v>
      </c>
      <c r="W1884" s="1198">
        <f t="shared" si="694"/>
        <v>18</v>
      </c>
      <c r="X1884" s="68">
        <v>40</v>
      </c>
      <c r="Y1884" s="686">
        <f>Table1[[#This Row],[Print Wth]]</f>
        <v>16</v>
      </c>
      <c r="Z1884" s="686">
        <f>Table1[[#This Row],[Print Ht]]</f>
        <v>18</v>
      </c>
      <c r="AA1884" s="727">
        <f>Table1[[#This Row],[Cut Width]]*Table1[[#This Row],[Cut Height]]/144</f>
        <v>2</v>
      </c>
      <c r="AB1884" s="341">
        <f>Table1[[#This Row],[Print Wth]]*Table1[[#This Row],[Print Ht]]/144*EPSONM</f>
        <v>9</v>
      </c>
      <c r="AC1884" s="278">
        <f>Table1[[#This Row],[Substrate SF]]*Canvas</f>
        <v>1.32</v>
      </c>
      <c r="AD1884" s="263">
        <f>Table1[[#This Row],[Ink g/mL]]*EPSONC</f>
        <v>1.98</v>
      </c>
      <c r="AE1884" s="278">
        <f>IF(Table1[[#This Row],[Work Center]]="SwissQ",Materials!G$37,IF(Table1[[#This Row],[Work Center]]="Inca",Materials!G$29,IF(Table1[[#This Row],[Work Center]]="Canon",Materials!G$49,Materials!G$45)))</f>
        <v>5</v>
      </c>
      <c r="AF1884" s="73">
        <f>'Cali Frames'!D407</f>
        <v>75</v>
      </c>
      <c r="AG1884" s="84"/>
      <c r="AH1884" s="74">
        <v>0</v>
      </c>
      <c r="AI1884" s="74"/>
      <c r="AJ1884" s="278">
        <f t="shared" si="692"/>
        <v>83.3</v>
      </c>
      <c r="AK1884" s="1001">
        <f t="shared" si="685"/>
        <v>0.50119760479041919</v>
      </c>
      <c r="AL1884" s="240">
        <f>Table1[[#This Row],[WSP/Dealer]]/Table1[[#This Row],[OD Sq Inch]]</f>
        <v>1.6868686868686869</v>
      </c>
      <c r="AM1884" s="170">
        <f>Table1[[#This Row],[OD Wdth]]*Table1[[#This Row],[OD Hgt]]</f>
        <v>99</v>
      </c>
      <c r="AN1884" s="274" t="str">
        <f>Table1[[#This Row],[Color]]</f>
        <v>NF</v>
      </c>
      <c r="AO1884" s="84" t="str">
        <f>Table1[[#This Row],[Print Type]]</f>
        <v>Reductive</v>
      </c>
      <c r="AP1884" s="84"/>
      <c r="AQ1884" s="126"/>
      <c r="AR1884" s="126"/>
      <c r="AS1884" s="126"/>
      <c r="AT1884" s="74"/>
      <c r="AU1884" s="1357" t="str">
        <f t="shared" si="678"/>
        <v>-</v>
      </c>
    </row>
    <row r="1885" spans="1:47" s="63" customFormat="1" hidden="1" x14ac:dyDescent="0.2">
      <c r="A1885" s="68" t="s">
        <v>101</v>
      </c>
      <c r="B1885" s="1072" t="s">
        <v>102</v>
      </c>
      <c r="C1885" s="964" t="s">
        <v>4378</v>
      </c>
      <c r="D1885" s="94"/>
      <c r="E1885" s="172" t="s">
        <v>4379</v>
      </c>
      <c r="F1885" s="84" t="s">
        <v>105</v>
      </c>
      <c r="G1885" s="363" t="s">
        <v>4380</v>
      </c>
      <c r="H1885" s="363" t="s">
        <v>4381</v>
      </c>
      <c r="I1885" s="363" t="s">
        <v>108</v>
      </c>
      <c r="J1885" s="646" t="s">
        <v>53</v>
      </c>
      <c r="K1885" s="363" t="s">
        <v>814</v>
      </c>
      <c r="L1885" s="363" t="s">
        <v>815</v>
      </c>
      <c r="M1885" s="141">
        <v>175</v>
      </c>
      <c r="N1885" s="93"/>
      <c r="O1885" s="68" t="s">
        <v>109</v>
      </c>
      <c r="P1885" s="68">
        <v>22</v>
      </c>
      <c r="Q1885" s="68">
        <v>13</v>
      </c>
      <c r="R1885" s="68">
        <v>13</v>
      </c>
      <c r="S1885" s="68">
        <v>22</v>
      </c>
      <c r="T1885" s="623">
        <v>25</v>
      </c>
      <c r="U1885" s="623">
        <v>16</v>
      </c>
      <c r="V1885" s="1198">
        <f t="shared" si="693"/>
        <v>30</v>
      </c>
      <c r="W1885" s="1198">
        <f t="shared" si="694"/>
        <v>21</v>
      </c>
      <c r="X1885" s="68">
        <v>40</v>
      </c>
      <c r="Y1885" s="686">
        <f>Table1[[#This Row],[Print Wth]]</f>
        <v>30</v>
      </c>
      <c r="Z1885" s="686">
        <f>Table1[[#This Row],[Print Ht]]</f>
        <v>21</v>
      </c>
      <c r="AA1885" s="727">
        <f>Table1[[#This Row],[Cut Width]]*Table1[[#This Row],[Cut Height]]/144</f>
        <v>4.375</v>
      </c>
      <c r="AB1885" s="341">
        <f>Table1[[#This Row],[Print Wth]]*Table1[[#This Row],[Print Ht]]/144*EPSONM</f>
        <v>19.6875</v>
      </c>
      <c r="AC1885" s="278">
        <f>Table1[[#This Row],[Substrate SF]]*Canvas</f>
        <v>2.8875000000000002</v>
      </c>
      <c r="AD1885" s="263">
        <f>Table1[[#This Row],[Ink g/mL]]*EPSONC</f>
        <v>4.3312499999999998</v>
      </c>
      <c r="AE1885" s="278">
        <f>IF(Table1[[#This Row],[Work Center]]="SwissQ",Materials!G$37,IF(Table1[[#This Row],[Work Center]]="Inca",Materials!G$29,IF(Table1[[#This Row],[Work Center]]="Canon",Materials!G$49,Materials!G$45)))</f>
        <v>5</v>
      </c>
      <c r="AF1885" s="73">
        <f>'Cali Frames'!D189</f>
        <v>125</v>
      </c>
      <c r="AG1885" s="84"/>
      <c r="AH1885" s="67">
        <v>0</v>
      </c>
      <c r="AI1885" s="67"/>
      <c r="AJ1885" s="278">
        <f t="shared" si="692"/>
        <v>137.21875</v>
      </c>
      <c r="AK1885" s="661">
        <f t="shared" si="685"/>
        <v>0.21589285714285714</v>
      </c>
      <c r="AL1885" s="240">
        <f>Table1[[#This Row],[WSP/Dealer]]/Table1[[#This Row],[OD Sq Inch]]</f>
        <v>0.4375</v>
      </c>
      <c r="AM1885" s="170">
        <f>Table1[[#This Row],[OD Wdth]]*Table1[[#This Row],[OD Hgt]]</f>
        <v>400</v>
      </c>
      <c r="AN1885" s="274">
        <f>Table1[[#This Row],[Min VO]]+Table1[[#This Row],[Max VO]]</f>
        <v>35</v>
      </c>
      <c r="AO1885" s="84"/>
      <c r="AP1885" s="126"/>
      <c r="AQ1885" s="126"/>
      <c r="AR1885" s="126"/>
      <c r="AS1885" s="1158"/>
      <c r="AT1885" s="1187"/>
      <c r="AU1885" s="1357" t="str">
        <f t="shared" si="678"/>
        <v>-</v>
      </c>
    </row>
    <row r="1886" spans="1:47" s="173" customFormat="1" hidden="1" x14ac:dyDescent="0.2">
      <c r="A1886" s="68" t="s">
        <v>101</v>
      </c>
      <c r="B1886" s="1152" t="s">
        <v>102</v>
      </c>
      <c r="C1886" s="964" t="s">
        <v>4382</v>
      </c>
      <c r="D1886" s="94"/>
      <c r="E1886" s="172" t="s">
        <v>4383</v>
      </c>
      <c r="F1886" s="84" t="s">
        <v>105</v>
      </c>
      <c r="G1886" s="363" t="s">
        <v>4384</v>
      </c>
      <c r="H1886" s="363" t="s">
        <v>4385</v>
      </c>
      <c r="I1886" s="363" t="s">
        <v>108</v>
      </c>
      <c r="J1886" s="646" t="s">
        <v>53</v>
      </c>
      <c r="K1886" s="363" t="s">
        <v>69</v>
      </c>
      <c r="L1886" s="363" t="s">
        <v>70</v>
      </c>
      <c r="M1886" s="141">
        <v>188</v>
      </c>
      <c r="N1886" s="93"/>
      <c r="O1886" s="68" t="s">
        <v>109</v>
      </c>
      <c r="P1886" s="68">
        <v>15</v>
      </c>
      <c r="Q1886" s="68">
        <v>17</v>
      </c>
      <c r="R1886" s="68">
        <v>15</v>
      </c>
      <c r="S1886" s="68">
        <v>17</v>
      </c>
      <c r="T1886" s="623">
        <v>16</v>
      </c>
      <c r="U1886" s="623">
        <v>18</v>
      </c>
      <c r="V1886" s="160">
        <f t="shared" si="693"/>
        <v>23</v>
      </c>
      <c r="W1886" s="160">
        <f t="shared" si="694"/>
        <v>25</v>
      </c>
      <c r="X1886" s="68">
        <v>40</v>
      </c>
      <c r="Y1886" s="686">
        <f>Table1[[#This Row],[Print Wth]]</f>
        <v>23</v>
      </c>
      <c r="Z1886" s="686">
        <f>Table1[[#This Row],[Print Ht]]</f>
        <v>25</v>
      </c>
      <c r="AA1886" s="727">
        <f>Table1[[#This Row],[Cut Width]]*Table1[[#This Row],[Cut Height]]/144</f>
        <v>3.9930555555555554</v>
      </c>
      <c r="AB1886" s="341">
        <f>Table1[[#This Row],[Print Wth]]*Table1[[#This Row],[Print Ht]]/144*EPSONM</f>
        <v>17.96875</v>
      </c>
      <c r="AC1886" s="278">
        <f>Table1[[#This Row],[Substrate SF]]*Canvas</f>
        <v>2.6354166666666665</v>
      </c>
      <c r="AD1886" s="263">
        <f>Table1[[#This Row],[Ink g/mL]]*EPSONC</f>
        <v>3.953125</v>
      </c>
      <c r="AE1886" s="278">
        <f>IF(Table1[[#This Row],[Work Center]]="SwissQ",Materials!G$37,IF(Table1[[#This Row],[Work Center]]="Inca",Materials!G$29,IF(Table1[[#This Row],[Work Center]]="Canon",Materials!G$49,Materials!G$45)))</f>
        <v>5</v>
      </c>
      <c r="AF1886" s="73">
        <f>'Cali Frames'!D264</f>
        <v>82</v>
      </c>
      <c r="AG1886" s="84"/>
      <c r="AH1886" s="67">
        <v>0</v>
      </c>
      <c r="AI1886" s="67"/>
      <c r="AJ1886" s="278">
        <f t="shared" si="692"/>
        <v>93.588541666666671</v>
      </c>
      <c r="AK1886" s="661">
        <f t="shared" si="685"/>
        <v>0.50218860815602839</v>
      </c>
      <c r="AL1886" s="240">
        <f>Table1[[#This Row],[WSP/Dealer]]/Table1[[#This Row],[OD Sq Inch]]</f>
        <v>0.65277777777777779</v>
      </c>
      <c r="AM1886" s="170">
        <f>Table1[[#This Row],[OD Wdth]]*Table1[[#This Row],[OD Hgt]]</f>
        <v>288</v>
      </c>
      <c r="AN1886" s="274">
        <f>Table1[[#This Row],[Min VO]]+Table1[[#This Row],[Max VO]]</f>
        <v>32</v>
      </c>
      <c r="AO1886" s="84"/>
      <c r="AP1886" s="126"/>
      <c r="AQ1886" s="126"/>
      <c r="AR1886" s="126"/>
      <c r="AS1886" s="1158"/>
      <c r="AT1886" s="1187"/>
      <c r="AU1886" s="1357" t="str">
        <f t="shared" si="678"/>
        <v>-</v>
      </c>
    </row>
    <row r="1887" spans="1:47" s="399" customFormat="1" hidden="1" x14ac:dyDescent="0.2">
      <c r="A1887" s="373" t="s">
        <v>101</v>
      </c>
      <c r="B1887" s="279" t="s">
        <v>102</v>
      </c>
      <c r="C1887" s="964" t="s">
        <v>4386</v>
      </c>
      <c r="D1887" s="94"/>
      <c r="E1887" s="172" t="s">
        <v>4387</v>
      </c>
      <c r="F1887" s="84" t="s">
        <v>105</v>
      </c>
      <c r="G1887" s="363" t="s">
        <v>4388</v>
      </c>
      <c r="H1887" s="363" t="s">
        <v>4389</v>
      </c>
      <c r="I1887" s="363" t="s">
        <v>108</v>
      </c>
      <c r="J1887" s="646" t="s">
        <v>53</v>
      </c>
      <c r="K1887" s="363" t="s">
        <v>69</v>
      </c>
      <c r="L1887" s="363" t="s">
        <v>315</v>
      </c>
      <c r="M1887" s="141">
        <v>188</v>
      </c>
      <c r="N1887" s="321"/>
      <c r="O1887" s="274" t="s">
        <v>64</v>
      </c>
      <c r="P1887" s="274">
        <v>19</v>
      </c>
      <c r="Q1887" s="274">
        <v>11</v>
      </c>
      <c r="R1887" s="274">
        <v>11</v>
      </c>
      <c r="S1887" s="274">
        <v>19</v>
      </c>
      <c r="T1887" s="783">
        <v>20</v>
      </c>
      <c r="U1887" s="783">
        <v>12</v>
      </c>
      <c r="V1887" s="277">
        <f t="shared" si="693"/>
        <v>27</v>
      </c>
      <c r="W1887" s="277">
        <f t="shared" si="694"/>
        <v>19</v>
      </c>
      <c r="X1887" s="343">
        <v>40</v>
      </c>
      <c r="Y1887" s="917">
        <f>Table1[[#This Row],[Print Wth]]</f>
        <v>27</v>
      </c>
      <c r="Z1887" s="917">
        <f>Table1[[#This Row],[Print Ht]]</f>
        <v>19</v>
      </c>
      <c r="AA1887" s="1027">
        <f>Table1[[#This Row],[Cut Width]]*Table1[[#This Row],[Cut Height]]/144</f>
        <v>3.5625</v>
      </c>
      <c r="AB1887" s="1130">
        <f>(Table1[[#This Row],[Print Wth]]*Table1[[#This Row],[Print Ht]])/144*SWISSMLR</f>
        <v>7.125</v>
      </c>
      <c r="AC1887" s="278">
        <f>Table1[[#This Row],[Substrate SF]]*Canvas</f>
        <v>2.3512500000000003</v>
      </c>
      <c r="AD1887" s="263">
        <f>Table1[[#This Row],[Substrate SF]]*SWISSCR</f>
        <v>0.78375000000000006</v>
      </c>
      <c r="AE1887" s="74">
        <f>Materials!I$41</f>
        <v>8</v>
      </c>
      <c r="AF1887" s="73">
        <f>'Cali Frames'!D497</f>
        <v>82.71</v>
      </c>
      <c r="AG1887" s="84"/>
      <c r="AH1887" s="126"/>
      <c r="AI1887" s="126"/>
      <c r="AJ1887" s="278">
        <f t="shared" si="692"/>
        <v>93.844999999999999</v>
      </c>
      <c r="AK1887" s="1001">
        <f t="shared" si="685"/>
        <v>0.50082446808510639</v>
      </c>
      <c r="AL1887" s="240">
        <f>Table1[[#This Row],[WSP/Dealer]]/Table1[[#This Row],[OD Sq Inch]]</f>
        <v>0.78333333333333333</v>
      </c>
      <c r="AM1887" s="170">
        <f>Table1[[#This Row],[OD Wdth]]*Table1[[#This Row],[OD Hgt]]</f>
        <v>240</v>
      </c>
      <c r="AN1887" s="274">
        <f>Table1[[#This Row],[Min VO]]+Table1[[#This Row],[Max VO]]</f>
        <v>30</v>
      </c>
      <c r="AO1887" s="84"/>
      <c r="AP1887" s="126"/>
      <c r="AQ1887" s="126"/>
      <c r="AR1887" s="126"/>
      <c r="AS1887" s="1158"/>
      <c r="AT1887" s="1187"/>
      <c r="AU1887" s="1357" t="str">
        <f t="shared" si="678"/>
        <v>-</v>
      </c>
    </row>
    <row r="1888" spans="1:47" s="170" customFormat="1" hidden="1" x14ac:dyDescent="0.2">
      <c r="A1888" s="101" t="s">
        <v>110</v>
      </c>
      <c r="B1888" s="1067" t="s">
        <v>250</v>
      </c>
      <c r="C1888" s="1034" t="s">
        <v>4390</v>
      </c>
      <c r="D1888" s="168"/>
      <c r="E1888" s="169" t="s">
        <v>4387</v>
      </c>
      <c r="F1888" s="115" t="s">
        <v>105</v>
      </c>
      <c r="G1888" s="407" t="s">
        <v>4388</v>
      </c>
      <c r="H1888" s="407" t="s">
        <v>4389</v>
      </c>
      <c r="I1888" s="407" t="s">
        <v>108</v>
      </c>
      <c r="J1888" s="658" t="s">
        <v>53</v>
      </c>
      <c r="K1888" s="407" t="s">
        <v>69</v>
      </c>
      <c r="L1888" s="407" t="s">
        <v>70</v>
      </c>
      <c r="M1888" s="114">
        <v>300</v>
      </c>
      <c r="N1888" s="114"/>
      <c r="O1888" s="400" t="s">
        <v>64</v>
      </c>
      <c r="P1888" s="400">
        <v>19</v>
      </c>
      <c r="Q1888" s="400">
        <v>11</v>
      </c>
      <c r="R1888" s="400">
        <v>11</v>
      </c>
      <c r="S1888" s="399">
        <v>19</v>
      </c>
      <c r="T1888" s="1773">
        <v>20</v>
      </c>
      <c r="U1888" s="1773">
        <v>12</v>
      </c>
      <c r="V1888" s="404">
        <f t="shared" si="693"/>
        <v>27</v>
      </c>
      <c r="W1888" s="404">
        <f t="shared" si="694"/>
        <v>19</v>
      </c>
      <c r="X1888" s="525">
        <v>40</v>
      </c>
      <c r="Y1888" s="106">
        <f>Table1[[#This Row],[Print Wth]]</f>
        <v>27</v>
      </c>
      <c r="Z1888" s="106">
        <f>Table1[[#This Row],[Print Ht]]</f>
        <v>19</v>
      </c>
      <c r="AA1888" s="1011">
        <f>Table1[[#This Row],[Cut Width]]*Table1[[#This Row],[Cut Height]]/144</f>
        <v>3.5625</v>
      </c>
      <c r="AB1888" s="1015">
        <f>(Table1[[#This Row],[Print Wth]]*Table1[[#This Row],[Print Ht]])/144*SWISSMLR</f>
        <v>7.125</v>
      </c>
      <c r="AC1888" s="406">
        <f>Table1[[#This Row],[Substrate SF]]*Canvas</f>
        <v>2.3512500000000003</v>
      </c>
      <c r="AD1888" s="405">
        <f>Table1[[#This Row],[Substrate SF]]*SWISSCR</f>
        <v>0.78375000000000006</v>
      </c>
      <c r="AE1888" s="104">
        <f>Materials!I$41</f>
        <v>8</v>
      </c>
      <c r="AF1888" s="102">
        <f>'Cali Frames'!D258</f>
        <v>83</v>
      </c>
      <c r="AG1888" s="115"/>
      <c r="AH1888" s="405">
        <f>(M1888*0.05)</f>
        <v>15</v>
      </c>
      <c r="AI1888" s="405">
        <f>IF(A1888="Codarus",(M1888*0.13))</f>
        <v>39</v>
      </c>
      <c r="AJ1888" s="104">
        <f>SUM(AC1888:AI1888)</f>
        <v>148.13499999999999</v>
      </c>
      <c r="AK1888" s="1068">
        <f t="shared" si="685"/>
        <v>0.50621666666666665</v>
      </c>
      <c r="AL1888" s="406">
        <f>Table1[[#This Row],[WSP/Dealer]]/Table1[[#This Row],[OD Sq Inch]]</f>
        <v>1.25</v>
      </c>
      <c r="AM1888" s="399">
        <f>Table1[[#This Row],[OD Wdth]]*Table1[[#This Row],[OD Hgt]]</f>
        <v>240</v>
      </c>
      <c r="AN1888" s="400">
        <f>Table1[[#This Row],[Min VO]]+Table1[[#This Row],[Max VO]]</f>
        <v>30</v>
      </c>
      <c r="AO1888" s="115"/>
      <c r="AP1888" s="1307">
        <f>(M1888*2)</f>
        <v>600</v>
      </c>
      <c r="AQ1888" s="121">
        <f>(Table1[[#This Row],[Desgnr/Retail P]]*0.05)</f>
        <v>30</v>
      </c>
      <c r="AR1888" s="121">
        <f>IF(A1888="Codarus",(AP1888*0.13))</f>
        <v>78</v>
      </c>
      <c r="AS1888" s="121">
        <f>SUM(Table1[[#This Row],[Substrate $]:[GP FINISH]])+Table1[[#This Row],[Retail Royalty]]+Table1[[#This Row],[Retail$Comm]]</f>
        <v>202.13499999999999</v>
      </c>
      <c r="AT1888" s="830">
        <f>IF(AP1888=0,"-",(AP1888-AS1888)/AP1888)</f>
        <v>0.6631083333333333</v>
      </c>
      <c r="AU1888" s="1359">
        <f t="shared" si="678"/>
        <v>0.97789638888888886</v>
      </c>
    </row>
    <row r="1889" spans="1:47" s="113" customFormat="1" hidden="1" x14ac:dyDescent="0.2">
      <c r="A1889" s="458" t="s">
        <v>101</v>
      </c>
      <c r="B1889" s="1073" t="s">
        <v>65</v>
      </c>
      <c r="C1889" s="1257" t="s">
        <v>4391</v>
      </c>
      <c r="D1889" s="79"/>
      <c r="E1889" s="99" t="s">
        <v>4387</v>
      </c>
      <c r="F1889" s="83" t="s">
        <v>105</v>
      </c>
      <c r="G1889" s="605" t="s">
        <v>4388</v>
      </c>
      <c r="H1889" s="605" t="s">
        <v>4389</v>
      </c>
      <c r="I1889" s="605" t="s">
        <v>108</v>
      </c>
      <c r="J1889" s="435" t="s">
        <v>53</v>
      </c>
      <c r="K1889" s="605" t="s">
        <v>69</v>
      </c>
      <c r="L1889" s="605" t="s">
        <v>76</v>
      </c>
      <c r="M1889" s="141">
        <v>243</v>
      </c>
      <c r="N1889" s="72"/>
      <c r="O1889" s="60" t="s">
        <v>64</v>
      </c>
      <c r="P1889" s="46">
        <v>19</v>
      </c>
      <c r="Q1889" s="46">
        <v>11</v>
      </c>
      <c r="R1889" s="60">
        <v>11</v>
      </c>
      <c r="S1889" s="46">
        <v>19</v>
      </c>
      <c r="T1889" s="61">
        <v>20</v>
      </c>
      <c r="U1889" s="61">
        <v>12</v>
      </c>
      <c r="V1889" s="149">
        <f t="shared" si="693"/>
        <v>27</v>
      </c>
      <c r="W1889" s="149">
        <f t="shared" si="694"/>
        <v>19</v>
      </c>
      <c r="X1889" s="138">
        <v>40</v>
      </c>
      <c r="Y1889" s="917">
        <f>Table1[[#This Row],[Print Wth]]</f>
        <v>27</v>
      </c>
      <c r="Z1889" s="917">
        <f>Table1[[#This Row],[Print Ht]]</f>
        <v>19</v>
      </c>
      <c r="AA1889" s="1027">
        <f>Table1[[#This Row],[Cut Width]]*Table1[[#This Row],[Cut Height]]/144</f>
        <v>3.5625</v>
      </c>
      <c r="AB1889" s="1130">
        <f>(Table1[[#This Row],[Print Wth]]*Table1[[#This Row],[Print Ht]])/144*SWISSMLR</f>
        <v>7.125</v>
      </c>
      <c r="AC1889" s="278">
        <f>Table1[[#This Row],[Substrate SF]]*Canvas</f>
        <v>2.3512500000000003</v>
      </c>
      <c r="AD1889" s="263">
        <f>Table1[[#This Row],[Substrate SF]]*SWISSCR</f>
        <v>0.78375000000000006</v>
      </c>
      <c r="AE1889" s="74">
        <f>Materials!I$41</f>
        <v>8</v>
      </c>
      <c r="AF1889" s="72">
        <f>'Cali Frames'!D365</f>
        <v>110</v>
      </c>
      <c r="AG1889" s="83"/>
      <c r="AH1889" s="48">
        <v>0</v>
      </c>
      <c r="AI1889" s="48"/>
      <c r="AJ1889" s="176">
        <f>SUM(AC1889:AH1889)</f>
        <v>121.13500000000001</v>
      </c>
      <c r="AK1889" s="62">
        <f t="shared" si="685"/>
        <v>0.50150205761316868</v>
      </c>
      <c r="AL1889" s="225">
        <f>Table1[[#This Row],[WSP/Dealer]]/Table1[[#This Row],[OD Sq Inch]]</f>
        <v>1.0125</v>
      </c>
      <c r="AM1889" s="173">
        <f>Table1[[#This Row],[OD Wdth]]*Table1[[#This Row],[OD Hgt]]</f>
        <v>240</v>
      </c>
      <c r="AN1889" s="180">
        <f>Table1[[#This Row],[Min VO]]+Table1[[#This Row],[Max VO]]</f>
        <v>30</v>
      </c>
      <c r="AO1889" s="83"/>
      <c r="AP1889" s="540"/>
      <c r="AQ1889" s="540"/>
      <c r="AR1889" s="540"/>
      <c r="AS1889" s="1285"/>
      <c r="AT1889" s="1161"/>
      <c r="AU1889" s="1355" t="str">
        <f t="shared" si="678"/>
        <v>-</v>
      </c>
    </row>
    <row r="1890" spans="1:47" s="119" customFormat="1" hidden="1" x14ac:dyDescent="0.2">
      <c r="A1890" s="68" t="s">
        <v>101</v>
      </c>
      <c r="B1890" s="1072" t="s">
        <v>102</v>
      </c>
      <c r="C1890" s="964" t="s">
        <v>4392</v>
      </c>
      <c r="D1890" s="94"/>
      <c r="E1890" s="172" t="s">
        <v>4393</v>
      </c>
      <c r="F1890" s="84" t="s">
        <v>105</v>
      </c>
      <c r="G1890" s="363" t="s">
        <v>519</v>
      </c>
      <c r="H1890" s="363" t="s">
        <v>519</v>
      </c>
      <c r="I1890" s="363" t="s">
        <v>108</v>
      </c>
      <c r="J1890" s="646" t="s">
        <v>53</v>
      </c>
      <c r="K1890" s="68" t="s">
        <v>119</v>
      </c>
      <c r="L1890" s="363" t="s">
        <v>120</v>
      </c>
      <c r="M1890" s="141">
        <v>184</v>
      </c>
      <c r="N1890" s="93"/>
      <c r="O1890" s="68" t="s">
        <v>109</v>
      </c>
      <c r="P1890" s="68">
        <v>16</v>
      </c>
      <c r="Q1890" s="68">
        <v>20</v>
      </c>
      <c r="R1890" s="68">
        <v>16</v>
      </c>
      <c r="S1890" s="68">
        <v>20</v>
      </c>
      <c r="T1890" s="623">
        <v>16</v>
      </c>
      <c r="U1890" s="623">
        <v>20</v>
      </c>
      <c r="V1890" s="686">
        <f t="shared" si="693"/>
        <v>24</v>
      </c>
      <c r="W1890" s="686">
        <f t="shared" si="694"/>
        <v>28</v>
      </c>
      <c r="X1890" s="68">
        <v>40</v>
      </c>
      <c r="Y1890" s="686">
        <f>Table1[[#This Row],[Print Wth]]</f>
        <v>24</v>
      </c>
      <c r="Z1890" s="686">
        <f>Table1[[#This Row],[Print Ht]]</f>
        <v>28</v>
      </c>
      <c r="AA1890" s="727">
        <f>Table1[[#This Row],[Cut Width]]*Table1[[#This Row],[Cut Height]]/144</f>
        <v>4.666666666666667</v>
      </c>
      <c r="AB1890" s="341">
        <f>Table1[[#This Row],[Print Wth]]*Table1[[#This Row],[Print Ht]]/144*EPSONM</f>
        <v>21</v>
      </c>
      <c r="AC1890" s="278">
        <f>Table1[[#This Row],[Substrate SF]]*Canvas</f>
        <v>3.0800000000000005</v>
      </c>
      <c r="AD1890" s="278">
        <f>Table1[[#This Row],[Ink g/mL]]*EPSONC</f>
        <v>4.62</v>
      </c>
      <c r="AE1890" s="278">
        <f>IF(Table1[[#This Row],[Work Center]]="SwissQ",Materials!G$37,IF(Table1[[#This Row],[Work Center]]="Inca",Materials!G$29,IF(Table1[[#This Row],[Work Center]]="Canon",Materials!G$49,Materials!G$45)))</f>
        <v>5</v>
      </c>
      <c r="AF1890" s="73">
        <f>'Cali FPS'!C191</f>
        <v>78.89</v>
      </c>
      <c r="AG1890" s="84"/>
      <c r="AH1890" s="74">
        <v>0</v>
      </c>
      <c r="AI1890" s="74"/>
      <c r="AJ1890" s="278">
        <f>SUM(AC1890:AH1890)</f>
        <v>91.59</v>
      </c>
      <c r="AK1890" s="1001">
        <f t="shared" si="685"/>
        <v>0.50222826086956518</v>
      </c>
      <c r="AL1890" s="240">
        <f>Table1[[#This Row],[WSP/Dealer]]/Table1[[#This Row],[OD Sq Inch]]</f>
        <v>0.57499999999999996</v>
      </c>
      <c r="AM1890" s="274">
        <f>Table1[[#This Row],[OD Wdth]]*Table1[[#This Row],[OD Hgt]]</f>
        <v>320</v>
      </c>
      <c r="AN1890" s="274">
        <f>Table1[[#This Row],[Min VO]]+Table1[[#This Row],[Max VO]]</f>
        <v>36</v>
      </c>
      <c r="AO1890" s="84"/>
      <c r="AP1890" s="126"/>
      <c r="AQ1890" s="126"/>
      <c r="AR1890" s="126"/>
      <c r="AS1890" s="1158"/>
      <c r="AT1890" s="1187"/>
      <c r="AU1890" s="1357" t="str">
        <f t="shared" si="678"/>
        <v>-</v>
      </c>
    </row>
    <row r="1891" spans="1:47" s="113" customFormat="1" hidden="1" x14ac:dyDescent="0.2">
      <c r="A1891" s="68" t="s">
        <v>101</v>
      </c>
      <c r="B1891" s="1152" t="s">
        <v>102</v>
      </c>
      <c r="C1891" s="964" t="s">
        <v>4394</v>
      </c>
      <c r="D1891" s="94"/>
      <c r="E1891" s="172" t="s">
        <v>4395</v>
      </c>
      <c r="F1891" s="84" t="s">
        <v>105</v>
      </c>
      <c r="G1891" s="363" t="s">
        <v>519</v>
      </c>
      <c r="H1891" s="363" t="s">
        <v>688</v>
      </c>
      <c r="I1891" s="363" t="s">
        <v>108</v>
      </c>
      <c r="J1891" s="646" t="s">
        <v>53</v>
      </c>
      <c r="K1891" s="363" t="s">
        <v>69</v>
      </c>
      <c r="L1891" s="363" t="s">
        <v>70</v>
      </c>
      <c r="M1891" s="141">
        <v>191</v>
      </c>
      <c r="N1891" s="93"/>
      <c r="O1891" s="68" t="s">
        <v>109</v>
      </c>
      <c r="P1891" s="68">
        <v>16</v>
      </c>
      <c r="Q1891" s="68">
        <v>20</v>
      </c>
      <c r="R1891" s="68">
        <v>16</v>
      </c>
      <c r="S1891" s="68">
        <v>20</v>
      </c>
      <c r="T1891" s="623">
        <v>17</v>
      </c>
      <c r="U1891" s="623">
        <v>21</v>
      </c>
      <c r="V1891" s="277">
        <f t="shared" si="693"/>
        <v>24</v>
      </c>
      <c r="W1891" s="277">
        <f t="shared" si="694"/>
        <v>28</v>
      </c>
      <c r="X1891" s="68">
        <v>40</v>
      </c>
      <c r="Y1891" s="686">
        <f>Table1[[#This Row],[Print Wth]]</f>
        <v>24</v>
      </c>
      <c r="Z1891" s="686">
        <f>Table1[[#This Row],[Print Ht]]</f>
        <v>28</v>
      </c>
      <c r="AA1891" s="727">
        <f>Table1[[#This Row],[Cut Width]]*Table1[[#This Row],[Cut Height]]/144</f>
        <v>4.666666666666667</v>
      </c>
      <c r="AB1891" s="341">
        <f>Table1[[#This Row],[Print Wth]]*Table1[[#This Row],[Print Ht]]/144*EPSONM</f>
        <v>21</v>
      </c>
      <c r="AC1891" s="278">
        <f>Table1[[#This Row],[Substrate SF]]*Canvas</f>
        <v>3.0800000000000005</v>
      </c>
      <c r="AD1891" s="263">
        <f>Table1[[#This Row],[Ink g/mL]]*EPSONC</f>
        <v>4.62</v>
      </c>
      <c r="AE1891" s="278">
        <f>IF(Table1[[#This Row],[Work Center]]="SwissQ",Materials!G$37,IF(Table1[[#This Row],[Work Center]]="Inca",Materials!G$29,IF(Table1[[#This Row],[Work Center]]="Canon",Materials!G$49,Materials!G$45)))</f>
        <v>5</v>
      </c>
      <c r="AF1891" s="73">
        <f>'Cali Frames'!D267</f>
        <v>82.757499999999993</v>
      </c>
      <c r="AG1891" s="84"/>
      <c r="AH1891" s="67">
        <v>0</v>
      </c>
      <c r="AI1891" s="67"/>
      <c r="AJ1891" s="278">
        <f>SUM(AC1891:AH1891)</f>
        <v>95.457499999999996</v>
      </c>
      <c r="AK1891" s="661">
        <f t="shared" si="685"/>
        <v>0.50022251308900523</v>
      </c>
      <c r="AL1891" s="240">
        <f>Table1[[#This Row],[WSP/Dealer]]/Table1[[#This Row],[OD Sq Inch]]</f>
        <v>0.53501400560224088</v>
      </c>
      <c r="AM1891" s="170">
        <f>Table1[[#This Row],[OD Wdth]]*Table1[[#This Row],[OD Hgt]]</f>
        <v>357</v>
      </c>
      <c r="AN1891" s="274">
        <f>Table1[[#This Row],[Min VO]]+Table1[[#This Row],[Max VO]]</f>
        <v>36</v>
      </c>
      <c r="AO1891" s="84"/>
      <c r="AP1891" s="126"/>
      <c r="AQ1891" s="126"/>
      <c r="AR1891" s="126"/>
      <c r="AS1891" s="1158"/>
      <c r="AT1891" s="1187"/>
      <c r="AU1891" s="1357" t="str">
        <f t="shared" si="678"/>
        <v>-</v>
      </c>
    </row>
    <row r="1892" spans="1:47" s="119" customFormat="1" hidden="1" x14ac:dyDescent="0.2">
      <c r="A1892" s="101" t="s">
        <v>101</v>
      </c>
      <c r="B1892" s="1064" t="s">
        <v>102</v>
      </c>
      <c r="C1892" s="1034" t="s">
        <v>4396</v>
      </c>
      <c r="D1892" s="168"/>
      <c r="E1892" s="169" t="s">
        <v>4397</v>
      </c>
      <c r="F1892" s="115" t="s">
        <v>105</v>
      </c>
      <c r="G1892" s="407" t="s">
        <v>1087</v>
      </c>
      <c r="H1892" s="407" t="s">
        <v>1087</v>
      </c>
      <c r="I1892" s="407" t="s">
        <v>108</v>
      </c>
      <c r="J1892" s="658" t="s">
        <v>53</v>
      </c>
      <c r="K1892" s="101" t="s">
        <v>119</v>
      </c>
      <c r="L1892" s="407" t="s">
        <v>120</v>
      </c>
      <c r="M1892" s="141">
        <v>180</v>
      </c>
      <c r="N1892" s="114"/>
      <c r="O1892" s="101" t="s">
        <v>109</v>
      </c>
      <c r="P1892" s="101">
        <v>14</v>
      </c>
      <c r="Q1892" s="101">
        <v>18</v>
      </c>
      <c r="R1892" s="101">
        <v>14</v>
      </c>
      <c r="S1892" s="101">
        <v>18</v>
      </c>
      <c r="T1892" s="697">
        <v>14</v>
      </c>
      <c r="U1892" s="697">
        <v>18</v>
      </c>
      <c r="V1892" s="918">
        <f t="shared" si="693"/>
        <v>22</v>
      </c>
      <c r="W1892" s="918">
        <f t="shared" si="694"/>
        <v>26</v>
      </c>
      <c r="X1892" s="101">
        <v>40</v>
      </c>
      <c r="Y1892" s="686">
        <f>Table1[[#This Row],[Print Wth]]</f>
        <v>22</v>
      </c>
      <c r="Z1892" s="686">
        <f>Table1[[#This Row],[Print Ht]]</f>
        <v>26</v>
      </c>
      <c r="AA1892" s="1027">
        <f>Table1[[#This Row],[Cut Width]]*Table1[[#This Row],[Cut Height]]/144</f>
        <v>3.9722222222222223</v>
      </c>
      <c r="AB1892" s="1130">
        <f>Table1[[#This Row],[Print Wth]]*Table1[[#This Row],[Print Ht]]/144*EPSONM</f>
        <v>17.875</v>
      </c>
      <c r="AC1892" s="278">
        <f>Table1[[#This Row],[Substrate SF]]*Canvas</f>
        <v>2.621666666666667</v>
      </c>
      <c r="AD1892" s="278">
        <f>Table1[[#This Row],[Ink g/mL]]*EPSONC</f>
        <v>3.9325000000000001</v>
      </c>
      <c r="AE1892" s="406">
        <f>IF(Table1[[#This Row],[Work Center]]="SwissQ",Materials!G$37,IF(Table1[[#This Row],[Work Center]]="Inca",Materials!G$29,IF(Table1[[#This Row],[Work Center]]="Canon",Materials!G$49,Materials!G$45)))</f>
        <v>5</v>
      </c>
      <c r="AF1892" s="102">
        <f>'Cali FPS'!C182</f>
        <v>78.05</v>
      </c>
      <c r="AG1892" s="115"/>
      <c r="AH1892" s="104">
        <v>0</v>
      </c>
      <c r="AI1892" s="104"/>
      <c r="AJ1892" s="406">
        <f>SUM(AC1892:AH1892)</f>
        <v>89.604166666666657</v>
      </c>
      <c r="AK1892" s="830">
        <f t="shared" si="685"/>
        <v>0.50219907407407416</v>
      </c>
      <c r="AL1892" s="660">
        <f>Table1[[#This Row],[WSP/Dealer]]/Table1[[#This Row],[OD Sq Inch]]</f>
        <v>0.7142857142857143</v>
      </c>
      <c r="AM1892" s="400">
        <f>Table1[[#This Row],[OD Wdth]]*Table1[[#This Row],[OD Hgt]]</f>
        <v>252</v>
      </c>
      <c r="AN1892" s="400">
        <f>Table1[[#This Row],[Min VO]]+Table1[[#This Row],[Max VO]]</f>
        <v>32</v>
      </c>
      <c r="AO1892" s="115"/>
      <c r="AP1892" s="121"/>
      <c r="AQ1892" s="121">
        <f>(Table1[[#This Row],[Desgnr/Retail P]]*0.05)</f>
        <v>0</v>
      </c>
      <c r="AR1892" s="121" t="b">
        <f>IF(A1892="Codarus",(AP1892*0.13))</f>
        <v>0</v>
      </c>
      <c r="AS1892" s="1144" t="e" cm="1">
        <f t="array" ref="AS1892">SUM(AC1892:AG1892+AQ+AR)</f>
        <v>#NAME?</v>
      </c>
      <c r="AT1892" s="1193" t="e">
        <f>(AP1892-AS1892)/AP1892</f>
        <v>#NAME?</v>
      </c>
      <c r="AU1892" s="1359" t="str">
        <f t="shared" si="678"/>
        <v>-</v>
      </c>
    </row>
    <row r="1893" spans="1:47" s="113" customFormat="1" hidden="1" x14ac:dyDescent="0.2">
      <c r="A1893" s="68" t="s">
        <v>101</v>
      </c>
      <c r="B1893" s="1152" t="s">
        <v>102</v>
      </c>
      <c r="C1893" s="964" t="s">
        <v>4398</v>
      </c>
      <c r="D1893" s="94"/>
      <c r="E1893" s="172" t="s">
        <v>4399</v>
      </c>
      <c r="F1893" s="84" t="s">
        <v>105</v>
      </c>
      <c r="G1893" s="363" t="s">
        <v>4400</v>
      </c>
      <c r="H1893" s="363" t="s">
        <v>4400</v>
      </c>
      <c r="I1893" s="363" t="s">
        <v>108</v>
      </c>
      <c r="J1893" s="646" t="s">
        <v>53</v>
      </c>
      <c r="K1893" s="68" t="s">
        <v>119</v>
      </c>
      <c r="L1893" s="363" t="s">
        <v>120</v>
      </c>
      <c r="M1893" s="141">
        <v>184</v>
      </c>
      <c r="N1893" s="93"/>
      <c r="O1893" s="68" t="s">
        <v>109</v>
      </c>
      <c r="P1893" s="68">
        <v>15</v>
      </c>
      <c r="Q1893" s="68">
        <v>21</v>
      </c>
      <c r="R1893" s="68">
        <v>15</v>
      </c>
      <c r="S1893" s="68">
        <v>21</v>
      </c>
      <c r="T1893" s="623">
        <v>15</v>
      </c>
      <c r="U1893" s="623">
        <v>21</v>
      </c>
      <c r="V1893" s="277">
        <f t="shared" si="693"/>
        <v>23</v>
      </c>
      <c r="W1893" s="277">
        <f t="shared" si="694"/>
        <v>29</v>
      </c>
      <c r="X1893" s="68">
        <v>40</v>
      </c>
      <c r="Y1893" s="686">
        <f>Table1[[#This Row],[Print Wth]]</f>
        <v>23</v>
      </c>
      <c r="Z1893" s="686">
        <f>Table1[[#This Row],[Print Ht]]</f>
        <v>29</v>
      </c>
      <c r="AA1893" s="727">
        <f>Table1[[#This Row],[Cut Width]]*Table1[[#This Row],[Cut Height]]/144</f>
        <v>4.6319444444444446</v>
      </c>
      <c r="AB1893" s="341">
        <f>Table1[[#This Row],[Print Wth]]*Table1[[#This Row],[Print Ht]]/144*EPSONM</f>
        <v>20.84375</v>
      </c>
      <c r="AC1893" s="278">
        <f>Table1[[#This Row],[Substrate SF]]*Canvas</f>
        <v>3.0570833333333338</v>
      </c>
      <c r="AD1893" s="263">
        <f>Table1[[#This Row],[Ink g/mL]]*EPSONC</f>
        <v>4.5856250000000003</v>
      </c>
      <c r="AE1893" s="278">
        <f>IF(Table1[[#This Row],[Work Center]]="SwissQ",Materials!G$37,IF(Table1[[#This Row],[Work Center]]="Inca",Materials!G$29,IF(Table1[[#This Row],[Work Center]]="Canon",Materials!G$49,Materials!G$45)))</f>
        <v>5</v>
      </c>
      <c r="AF1893" s="73">
        <f>'Cali FPS'!C184</f>
        <v>78.89</v>
      </c>
      <c r="AG1893" s="84"/>
      <c r="AH1893" s="67">
        <v>0</v>
      </c>
      <c r="AI1893" s="67"/>
      <c r="AJ1893" s="278">
        <f>SUM(AC1893:AH1893)</f>
        <v>91.532708333333332</v>
      </c>
      <c r="AK1893" s="661">
        <f t="shared" si="685"/>
        <v>0.50253962862318846</v>
      </c>
      <c r="AL1893" s="240">
        <f>Table1[[#This Row],[WSP/Dealer]]/Table1[[#This Row],[OD Sq Inch]]</f>
        <v>0.58412698412698416</v>
      </c>
      <c r="AM1893" s="170">
        <f>Table1[[#This Row],[OD Wdth]]*Table1[[#This Row],[OD Hgt]]</f>
        <v>315</v>
      </c>
      <c r="AN1893" s="274">
        <f>Table1[[#This Row],[Min VO]]+Table1[[#This Row],[Max VO]]</f>
        <v>36</v>
      </c>
      <c r="AO1893" s="84"/>
      <c r="AP1893" s="126"/>
      <c r="AQ1893" s="126"/>
      <c r="AR1893" s="126"/>
      <c r="AS1893" s="1158"/>
      <c r="AT1893" s="1187"/>
      <c r="AU1893" s="1357" t="str">
        <f t="shared" si="678"/>
        <v>-</v>
      </c>
    </row>
    <row r="1894" spans="1:47" s="95" customFormat="1" hidden="1" x14ac:dyDescent="0.2">
      <c r="A1894" s="101" t="s">
        <v>110</v>
      </c>
      <c r="B1894" s="1064" t="s">
        <v>250</v>
      </c>
      <c r="C1894" s="1034" t="s">
        <v>4401</v>
      </c>
      <c r="D1894" s="168"/>
      <c r="E1894" s="169" t="s">
        <v>4402</v>
      </c>
      <c r="F1894" s="115" t="s">
        <v>105</v>
      </c>
      <c r="G1894" s="407" t="s">
        <v>2353</v>
      </c>
      <c r="H1894" s="407" t="s">
        <v>2354</v>
      </c>
      <c r="I1894" s="605" t="s">
        <v>574</v>
      </c>
      <c r="J1894" s="658" t="s">
        <v>53</v>
      </c>
      <c r="K1894" s="407" t="s">
        <v>69</v>
      </c>
      <c r="L1894" s="407" t="s">
        <v>70</v>
      </c>
      <c r="M1894" s="114">
        <v>300</v>
      </c>
      <c r="N1894" s="114"/>
      <c r="O1894" s="101" t="s">
        <v>575</v>
      </c>
      <c r="P1894" s="101">
        <v>16</v>
      </c>
      <c r="Q1894" s="101">
        <v>12</v>
      </c>
      <c r="R1894" s="101">
        <v>12</v>
      </c>
      <c r="S1894" s="101">
        <v>16</v>
      </c>
      <c r="T1894" s="697">
        <v>17</v>
      </c>
      <c r="U1894" s="697">
        <v>13</v>
      </c>
      <c r="V1894" s="404">
        <f t="shared" si="693"/>
        <v>24</v>
      </c>
      <c r="W1894" s="404">
        <f t="shared" si="694"/>
        <v>20</v>
      </c>
      <c r="X1894" s="101">
        <v>40</v>
      </c>
      <c r="Y1894" s="101">
        <v>24</v>
      </c>
      <c r="Z1894" s="101">
        <v>20</v>
      </c>
      <c r="AA1894" s="649">
        <f>V1894*W1894/144</f>
        <v>3.3333333333333335</v>
      </c>
      <c r="AB1894" s="125">
        <f>AA1894*Swiss1</f>
        <v>94.333333333333343</v>
      </c>
      <c r="AC1894" s="69">
        <f>AA1894*Canvas</f>
        <v>2.2000000000000002</v>
      </c>
      <c r="AD1894" s="405">
        <f>Table1[[#This Row],[Substrate SF]]*SWISSCR*3</f>
        <v>2.2000000000000002</v>
      </c>
      <c r="AE1894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894" s="102">
        <f>'Cali Frames'!D260</f>
        <v>73</v>
      </c>
      <c r="AG1894" s="115"/>
      <c r="AH1894" s="405">
        <f>(M1894*0.05)</f>
        <v>15</v>
      </c>
      <c r="AI1894" s="405">
        <f>IF(A1894="Codarus",(M1894*0.13))</f>
        <v>39</v>
      </c>
      <c r="AJ1894" s="104">
        <f>SUM(AC1894:AI1894)</f>
        <v>139.4</v>
      </c>
      <c r="AK1894" s="1068">
        <f t="shared" ref="AK1894:AK1925" si="695">(M1894-AJ1894)/M1894</f>
        <v>0.53533333333333333</v>
      </c>
      <c r="AL1894" s="406">
        <f>Table1[[#This Row],[WSP/Dealer]]/Table1[[#This Row],[OD Sq Inch]]</f>
        <v>1.3574660633484164</v>
      </c>
      <c r="AM1894" s="399">
        <f>Table1[[#This Row],[OD Wdth]]*Table1[[#This Row],[OD Hgt]]</f>
        <v>221</v>
      </c>
      <c r="AN1894" s="400">
        <f>Table1[[#This Row],[Min VO]]+Table1[[#This Row],[Max VO]]</f>
        <v>28</v>
      </c>
      <c r="AO1894" s="115"/>
      <c r="AP1894" s="408">
        <v>600</v>
      </c>
      <c r="AQ1894" s="121">
        <f>(Table1[[#This Row],[Desgnr/Retail P]]*0.05)</f>
        <v>30</v>
      </c>
      <c r="AR1894" s="121">
        <f>IF(A1894="Codarus",(AP1894*0.13))</f>
        <v>78</v>
      </c>
      <c r="AS1894" s="121">
        <f>SUM(Table1[[#This Row],[Substrate $]:[GP FINISH]])+Table1[[#This Row],[Retail Royalty]]+Table1[[#This Row],[Retail$Comm]]</f>
        <v>193.4</v>
      </c>
      <c r="AT1894" s="830">
        <f>IF(AP1894=0,"-",(AP1894-AS1894)/AP1894)</f>
        <v>0.67766666666666675</v>
      </c>
      <c r="AU1894" s="1359">
        <f t="shared" si="678"/>
        <v>0.97741111111111112</v>
      </c>
    </row>
    <row r="1895" spans="1:47" s="45" customFormat="1" hidden="1" x14ac:dyDescent="0.2">
      <c r="A1895" s="68" t="s">
        <v>644</v>
      </c>
      <c r="B1895" s="279" t="s">
        <v>96</v>
      </c>
      <c r="C1895" s="964" t="s">
        <v>4403</v>
      </c>
      <c r="D1895" s="94"/>
      <c r="E1895" s="172" t="s">
        <v>4402</v>
      </c>
      <c r="F1895" s="84" t="s">
        <v>105</v>
      </c>
      <c r="G1895" s="363" t="s">
        <v>2353</v>
      </c>
      <c r="H1895" s="363" t="s">
        <v>2353</v>
      </c>
      <c r="I1895" s="363" t="s">
        <v>52</v>
      </c>
      <c r="J1895" s="646" t="s">
        <v>53</v>
      </c>
      <c r="K1895" s="363" t="s">
        <v>54</v>
      </c>
      <c r="L1895" s="363" t="s">
        <v>55</v>
      </c>
      <c r="M1895" s="141">
        <v>215</v>
      </c>
      <c r="N1895" s="93"/>
      <c r="O1895" s="274" t="s">
        <v>64</v>
      </c>
      <c r="P1895" s="68">
        <v>16</v>
      </c>
      <c r="Q1895" s="68">
        <v>12</v>
      </c>
      <c r="R1895" s="68">
        <v>12</v>
      </c>
      <c r="S1895" s="68">
        <v>16</v>
      </c>
      <c r="T1895" s="623">
        <v>16</v>
      </c>
      <c r="U1895" s="623">
        <v>12</v>
      </c>
      <c r="V1895" s="277">
        <f t="shared" si="693"/>
        <v>24</v>
      </c>
      <c r="W1895" s="277">
        <f t="shared" si="694"/>
        <v>20</v>
      </c>
      <c r="X1895" s="189">
        <v>40</v>
      </c>
      <c r="Y1895" s="68">
        <v>27</v>
      </c>
      <c r="Z1895" s="68">
        <v>23</v>
      </c>
      <c r="AA1895" s="727">
        <f>V1895*W1895/144</f>
        <v>3.3333333333333335</v>
      </c>
      <c r="AB1895" s="297">
        <f>AA1895*Swiss1</f>
        <v>94.333333333333343</v>
      </c>
      <c r="AC1895" s="74">
        <f>AA1895*Canvas</f>
        <v>2.2000000000000002</v>
      </c>
      <c r="AD1895" s="67">
        <f>Table1[[#This Row],[Substrate SF]]*Materials!C$37</f>
        <v>9.3333333333333339</v>
      </c>
      <c r="AE1895" s="74">
        <f>IF(Table1[[#This Row],[Work Center]]="SwissQ",Materials!G$37,IF(Table1[[#This Row],[Work Center]]="Inca",Materials!G$29,IF(Table1[[#This Row],[Work Center]]="Canon",Materials!G$49,Materials!G$45)))</f>
        <v>20</v>
      </c>
      <c r="AF1895" s="73">
        <f>'Cali FPS'!C12</f>
        <v>59</v>
      </c>
      <c r="AG1895" s="84"/>
      <c r="AH1895" s="67">
        <v>0</v>
      </c>
      <c r="AI1895" s="67"/>
      <c r="AJ1895" s="263">
        <f>SUM(AC1895:AH1895)</f>
        <v>90.533333333333331</v>
      </c>
      <c r="AK1895" s="661">
        <f t="shared" si="695"/>
        <v>0.57891472868217053</v>
      </c>
      <c r="AL1895" s="240">
        <f>Table1[[#This Row],[WSP/Dealer]]/Table1[[#This Row],[OD Sq Inch]]</f>
        <v>1.1197916666666667</v>
      </c>
      <c r="AM1895" s="170">
        <f>Table1[[#This Row],[OD Wdth]]*Table1[[#This Row],[OD Hgt]]</f>
        <v>192</v>
      </c>
      <c r="AN1895" s="274">
        <f>Table1[[#This Row],[Min VO]]+Table1[[#This Row],[Max VO]]</f>
        <v>28</v>
      </c>
      <c r="AO1895" s="84"/>
      <c r="AP1895" s="84"/>
      <c r="AQ1895" s="126"/>
      <c r="AR1895" s="126"/>
      <c r="AS1895" s="126"/>
      <c r="AT1895" s="74"/>
      <c r="AU1895" s="1357" t="str">
        <f t="shared" si="678"/>
        <v>-</v>
      </c>
    </row>
    <row r="1896" spans="1:47" s="1545" customFormat="1" hidden="1" x14ac:dyDescent="0.2">
      <c r="A1896" s="60" t="s">
        <v>110</v>
      </c>
      <c r="B1896" s="1106" t="s">
        <v>250</v>
      </c>
      <c r="C1896" s="1257" t="s">
        <v>4404</v>
      </c>
      <c r="D1896" s="79"/>
      <c r="E1896" s="99" t="s">
        <v>4402</v>
      </c>
      <c r="F1896" s="83" t="s">
        <v>105</v>
      </c>
      <c r="G1896" s="605" t="s">
        <v>2353</v>
      </c>
      <c r="H1896" s="605" t="s">
        <v>2354</v>
      </c>
      <c r="I1896" s="605" t="s">
        <v>52</v>
      </c>
      <c r="J1896" s="435" t="s">
        <v>53</v>
      </c>
      <c r="K1896" s="605" t="s">
        <v>69</v>
      </c>
      <c r="L1896" s="605" t="s">
        <v>70</v>
      </c>
      <c r="M1896" s="124">
        <v>300</v>
      </c>
      <c r="N1896" s="124"/>
      <c r="O1896" s="60" t="s">
        <v>64</v>
      </c>
      <c r="P1896" s="60">
        <v>16</v>
      </c>
      <c r="Q1896" s="60">
        <v>12</v>
      </c>
      <c r="R1896" s="60">
        <v>12</v>
      </c>
      <c r="S1896" s="60">
        <v>16</v>
      </c>
      <c r="T1896" s="273">
        <v>17</v>
      </c>
      <c r="U1896" s="273">
        <v>13</v>
      </c>
      <c r="V1896" s="947">
        <f t="shared" si="693"/>
        <v>24</v>
      </c>
      <c r="W1896" s="947">
        <f t="shared" si="694"/>
        <v>20</v>
      </c>
      <c r="X1896" s="60">
        <v>40</v>
      </c>
      <c r="Y1896" s="60">
        <v>24</v>
      </c>
      <c r="Z1896" s="60">
        <v>20</v>
      </c>
      <c r="AA1896" s="717">
        <f>V1896*W1896/144</f>
        <v>3.3333333333333335</v>
      </c>
      <c r="AB1896" s="125">
        <f>AA1896*SWISSCR</f>
        <v>0.73333333333333339</v>
      </c>
      <c r="AC1896" s="69">
        <f>AA1896*Canvas</f>
        <v>2.2000000000000002</v>
      </c>
      <c r="AD1896" s="48">
        <f>Table1[[#This Row],[Substrate SF]]*Materials!C$37</f>
        <v>9.3333333333333339</v>
      </c>
      <c r="AE1896" s="69">
        <f>IF(Table1[[#This Row],[Work Center]]="SwissQ",Materials!G$37,IF(Table1[[#This Row],[Work Center]]="Inca",Materials!G$29,IF(Table1[[#This Row],[Work Center]]="Canon",Materials!G$49,Materials!G$45)))</f>
        <v>20</v>
      </c>
      <c r="AF1896" s="72">
        <f>'Cali Frames'!D260</f>
        <v>73</v>
      </c>
      <c r="AG1896" s="83"/>
      <c r="AH1896" s="175">
        <f>(M1896*0.05)</f>
        <v>15</v>
      </c>
      <c r="AI1896" s="175">
        <f>IF(A1896="Codarus",(M1896*0.13))</f>
        <v>39</v>
      </c>
      <c r="AJ1896" s="69">
        <f>SUM(AC1896:AI1896)</f>
        <v>158.53333333333333</v>
      </c>
      <c r="AK1896" s="1201">
        <f t="shared" si="695"/>
        <v>0.47155555555555556</v>
      </c>
      <c r="AL1896" s="176">
        <f>Table1[[#This Row],[WSP/Dealer]]/Table1[[#This Row],[OD Sq Inch]]</f>
        <v>1.3574660633484164</v>
      </c>
      <c r="AM1896" s="173">
        <f>Table1[[#This Row],[OD Wdth]]*Table1[[#This Row],[OD Hgt]]</f>
        <v>221</v>
      </c>
      <c r="AN1896" s="180">
        <f>Table1[[#This Row],[Min VO]]+Table1[[#This Row],[Max VO]]</f>
        <v>28</v>
      </c>
      <c r="AO1896" s="83"/>
      <c r="AP1896" s="821">
        <v>600</v>
      </c>
      <c r="AQ1896" s="540">
        <f>(Table1[[#This Row],[Desgnr/Retail P]]*0.05)</f>
        <v>30</v>
      </c>
      <c r="AR1896" s="540">
        <f>IF(A1896="Codarus",(AP1896*0.13))</f>
        <v>78</v>
      </c>
      <c r="AS1896" s="540">
        <f>SUM(Table1[[#This Row],[Substrate $]:[GP FINISH]])+Table1[[#This Row],[Retail Royalty]]+Table1[[#This Row],[Retail$Comm]]</f>
        <v>212.53333333333333</v>
      </c>
      <c r="AT1896" s="650">
        <f>IF(AP1896=0,"-",(AP1896-AS1896)/AP1896)</f>
        <v>0.64577777777777778</v>
      </c>
      <c r="AU1896" s="1361">
        <f t="shared" si="678"/>
        <v>0.97847407407407405</v>
      </c>
    </row>
    <row r="1897" spans="1:47" s="1545" customFormat="1" hidden="1" x14ac:dyDescent="0.2">
      <c r="A1897" s="101" t="s">
        <v>996</v>
      </c>
      <c r="B1897" s="1322" t="s">
        <v>96</v>
      </c>
      <c r="C1897" s="1034" t="s">
        <v>4405</v>
      </c>
      <c r="D1897" s="168"/>
      <c r="E1897" s="169" t="s">
        <v>4402</v>
      </c>
      <c r="F1897" s="115" t="s">
        <v>105</v>
      </c>
      <c r="G1897" s="407" t="s">
        <v>2353</v>
      </c>
      <c r="H1897" s="407" t="s">
        <v>2354</v>
      </c>
      <c r="I1897" s="407" t="s">
        <v>52</v>
      </c>
      <c r="J1897" s="658" t="s">
        <v>280</v>
      </c>
      <c r="K1897" s="407" t="s">
        <v>69</v>
      </c>
      <c r="L1897" s="407" t="s">
        <v>315</v>
      </c>
      <c r="M1897" s="299">
        <v>400</v>
      </c>
      <c r="N1897" s="114"/>
      <c r="O1897" s="101" t="s">
        <v>64</v>
      </c>
      <c r="P1897" s="101">
        <v>16</v>
      </c>
      <c r="Q1897" s="101">
        <v>12</v>
      </c>
      <c r="R1897" s="101">
        <v>12</v>
      </c>
      <c r="S1897" s="101">
        <v>16</v>
      </c>
      <c r="T1897" s="697">
        <v>17</v>
      </c>
      <c r="U1897" s="697">
        <v>13</v>
      </c>
      <c r="V1897" s="106">
        <v>16</v>
      </c>
      <c r="W1897" s="106">
        <v>12</v>
      </c>
      <c r="X1897" s="1010" t="s">
        <v>283</v>
      </c>
      <c r="Y1897" s="101">
        <v>16</v>
      </c>
      <c r="Z1897" s="101">
        <v>12</v>
      </c>
      <c r="AA1897" s="649">
        <f>V1897*W1897/144</f>
        <v>1.3333333333333333</v>
      </c>
      <c r="AB1897" s="125">
        <f>AA1897*Swiss1</f>
        <v>37.733333333333334</v>
      </c>
      <c r="AC1897" s="69">
        <f>AA1897*Canvas</f>
        <v>0.88</v>
      </c>
      <c r="AD1897" s="48">
        <f>Table1[[#This Row],[Substrate SF]]*Materials!C$37</f>
        <v>3.7333333333333329</v>
      </c>
      <c r="AE1897" s="69">
        <f>IF(Table1[[#This Row],[Work Center]]="SwissQ",Materials!G$37,IF(Table1[[#This Row],[Work Center]]="Inca",Materials!G$29,IF(Table1[[#This Row],[Work Center]]="Canon",Materials!G$49,Materials!G$45)))</f>
        <v>20</v>
      </c>
      <c r="AF1897" s="102">
        <f>'Cali Frames'!D499</f>
        <v>79</v>
      </c>
      <c r="AG1897" s="115"/>
      <c r="AH1897" s="107">
        <v>0</v>
      </c>
      <c r="AI1897" s="104"/>
      <c r="AJ1897" s="406">
        <f t="shared" ref="AJ1897:AJ1904" si="696">SUM(AC1897:AH1897)</f>
        <v>103.61333333333333</v>
      </c>
      <c r="AK1897" s="108">
        <f t="shared" si="695"/>
        <v>0.74096666666666666</v>
      </c>
      <c r="AL1897" s="660">
        <f>Table1[[#This Row],[WSP/Dealer]]/Table1[[#This Row],[OD Sq Inch]]</f>
        <v>1.8099547511312217</v>
      </c>
      <c r="AM1897" s="399">
        <f>Table1[[#This Row],[OD Wdth]]*Table1[[#This Row],[OD Hgt]]</f>
        <v>221</v>
      </c>
      <c r="AN1897" s="400" t="str">
        <f>Table1[[#This Row],[Color]]</f>
        <v>WF</v>
      </c>
      <c r="AO1897" s="115" t="str">
        <f>Table1[[#This Row],[Print Type]]</f>
        <v>Synograph</v>
      </c>
      <c r="AP1897" s="115"/>
      <c r="AQ1897" s="121"/>
      <c r="AR1897" s="121"/>
      <c r="AS1897" s="121"/>
      <c r="AT1897" s="104"/>
      <c r="AU1897" s="1359" t="str">
        <f t="shared" si="678"/>
        <v>-</v>
      </c>
    </row>
    <row r="1898" spans="1:47" s="119" customFormat="1" hidden="1" x14ac:dyDescent="0.2">
      <c r="A1898" s="101" t="s">
        <v>101</v>
      </c>
      <c r="B1898" s="1067" t="s">
        <v>102</v>
      </c>
      <c r="C1898" s="1034" t="s">
        <v>4406</v>
      </c>
      <c r="D1898" s="168"/>
      <c r="E1898" s="169" t="s">
        <v>4407</v>
      </c>
      <c r="F1898" s="115" t="s">
        <v>105</v>
      </c>
      <c r="G1898" s="407" t="s">
        <v>4408</v>
      </c>
      <c r="H1898" s="407" t="s">
        <v>4409</v>
      </c>
      <c r="I1898" s="407" t="s">
        <v>256</v>
      </c>
      <c r="J1898" s="658" t="s">
        <v>257</v>
      </c>
      <c r="K1898" s="407" t="s">
        <v>258</v>
      </c>
      <c r="L1898" s="407" t="s">
        <v>269</v>
      </c>
      <c r="M1898" s="141">
        <v>148</v>
      </c>
      <c r="N1898" s="114"/>
      <c r="O1898" s="101" t="s">
        <v>260</v>
      </c>
      <c r="P1898" s="101">
        <v>9</v>
      </c>
      <c r="Q1898" s="101">
        <v>15</v>
      </c>
      <c r="R1898" s="101">
        <v>9</v>
      </c>
      <c r="S1898" s="101">
        <v>15</v>
      </c>
      <c r="T1898" s="697">
        <v>11</v>
      </c>
      <c r="U1898" s="697">
        <v>17</v>
      </c>
      <c r="V1898" s="918">
        <f>IF(J1898="Canvas",P1898+BorderL,P1898)</f>
        <v>9</v>
      </c>
      <c r="W1898" s="918">
        <f>IF(J1898="Canvas",Q1898+BorderL,Q1898)</f>
        <v>15</v>
      </c>
      <c r="X1898" s="101" t="s">
        <v>1018</v>
      </c>
      <c r="Y1898" s="1346">
        <f>Table1[[#This Row],[Print Wth]]+Materials!$C$7</f>
        <v>11</v>
      </c>
      <c r="Z1898" s="1346">
        <f>Table1[[#This Row],[Print Ht]]+Materials!$C$7</f>
        <v>17</v>
      </c>
      <c r="AA1898" s="903">
        <f>(Table1[[#This Row],[Cut Width]]*Table1[[#This Row],[Cut Height]])/144</f>
        <v>1.2986111111111112</v>
      </c>
      <c r="AB1898" s="1168">
        <f>(Table1[[#This Row],[Print Wth]]*Table1[[#This Row],[Print Ht]])/144*canonML</f>
        <v>4.5</v>
      </c>
      <c r="AC1898" s="863">
        <f>Table1[[#This Row],[Substrate SF]]*Paper</f>
        <v>1.7570208333333335</v>
      </c>
      <c r="AD1898" s="862">
        <f>(Table1[[#This Row],[Print Wth]]*Table1[[#This Row],[Print Ht]])/144*CanonC</f>
        <v>0.25312500000000004</v>
      </c>
      <c r="AE1898" s="863">
        <f>IF(Table1[[#This Row],[Work Center]]="SwissQ",Materials!G$37,IF(Table1[[#This Row],[Work Center]]="Inca",Materials!G$29,IF(Table1[[#This Row],[Work Center]]="Canon",Materials!G$49,Materials!G$45)))</f>
        <v>7</v>
      </c>
      <c r="AF1898" s="102">
        <f>'Cali Frames'!D57</f>
        <v>64.87</v>
      </c>
      <c r="AG1898" s="115"/>
      <c r="AH1898" s="104">
        <v>0</v>
      </c>
      <c r="AI1898" s="104"/>
      <c r="AJ1898" s="406">
        <f t="shared" si="696"/>
        <v>73.88014583333333</v>
      </c>
      <c r="AK1898" s="830">
        <f t="shared" si="695"/>
        <v>0.5008098254504505</v>
      </c>
      <c r="AL1898" s="660">
        <f>Table1[[#This Row],[WSP/Dealer]]/Table1[[#This Row],[OD Sq Inch]]</f>
        <v>0.79144385026737973</v>
      </c>
      <c r="AM1898" s="399">
        <f>Table1[[#This Row],[OD Wdth]]*Table1[[#This Row],[OD Hgt]]</f>
        <v>187</v>
      </c>
      <c r="AN1898" s="400" t="str">
        <f>Table1[[#This Row],[Color]]</f>
        <v>NA</v>
      </c>
      <c r="AO1898" s="115" t="str">
        <f>Table1[[#This Row],[Print Type]]</f>
        <v>Work on Paper</v>
      </c>
      <c r="AP1898" s="115"/>
      <c r="AQ1898" s="121"/>
      <c r="AR1898" s="121"/>
      <c r="AS1898" s="121"/>
      <c r="AT1898" s="104"/>
      <c r="AU1898" s="1359" t="str">
        <f t="shared" ref="AU1898:AU1961" si="697">IF(AQ1898=0,"-",(AQ1898-AT1898)/AQ1898)</f>
        <v>-</v>
      </c>
    </row>
    <row r="1899" spans="1:47" s="113" customFormat="1" hidden="1" x14ac:dyDescent="0.2">
      <c r="A1899" s="68" t="s">
        <v>101</v>
      </c>
      <c r="B1899" s="1152" t="s">
        <v>102</v>
      </c>
      <c r="C1899" s="964" t="s">
        <v>4410</v>
      </c>
      <c r="D1899" s="94"/>
      <c r="E1899" s="172" t="s">
        <v>4411</v>
      </c>
      <c r="F1899" s="84" t="s">
        <v>105</v>
      </c>
      <c r="G1899" s="363" t="s">
        <v>350</v>
      </c>
      <c r="H1899" s="363" t="s">
        <v>351</v>
      </c>
      <c r="I1899" s="363" t="s">
        <v>108</v>
      </c>
      <c r="J1899" s="646" t="s">
        <v>53</v>
      </c>
      <c r="K1899" s="363" t="s">
        <v>69</v>
      </c>
      <c r="L1899" s="363" t="s">
        <v>73</v>
      </c>
      <c r="M1899" s="141">
        <v>173</v>
      </c>
      <c r="N1899" s="93"/>
      <c r="O1899" s="68" t="s">
        <v>109</v>
      </c>
      <c r="P1899" s="68">
        <v>12</v>
      </c>
      <c r="Q1899" s="68">
        <v>16</v>
      </c>
      <c r="R1899" s="68">
        <v>12</v>
      </c>
      <c r="S1899" s="68">
        <v>16</v>
      </c>
      <c r="T1899" s="623">
        <v>13</v>
      </c>
      <c r="U1899" s="623">
        <v>17</v>
      </c>
      <c r="V1899" s="277">
        <f>IF(J1899="Canvas",P1899+Border,P1899)</f>
        <v>20</v>
      </c>
      <c r="W1899" s="277">
        <f>IF(J1899="Canvas",Q1899+Border,Q1899)</f>
        <v>24</v>
      </c>
      <c r="X1899" s="68">
        <v>40</v>
      </c>
      <c r="Y1899" s="686">
        <f>Table1[[#This Row],[Print Wth]]</f>
        <v>20</v>
      </c>
      <c r="Z1899" s="686">
        <f>Table1[[#This Row],[Print Ht]]</f>
        <v>24</v>
      </c>
      <c r="AA1899" s="727">
        <f>Table1[[#This Row],[Cut Width]]*Table1[[#This Row],[Cut Height]]/144</f>
        <v>3.3333333333333335</v>
      </c>
      <c r="AB1899" s="341">
        <f>Table1[[#This Row],[Print Wth]]*Table1[[#This Row],[Print Ht]]/144*EPSONM</f>
        <v>15</v>
      </c>
      <c r="AC1899" s="278">
        <f>Table1[[#This Row],[Substrate SF]]*Canvas</f>
        <v>2.2000000000000002</v>
      </c>
      <c r="AD1899" s="263">
        <f>Table1[[#This Row],[Ink g/mL]]*EPSONC</f>
        <v>3.3</v>
      </c>
      <c r="AE1899" s="278">
        <f>IF(Table1[[#This Row],[Work Center]]="SwissQ",Materials!G$37,IF(Table1[[#This Row],[Work Center]]="Inca",Materials!G$29,IF(Table1[[#This Row],[Work Center]]="Canon",Materials!G$49,Materials!G$45)))</f>
        <v>5</v>
      </c>
      <c r="AF1899" s="73">
        <f>'Cali Frames'!D412</f>
        <v>75.634999999999991</v>
      </c>
      <c r="AG1899" s="84"/>
      <c r="AH1899" s="74">
        <v>0</v>
      </c>
      <c r="AI1899" s="74"/>
      <c r="AJ1899" s="278">
        <f t="shared" si="696"/>
        <v>86.134999999999991</v>
      </c>
      <c r="AK1899" s="1001">
        <f t="shared" si="695"/>
        <v>0.50210982658959546</v>
      </c>
      <c r="AL1899" s="240">
        <f>Table1[[#This Row],[WSP/Dealer]]/Table1[[#This Row],[OD Sq Inch]]</f>
        <v>0.78280542986425339</v>
      </c>
      <c r="AM1899" s="170">
        <f>Table1[[#This Row],[OD Wdth]]*Table1[[#This Row],[OD Hgt]]</f>
        <v>221</v>
      </c>
      <c r="AN1899" s="274" t="str">
        <f>Table1[[#This Row],[Color]]</f>
        <v>NF</v>
      </c>
      <c r="AO1899" s="84" t="str">
        <f>Table1[[#This Row],[Print Type]]</f>
        <v>Reductive</v>
      </c>
      <c r="AP1899" s="84"/>
      <c r="AQ1899" s="126"/>
      <c r="AR1899" s="126"/>
      <c r="AS1899" s="126"/>
      <c r="AT1899" s="74"/>
      <c r="AU1899" s="1357" t="str">
        <f t="shared" si="697"/>
        <v>-</v>
      </c>
    </row>
    <row r="1900" spans="1:47" s="1428" customFormat="1" hidden="1" x14ac:dyDescent="0.2">
      <c r="A1900" s="101" t="s">
        <v>101</v>
      </c>
      <c r="B1900" s="1064" t="s">
        <v>102</v>
      </c>
      <c r="C1900" s="1034" t="s">
        <v>4412</v>
      </c>
      <c r="D1900" s="168"/>
      <c r="E1900" s="169" t="s">
        <v>4413</v>
      </c>
      <c r="F1900" s="115" t="s">
        <v>105</v>
      </c>
      <c r="G1900" s="407" t="s">
        <v>4414</v>
      </c>
      <c r="H1900" s="407" t="s">
        <v>4415</v>
      </c>
      <c r="I1900" s="407" t="s">
        <v>108</v>
      </c>
      <c r="J1900" s="658" t="s">
        <v>53</v>
      </c>
      <c r="K1900" s="407" t="s">
        <v>69</v>
      </c>
      <c r="L1900" s="407" t="s">
        <v>70</v>
      </c>
      <c r="M1900" s="141">
        <v>189</v>
      </c>
      <c r="N1900" s="114"/>
      <c r="O1900" s="101" t="s">
        <v>109</v>
      </c>
      <c r="P1900" s="101">
        <v>18</v>
      </c>
      <c r="Q1900" s="101">
        <v>17</v>
      </c>
      <c r="R1900" s="101">
        <v>17</v>
      </c>
      <c r="S1900" s="101">
        <v>18</v>
      </c>
      <c r="T1900" s="697">
        <v>19</v>
      </c>
      <c r="U1900" s="697">
        <v>18</v>
      </c>
      <c r="V1900" s="404">
        <f>IF(J1900="Canvas",P1900+Border,P1900)</f>
        <v>26</v>
      </c>
      <c r="W1900" s="404">
        <f>IF(J1900="Canvas",Q1900+Border,Q1900)</f>
        <v>25</v>
      </c>
      <c r="X1900" s="101">
        <v>40</v>
      </c>
      <c r="Y1900" s="686">
        <f>Table1[[#This Row],[Print Wth]]</f>
        <v>26</v>
      </c>
      <c r="Z1900" s="686">
        <f>Table1[[#This Row],[Print Ht]]</f>
        <v>25</v>
      </c>
      <c r="AA1900" s="1027">
        <f>Table1[[#This Row],[Cut Width]]*Table1[[#This Row],[Cut Height]]/144</f>
        <v>4.5138888888888893</v>
      </c>
      <c r="AB1900" s="1130">
        <f>Table1[[#This Row],[Print Wth]]*Table1[[#This Row],[Print Ht]]/144*EPSONM</f>
        <v>20.3125</v>
      </c>
      <c r="AC1900" s="278">
        <f>Table1[[#This Row],[Substrate SF]]*Canvas</f>
        <v>2.979166666666667</v>
      </c>
      <c r="AD1900" s="263">
        <f>Table1[[#This Row],[Ink g/mL]]*EPSONC</f>
        <v>4.46875</v>
      </c>
      <c r="AE1900" s="406">
        <f>IF(Table1[[#This Row],[Work Center]]="SwissQ",Materials!G$37,IF(Table1[[#This Row],[Work Center]]="Inca",Materials!G$29,IF(Table1[[#This Row],[Work Center]]="Canon",Materials!G$49,Materials!G$45)))</f>
        <v>5</v>
      </c>
      <c r="AF1900" s="102">
        <f>'Cali Frames'!D268</f>
        <v>82</v>
      </c>
      <c r="AG1900" s="115"/>
      <c r="AH1900" s="104">
        <v>0</v>
      </c>
      <c r="AI1900" s="104"/>
      <c r="AJ1900" s="406">
        <f t="shared" si="696"/>
        <v>94.447916666666671</v>
      </c>
      <c r="AK1900" s="830">
        <f t="shared" si="695"/>
        <v>0.50027557319223981</v>
      </c>
      <c r="AL1900" s="660">
        <f>Table1[[#This Row],[WSP/Dealer]]/Table1[[#This Row],[OD Sq Inch]]</f>
        <v>0.55263157894736847</v>
      </c>
      <c r="AM1900" s="399">
        <f>Table1[[#This Row],[OD Wdth]]*Table1[[#This Row],[OD Hgt]]</f>
        <v>342</v>
      </c>
      <c r="AN1900" s="400" t="str">
        <f>Table1[[#This Row],[Color]]</f>
        <v>BF</v>
      </c>
      <c r="AO1900" s="115" t="str">
        <f>Table1[[#This Row],[Print Type]]</f>
        <v>Reductive</v>
      </c>
      <c r="AP1900" s="115"/>
      <c r="AQ1900" s="121"/>
      <c r="AR1900" s="121"/>
      <c r="AS1900" s="121"/>
      <c r="AT1900" s="104"/>
      <c r="AU1900" s="1359" t="str">
        <f t="shared" si="697"/>
        <v>-</v>
      </c>
    </row>
    <row r="1901" spans="1:47" s="119" customFormat="1" hidden="1" x14ac:dyDescent="0.2">
      <c r="A1901" s="68" t="s">
        <v>101</v>
      </c>
      <c r="B1901" s="1072" t="s">
        <v>102</v>
      </c>
      <c r="C1901" s="964" t="s">
        <v>4416</v>
      </c>
      <c r="D1901" s="94"/>
      <c r="E1901" s="172" t="s">
        <v>4417</v>
      </c>
      <c r="F1901" s="84" t="s">
        <v>105</v>
      </c>
      <c r="G1901" s="363" t="s">
        <v>4385</v>
      </c>
      <c r="H1901" s="363" t="s">
        <v>4385</v>
      </c>
      <c r="I1901" s="363" t="s">
        <v>108</v>
      </c>
      <c r="J1901" s="646" t="s">
        <v>53</v>
      </c>
      <c r="K1901" s="68" t="s">
        <v>119</v>
      </c>
      <c r="L1901" s="363" t="s">
        <v>120</v>
      </c>
      <c r="M1901" s="141">
        <v>181</v>
      </c>
      <c r="N1901" s="93"/>
      <c r="O1901" s="68" t="s">
        <v>109</v>
      </c>
      <c r="P1901" s="68">
        <v>16</v>
      </c>
      <c r="Q1901" s="68">
        <v>18</v>
      </c>
      <c r="R1901" s="68">
        <v>16</v>
      </c>
      <c r="S1901" s="68">
        <v>18</v>
      </c>
      <c r="T1901" s="623">
        <v>16</v>
      </c>
      <c r="U1901" s="623">
        <v>18</v>
      </c>
      <c r="V1901" s="686">
        <f>IF(J1901="Canvas",P1901+Border,P1901)</f>
        <v>24</v>
      </c>
      <c r="W1901" s="686">
        <f>IF(J1901="Canvas",Q1901+Border,Q1901)</f>
        <v>26</v>
      </c>
      <c r="X1901" s="68">
        <v>40</v>
      </c>
      <c r="Y1901" s="686">
        <f>Table1[[#This Row],[Print Wth]]</f>
        <v>24</v>
      </c>
      <c r="Z1901" s="686">
        <f>Table1[[#This Row],[Print Ht]]</f>
        <v>26</v>
      </c>
      <c r="AA1901" s="727">
        <f>Table1[[#This Row],[Cut Width]]*Table1[[#This Row],[Cut Height]]/144</f>
        <v>4.333333333333333</v>
      </c>
      <c r="AB1901" s="341">
        <f>Table1[[#This Row],[Print Wth]]*Table1[[#This Row],[Print Ht]]/144*EPSONM</f>
        <v>19.5</v>
      </c>
      <c r="AC1901" s="278">
        <f>Table1[[#This Row],[Substrate SF]]*Canvas</f>
        <v>2.86</v>
      </c>
      <c r="AD1901" s="263">
        <f>Table1[[#This Row],[Ink g/mL]]*EPSONC</f>
        <v>4.29</v>
      </c>
      <c r="AE1901" s="278">
        <f>IF(Table1[[#This Row],[Work Center]]="SwissQ",Materials!G$37,IF(Table1[[#This Row],[Work Center]]="Inca",Materials!G$29,IF(Table1[[#This Row],[Work Center]]="Canon",Materials!G$49,Materials!G$45)))</f>
        <v>5</v>
      </c>
      <c r="AF1901" s="73">
        <f>'Cali FPS'!C185</f>
        <v>78.16</v>
      </c>
      <c r="AG1901" s="84"/>
      <c r="AH1901" s="74">
        <v>0</v>
      </c>
      <c r="AI1901" s="74"/>
      <c r="AJ1901" s="278">
        <f t="shared" si="696"/>
        <v>90.31</v>
      </c>
      <c r="AK1901" s="1001">
        <f t="shared" si="695"/>
        <v>0.50104972375690604</v>
      </c>
      <c r="AL1901" s="240">
        <f>Table1[[#This Row],[WSP/Dealer]]/Table1[[#This Row],[OD Sq Inch]]</f>
        <v>0.62847222222222221</v>
      </c>
      <c r="AM1901" s="274">
        <f>Table1[[#This Row],[OD Wdth]]*Table1[[#This Row],[OD Hgt]]</f>
        <v>288</v>
      </c>
      <c r="AN1901" s="274" t="str">
        <f>Table1[[#This Row],[Color]]</f>
        <v>GT</v>
      </c>
      <c r="AO1901" s="84" t="str">
        <f>Table1[[#This Row],[Print Type]]</f>
        <v>Reductive</v>
      </c>
      <c r="AP1901" s="84"/>
      <c r="AQ1901" s="126"/>
      <c r="AR1901" s="126"/>
      <c r="AS1901" s="126"/>
      <c r="AT1901" s="74"/>
      <c r="AU1901" s="1357" t="str">
        <f t="shared" si="697"/>
        <v>-</v>
      </c>
    </row>
    <row r="1902" spans="1:47" s="113" customFormat="1" hidden="1" x14ac:dyDescent="0.2">
      <c r="A1902" s="470" t="s">
        <v>318</v>
      </c>
      <c r="B1902" s="1061" t="s">
        <v>96</v>
      </c>
      <c r="C1902" s="1257" t="s">
        <v>4418</v>
      </c>
      <c r="D1902" s="94">
        <v>177483</v>
      </c>
      <c r="E1902" s="99" t="s">
        <v>4419</v>
      </c>
      <c r="F1902" s="83" t="s">
        <v>105</v>
      </c>
      <c r="G1902" s="605" t="s">
        <v>519</v>
      </c>
      <c r="H1902" s="605" t="s">
        <v>4420</v>
      </c>
      <c r="I1902" s="605" t="s">
        <v>574</v>
      </c>
      <c r="J1902" s="435" t="s">
        <v>280</v>
      </c>
      <c r="K1902" s="60" t="s">
        <v>69</v>
      </c>
      <c r="L1902" s="605" t="s">
        <v>315</v>
      </c>
      <c r="M1902" s="1046">
        <v>210</v>
      </c>
      <c r="N1902" s="786">
        <v>525</v>
      </c>
      <c r="O1902" s="60" t="s">
        <v>575</v>
      </c>
      <c r="P1902" s="60">
        <v>16</v>
      </c>
      <c r="Q1902" s="60">
        <v>20</v>
      </c>
      <c r="R1902" s="60">
        <v>16</v>
      </c>
      <c r="S1902" s="60">
        <v>20</v>
      </c>
      <c r="T1902" s="273">
        <v>17</v>
      </c>
      <c r="U1902" s="273">
        <v>21</v>
      </c>
      <c r="V1902" s="174">
        <f>IF(J1902="Canvas",P1902+Border,P1902)</f>
        <v>16</v>
      </c>
      <c r="W1902" s="174">
        <f>IF(J1902="Canvas",Q1902+Border,Q1902)</f>
        <v>20</v>
      </c>
      <c r="X1902" s="138" t="s">
        <v>283</v>
      </c>
      <c r="Y1902" s="60">
        <v>16</v>
      </c>
      <c r="Z1902" s="60">
        <v>20</v>
      </c>
      <c r="AA1902" s="718">
        <f>V1902*W1902/144</f>
        <v>2.2222222222222223</v>
      </c>
      <c r="AB1902" s="233">
        <f>Table1[[#This Row],[Substrate SF]]*SWISSMLR*3</f>
        <v>13.333333333333334</v>
      </c>
      <c r="AC1902" s="225">
        <f>MDFSHEET/10</f>
        <v>2.4350000000000001</v>
      </c>
      <c r="AD1902" s="865">
        <f>Table1[[#This Row],[Substrate SF]]*SWISSCR*3</f>
        <v>1.4666666666666668</v>
      </c>
      <c r="AE1902" s="69">
        <v>10</v>
      </c>
      <c r="AF1902" s="902">
        <f>'Cali Frames'!D523</f>
        <v>96.43</v>
      </c>
      <c r="AG1902" s="83"/>
      <c r="AH1902" s="112">
        <v>0</v>
      </c>
      <c r="AI1902" s="112"/>
      <c r="AJ1902" s="176">
        <f t="shared" si="696"/>
        <v>110.33166666666668</v>
      </c>
      <c r="AK1902" s="62">
        <f t="shared" si="695"/>
        <v>0.47461111111111104</v>
      </c>
      <c r="AL1902" s="225">
        <f>Table1[[#This Row],[WSP/Dealer]]/Table1[[#This Row],[OD Sq Inch]]</f>
        <v>0.58823529411764708</v>
      </c>
      <c r="AM1902" s="173">
        <f>Table1[[#This Row],[OD Wdth]]*Table1[[#This Row],[OD Hgt]]</f>
        <v>357</v>
      </c>
      <c r="AN1902" s="180" t="str">
        <f>Table1[[#This Row],[Color]]</f>
        <v>WF</v>
      </c>
      <c r="AO1902" s="83" t="str">
        <f>Table1[[#This Row],[Print Type]]</f>
        <v>Reductive+</v>
      </c>
      <c r="AP1902" s="540"/>
      <c r="AQ1902" s="540"/>
      <c r="AR1902" s="540"/>
      <c r="AS1902" s="540"/>
      <c r="AT1902" s="69"/>
      <c r="AU1902" s="1361" t="str">
        <f t="shared" si="697"/>
        <v>-</v>
      </c>
    </row>
    <row r="1903" spans="1:47" s="113" customFormat="1" hidden="1" x14ac:dyDescent="0.2">
      <c r="A1903" s="274" t="s">
        <v>644</v>
      </c>
      <c r="B1903" s="279" t="s">
        <v>96</v>
      </c>
      <c r="C1903" s="1554" t="s">
        <v>4421</v>
      </c>
      <c r="D1903" s="94" t="s">
        <v>128</v>
      </c>
      <c r="E1903" s="375" t="s">
        <v>4422</v>
      </c>
      <c r="F1903" s="84" t="s">
        <v>105</v>
      </c>
      <c r="G1903" s="315" t="s">
        <v>2353</v>
      </c>
      <c r="H1903" s="315" t="s">
        <v>2353</v>
      </c>
      <c r="I1903" s="315" t="s">
        <v>108</v>
      </c>
      <c r="J1903" s="636" t="s">
        <v>53</v>
      </c>
      <c r="K1903" s="315" t="s">
        <v>54</v>
      </c>
      <c r="L1903" s="315" t="s">
        <v>55</v>
      </c>
      <c r="M1903" s="178">
        <v>215</v>
      </c>
      <c r="N1903" s="93"/>
      <c r="O1903" s="274" t="s">
        <v>109</v>
      </c>
      <c r="P1903" s="68">
        <v>16</v>
      </c>
      <c r="Q1903" s="68">
        <v>12</v>
      </c>
      <c r="R1903" s="68">
        <v>12</v>
      </c>
      <c r="S1903" s="63">
        <v>16</v>
      </c>
      <c r="T1903" s="65">
        <v>16</v>
      </c>
      <c r="U1903" s="65">
        <v>12</v>
      </c>
      <c r="V1903" s="277">
        <f>IF(J1903="Canvas",P1903+BorderL,P1903)</f>
        <v>27</v>
      </c>
      <c r="W1903" s="277">
        <f>IF(J1903="Canvas",Q1903+BorderL,Q1903)</f>
        <v>23</v>
      </c>
      <c r="X1903" s="189">
        <v>40</v>
      </c>
      <c r="Y1903" s="68">
        <v>27</v>
      </c>
      <c r="Z1903" s="68">
        <v>23</v>
      </c>
      <c r="AA1903" s="727">
        <f>V1903*W1903/144</f>
        <v>4.3125</v>
      </c>
      <c r="AB1903" s="341">
        <f>AA1903*EPSONM</f>
        <v>19.40625</v>
      </c>
      <c r="AC1903" s="278">
        <f>AA1903*Canvas</f>
        <v>2.8462499999999999</v>
      </c>
      <c r="AD1903" s="263">
        <f>Table1[[#This Row],[Ink g/mL]]*EPSONC</f>
        <v>4.2693750000000001</v>
      </c>
      <c r="AE1903" s="278">
        <f>IF(Table1[[#This Row],[Work Center]]="SwissQ",Materials!G$37,IF(Table1[[#This Row],[Work Center]]="Inca",Materials!G$29,IF(Table1[[#This Row],[Work Center]]="Canon",Materials!G$49,Materials!G$45)))</f>
        <v>5</v>
      </c>
      <c r="AF1903" s="73">
        <f>'Cali FPS'!C12</f>
        <v>59</v>
      </c>
      <c r="AG1903" s="84"/>
      <c r="AH1903" s="74">
        <v>0</v>
      </c>
      <c r="AI1903" s="74"/>
      <c r="AJ1903" s="278">
        <f t="shared" si="696"/>
        <v>71.115624999999994</v>
      </c>
      <c r="AK1903" s="1001">
        <f t="shared" si="695"/>
        <v>0.66922965116279076</v>
      </c>
      <c r="AL1903" s="240">
        <f>Table1[[#This Row],[WSP/Dealer]]/Table1[[#This Row],[OD Sq Inch]]</f>
        <v>1.1197916666666667</v>
      </c>
      <c r="AM1903" s="170">
        <f>Table1[[#This Row],[OD Wdth]]*Table1[[#This Row],[OD Hgt]]</f>
        <v>192</v>
      </c>
      <c r="AN1903" s="274">
        <f>Table1[[#This Row],[Min VO]]+Table1[[#This Row],[Max VO]]</f>
        <v>28</v>
      </c>
      <c r="AO1903" s="84"/>
      <c r="AP1903" s="84"/>
      <c r="AQ1903" s="126"/>
      <c r="AR1903" s="126"/>
      <c r="AS1903" s="126"/>
      <c r="AT1903" s="74"/>
      <c r="AU1903" s="1357" t="str">
        <f t="shared" si="697"/>
        <v>-</v>
      </c>
    </row>
    <row r="1904" spans="1:47" s="119" customFormat="1" hidden="1" x14ac:dyDescent="0.2">
      <c r="A1904" s="400" t="s">
        <v>996</v>
      </c>
      <c r="B1904" s="1322" t="s">
        <v>96</v>
      </c>
      <c r="C1904" s="1727" t="s">
        <v>4423</v>
      </c>
      <c r="D1904" s="168"/>
      <c r="E1904" s="536" t="s">
        <v>4422</v>
      </c>
      <c r="F1904" s="115" t="s">
        <v>105</v>
      </c>
      <c r="G1904" s="789" t="s">
        <v>2353</v>
      </c>
      <c r="H1904" s="789" t="s">
        <v>2354</v>
      </c>
      <c r="I1904" s="789" t="s">
        <v>108</v>
      </c>
      <c r="J1904" s="1103" t="s">
        <v>280</v>
      </c>
      <c r="K1904" s="789" t="s">
        <v>69</v>
      </c>
      <c r="L1904" s="789" t="s">
        <v>315</v>
      </c>
      <c r="M1904" s="488">
        <v>400</v>
      </c>
      <c r="N1904" s="102"/>
      <c r="O1904" s="400" t="s">
        <v>575</v>
      </c>
      <c r="P1904" s="101">
        <v>16</v>
      </c>
      <c r="Q1904" s="101">
        <v>12</v>
      </c>
      <c r="R1904" s="101">
        <v>12</v>
      </c>
      <c r="S1904" s="101">
        <v>16</v>
      </c>
      <c r="T1904" s="697">
        <v>17</v>
      </c>
      <c r="U1904" s="697">
        <v>13</v>
      </c>
      <c r="V1904" s="918">
        <v>16</v>
      </c>
      <c r="W1904" s="918">
        <v>12</v>
      </c>
      <c r="X1904" s="1010" t="s">
        <v>283</v>
      </c>
      <c r="Y1904" s="400">
        <v>16</v>
      </c>
      <c r="Z1904" s="400">
        <v>12</v>
      </c>
      <c r="AA1904" s="1069">
        <f>V1904*W1904/144</f>
        <v>1.3333333333333333</v>
      </c>
      <c r="AB1904" s="633">
        <f>AA1904*SWISSMLR*3</f>
        <v>8</v>
      </c>
      <c r="AC1904" s="104">
        <f>MDFSHEET/24</f>
        <v>1.0145833333333334</v>
      </c>
      <c r="AD1904" s="405">
        <f>Table1[[#This Row],[Substrate SF]]*SWISSCR*3</f>
        <v>0.88</v>
      </c>
      <c r="AE1904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904" s="403">
        <f>'Cali Frames'!D499</f>
        <v>79</v>
      </c>
      <c r="AG1904" s="401"/>
      <c r="AH1904" s="104">
        <v>0</v>
      </c>
      <c r="AI1904" s="104"/>
      <c r="AJ1904" s="406">
        <f t="shared" si="696"/>
        <v>88.89458333333333</v>
      </c>
      <c r="AK1904" s="830">
        <f t="shared" si="695"/>
        <v>0.77776354166666661</v>
      </c>
      <c r="AL1904" s="660">
        <f>Table1[[#This Row],[WSP/Dealer]]/Table1[[#This Row],[OD Sq Inch]]</f>
        <v>1.8099547511312217</v>
      </c>
      <c r="AM1904" s="399">
        <f>Table1[[#This Row],[OD Wdth]]*Table1[[#This Row],[OD Hgt]]</f>
        <v>221</v>
      </c>
      <c r="AN1904" s="400" t="str">
        <f>Table1[[#This Row],[Color]]</f>
        <v>WF</v>
      </c>
      <c r="AO1904" s="115" t="str">
        <f>Table1[[#This Row],[Print Type]]</f>
        <v>Reductive</v>
      </c>
      <c r="AP1904" s="401"/>
      <c r="AQ1904" s="1000"/>
      <c r="AR1904" s="1000"/>
      <c r="AS1904" s="1000"/>
      <c r="AT1904" s="406"/>
      <c r="AU1904" s="1366" t="str">
        <f t="shared" si="697"/>
        <v>-</v>
      </c>
    </row>
    <row r="1905" spans="1:47" s="119" customFormat="1" hidden="1" x14ac:dyDescent="0.2">
      <c r="A1905" s="101" t="s">
        <v>110</v>
      </c>
      <c r="B1905" s="1064" t="s">
        <v>250</v>
      </c>
      <c r="C1905" s="1034" t="s">
        <v>4424</v>
      </c>
      <c r="D1905" s="168"/>
      <c r="E1905" s="536" t="s">
        <v>4422</v>
      </c>
      <c r="F1905" s="115" t="s">
        <v>105</v>
      </c>
      <c r="G1905" s="789" t="s">
        <v>2353</v>
      </c>
      <c r="H1905" s="789" t="s">
        <v>2354</v>
      </c>
      <c r="I1905" s="789" t="s">
        <v>108</v>
      </c>
      <c r="J1905" s="1103" t="s">
        <v>53</v>
      </c>
      <c r="K1905" s="789" t="s">
        <v>69</v>
      </c>
      <c r="L1905" s="407" t="s">
        <v>70</v>
      </c>
      <c r="M1905" s="114">
        <v>300</v>
      </c>
      <c r="N1905" s="114"/>
      <c r="O1905" s="400" t="s">
        <v>575</v>
      </c>
      <c r="P1905" s="101">
        <v>16</v>
      </c>
      <c r="Q1905" s="101">
        <v>12</v>
      </c>
      <c r="R1905" s="101">
        <v>12</v>
      </c>
      <c r="S1905" s="101">
        <v>16</v>
      </c>
      <c r="T1905" s="697">
        <v>17</v>
      </c>
      <c r="U1905" s="697">
        <v>13</v>
      </c>
      <c r="V1905" s="1178">
        <f t="shared" ref="V1905:V1921" si="698">IF(J1905="Canvas",P1905+Border,P1905)</f>
        <v>24</v>
      </c>
      <c r="W1905" s="1178">
        <f t="shared" ref="W1905:W1921" si="699">IF(J1905="Canvas",Q1905+Border,Q1905)</f>
        <v>20</v>
      </c>
      <c r="X1905" s="101">
        <v>40</v>
      </c>
      <c r="Y1905" s="101">
        <v>24</v>
      </c>
      <c r="Z1905" s="101">
        <v>20</v>
      </c>
      <c r="AA1905" s="1069">
        <f>V1905*W1905/144</f>
        <v>3.3333333333333335</v>
      </c>
      <c r="AB1905" s="633">
        <f>AA1905*SWISSMLR*3</f>
        <v>20</v>
      </c>
      <c r="AC1905" s="104">
        <f>MDFSHEET/24</f>
        <v>1.0145833333333334</v>
      </c>
      <c r="AD1905" s="405">
        <f>Table1[[#This Row],[Substrate SF]]*SWISSCR*3</f>
        <v>2.2000000000000002</v>
      </c>
      <c r="AE1905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1905" s="102">
        <f>'Cali Frames'!D260</f>
        <v>73</v>
      </c>
      <c r="AG1905" s="115"/>
      <c r="AH1905" s="406">
        <f>(M1905*0.05)</f>
        <v>15</v>
      </c>
      <c r="AI1905" s="406">
        <f>IF(A1905="Codarus",(M1905*0.13))</f>
        <v>39</v>
      </c>
      <c r="AJ1905" s="104">
        <f>SUM(AC1905:AI1905)</f>
        <v>138.21458333333334</v>
      </c>
      <c r="AK1905" s="1065">
        <f t="shared" si="695"/>
        <v>0.53928472222222223</v>
      </c>
      <c r="AL1905" s="406">
        <f>Table1[[#This Row],[WSP/Dealer]]/Table1[[#This Row],[OD Sq Inch]]</f>
        <v>1.3574660633484164</v>
      </c>
      <c r="AM1905" s="399">
        <f>Table1[[#This Row],[OD Wdth]]*Table1[[#This Row],[OD Hgt]]</f>
        <v>221</v>
      </c>
      <c r="AN1905" s="400">
        <f>Table1[[#This Row],[Min VO]]+Table1[[#This Row],[Max VO]]</f>
        <v>28</v>
      </c>
      <c r="AO1905" s="115"/>
      <c r="AP1905" s="1307">
        <f>(M1905*2)</f>
        <v>600</v>
      </c>
      <c r="AQ1905" s="121">
        <f>(Table1[[#This Row],[Desgnr/Retail P]]*0.05)</f>
        <v>30</v>
      </c>
      <c r="AR1905" s="121">
        <f>IF(A1905="Codarus",(AP1905*0.13))</f>
        <v>78</v>
      </c>
      <c r="AS1905" s="121">
        <f>SUM(Table1[[#This Row],[Substrate $]:[GP FINISH]])+Table1[[#This Row],[Retail Royalty]]+Table1[[#This Row],[Retail$Comm]]</f>
        <v>192.21458333333334</v>
      </c>
      <c r="AT1905" s="830">
        <f>IF(AP1905=0,"-",(AP1905-AS1905)/AP1905)</f>
        <v>0.67964236111111109</v>
      </c>
      <c r="AU1905" s="1359">
        <f t="shared" si="697"/>
        <v>0.97734525462962962</v>
      </c>
    </row>
    <row r="1906" spans="1:47" s="119" customFormat="1" hidden="1" x14ac:dyDescent="0.2">
      <c r="A1906" s="552"/>
      <c r="B1906" s="279"/>
      <c r="C1906" s="1034" t="s">
        <v>4425</v>
      </c>
      <c r="D1906" s="94"/>
      <c r="E1906" s="169" t="s">
        <v>4426</v>
      </c>
      <c r="F1906" s="83" t="s">
        <v>105</v>
      </c>
      <c r="G1906" s="407" t="s">
        <v>643</v>
      </c>
      <c r="H1906" s="407" t="s">
        <v>813</v>
      </c>
      <c r="I1906" s="407" t="s">
        <v>52</v>
      </c>
      <c r="J1906" s="658" t="s">
        <v>280</v>
      </c>
      <c r="K1906" s="407" t="s">
        <v>4427</v>
      </c>
      <c r="L1906" s="407" t="s">
        <v>4428</v>
      </c>
      <c r="M1906" s="299">
        <v>530</v>
      </c>
      <c r="N1906" s="71"/>
      <c r="O1906" s="145" t="s">
        <v>575</v>
      </c>
      <c r="P1906" s="101">
        <v>20</v>
      </c>
      <c r="Q1906" s="101">
        <v>16</v>
      </c>
      <c r="R1906" s="101">
        <v>16</v>
      </c>
      <c r="S1906" s="101">
        <v>20</v>
      </c>
      <c r="T1906" s="697">
        <v>22</v>
      </c>
      <c r="U1906" s="697">
        <v>18</v>
      </c>
      <c r="V1906" s="918">
        <f t="shared" si="698"/>
        <v>20</v>
      </c>
      <c r="W1906" s="918">
        <f t="shared" si="699"/>
        <v>16</v>
      </c>
      <c r="X1906" s="137" t="s">
        <v>283</v>
      </c>
      <c r="Y1906" s="101">
        <v>20</v>
      </c>
      <c r="Z1906" s="101">
        <v>16</v>
      </c>
      <c r="AA1906" s="724">
        <f>V1906*W1906/144</f>
        <v>2.2222222222222223</v>
      </c>
      <c r="AB1906" s="633">
        <f>Table1[[#This Row],[Substrate SF]]*Swiss1</f>
        <v>62.888888888888893</v>
      </c>
      <c r="AC1906" s="406">
        <f>MDFSHEET/10</f>
        <v>2.4350000000000001</v>
      </c>
      <c r="AD1906" s="405">
        <f>Table1[[#This Row],[Substrate SF]]*SWISSC1</f>
        <v>6.2222222222222223</v>
      </c>
      <c r="AE1906" s="104">
        <f>IF(Table1[[#This Row],[Work Center]]="SwissQ",Materials!G$37,IF(Table1[[#This Row],[Work Center]]="Inca",Materials!G$29,IF(Table1[[#This Row],[Work Center]]="Canon",Materials!G$49,Materials!G$45)))</f>
        <v>5</v>
      </c>
      <c r="AF1906" s="102">
        <f>'Cali Frames'!D204</f>
        <v>250</v>
      </c>
      <c r="AG1906" s="115"/>
      <c r="AH1906" s="498">
        <v>0</v>
      </c>
      <c r="AI1906" s="498"/>
      <c r="AJ1906" s="406">
        <f t="shared" ref="AJ1906:AJ1921" si="700">SUM(AC1906:AH1906)</f>
        <v>263.65722222222223</v>
      </c>
      <c r="AK1906" s="650">
        <f t="shared" si="695"/>
        <v>0.5025335429769392</v>
      </c>
      <c r="AL1906" s="225">
        <f>Table1[[#This Row],[WSP/Dealer]]/Table1[[#This Row],[OD Sq Inch]]</f>
        <v>1.3383838383838385</v>
      </c>
      <c r="AM1906" s="399">
        <f>Table1[[#This Row],[OD Wdth]]*Table1[[#This Row],[OD Hgt]]</f>
        <v>396</v>
      </c>
      <c r="AN1906" s="400" t="str">
        <f>Table1[[#This Row],[Color]]</f>
        <v>CE</v>
      </c>
      <c r="AO1906" s="115" t="str">
        <f>Table1[[#This Row],[Print Type]]</f>
        <v>Synograph</v>
      </c>
      <c r="AP1906" s="115"/>
      <c r="AQ1906" s="121"/>
      <c r="AR1906" s="121"/>
      <c r="AS1906" s="121"/>
      <c r="AT1906" s="104"/>
      <c r="AU1906" s="1359" t="str">
        <f t="shared" si="697"/>
        <v>-</v>
      </c>
    </row>
    <row r="1907" spans="1:47" s="119" customFormat="1" hidden="1" x14ac:dyDescent="0.2">
      <c r="A1907" s="400" t="s">
        <v>101</v>
      </c>
      <c r="B1907" s="1322" t="s">
        <v>111</v>
      </c>
      <c r="C1907" s="1727" t="s">
        <v>4429</v>
      </c>
      <c r="D1907" s="168"/>
      <c r="E1907" s="536" t="s">
        <v>4426</v>
      </c>
      <c r="F1907" s="115" t="s">
        <v>105</v>
      </c>
      <c r="G1907" s="789" t="s">
        <v>643</v>
      </c>
      <c r="H1907" s="789" t="s">
        <v>806</v>
      </c>
      <c r="I1907" s="789" t="s">
        <v>574</v>
      </c>
      <c r="J1907" s="1103" t="s">
        <v>53</v>
      </c>
      <c r="K1907" s="789" t="s">
        <v>69</v>
      </c>
      <c r="L1907" s="789" t="s">
        <v>315</v>
      </c>
      <c r="M1907" s="141">
        <v>196</v>
      </c>
      <c r="N1907" s="102"/>
      <c r="O1907" s="400" t="s">
        <v>575</v>
      </c>
      <c r="P1907" s="101">
        <v>20</v>
      </c>
      <c r="Q1907" s="101">
        <v>16</v>
      </c>
      <c r="R1907" s="101">
        <v>20</v>
      </c>
      <c r="S1907" s="101">
        <v>16</v>
      </c>
      <c r="T1907" s="697">
        <v>21</v>
      </c>
      <c r="U1907" s="697">
        <v>17</v>
      </c>
      <c r="V1907" s="1198">
        <f t="shared" si="698"/>
        <v>28</v>
      </c>
      <c r="W1907" s="1198">
        <f t="shared" si="699"/>
        <v>24</v>
      </c>
      <c r="X1907" s="1010">
        <v>40</v>
      </c>
      <c r="Y1907" s="917">
        <f>Table1[[#This Row],[Print Wth]]</f>
        <v>28</v>
      </c>
      <c r="Z1907" s="917">
        <f>Table1[[#This Row],[Print Ht]]</f>
        <v>24</v>
      </c>
      <c r="AA1907" s="952">
        <f>Table1[[#This Row],[Cut Width]]*Table1[[#This Row],[Cut Height]]/144</f>
        <v>4.666666666666667</v>
      </c>
      <c r="AB1907" s="1130">
        <f>(Table1[[#This Row],[Print Wth]]*Table1[[#This Row],[Print Ht]])/144*SWISSMLR</f>
        <v>9.3333333333333339</v>
      </c>
      <c r="AC1907" s="74">
        <f>(Table1[[#This Row],[Cut Width]]*Table1[[#This Row],[Cut Height]])/144*Canvas</f>
        <v>3.0800000000000005</v>
      </c>
      <c r="AD1907" s="263">
        <f>(Table1[[#This Row],[Print Wth]]*Table1[[#This Row],[Print Ht]])/144*Materials!$C$42</f>
        <v>1.4933333333333334</v>
      </c>
      <c r="AE1907" s="74">
        <v>10</v>
      </c>
      <c r="AF1907" s="403">
        <f>'Cali Frames'!D504</f>
        <v>83.25</v>
      </c>
      <c r="AG1907" s="401"/>
      <c r="AH1907" s="104">
        <v>0</v>
      </c>
      <c r="AI1907" s="104"/>
      <c r="AJ1907" s="406">
        <f t="shared" si="700"/>
        <v>97.823333333333338</v>
      </c>
      <c r="AK1907" s="830">
        <f t="shared" si="695"/>
        <v>0.50090136054421763</v>
      </c>
      <c r="AL1907" s="660">
        <f>Table1[[#This Row],[WSP/Dealer]]/Table1[[#This Row],[OD Sq Inch]]</f>
        <v>0.5490196078431373</v>
      </c>
      <c r="AM1907" s="399">
        <f>Table1[[#This Row],[OD Wdth]]*Table1[[#This Row],[OD Hgt]]</f>
        <v>357</v>
      </c>
      <c r="AN1907" s="400" t="str">
        <f>Table1[[#This Row],[Color]]</f>
        <v>WF</v>
      </c>
      <c r="AO1907" s="115" t="str">
        <f>Table1[[#This Row],[Print Type]]</f>
        <v>Reductive+</v>
      </c>
      <c r="AP1907" s="401"/>
      <c r="AQ1907" s="1000"/>
      <c r="AR1907" s="1000"/>
      <c r="AS1907" s="1000"/>
      <c r="AT1907" s="406"/>
      <c r="AU1907" s="1366" t="str">
        <f t="shared" si="697"/>
        <v>-</v>
      </c>
    </row>
    <row r="1908" spans="1:47" s="119" customFormat="1" hidden="1" x14ac:dyDescent="0.2">
      <c r="A1908" s="68" t="s">
        <v>101</v>
      </c>
      <c r="B1908" s="1072" t="s">
        <v>102</v>
      </c>
      <c r="C1908" s="964" t="s">
        <v>4430</v>
      </c>
      <c r="D1908" s="94"/>
      <c r="E1908" s="172" t="s">
        <v>4431</v>
      </c>
      <c r="F1908" s="84" t="s">
        <v>105</v>
      </c>
      <c r="G1908" s="363" t="s">
        <v>1583</v>
      </c>
      <c r="H1908" s="363" t="s">
        <v>1583</v>
      </c>
      <c r="I1908" s="363" t="s">
        <v>108</v>
      </c>
      <c r="J1908" s="646" t="s">
        <v>53</v>
      </c>
      <c r="K1908" s="68" t="s">
        <v>119</v>
      </c>
      <c r="L1908" s="363" t="s">
        <v>120</v>
      </c>
      <c r="M1908" s="141">
        <v>167</v>
      </c>
      <c r="N1908" s="93"/>
      <c r="O1908" s="68" t="s">
        <v>109</v>
      </c>
      <c r="P1908" s="68">
        <v>8</v>
      </c>
      <c r="Q1908" s="68">
        <v>10</v>
      </c>
      <c r="R1908" s="68">
        <v>8</v>
      </c>
      <c r="S1908" s="68">
        <v>10</v>
      </c>
      <c r="T1908" s="623">
        <v>8</v>
      </c>
      <c r="U1908" s="623">
        <v>10</v>
      </c>
      <c r="V1908" s="1198">
        <f t="shared" si="698"/>
        <v>16</v>
      </c>
      <c r="W1908" s="1198">
        <f t="shared" si="699"/>
        <v>18</v>
      </c>
      <c r="X1908" s="68">
        <v>40</v>
      </c>
      <c r="Y1908" s="686">
        <f>Table1[[#This Row],[Print Wth]]</f>
        <v>16</v>
      </c>
      <c r="Z1908" s="686">
        <f>Table1[[#This Row],[Print Ht]]</f>
        <v>18</v>
      </c>
      <c r="AA1908" s="727">
        <f>Table1[[#This Row],[Cut Width]]*Table1[[#This Row],[Cut Height]]/144</f>
        <v>2</v>
      </c>
      <c r="AB1908" s="341">
        <f>Table1[[#This Row],[Print Wth]]*Table1[[#This Row],[Print Ht]]/144*EPSONM</f>
        <v>9</v>
      </c>
      <c r="AC1908" s="278">
        <f>Table1[[#This Row],[Substrate SF]]*Canvas</f>
        <v>1.32</v>
      </c>
      <c r="AD1908" s="263">
        <f>Table1[[#This Row],[Ink g/mL]]*EPSONC</f>
        <v>1.98</v>
      </c>
      <c r="AE1908" s="278">
        <f>IF(Table1[[#This Row],[Work Center]]="SwissQ",Materials!G$37,IF(Table1[[#This Row],[Work Center]]="Inca",Materials!G$29,IF(Table1[[#This Row],[Work Center]]="Canon",Materials!G$49,Materials!G$45)))</f>
        <v>5</v>
      </c>
      <c r="AF1908" s="73">
        <f>'Cali FPS'!C176</f>
        <v>75.09</v>
      </c>
      <c r="AG1908" s="84"/>
      <c r="AH1908" s="74">
        <v>0</v>
      </c>
      <c r="AI1908" s="74"/>
      <c r="AJ1908" s="278">
        <f t="shared" si="700"/>
        <v>83.39</v>
      </c>
      <c r="AK1908" s="1001">
        <f t="shared" si="695"/>
        <v>0.50065868263473057</v>
      </c>
      <c r="AL1908" s="240">
        <f>Table1[[#This Row],[WSP/Dealer]]/Table1[[#This Row],[OD Sq Inch]]</f>
        <v>2.0874999999999999</v>
      </c>
      <c r="AM1908" s="170">
        <f>Table1[[#This Row],[OD Wdth]]*Table1[[#This Row],[OD Hgt]]</f>
        <v>80</v>
      </c>
      <c r="AN1908" s="274" t="str">
        <f>Table1[[#This Row],[Color]]</f>
        <v>GT</v>
      </c>
      <c r="AO1908" s="84" t="str">
        <f>Table1[[#This Row],[Print Type]]</f>
        <v>Reductive</v>
      </c>
      <c r="AP1908" s="84"/>
      <c r="AQ1908" s="126"/>
      <c r="AR1908" s="126"/>
      <c r="AS1908" s="126"/>
      <c r="AT1908" s="74"/>
      <c r="AU1908" s="1357" t="str">
        <f t="shared" si="697"/>
        <v>-</v>
      </c>
    </row>
    <row r="1909" spans="1:47" s="113" customFormat="1" hidden="1" x14ac:dyDescent="0.2">
      <c r="A1909" s="60" t="s">
        <v>318</v>
      </c>
      <c r="B1909" s="1071" t="s">
        <v>305</v>
      </c>
      <c r="C1909" s="1742" t="s">
        <v>4432</v>
      </c>
      <c r="D1909" s="79"/>
      <c r="E1909" s="99" t="s">
        <v>4433</v>
      </c>
      <c r="F1909" s="83" t="s">
        <v>571</v>
      </c>
      <c r="G1909" s="605" t="s">
        <v>115</v>
      </c>
      <c r="H1909" s="605" t="s">
        <v>145</v>
      </c>
      <c r="I1909" s="605" t="s">
        <v>52</v>
      </c>
      <c r="J1909" s="435" t="s">
        <v>53</v>
      </c>
      <c r="K1909" s="60" t="s">
        <v>69</v>
      </c>
      <c r="L1909" s="605" t="s">
        <v>70</v>
      </c>
      <c r="M1909" s="124">
        <v>550</v>
      </c>
      <c r="N1909" s="124"/>
      <c r="O1909" s="60" t="s">
        <v>64</v>
      </c>
      <c r="P1909" s="60">
        <v>48</v>
      </c>
      <c r="Q1909" s="60">
        <v>48</v>
      </c>
      <c r="R1909" s="60">
        <v>48</v>
      </c>
      <c r="S1909" s="60">
        <v>48</v>
      </c>
      <c r="T1909" s="273">
        <v>49</v>
      </c>
      <c r="U1909" s="273">
        <v>49</v>
      </c>
      <c r="V1909" s="913">
        <f t="shared" si="698"/>
        <v>56</v>
      </c>
      <c r="W1909" s="913">
        <f t="shared" si="699"/>
        <v>56</v>
      </c>
      <c r="X1909" s="60">
        <v>59</v>
      </c>
      <c r="Y1909" s="946">
        <v>56</v>
      </c>
      <c r="Z1909" s="946">
        <v>56</v>
      </c>
      <c r="AA1909" s="717">
        <f t="shared" ref="AA1909:AA1921" si="701">V1909*W1909/144</f>
        <v>21.777777777777779</v>
      </c>
      <c r="AB1909" s="125">
        <f>AA1909*Swiss1</f>
        <v>616.31111111111113</v>
      </c>
      <c r="AC1909" s="69">
        <f>AA1909*Canvas</f>
        <v>14.373333333333335</v>
      </c>
      <c r="AD1909" s="69">
        <f>Table1[[#This Row],[Substrate SF]]*Materials!C$37</f>
        <v>60.977777777777774</v>
      </c>
      <c r="AE1909" s="69">
        <f>IF(Table1[[#This Row],[Work Center]]="SwissQ",Materials!G$37,IF(Table1[[#This Row],[Work Center]]="Inca",Materials!G$29,IF(Table1[[#This Row],[Work Center]]="Canon",Materials!G$49,Materials!G$45)))</f>
        <v>20</v>
      </c>
      <c r="AF1909" s="72">
        <f>'Cali Frames'!D331</f>
        <v>171.26</v>
      </c>
      <c r="AG1909" s="83"/>
      <c r="AH1909" s="175">
        <f t="shared" ref="AH1909:AH1921" si="702">(M1909*0.05)</f>
        <v>27.5</v>
      </c>
      <c r="AI1909" s="175"/>
      <c r="AJ1909" s="176">
        <f t="shared" si="700"/>
        <v>294.11111111111109</v>
      </c>
      <c r="AK1909" s="676">
        <f t="shared" si="695"/>
        <v>0.46525252525252531</v>
      </c>
      <c r="AL1909" s="176">
        <f>Table1[[#This Row],[WSP/Dealer]]/Table1[[#This Row],[OD Sq Inch]]</f>
        <v>0.22907122032486463</v>
      </c>
      <c r="AM1909" s="180">
        <f>Table1[[#This Row],[OD Wdth]]*Table1[[#This Row],[OD Hgt]]</f>
        <v>2401</v>
      </c>
      <c r="AN1909" s="180">
        <f>Table1[[#This Row],[Min VO]]+Table1[[#This Row],[Max VO]]</f>
        <v>96</v>
      </c>
      <c r="AO1909" s="83" t="str">
        <f>Table1[[#This Row],[Print Type]]</f>
        <v>Synograph</v>
      </c>
      <c r="AP1909" s="83"/>
      <c r="AQ1909" s="540">
        <f>(Table1[[#This Row],[Desgnr/Retail P]]*0.05)</f>
        <v>0</v>
      </c>
      <c r="AR1909" s="540" t="b">
        <f>IF(A1909="Codarus",(AP1909*0.13))</f>
        <v>0</v>
      </c>
      <c r="AS1909" s="540" t="e" cm="1">
        <f t="array" ref="AS1909">SUM(AC1909:AG1909+AQ+AR)</f>
        <v>#NAME?</v>
      </c>
      <c r="AT1909" s="69" t="e">
        <f>(AP1909-AS1909)/AP1909</f>
        <v>#NAME?</v>
      </c>
      <c r="AU1909" s="1361" t="str">
        <f t="shared" si="697"/>
        <v>-</v>
      </c>
    </row>
    <row r="1910" spans="1:47" s="119" customFormat="1" x14ac:dyDescent="0.2">
      <c r="A1910" s="86" t="s">
        <v>58</v>
      </c>
      <c r="B1910" s="279" t="s">
        <v>366</v>
      </c>
      <c r="C1910" s="1093" t="s">
        <v>4434</v>
      </c>
      <c r="D1910" s="94" t="s">
        <v>4435</v>
      </c>
      <c r="E1910" s="85" t="s">
        <v>4436</v>
      </c>
      <c r="F1910" s="85" t="s">
        <v>138</v>
      </c>
      <c r="G1910" s="86" t="s">
        <v>1938</v>
      </c>
      <c r="H1910" s="86" t="s">
        <v>1938</v>
      </c>
      <c r="I1910" s="86" t="s">
        <v>52</v>
      </c>
      <c r="J1910" s="86" t="s">
        <v>283</v>
      </c>
      <c r="K1910" s="86" t="s">
        <v>281</v>
      </c>
      <c r="L1910" s="86" t="s">
        <v>282</v>
      </c>
      <c r="M1910" s="87">
        <v>275</v>
      </c>
      <c r="N1910" s="639">
        <v>300</v>
      </c>
      <c r="O1910" s="551" t="s">
        <v>56</v>
      </c>
      <c r="P1910" s="101">
        <v>18</v>
      </c>
      <c r="Q1910" s="101">
        <v>18</v>
      </c>
      <c r="R1910" s="60">
        <v>18</v>
      </c>
      <c r="S1910" s="273">
        <v>18</v>
      </c>
      <c r="T1910" s="101">
        <v>18</v>
      </c>
      <c r="U1910" s="101" t="str">
        <f>RIGHT(H1910,2)</f>
        <v>18</v>
      </c>
      <c r="V1910" s="106">
        <f t="shared" si="698"/>
        <v>18</v>
      </c>
      <c r="W1910" s="106">
        <f t="shared" si="699"/>
        <v>18</v>
      </c>
      <c r="X1910" s="137" t="s">
        <v>283</v>
      </c>
      <c r="Y1910" s="101"/>
      <c r="Z1910" s="101"/>
      <c r="AA1910" s="649">
        <f t="shared" si="701"/>
        <v>2.25</v>
      </c>
      <c r="AB1910" s="184">
        <f>AA1910*IncaG</f>
        <v>47.339999999999996</v>
      </c>
      <c r="AC1910" s="104">
        <f>MDFSHEET/10</f>
        <v>2.4350000000000001</v>
      </c>
      <c r="AD1910" s="107">
        <f>AA1910*IncaC</f>
        <v>3.7871999999999999</v>
      </c>
      <c r="AE1910" s="104">
        <f>IF(Table1[[#This Row],[Work Center]]="SwissQ",Materials!G$37,IF(Table1[[#This Row],[Work Center]]="Inca",Materials!G$29,IF(Table1[[#This Row],[Work Center]]="Canon",Materials!G$49,Materials!G$45)))</f>
        <v>8</v>
      </c>
      <c r="AF1910" s="104">
        <f>'Cali Frames'!D$536</f>
        <v>87.535000000000011</v>
      </c>
      <c r="AG1910" s="115"/>
      <c r="AH1910" s="112">
        <f t="shared" si="702"/>
        <v>13.75</v>
      </c>
      <c r="AI1910" s="112"/>
      <c r="AJ1910" s="104">
        <f t="shared" si="700"/>
        <v>115.50720000000001</v>
      </c>
      <c r="AK1910" s="62">
        <f t="shared" si="695"/>
        <v>0.57997381818181815</v>
      </c>
      <c r="AL1910" s="225">
        <f>Table1[[#This Row],[WSP/Dealer]]/Table1[[#This Row],[OD Sq Inch]]</f>
        <v>0.84876543209876543</v>
      </c>
      <c r="AM1910" s="103">
        <f>Table1[[#This Row],[OD Wdth]]*Table1[[#This Row],[OD Hgt]]</f>
        <v>324</v>
      </c>
      <c r="AN1910" s="216">
        <f>Table1[[#This Row],[Min VO]]+Table1[[#This Row],[Max VO]]</f>
        <v>36</v>
      </c>
      <c r="AO1910" s="101"/>
      <c r="AP1910" s="101"/>
      <c r="AQ1910" s="104"/>
      <c r="AR1910" s="104"/>
      <c r="AS1910" s="104"/>
      <c r="AT1910" s="104"/>
      <c r="AU1910" s="830" t="str">
        <f t="shared" si="697"/>
        <v>-</v>
      </c>
    </row>
    <row r="1911" spans="1:47" s="103" customFormat="1" hidden="1" x14ac:dyDescent="0.2">
      <c r="A1911" s="101" t="s">
        <v>110</v>
      </c>
      <c r="B1911" s="1064" t="s">
        <v>102</v>
      </c>
      <c r="C1911" s="1093" t="s">
        <v>4437</v>
      </c>
      <c r="D1911" s="168"/>
      <c r="E1911" s="115" t="s">
        <v>4438</v>
      </c>
      <c r="F1911" s="115" t="s">
        <v>138</v>
      </c>
      <c r="G1911" s="101" t="s">
        <v>449</v>
      </c>
      <c r="H1911" s="101" t="s">
        <v>449</v>
      </c>
      <c r="I1911" s="101" t="s">
        <v>52</v>
      </c>
      <c r="J1911" s="487" t="s">
        <v>53</v>
      </c>
      <c r="K1911" s="101" t="s">
        <v>54</v>
      </c>
      <c r="L1911" s="101" t="s">
        <v>55</v>
      </c>
      <c r="M1911" s="114">
        <v>300</v>
      </c>
      <c r="N1911" s="114"/>
      <c r="O1911" s="101" t="s">
        <v>56</v>
      </c>
      <c r="P1911" s="101">
        <v>36</v>
      </c>
      <c r="Q1911" s="101">
        <v>36</v>
      </c>
      <c r="R1911" s="101">
        <v>36</v>
      </c>
      <c r="S1911" s="697">
        <v>36</v>
      </c>
      <c r="T1911" s="101">
        <v>36</v>
      </c>
      <c r="U1911" s="101">
        <v>36</v>
      </c>
      <c r="V1911" s="1178">
        <f t="shared" si="698"/>
        <v>44</v>
      </c>
      <c r="W1911" s="1178">
        <f t="shared" si="699"/>
        <v>44</v>
      </c>
      <c r="X1911" s="101">
        <v>53</v>
      </c>
      <c r="Y1911" s="101">
        <v>44</v>
      </c>
      <c r="Z1911" s="101">
        <v>44</v>
      </c>
      <c r="AA1911" s="649">
        <f t="shared" si="701"/>
        <v>13.444444444444445</v>
      </c>
      <c r="AB1911" s="184">
        <f>AA1911*IncaG</f>
        <v>282.87111111111108</v>
      </c>
      <c r="AC1911" s="104">
        <f>MDFSHEET/10</f>
        <v>2.4350000000000001</v>
      </c>
      <c r="AD1911" s="107">
        <f>AA1911*IncaC</f>
        <v>22.629688888888889</v>
      </c>
      <c r="AE1911" s="104">
        <f>IF(Table1[[#This Row],[Work Center]]="SwissQ",Materials!G$37,IF(Table1[[#This Row],[Work Center]]="Inca",Materials!G$29,IF(Table1[[#This Row],[Work Center]]="Canon",Materials!G$49,Materials!G$45)))</f>
        <v>8</v>
      </c>
      <c r="AF1911" s="102">
        <f>'Cali FPS'!C67</f>
        <v>83.46</v>
      </c>
      <c r="AG1911" s="115"/>
      <c r="AH1911" s="405">
        <f t="shared" si="702"/>
        <v>15</v>
      </c>
      <c r="AI1911" s="405"/>
      <c r="AJ1911" s="406">
        <f t="shared" si="700"/>
        <v>131.52468888888887</v>
      </c>
      <c r="AK1911" s="1068">
        <f t="shared" si="695"/>
        <v>0.56158437037037046</v>
      </c>
      <c r="AL1911" s="406">
        <f>Table1[[#This Row],[WSP/Dealer]]/Table1[[#This Row],[OD Sq Inch]]</f>
        <v>0.23148148148148148</v>
      </c>
      <c r="AM1911" s="399">
        <f>Table1[[#This Row],[OD Wdth]]*Table1[[#This Row],[OD Hgt]]</f>
        <v>1296</v>
      </c>
      <c r="AN1911" s="400">
        <f>Table1[[#This Row],[Min VO]]+Table1[[#This Row],[Max VO]]</f>
        <v>72</v>
      </c>
      <c r="AO1911" s="115"/>
      <c r="AP1911" s="1307">
        <f>(M1911*2)</f>
        <v>600</v>
      </c>
      <c r="AQ1911" s="121">
        <f>(Table1[[#This Row],[Desgnr/Retail P]]*0.05)</f>
        <v>30</v>
      </c>
      <c r="AR1911" s="121">
        <f>IF(A1911="Codarus",(AP1911*0.13))</f>
        <v>78</v>
      </c>
      <c r="AS1911" s="121">
        <f>SUM(Table1[[#This Row],[Substrate $]:[GP FINISH]])+Table1[[#This Row],[Retail Royalty]]+Table1[[#This Row],[Retail$Comm]]</f>
        <v>224.52468888888887</v>
      </c>
      <c r="AT1911" s="830">
        <f>IF(AP1911=0,"-",(AP1911-AS1911)/AP1911)</f>
        <v>0.6257921851851852</v>
      </c>
      <c r="AU1911" s="1359">
        <f t="shared" si="697"/>
        <v>0.97914026049382707</v>
      </c>
    </row>
    <row r="1912" spans="1:47" s="63" customFormat="1" ht="16" x14ac:dyDescent="0.2">
      <c r="A1912" s="60" t="s">
        <v>58</v>
      </c>
      <c r="B1912" s="1061" t="s">
        <v>587</v>
      </c>
      <c r="C1912" s="1555" t="s">
        <v>4439</v>
      </c>
      <c r="D1912" s="94"/>
      <c r="E1912" s="294" t="s">
        <v>4440</v>
      </c>
      <c r="F1912" s="294" t="s">
        <v>1364</v>
      </c>
      <c r="G1912" s="295" t="s">
        <v>354</v>
      </c>
      <c r="H1912" s="295" t="s">
        <v>4441</v>
      </c>
      <c r="I1912" s="181" t="s">
        <v>52</v>
      </c>
      <c r="J1912" s="181" t="s">
        <v>53</v>
      </c>
      <c r="K1912" s="60" t="s">
        <v>69</v>
      </c>
      <c r="L1912" s="181" t="s">
        <v>73</v>
      </c>
      <c r="M1912" s="292">
        <v>425</v>
      </c>
      <c r="N1912" s="639">
        <v>425</v>
      </c>
      <c r="O1912" s="180" t="s">
        <v>64</v>
      </c>
      <c r="P1912" s="180">
        <v>24</v>
      </c>
      <c r="Q1912" s="180">
        <v>30</v>
      </c>
      <c r="R1912" s="60">
        <v>24</v>
      </c>
      <c r="S1912" s="60">
        <v>30</v>
      </c>
      <c r="T1912" s="698">
        <f>Table1[[#This Row],[VO Wdth]]+1</f>
        <v>25</v>
      </c>
      <c r="U1912" s="698">
        <f>Table1[[#This Row],[VO Hgt]]+1</f>
        <v>31</v>
      </c>
      <c r="V1912" s="913">
        <f t="shared" si="698"/>
        <v>32</v>
      </c>
      <c r="W1912" s="913">
        <f t="shared" si="699"/>
        <v>38</v>
      </c>
      <c r="X1912" s="289" t="s">
        <v>1889</v>
      </c>
      <c r="Y1912" s="180"/>
      <c r="Z1912" s="180"/>
      <c r="AA1912" s="717">
        <f t="shared" si="701"/>
        <v>8.4444444444444446</v>
      </c>
      <c r="AB1912" s="125">
        <f>AA1912*Swiss1</f>
        <v>238.97777777777779</v>
      </c>
      <c r="AC1912" s="69">
        <f>AA1912*Canvas</f>
        <v>5.5733333333333341</v>
      </c>
      <c r="AD1912" s="69">
        <f>Table1[[#This Row],[Substrate SF]]*Materials!C$37</f>
        <v>23.644444444444442</v>
      </c>
      <c r="AE1912" s="104">
        <f>IF(Table1[[#This Row],[Work Center]]="SwissQ",Materials!G$37,IF(Table1[[#This Row],[Work Center]]="Inca",Materials!G$29,IF(Table1[[#This Row],[Work Center]]="Canon",Materials!G$49,Materials!G$45)))</f>
        <v>20</v>
      </c>
      <c r="AF1912" s="69">
        <f>'Cali Frames'!D$423</f>
        <v>103.8275</v>
      </c>
      <c r="AG1912" s="83"/>
      <c r="AH1912" s="498">
        <f t="shared" si="702"/>
        <v>21.25</v>
      </c>
      <c r="AI1912" s="498"/>
      <c r="AJ1912" s="69">
        <f t="shared" si="700"/>
        <v>174.29527777777778</v>
      </c>
      <c r="AK1912" s="650">
        <f t="shared" si="695"/>
        <v>0.5898934640522876</v>
      </c>
      <c r="AL1912" s="225">
        <f>Table1[[#This Row],[WSP/Dealer]]/Table1[[#This Row],[OD Sq Inch]]</f>
        <v>0.54838709677419351</v>
      </c>
      <c r="AM1912" s="216">
        <f>Table1[[#This Row],[OD Wdth]]*Table1[[#This Row],[OD Hgt]]</f>
        <v>775</v>
      </c>
      <c r="AN1912" s="216">
        <f>Table1[[#This Row],[Min VO]]+Table1[[#This Row],[Max VO]]</f>
        <v>54</v>
      </c>
      <c r="AO1912" s="284"/>
      <c r="AP1912" s="284"/>
      <c r="AQ1912" s="296"/>
      <c r="AR1912" s="296"/>
      <c r="AS1912" s="296"/>
      <c r="AT1912" s="176"/>
      <c r="AU1912" s="1358" t="str">
        <f t="shared" si="697"/>
        <v>-</v>
      </c>
    </row>
    <row r="1913" spans="1:47" s="63" customFormat="1" ht="16" x14ac:dyDescent="0.2">
      <c r="A1913" s="68" t="s">
        <v>58</v>
      </c>
      <c r="B1913" s="1061" t="s">
        <v>587</v>
      </c>
      <c r="C1913" s="1738" t="s">
        <v>4439</v>
      </c>
      <c r="D1913" s="94"/>
      <c r="E1913" s="313" t="s">
        <v>4442</v>
      </c>
      <c r="F1913" s="313" t="s">
        <v>1364</v>
      </c>
      <c r="G1913" s="314" t="s">
        <v>354</v>
      </c>
      <c r="H1913" s="314" t="s">
        <v>4441</v>
      </c>
      <c r="I1913" s="315" t="s">
        <v>52</v>
      </c>
      <c r="J1913" s="315" t="s">
        <v>53</v>
      </c>
      <c r="K1913" s="68" t="s">
        <v>69</v>
      </c>
      <c r="L1913" s="315" t="s">
        <v>73</v>
      </c>
      <c r="M1913" s="178">
        <v>425</v>
      </c>
      <c r="N1913" s="639">
        <v>425</v>
      </c>
      <c r="O1913" s="274" t="s">
        <v>64</v>
      </c>
      <c r="P1913" s="274">
        <v>24</v>
      </c>
      <c r="Q1913" s="274">
        <v>30</v>
      </c>
      <c r="R1913" s="68">
        <v>24</v>
      </c>
      <c r="S1913" s="68">
        <v>30</v>
      </c>
      <c r="T1913" s="916">
        <f>Table1[[#This Row],[VO Wdth]]+1</f>
        <v>25</v>
      </c>
      <c r="U1913" s="916">
        <f>Table1[[#This Row],[VO Hgt]]+1</f>
        <v>31</v>
      </c>
      <c r="V1913" s="1198">
        <f t="shared" si="698"/>
        <v>32</v>
      </c>
      <c r="W1913" s="1198">
        <f t="shared" si="699"/>
        <v>38</v>
      </c>
      <c r="X1913" s="343" t="s">
        <v>1889</v>
      </c>
      <c r="Y1913" s="274"/>
      <c r="Z1913" s="274"/>
      <c r="AA1913" s="699">
        <f t="shared" si="701"/>
        <v>8.4444444444444446</v>
      </c>
      <c r="AB1913" s="297">
        <f>AA1913*Swiss1</f>
        <v>238.97777777777779</v>
      </c>
      <c r="AC1913" s="74">
        <f>AA1913*Canvas</f>
        <v>5.5733333333333341</v>
      </c>
      <c r="AD1913" s="67">
        <f>Table1[[#This Row],[Substrate SF]]*Materials!C$37</f>
        <v>23.644444444444442</v>
      </c>
      <c r="AE1913" s="104">
        <f>IF(Table1[[#This Row],[Work Center]]="SwissQ",Materials!G$37,IF(Table1[[#This Row],[Work Center]]="Inca",Materials!G$29,IF(Table1[[#This Row],[Work Center]]="Canon",Materials!G$49,Materials!G$45)))</f>
        <v>20</v>
      </c>
      <c r="AF1913" s="74">
        <f>'Cali Frames'!D563</f>
        <v>162.995</v>
      </c>
      <c r="AG1913" s="84"/>
      <c r="AH1913" s="498">
        <f t="shared" si="702"/>
        <v>21.25</v>
      </c>
      <c r="AI1913" s="498"/>
      <c r="AJ1913" s="74">
        <f t="shared" si="700"/>
        <v>233.46277777777777</v>
      </c>
      <c r="AK1913" s="650">
        <f t="shared" si="695"/>
        <v>0.45067581699346404</v>
      </c>
      <c r="AL1913" s="225">
        <f>Table1[[#This Row],[WSP/Dealer]]/Table1[[#This Row],[OD Sq Inch]]</f>
        <v>0.54838709677419351</v>
      </c>
      <c r="AM1913" s="238">
        <f>Table1[[#This Row],[OD Wdth]]*Table1[[#This Row],[OD Hgt]]</f>
        <v>775</v>
      </c>
      <c r="AN1913" s="238">
        <f>Table1[[#This Row],[Min VO]]+Table1[[#This Row],[Max VO]]</f>
        <v>54</v>
      </c>
      <c r="AO1913" s="275"/>
      <c r="AP1913" s="275"/>
      <c r="AQ1913" s="320"/>
      <c r="AR1913" s="320"/>
      <c r="AS1913" s="320"/>
      <c r="AT1913" s="278"/>
      <c r="AU1913" s="1368" t="str">
        <f t="shared" si="697"/>
        <v>-</v>
      </c>
    </row>
    <row r="1914" spans="1:47" s="63" customFormat="1" ht="16" x14ac:dyDescent="0.2">
      <c r="A1914" s="60" t="s">
        <v>58</v>
      </c>
      <c r="B1914" s="1061" t="s">
        <v>587</v>
      </c>
      <c r="C1914" s="1555" t="s">
        <v>4443</v>
      </c>
      <c r="D1914" s="94"/>
      <c r="E1914" s="294" t="s">
        <v>4444</v>
      </c>
      <c r="F1914" s="294" t="s">
        <v>1364</v>
      </c>
      <c r="G1914" s="295" t="s">
        <v>354</v>
      </c>
      <c r="H1914" s="295" t="s">
        <v>4441</v>
      </c>
      <c r="I1914" s="181" t="s">
        <v>52</v>
      </c>
      <c r="J1914" s="181" t="s">
        <v>53</v>
      </c>
      <c r="K1914" s="60" t="s">
        <v>69</v>
      </c>
      <c r="L1914" s="181" t="s">
        <v>73</v>
      </c>
      <c r="M1914" s="292">
        <v>425</v>
      </c>
      <c r="N1914" s="639">
        <v>425</v>
      </c>
      <c r="O1914" s="180" t="s">
        <v>64</v>
      </c>
      <c r="P1914" s="180">
        <v>24</v>
      </c>
      <c r="Q1914" s="180">
        <v>30</v>
      </c>
      <c r="R1914" s="60">
        <v>24</v>
      </c>
      <c r="S1914" s="60">
        <v>30</v>
      </c>
      <c r="T1914" s="698">
        <f>Table1[[#This Row],[VO Wdth]]+1</f>
        <v>25</v>
      </c>
      <c r="U1914" s="698">
        <f>Table1[[#This Row],[VO Hgt]]+1</f>
        <v>31</v>
      </c>
      <c r="V1914" s="913">
        <f t="shared" si="698"/>
        <v>32</v>
      </c>
      <c r="W1914" s="913">
        <f t="shared" si="699"/>
        <v>38</v>
      </c>
      <c r="X1914" s="289" t="s">
        <v>1889</v>
      </c>
      <c r="Y1914" s="180"/>
      <c r="Z1914" s="180"/>
      <c r="AA1914" s="717">
        <f t="shared" si="701"/>
        <v>8.4444444444444446</v>
      </c>
      <c r="AB1914" s="125">
        <f>AA1914*Swiss1</f>
        <v>238.97777777777779</v>
      </c>
      <c r="AC1914" s="69">
        <f>AA1914*Canvas</f>
        <v>5.5733333333333341</v>
      </c>
      <c r="AD1914" s="48">
        <f>Table1[[#This Row],[Substrate SF]]*Materials!C$37</f>
        <v>23.644444444444442</v>
      </c>
      <c r="AE1914" s="104">
        <f>IF(Table1[[#This Row],[Work Center]]="SwissQ",Materials!G$37,IF(Table1[[#This Row],[Work Center]]="Inca",Materials!G$29,IF(Table1[[#This Row],[Work Center]]="Canon",Materials!G$49,Materials!G$45)))</f>
        <v>20</v>
      </c>
      <c r="AF1914" s="69">
        <f>'Cali Frames'!D$423</f>
        <v>103.8275</v>
      </c>
      <c r="AG1914" s="83"/>
      <c r="AH1914" s="498">
        <f t="shared" si="702"/>
        <v>21.25</v>
      </c>
      <c r="AI1914" s="498"/>
      <c r="AJ1914" s="69">
        <f t="shared" si="700"/>
        <v>174.29527777777778</v>
      </c>
      <c r="AK1914" s="650">
        <f t="shared" si="695"/>
        <v>0.5898934640522876</v>
      </c>
      <c r="AL1914" s="225">
        <f>Table1[[#This Row],[WSP/Dealer]]/Table1[[#This Row],[OD Sq Inch]]</f>
        <v>0.54838709677419351</v>
      </c>
      <c r="AM1914" s="60">
        <f>Table1[[#This Row],[OD Wdth]]*Table1[[#This Row],[OD Hgt]]</f>
        <v>775</v>
      </c>
      <c r="AN1914" s="216">
        <f>Table1[[#This Row],[Min VO]]+Table1[[#This Row],[Max VO]]</f>
        <v>54</v>
      </c>
      <c r="AO1914" s="284"/>
      <c r="AP1914" s="284"/>
      <c r="AQ1914" s="296"/>
      <c r="AR1914" s="296"/>
      <c r="AS1914" s="296"/>
      <c r="AT1914" s="176"/>
      <c r="AU1914" s="1358" t="str">
        <f t="shared" si="697"/>
        <v>-</v>
      </c>
    </row>
    <row r="1915" spans="1:47" s="63" customFormat="1" ht="16" x14ac:dyDescent="0.2">
      <c r="A1915" s="68" t="s">
        <v>58</v>
      </c>
      <c r="B1915" s="1061" t="s">
        <v>587</v>
      </c>
      <c r="C1915" s="1738" t="s">
        <v>4443</v>
      </c>
      <c r="D1915" s="94"/>
      <c r="E1915" s="313" t="s">
        <v>4445</v>
      </c>
      <c r="F1915" s="313" t="s">
        <v>1364</v>
      </c>
      <c r="G1915" s="314" t="s">
        <v>354</v>
      </c>
      <c r="H1915" s="314" t="s">
        <v>4441</v>
      </c>
      <c r="I1915" s="315" t="s">
        <v>52</v>
      </c>
      <c r="J1915" s="315" t="s">
        <v>53</v>
      </c>
      <c r="K1915" s="68" t="s">
        <v>69</v>
      </c>
      <c r="L1915" s="315" t="s">
        <v>73</v>
      </c>
      <c r="M1915" s="178">
        <v>425</v>
      </c>
      <c r="N1915" s="639">
        <v>425</v>
      </c>
      <c r="O1915" s="274" t="s">
        <v>64</v>
      </c>
      <c r="P1915" s="274">
        <v>24</v>
      </c>
      <c r="Q1915" s="274">
        <v>30</v>
      </c>
      <c r="R1915" s="68">
        <v>24</v>
      </c>
      <c r="S1915" s="68">
        <v>30</v>
      </c>
      <c r="T1915" s="916">
        <f>Table1[[#This Row],[VO Wdth]]+1</f>
        <v>25</v>
      </c>
      <c r="U1915" s="916">
        <f>Table1[[#This Row],[VO Hgt]]+1</f>
        <v>31</v>
      </c>
      <c r="V1915" s="1198">
        <f t="shared" si="698"/>
        <v>32</v>
      </c>
      <c r="W1915" s="1198">
        <f t="shared" si="699"/>
        <v>38</v>
      </c>
      <c r="X1915" s="343" t="s">
        <v>1889</v>
      </c>
      <c r="Y1915" s="274"/>
      <c r="Z1915" s="274"/>
      <c r="AA1915" s="699">
        <f t="shared" si="701"/>
        <v>8.4444444444444446</v>
      </c>
      <c r="AB1915" s="297">
        <f>AA1915*Swiss1</f>
        <v>238.97777777777779</v>
      </c>
      <c r="AC1915" s="74">
        <f>AA1915*Canvas</f>
        <v>5.5733333333333341</v>
      </c>
      <c r="AD1915" s="67">
        <f>Table1[[#This Row],[Substrate SF]]*Materials!C$37</f>
        <v>23.644444444444442</v>
      </c>
      <c r="AE1915" s="104">
        <f>IF(Table1[[#This Row],[Work Center]]="SwissQ",Materials!G$37,IF(Table1[[#This Row],[Work Center]]="Inca",Materials!G$29,IF(Table1[[#This Row],[Work Center]]="Canon",Materials!G$49,Materials!G$45)))</f>
        <v>20</v>
      </c>
      <c r="AF1915" s="74">
        <f>'Cali Frames'!D563</f>
        <v>162.995</v>
      </c>
      <c r="AG1915" s="84"/>
      <c r="AH1915" s="498">
        <f t="shared" si="702"/>
        <v>21.25</v>
      </c>
      <c r="AI1915" s="498"/>
      <c r="AJ1915" s="74">
        <f t="shared" si="700"/>
        <v>233.46277777777777</v>
      </c>
      <c r="AK1915" s="650">
        <f t="shared" si="695"/>
        <v>0.45067581699346404</v>
      </c>
      <c r="AL1915" s="225">
        <f>Table1[[#This Row],[WSP/Dealer]]/Table1[[#This Row],[OD Sq Inch]]</f>
        <v>0.54838709677419351</v>
      </c>
      <c r="AM1915" s="68">
        <f>Table1[[#This Row],[OD Wdth]]*Table1[[#This Row],[OD Hgt]]</f>
        <v>775</v>
      </c>
      <c r="AN1915" s="238">
        <f>Table1[[#This Row],[Min VO]]+Table1[[#This Row],[Max VO]]</f>
        <v>54</v>
      </c>
      <c r="AO1915" s="275"/>
      <c r="AP1915" s="275"/>
      <c r="AQ1915" s="320"/>
      <c r="AR1915" s="320"/>
      <c r="AS1915" s="320"/>
      <c r="AT1915" s="278"/>
      <c r="AU1915" s="1368" t="str">
        <f t="shared" si="697"/>
        <v>-</v>
      </c>
    </row>
    <row r="1916" spans="1:47" s="113" customFormat="1" ht="16" x14ac:dyDescent="0.2">
      <c r="A1916" s="101" t="s">
        <v>58</v>
      </c>
      <c r="B1916" s="1067" t="s">
        <v>1436</v>
      </c>
      <c r="C1916" s="1093" t="s">
        <v>4446</v>
      </c>
      <c r="D1916" s="168"/>
      <c r="E1916" s="115" t="s">
        <v>4447</v>
      </c>
      <c r="F1916" s="1213" t="s">
        <v>308</v>
      </c>
      <c r="G1916" s="101" t="s">
        <v>637</v>
      </c>
      <c r="H1916" s="101" t="s">
        <v>637</v>
      </c>
      <c r="I1916" s="101" t="s">
        <v>52</v>
      </c>
      <c r="J1916" s="487" t="s">
        <v>53</v>
      </c>
      <c r="K1916" s="789" t="s">
        <v>54</v>
      </c>
      <c r="L1916" s="789" t="s">
        <v>55</v>
      </c>
      <c r="M1916" s="299">
        <v>950</v>
      </c>
      <c r="N1916" s="114"/>
      <c r="O1916" s="101" t="s">
        <v>56</v>
      </c>
      <c r="P1916" s="101">
        <v>60</v>
      </c>
      <c r="Q1916" s="101">
        <v>48</v>
      </c>
      <c r="R1916" s="101">
        <v>48</v>
      </c>
      <c r="S1916" s="697">
        <v>60</v>
      </c>
      <c r="T1916" s="101">
        <v>60</v>
      </c>
      <c r="U1916" s="101">
        <v>48</v>
      </c>
      <c r="V1916" s="1178">
        <f t="shared" si="698"/>
        <v>68</v>
      </c>
      <c r="W1916" s="1178">
        <f t="shared" si="699"/>
        <v>56</v>
      </c>
      <c r="X1916" s="101">
        <v>69</v>
      </c>
      <c r="Y1916" s="101">
        <v>68</v>
      </c>
      <c r="Z1916" s="101">
        <v>56</v>
      </c>
      <c r="AA1916" s="649">
        <f t="shared" si="701"/>
        <v>26.444444444444443</v>
      </c>
      <c r="AB1916" s="184">
        <f t="shared" ref="AB1916:AB1921" si="703">AA1916*IncaG</f>
        <v>556.39111111111106</v>
      </c>
      <c r="AC1916" s="104">
        <f>AA1916*Canvas</f>
        <v>17.453333333333333</v>
      </c>
      <c r="AD1916" s="107">
        <f>AA1916*IncaC</f>
        <v>44.511288888888885</v>
      </c>
      <c r="AE1916" s="104">
        <f>IF(Table1[[#This Row],[Work Center]]="SwissQ",Materials!G$37,IF(Table1[[#This Row],[Work Center]]="Inca",Materials!G$29,IF(Table1[[#This Row],[Work Center]]="Canon",Materials!G$49,Materials!G$45)))</f>
        <v>8</v>
      </c>
      <c r="AF1916" s="102">
        <f>'Cali FPS'!C121</f>
        <v>188.18</v>
      </c>
      <c r="AG1916" s="115"/>
      <c r="AH1916" s="406">
        <f t="shared" si="702"/>
        <v>47.5</v>
      </c>
      <c r="AI1916" s="406"/>
      <c r="AJ1916" s="406">
        <f t="shared" si="700"/>
        <v>305.64462222222221</v>
      </c>
      <c r="AK1916" s="1065">
        <f t="shared" si="695"/>
        <v>0.67826881871345035</v>
      </c>
      <c r="AL1916" s="406">
        <f>Table1[[#This Row],[WSP/Dealer]]/Table1[[#This Row],[OD Sq Inch]]</f>
        <v>0.3298611111111111</v>
      </c>
      <c r="AM1916" s="400">
        <f>Table1[[#This Row],[OD Wdth]]*Table1[[#This Row],[OD Hgt]]</f>
        <v>2880</v>
      </c>
      <c r="AN1916" s="400">
        <f>Table1[[#This Row],[Min VO]]+Table1[[#This Row],[Max VO]]</f>
        <v>108</v>
      </c>
      <c r="AO1916" s="115"/>
      <c r="AP1916" s="115"/>
      <c r="AQ1916" s="104"/>
      <c r="AR1916" s="104"/>
      <c r="AS1916" s="104"/>
      <c r="AT1916" s="104"/>
      <c r="AU1916" s="1359" t="str">
        <f t="shared" si="697"/>
        <v>-</v>
      </c>
    </row>
    <row r="1917" spans="1:47" s="95" customFormat="1" ht="16" x14ac:dyDescent="0.2">
      <c r="A1917" s="68" t="s">
        <v>58</v>
      </c>
      <c r="B1917" s="1072" t="s">
        <v>1436</v>
      </c>
      <c r="C1917" s="1195" t="s">
        <v>4448</v>
      </c>
      <c r="D1917" s="94"/>
      <c r="E1917" s="84" t="s">
        <v>4449</v>
      </c>
      <c r="F1917" s="1220" t="s">
        <v>308</v>
      </c>
      <c r="G1917" s="68" t="s">
        <v>1261</v>
      </c>
      <c r="H1917" s="68" t="s">
        <v>1261</v>
      </c>
      <c r="I1917" s="68" t="s">
        <v>52</v>
      </c>
      <c r="J1917" s="140" t="s">
        <v>53</v>
      </c>
      <c r="K1917" s="363" t="s">
        <v>54</v>
      </c>
      <c r="L1917" s="363" t="s">
        <v>55</v>
      </c>
      <c r="M1917" s="141">
        <v>275</v>
      </c>
      <c r="N1917" s="93"/>
      <c r="O1917" s="68" t="s">
        <v>56</v>
      </c>
      <c r="P1917" s="68">
        <v>16</v>
      </c>
      <c r="Q1917" s="68">
        <v>24</v>
      </c>
      <c r="R1917" s="68">
        <v>16</v>
      </c>
      <c r="S1917" s="623">
        <v>24</v>
      </c>
      <c r="T1917" s="68">
        <v>16</v>
      </c>
      <c r="U1917" s="68">
        <v>24</v>
      </c>
      <c r="V1917" s="917">
        <f t="shared" si="698"/>
        <v>24</v>
      </c>
      <c r="W1917" s="917">
        <f t="shared" si="699"/>
        <v>32</v>
      </c>
      <c r="X1917" s="68">
        <v>40</v>
      </c>
      <c r="Y1917" s="68">
        <v>24</v>
      </c>
      <c r="Z1917" s="68">
        <v>32</v>
      </c>
      <c r="AA1917" s="699">
        <f t="shared" si="701"/>
        <v>5.333333333333333</v>
      </c>
      <c r="AB1917" s="297">
        <f t="shared" si="703"/>
        <v>112.21333333333332</v>
      </c>
      <c r="AC1917" s="74">
        <f>MDFSHEET/10</f>
        <v>2.4350000000000001</v>
      </c>
      <c r="AD1917" s="118">
        <f>Table1[[#This Row],[Substrate SF]]*IncaC</f>
        <v>8.9770666666666656</v>
      </c>
      <c r="AE1917" s="126">
        <f>IF(Table1[[#This Row],[Work Center]]="SwissQ",Materials!G$37,IF(Table1[[#This Row],[Work Center]]="Inca",Materials!G$29,IF(Table1[[#This Row],[Work Center]]="Canon",Materials!G$49,Materials!G$45)))</f>
        <v>8</v>
      </c>
      <c r="AF1917" s="73">
        <f>'Cali FPS'!C19</f>
        <v>65</v>
      </c>
      <c r="AG1917" s="84"/>
      <c r="AH1917" s="74">
        <f t="shared" si="702"/>
        <v>13.75</v>
      </c>
      <c r="AI1917" s="74"/>
      <c r="AJ1917" s="278">
        <f t="shared" si="700"/>
        <v>98.162066666666675</v>
      </c>
      <c r="AK1917" s="1001">
        <f t="shared" si="695"/>
        <v>0.64304703030303023</v>
      </c>
      <c r="AL1917" s="240">
        <f>Table1[[#This Row],[WSP/Dealer]]/Table1[[#This Row],[OD Sq Inch]]</f>
        <v>0.71614583333333337</v>
      </c>
      <c r="AM1917" s="274">
        <f>Table1[[#This Row],[OD Wdth]]*Table1[[#This Row],[OD Hgt]]</f>
        <v>384</v>
      </c>
      <c r="AN1917" s="274" t="str">
        <f>Table1[[#This Row],[Color]]</f>
        <v>GW</v>
      </c>
      <c r="AO1917" s="84"/>
      <c r="AP1917" s="84"/>
      <c r="AQ1917" s="74"/>
      <c r="AR1917" s="74"/>
      <c r="AS1917" s="74"/>
      <c r="AT1917" s="74"/>
      <c r="AU1917" s="1357" t="str">
        <f t="shared" si="697"/>
        <v>-</v>
      </c>
    </row>
    <row r="1918" spans="1:47" s="95" customFormat="1" ht="16" x14ac:dyDescent="0.2">
      <c r="A1918" s="60" t="s">
        <v>58</v>
      </c>
      <c r="B1918" s="1071" t="s">
        <v>1436</v>
      </c>
      <c r="C1918" s="1035" t="s">
        <v>4450</v>
      </c>
      <c r="D1918" s="79"/>
      <c r="E1918" s="83" t="s">
        <v>4451</v>
      </c>
      <c r="F1918" s="1238" t="s">
        <v>308</v>
      </c>
      <c r="G1918" s="60" t="s">
        <v>637</v>
      </c>
      <c r="H1918" s="60" t="s">
        <v>637</v>
      </c>
      <c r="I1918" s="60" t="s">
        <v>52</v>
      </c>
      <c r="J1918" s="59" t="s">
        <v>53</v>
      </c>
      <c r="K1918" s="181" t="s">
        <v>54</v>
      </c>
      <c r="L1918" s="181" t="s">
        <v>55</v>
      </c>
      <c r="M1918" s="179">
        <v>950</v>
      </c>
      <c r="N1918" s="124"/>
      <c r="O1918" s="60" t="s">
        <v>56</v>
      </c>
      <c r="P1918" s="60">
        <v>60</v>
      </c>
      <c r="Q1918" s="60">
        <v>48</v>
      </c>
      <c r="R1918" s="60">
        <v>48</v>
      </c>
      <c r="S1918" s="273">
        <v>60</v>
      </c>
      <c r="T1918" s="60">
        <v>60</v>
      </c>
      <c r="U1918" s="60">
        <v>48</v>
      </c>
      <c r="V1918" s="913">
        <f t="shared" si="698"/>
        <v>68</v>
      </c>
      <c r="W1918" s="913">
        <f t="shared" si="699"/>
        <v>56</v>
      </c>
      <c r="X1918" s="60">
        <v>69</v>
      </c>
      <c r="Y1918" s="60">
        <v>68</v>
      </c>
      <c r="Z1918" s="60">
        <v>56</v>
      </c>
      <c r="AA1918" s="717">
        <f t="shared" si="701"/>
        <v>26.444444444444443</v>
      </c>
      <c r="AB1918" s="125">
        <f t="shared" si="703"/>
        <v>556.39111111111106</v>
      </c>
      <c r="AC1918" s="69">
        <f>AA1918*Canvas</f>
        <v>17.453333333333333</v>
      </c>
      <c r="AD1918" s="48">
        <f>AA1918*IncaC</f>
        <v>44.511288888888885</v>
      </c>
      <c r="AE1918" s="69">
        <f>IF(Table1[[#This Row],[Work Center]]="SwissQ",Materials!G$37,IF(Table1[[#This Row],[Work Center]]="Inca",Materials!G$29,IF(Table1[[#This Row],[Work Center]]="Canon",Materials!G$49,Materials!G$45)))</f>
        <v>8</v>
      </c>
      <c r="AF1918" s="72">
        <f>'Cali FPS'!C121</f>
        <v>188.18</v>
      </c>
      <c r="AG1918" s="83"/>
      <c r="AH1918" s="176">
        <f t="shared" si="702"/>
        <v>47.5</v>
      </c>
      <c r="AI1918" s="176"/>
      <c r="AJ1918" s="176">
        <f t="shared" si="700"/>
        <v>305.64462222222221</v>
      </c>
      <c r="AK1918" s="1201">
        <f t="shared" si="695"/>
        <v>0.67826881871345035</v>
      </c>
      <c r="AL1918" s="176">
        <f>Table1[[#This Row],[WSP/Dealer]]/Table1[[#This Row],[OD Sq Inch]]</f>
        <v>0.3298611111111111</v>
      </c>
      <c r="AM1918" s="180">
        <f>Table1[[#This Row],[OD Wdth]]*Table1[[#This Row],[OD Hgt]]</f>
        <v>2880</v>
      </c>
      <c r="AN1918" s="180">
        <f>Table1[[#This Row],[Min VO]]+Table1[[#This Row],[Max VO]]</f>
        <v>108</v>
      </c>
      <c r="AO1918" s="83"/>
      <c r="AP1918" s="83"/>
      <c r="AQ1918" s="69"/>
      <c r="AR1918" s="69"/>
      <c r="AS1918" s="69"/>
      <c r="AT1918" s="69"/>
      <c r="AU1918" s="1361" t="str">
        <f t="shared" si="697"/>
        <v>-</v>
      </c>
    </row>
    <row r="1919" spans="1:47" s="95" customFormat="1" ht="16" x14ac:dyDescent="0.2">
      <c r="A1919" s="60" t="s">
        <v>58</v>
      </c>
      <c r="B1919" s="1071" t="s">
        <v>1436</v>
      </c>
      <c r="C1919" s="1035" t="s">
        <v>4452</v>
      </c>
      <c r="D1919" s="79"/>
      <c r="E1919" s="83" t="s">
        <v>4453</v>
      </c>
      <c r="F1919" s="1238" t="s">
        <v>308</v>
      </c>
      <c r="G1919" s="60" t="s">
        <v>637</v>
      </c>
      <c r="H1919" s="60" t="s">
        <v>637</v>
      </c>
      <c r="I1919" s="60" t="s">
        <v>52</v>
      </c>
      <c r="J1919" s="59" t="s">
        <v>53</v>
      </c>
      <c r="K1919" s="181" t="s">
        <v>54</v>
      </c>
      <c r="L1919" s="181" t="s">
        <v>55</v>
      </c>
      <c r="M1919" s="179">
        <v>950</v>
      </c>
      <c r="N1919" s="124"/>
      <c r="O1919" s="60" t="s">
        <v>56</v>
      </c>
      <c r="P1919" s="60">
        <v>60</v>
      </c>
      <c r="Q1919" s="60">
        <v>48</v>
      </c>
      <c r="R1919" s="60">
        <v>48</v>
      </c>
      <c r="S1919" s="273">
        <v>60</v>
      </c>
      <c r="T1919" s="60">
        <v>60</v>
      </c>
      <c r="U1919" s="60">
        <v>48</v>
      </c>
      <c r="V1919" s="149">
        <f t="shared" si="698"/>
        <v>68</v>
      </c>
      <c r="W1919" s="149">
        <f t="shared" si="699"/>
        <v>56</v>
      </c>
      <c r="X1919" s="60">
        <v>69</v>
      </c>
      <c r="Y1919" s="60">
        <v>68</v>
      </c>
      <c r="Z1919" s="60">
        <v>56</v>
      </c>
      <c r="AA1919" s="717">
        <f t="shared" si="701"/>
        <v>26.444444444444443</v>
      </c>
      <c r="AB1919" s="125">
        <f t="shared" si="703"/>
        <v>556.39111111111106</v>
      </c>
      <c r="AC1919" s="69">
        <f>AA1919*Canvas</f>
        <v>17.453333333333333</v>
      </c>
      <c r="AD1919" s="48">
        <f>AA1919*IncaC</f>
        <v>44.511288888888885</v>
      </c>
      <c r="AE1919" s="69">
        <f>IF(Table1[[#This Row],[Work Center]]="SwissQ",Materials!G$37,IF(Table1[[#This Row],[Work Center]]="Inca",Materials!G$29,IF(Table1[[#This Row],[Work Center]]="Canon",Materials!G$49,Materials!G$45)))</f>
        <v>8</v>
      </c>
      <c r="AF1919" s="72">
        <f>'Cali FPS'!C121</f>
        <v>188.18</v>
      </c>
      <c r="AG1919" s="83"/>
      <c r="AH1919" s="175">
        <f t="shared" si="702"/>
        <v>47.5</v>
      </c>
      <c r="AI1919" s="175"/>
      <c r="AJ1919" s="176">
        <f t="shared" si="700"/>
        <v>305.64462222222221</v>
      </c>
      <c r="AK1919" s="676">
        <f t="shared" si="695"/>
        <v>0.67826881871345035</v>
      </c>
      <c r="AL1919" s="176">
        <f>Table1[[#This Row],[WSP/Dealer]]/Table1[[#This Row],[OD Sq Inch]]</f>
        <v>0.3298611111111111</v>
      </c>
      <c r="AM1919" s="173">
        <f>Table1[[#This Row],[OD Wdth]]*Table1[[#This Row],[OD Hgt]]</f>
        <v>2880</v>
      </c>
      <c r="AN1919" s="180">
        <f>Table1[[#This Row],[Min VO]]+Table1[[#This Row],[Max VO]]</f>
        <v>108</v>
      </c>
      <c r="AO1919" s="83"/>
      <c r="AP1919" s="83"/>
      <c r="AQ1919" s="69"/>
      <c r="AR1919" s="69"/>
      <c r="AS1919" s="69"/>
      <c r="AT1919" s="69"/>
      <c r="AU1919" s="1361" t="str">
        <f t="shared" si="697"/>
        <v>-</v>
      </c>
    </row>
    <row r="1920" spans="1:47" s="95" customFormat="1" ht="16" x14ac:dyDescent="0.2">
      <c r="A1920" s="60" t="s">
        <v>58</v>
      </c>
      <c r="B1920" s="1071" t="s">
        <v>1436</v>
      </c>
      <c r="C1920" s="1035" t="s">
        <v>4454</v>
      </c>
      <c r="D1920" s="79"/>
      <c r="E1920" s="83" t="s">
        <v>4455</v>
      </c>
      <c r="F1920" s="1238" t="s">
        <v>308</v>
      </c>
      <c r="G1920" s="60" t="s">
        <v>637</v>
      </c>
      <c r="H1920" s="60" t="s">
        <v>637</v>
      </c>
      <c r="I1920" s="60" t="s">
        <v>52</v>
      </c>
      <c r="J1920" s="59" t="s">
        <v>53</v>
      </c>
      <c r="K1920" s="181" t="s">
        <v>54</v>
      </c>
      <c r="L1920" s="181" t="s">
        <v>55</v>
      </c>
      <c r="M1920" s="179">
        <v>950</v>
      </c>
      <c r="N1920" s="124"/>
      <c r="O1920" s="60" t="s">
        <v>56</v>
      </c>
      <c r="P1920" s="60">
        <v>60</v>
      </c>
      <c r="Q1920" s="60">
        <v>48</v>
      </c>
      <c r="R1920" s="60">
        <v>48</v>
      </c>
      <c r="S1920" s="273">
        <v>60</v>
      </c>
      <c r="T1920" s="60">
        <v>60</v>
      </c>
      <c r="U1920" s="60">
        <v>48</v>
      </c>
      <c r="V1920" s="149">
        <f t="shared" si="698"/>
        <v>68</v>
      </c>
      <c r="W1920" s="149">
        <f t="shared" si="699"/>
        <v>56</v>
      </c>
      <c r="X1920" s="60">
        <v>69</v>
      </c>
      <c r="Y1920" s="60">
        <v>68</v>
      </c>
      <c r="Z1920" s="60">
        <v>56</v>
      </c>
      <c r="AA1920" s="717">
        <f t="shared" si="701"/>
        <v>26.444444444444443</v>
      </c>
      <c r="AB1920" s="125">
        <f t="shared" si="703"/>
        <v>556.39111111111106</v>
      </c>
      <c r="AC1920" s="69">
        <f>AA1920*Canvas</f>
        <v>17.453333333333333</v>
      </c>
      <c r="AD1920" s="48">
        <f>AA1920*IncaC</f>
        <v>44.511288888888885</v>
      </c>
      <c r="AE1920" s="69">
        <f>IF(Table1[[#This Row],[Work Center]]="SwissQ",Materials!G$37,IF(Table1[[#This Row],[Work Center]]="Inca",Materials!G$29,IF(Table1[[#This Row],[Work Center]]="Canon",Materials!G$49,Materials!G$45)))</f>
        <v>8</v>
      </c>
      <c r="AF1920" s="72">
        <f>'Cali FPS'!C121</f>
        <v>188.18</v>
      </c>
      <c r="AG1920" s="83"/>
      <c r="AH1920" s="175">
        <f t="shared" si="702"/>
        <v>47.5</v>
      </c>
      <c r="AI1920" s="175"/>
      <c r="AJ1920" s="176">
        <f t="shared" si="700"/>
        <v>305.64462222222221</v>
      </c>
      <c r="AK1920" s="676">
        <f t="shared" si="695"/>
        <v>0.67826881871345035</v>
      </c>
      <c r="AL1920" s="176">
        <f>Table1[[#This Row],[WSP/Dealer]]/Table1[[#This Row],[OD Sq Inch]]</f>
        <v>0.3298611111111111</v>
      </c>
      <c r="AM1920" s="173">
        <f>Table1[[#This Row],[OD Wdth]]*Table1[[#This Row],[OD Hgt]]</f>
        <v>2880</v>
      </c>
      <c r="AN1920" s="180">
        <f>Table1[[#This Row],[Min VO]]+Table1[[#This Row],[Max VO]]</f>
        <v>108</v>
      </c>
      <c r="AO1920" s="83"/>
      <c r="AP1920" s="83"/>
      <c r="AQ1920" s="69"/>
      <c r="AR1920" s="69"/>
      <c r="AS1920" s="69"/>
      <c r="AT1920" s="69"/>
      <c r="AU1920" s="1361" t="str">
        <f t="shared" si="697"/>
        <v>-</v>
      </c>
    </row>
    <row r="1921" spans="1:47" s="113" customFormat="1" ht="16" x14ac:dyDescent="0.2">
      <c r="A1921" s="60" t="s">
        <v>58</v>
      </c>
      <c r="B1921" s="1106" t="s">
        <v>1436</v>
      </c>
      <c r="C1921" s="1035" t="s">
        <v>4456</v>
      </c>
      <c r="D1921" s="79"/>
      <c r="E1921" s="83" t="s">
        <v>4457</v>
      </c>
      <c r="F1921" s="1238" t="s">
        <v>308</v>
      </c>
      <c r="G1921" s="60" t="s">
        <v>637</v>
      </c>
      <c r="H1921" s="60" t="s">
        <v>637</v>
      </c>
      <c r="I1921" s="60" t="s">
        <v>52</v>
      </c>
      <c r="J1921" s="59" t="s">
        <v>53</v>
      </c>
      <c r="K1921" s="181" t="s">
        <v>54</v>
      </c>
      <c r="L1921" s="181" t="s">
        <v>55</v>
      </c>
      <c r="M1921" s="179">
        <v>950</v>
      </c>
      <c r="N1921" s="124"/>
      <c r="O1921" s="60" t="s">
        <v>56</v>
      </c>
      <c r="P1921" s="180">
        <v>60</v>
      </c>
      <c r="Q1921" s="180">
        <v>48</v>
      </c>
      <c r="R1921" s="180">
        <v>48</v>
      </c>
      <c r="S1921" s="813">
        <v>60</v>
      </c>
      <c r="T1921" s="180">
        <v>60</v>
      </c>
      <c r="U1921" s="180">
        <v>48</v>
      </c>
      <c r="V1921" s="174">
        <f t="shared" si="698"/>
        <v>68</v>
      </c>
      <c r="W1921" s="174">
        <f t="shared" si="699"/>
        <v>56</v>
      </c>
      <c r="X1921" s="180">
        <v>69</v>
      </c>
      <c r="Y1921" s="180">
        <v>68</v>
      </c>
      <c r="Z1921" s="60">
        <v>56</v>
      </c>
      <c r="AA1921" s="717">
        <f t="shared" si="701"/>
        <v>26.444444444444443</v>
      </c>
      <c r="AB1921" s="125">
        <f t="shared" si="703"/>
        <v>556.39111111111106</v>
      </c>
      <c r="AC1921" s="69">
        <f>AA1921*Canvas</f>
        <v>17.453333333333333</v>
      </c>
      <c r="AD1921" s="48">
        <f>AA1921*IncaC</f>
        <v>44.511288888888885</v>
      </c>
      <c r="AE1921" s="69">
        <f>IF(Table1[[#This Row],[Work Center]]="SwissQ",Materials!G$37,IF(Table1[[#This Row],[Work Center]]="Inca",Materials!G$29,IF(Table1[[#This Row],[Work Center]]="Canon",Materials!G$49,Materials!G$45)))</f>
        <v>8</v>
      </c>
      <c r="AF1921" s="72">
        <f>'Cali FPS'!C121</f>
        <v>188.18</v>
      </c>
      <c r="AG1921" s="83"/>
      <c r="AH1921" s="69">
        <f t="shared" si="702"/>
        <v>47.5</v>
      </c>
      <c r="AI1921" s="69"/>
      <c r="AJ1921" s="69">
        <f t="shared" si="700"/>
        <v>305.64462222222221</v>
      </c>
      <c r="AK1921" s="650">
        <f t="shared" si="695"/>
        <v>0.67826881871345035</v>
      </c>
      <c r="AL1921" s="69">
        <f>Table1[[#This Row],[WSP/Dealer]]/Table1[[#This Row],[OD Sq Inch]]</f>
        <v>0.3298611111111111</v>
      </c>
      <c r="AM1921" s="46">
        <f>Table1[[#This Row],[OD Wdth]]*Table1[[#This Row],[OD Hgt]]</f>
        <v>2880</v>
      </c>
      <c r="AN1921" s="60">
        <f>Table1[[#This Row],[Min VO]]+Table1[[#This Row],[Max VO]]</f>
        <v>108</v>
      </c>
      <c r="AO1921" s="83"/>
      <c r="AP1921" s="83"/>
      <c r="AQ1921" s="69"/>
      <c r="AR1921" s="69"/>
      <c r="AS1921" s="69"/>
      <c r="AT1921" s="69"/>
      <c r="AU1921" s="1361" t="str">
        <f t="shared" si="697"/>
        <v>-</v>
      </c>
    </row>
    <row r="1922" spans="1:47" s="103" customFormat="1" x14ac:dyDescent="0.2">
      <c r="A1922" s="68" t="s">
        <v>58</v>
      </c>
      <c r="B1922" s="1152"/>
      <c r="C1922" s="1736"/>
      <c r="D1922" s="94"/>
      <c r="E1922" s="84" t="s">
        <v>4458</v>
      </c>
      <c r="F1922" s="84" t="s">
        <v>386</v>
      </c>
      <c r="G1922" s="68" t="s">
        <v>115</v>
      </c>
      <c r="H1922" s="68" t="s">
        <v>115</v>
      </c>
      <c r="I1922" s="363" t="s">
        <v>52</v>
      </c>
      <c r="J1922" s="646" t="s">
        <v>53</v>
      </c>
      <c r="K1922" s="68" t="s">
        <v>54</v>
      </c>
      <c r="L1922" s="363" t="s">
        <v>55</v>
      </c>
      <c r="M1922" s="93"/>
      <c r="N1922" s="93"/>
      <c r="O1922" s="68" t="s">
        <v>56</v>
      </c>
      <c r="P1922" s="68"/>
      <c r="Q1922" s="68"/>
      <c r="R1922" s="68"/>
      <c r="S1922" s="68"/>
      <c r="T1922" s="623"/>
      <c r="U1922" s="623"/>
      <c r="V1922" s="917"/>
      <c r="W1922" s="917"/>
      <c r="X1922" s="68"/>
      <c r="Y1922" s="68"/>
      <c r="Z1922" s="68"/>
      <c r="AA1922" s="699"/>
      <c r="AB1922" s="297"/>
      <c r="AC1922" s="74"/>
      <c r="AD1922" s="118"/>
      <c r="AE1922" s="126"/>
      <c r="AF1922" s="73"/>
      <c r="AG1922" s="84"/>
      <c r="AH1922" s="126"/>
      <c r="AI1922" s="126"/>
      <c r="AJ1922" s="126"/>
      <c r="AK1922" s="1001"/>
      <c r="AL1922" s="126"/>
      <c r="AM1922" s="84"/>
      <c r="AN1922" s="84"/>
      <c r="AO1922" s="84"/>
      <c r="AP1922" s="84"/>
      <c r="AQ1922" s="126"/>
      <c r="AR1922" s="126"/>
      <c r="AS1922" s="126"/>
      <c r="AT1922" s="74"/>
      <c r="AU1922" s="1357" t="str">
        <f t="shared" si="697"/>
        <v>-</v>
      </c>
    </row>
    <row r="1923" spans="1:47" s="103" customFormat="1" x14ac:dyDescent="0.2">
      <c r="A1923" s="101" t="s">
        <v>58</v>
      </c>
      <c r="B1923" s="1067" t="s">
        <v>1436</v>
      </c>
      <c r="C1923" s="1731" t="s">
        <v>4459</v>
      </c>
      <c r="D1923" s="168"/>
      <c r="E1923" s="115" t="s">
        <v>4460</v>
      </c>
      <c r="F1923" s="115" t="s">
        <v>308</v>
      </c>
      <c r="G1923" s="101" t="s">
        <v>4461</v>
      </c>
      <c r="H1923" s="101" t="s">
        <v>4461</v>
      </c>
      <c r="I1923" s="407" t="s">
        <v>52</v>
      </c>
      <c r="J1923" s="658" t="s">
        <v>53</v>
      </c>
      <c r="K1923" s="101" t="s">
        <v>54</v>
      </c>
      <c r="L1923" s="407" t="s">
        <v>55</v>
      </c>
      <c r="M1923" s="114">
        <v>1200</v>
      </c>
      <c r="N1923" s="114"/>
      <c r="O1923" s="101" t="s">
        <v>56</v>
      </c>
      <c r="P1923" s="101">
        <v>52</v>
      </c>
      <c r="Q1923" s="101">
        <v>70</v>
      </c>
      <c r="R1923" s="101">
        <v>52</v>
      </c>
      <c r="S1923" s="101">
        <v>70</v>
      </c>
      <c r="T1923" s="101">
        <v>52</v>
      </c>
      <c r="U1923" s="101">
        <v>70</v>
      </c>
      <c r="V1923" s="165">
        <f t="shared" ref="V1923:V1942" si="704">IF(J1923="Canvas",P1923+Border,P1923)</f>
        <v>60</v>
      </c>
      <c r="W1923" s="165">
        <f t="shared" ref="W1923:W1942" si="705">IF(J1923="Canvas",Q1923+Border,Q1923)</f>
        <v>78</v>
      </c>
      <c r="X1923" s="101">
        <v>82</v>
      </c>
      <c r="Y1923" s="101">
        <v>60</v>
      </c>
      <c r="Z1923" s="101">
        <v>78</v>
      </c>
      <c r="AA1923" s="649">
        <f t="shared" ref="AA1923:AA1933" si="706">V1923*W1923/144</f>
        <v>32.5</v>
      </c>
      <c r="AB1923" s="184">
        <f>AA1923*IncaG</f>
        <v>683.8</v>
      </c>
      <c r="AC1923" s="104">
        <f>AA1923*Canvas</f>
        <v>21.45</v>
      </c>
      <c r="AD1923" s="107">
        <f>AA1923*IncaC</f>
        <v>54.704000000000001</v>
      </c>
      <c r="AE1923" s="104">
        <f>IF(Table1[[#This Row],[Work Center]]="SwissQ",Materials!G$37,IF(Table1[[#This Row],[Work Center]]="Inca",Materials!G$29,IF(Table1[[#This Row],[Work Center]]="Canon",Materials!G$49,Materials!G$45)))</f>
        <v>8</v>
      </c>
      <c r="AF1923" s="102">
        <f>'Cali FPS'!C139</f>
        <v>200</v>
      </c>
      <c r="AG1923" s="115"/>
      <c r="AH1923" s="406">
        <f t="shared" ref="AH1923:AH1932" si="707">(M1923*0.05)</f>
        <v>60</v>
      </c>
      <c r="AI1923" s="406"/>
      <c r="AJ1923" s="406">
        <f>SUM(AC1923:AH1923)</f>
        <v>344.154</v>
      </c>
      <c r="AK1923" s="1065">
        <f t="shared" ref="AK1923:AK1954" si="708">(M1923-AJ1923)/M1923</f>
        <v>0.71320499999999998</v>
      </c>
      <c r="AL1923" s="406">
        <f>Table1[[#This Row],[WSP/Dealer]]/Table1[[#This Row],[OD Sq Inch]]</f>
        <v>0.32967032967032966</v>
      </c>
      <c r="AM1923" s="399">
        <f>Table1[[#This Row],[OD Wdth]]*Table1[[#This Row],[OD Hgt]]</f>
        <v>3640</v>
      </c>
      <c r="AN1923" s="400">
        <f>Table1[[#This Row],[Min VO]]+Table1[[#This Row],[Max VO]]</f>
        <v>122</v>
      </c>
      <c r="AO1923" s="115"/>
      <c r="AP1923" s="115"/>
      <c r="AQ1923" s="121"/>
      <c r="AR1923" s="121"/>
      <c r="AS1923" s="121"/>
      <c r="AT1923" s="104"/>
      <c r="AU1923" s="1359" t="str">
        <f t="shared" si="697"/>
        <v>-</v>
      </c>
    </row>
    <row r="1924" spans="1:47" s="63" customFormat="1" hidden="1" x14ac:dyDescent="0.2">
      <c r="A1924" s="101" t="s">
        <v>110</v>
      </c>
      <c r="B1924" s="1067" t="s">
        <v>134</v>
      </c>
      <c r="C1924" s="1034" t="s">
        <v>4462</v>
      </c>
      <c r="D1924" s="168"/>
      <c r="E1924" s="169" t="s">
        <v>4463</v>
      </c>
      <c r="F1924" s="169" t="s">
        <v>531</v>
      </c>
      <c r="G1924" s="101" t="s">
        <v>379</v>
      </c>
      <c r="H1924" s="101" t="s">
        <v>379</v>
      </c>
      <c r="I1924" s="101" t="s">
        <v>52</v>
      </c>
      <c r="J1924" s="487" t="s">
        <v>53</v>
      </c>
      <c r="K1924" s="101" t="s">
        <v>54</v>
      </c>
      <c r="L1924" s="101" t="s">
        <v>55</v>
      </c>
      <c r="M1924" s="114">
        <v>1100</v>
      </c>
      <c r="N1924" s="114"/>
      <c r="O1924" s="101" t="s">
        <v>56</v>
      </c>
      <c r="P1924" s="101">
        <v>48</v>
      </c>
      <c r="Q1924" s="101">
        <v>48</v>
      </c>
      <c r="R1924" s="101">
        <v>48</v>
      </c>
      <c r="S1924" s="101">
        <v>48</v>
      </c>
      <c r="T1924" s="101">
        <v>48</v>
      </c>
      <c r="U1924" s="101">
        <v>48</v>
      </c>
      <c r="V1924" s="106">
        <f t="shared" si="704"/>
        <v>56</v>
      </c>
      <c r="W1924" s="106">
        <f t="shared" si="705"/>
        <v>56</v>
      </c>
      <c r="X1924" s="137">
        <v>59</v>
      </c>
      <c r="Y1924" s="101">
        <v>56</v>
      </c>
      <c r="Z1924" s="101">
        <v>56</v>
      </c>
      <c r="AA1924" s="649">
        <f t="shared" si="706"/>
        <v>21.777777777777779</v>
      </c>
      <c r="AB1924" s="184">
        <f>AA1924*IncaG</f>
        <v>458.20444444444445</v>
      </c>
      <c r="AC1924" s="104">
        <f>AA1924*Canvas</f>
        <v>14.373333333333335</v>
      </c>
      <c r="AD1924" s="1066">
        <f>Table1[[#This Row],[Substrate SF]]*IncaC</f>
        <v>36.656355555555557</v>
      </c>
      <c r="AE1924" s="406">
        <f>IF(Table1[[#This Row],[Work Center]]="SwissQ",Materials!G$37,IF(Table1[[#This Row],[Work Center]]="Inca",Materials!G$29,IF(Table1[[#This Row],[Work Center]]="Canon",Materials!G$49,Materials!G$45)))</f>
        <v>8</v>
      </c>
      <c r="AF1924" s="102">
        <f>'Cali FPS'!C126</f>
        <v>189.88</v>
      </c>
      <c r="AG1924" s="115"/>
      <c r="AH1924" s="121">
        <f t="shared" si="707"/>
        <v>55</v>
      </c>
      <c r="AI1924" s="406">
        <f>IF(A1924="Codarus",(M1924*0.13))</f>
        <v>143</v>
      </c>
      <c r="AJ1924" s="104">
        <f>SUM(AC1924:AI1924)</f>
        <v>446.90968888888892</v>
      </c>
      <c r="AK1924" s="830">
        <f t="shared" si="708"/>
        <v>0.59371846464646461</v>
      </c>
      <c r="AL1924" s="660">
        <f>Table1[[#This Row],[WSP/Dealer]]/Table1[[#This Row],[OD Sq Inch]]</f>
        <v>0.47743055555555558</v>
      </c>
      <c r="AM1924" s="399">
        <f>Table1[[#This Row],[OD Wdth]]*Table1[[#This Row],[OD Hgt]]</f>
        <v>2304</v>
      </c>
      <c r="AN1924" s="400">
        <f>Table1[[#This Row],[Min VO]]+Table1[[#This Row],[Max VO]]</f>
        <v>96</v>
      </c>
      <c r="AO1924" s="115"/>
      <c r="AP1924" s="121">
        <v>2200</v>
      </c>
      <c r="AQ1924" s="121">
        <f>(Table1[[#This Row],[Desgnr/Retail P]]*0.05)</f>
        <v>110</v>
      </c>
      <c r="AR1924" s="121">
        <f>IF(A1924="Codarus",(AP1924*0.13))</f>
        <v>286</v>
      </c>
      <c r="AS1924" s="121">
        <f>SUM(Table1[[#This Row],[Substrate $]:[GP FINISH]])+Table1[[#This Row],[Retail Royalty]]+Table1[[#This Row],[Retail$Comm]]</f>
        <v>644.90968888888892</v>
      </c>
      <c r="AT1924" s="830">
        <f>IF(AP1924=0,"-",(AP1924-AS1924)/AP1924)</f>
        <v>0.70685923232323233</v>
      </c>
      <c r="AU1924" s="1359">
        <f t="shared" si="697"/>
        <v>0.99357400697887965</v>
      </c>
    </row>
    <row r="1925" spans="1:47" s="103" customFormat="1" x14ac:dyDescent="0.2">
      <c r="A1925" s="101" t="s">
        <v>58</v>
      </c>
      <c r="B1925" s="1061" t="s">
        <v>533</v>
      </c>
      <c r="C1925" s="1257" t="s">
        <v>4464</v>
      </c>
      <c r="D1925" s="94" t="s">
        <v>4465</v>
      </c>
      <c r="E1925" s="99" t="s">
        <v>4466</v>
      </c>
      <c r="F1925" s="169" t="s">
        <v>1738</v>
      </c>
      <c r="G1925" s="101" t="s">
        <v>4467</v>
      </c>
      <c r="H1925" s="101" t="s">
        <v>4467</v>
      </c>
      <c r="I1925" s="60" t="s">
        <v>52</v>
      </c>
      <c r="J1925" s="59" t="s">
        <v>53</v>
      </c>
      <c r="K1925" s="60" t="s">
        <v>54</v>
      </c>
      <c r="L1925" s="101" t="s">
        <v>55</v>
      </c>
      <c r="M1925" s="114">
        <v>750</v>
      </c>
      <c r="N1925" s="639">
        <v>815</v>
      </c>
      <c r="O1925" s="101" t="s">
        <v>64</v>
      </c>
      <c r="P1925" s="60">
        <v>50</v>
      </c>
      <c r="Q1925" s="60">
        <v>40</v>
      </c>
      <c r="R1925" s="60">
        <v>40</v>
      </c>
      <c r="S1925" s="60">
        <v>50</v>
      </c>
      <c r="T1925" s="273">
        <f>Table1[[#This Row],[VO Wdth]]</f>
        <v>50</v>
      </c>
      <c r="U1925" s="273">
        <f>Table1[[#This Row],[VO Hgt]]</f>
        <v>40</v>
      </c>
      <c r="V1925" s="47">
        <f t="shared" si="704"/>
        <v>58</v>
      </c>
      <c r="W1925" s="106">
        <f t="shared" si="705"/>
        <v>48</v>
      </c>
      <c r="X1925" s="137">
        <v>122</v>
      </c>
      <c r="Y1925" s="101"/>
      <c r="Z1925" s="101"/>
      <c r="AA1925" s="649">
        <f t="shared" si="706"/>
        <v>19.333333333333332</v>
      </c>
      <c r="AB1925" s="184">
        <f>AA1925*Swiss1ML</f>
        <v>547.13333333333333</v>
      </c>
      <c r="AC1925" s="104">
        <f>Table1[[#This Row],[Substrate SF]]*Paper</f>
        <v>26.157999999999998</v>
      </c>
      <c r="AD1925" s="120">
        <f>AA1925*SWISSC1</f>
        <v>54.133333333333326</v>
      </c>
      <c r="AE1925" s="104">
        <f>IF(Table1[[#This Row],[Work Center]]="SwissQ",Materials!G$37,IF(Table1[[#This Row],[Work Center]]="Inca",Materials!G$29,IF(Table1[[#This Row],[Work Center]]="Canon",Materials!G$49,Materials!G$45)))</f>
        <v>20</v>
      </c>
      <c r="AF1925" s="102">
        <f>'Cali FPS'!C85</f>
        <v>107.4325</v>
      </c>
      <c r="AG1925" s="115"/>
      <c r="AH1925" s="498">
        <f t="shared" si="707"/>
        <v>37.5</v>
      </c>
      <c r="AI1925" s="112"/>
      <c r="AJ1925" s="121">
        <f t="shared" ref="AJ1925:AJ1934" si="709">SUM(AC1925:AH1925)</f>
        <v>245.22383333333335</v>
      </c>
      <c r="AK1925" s="62">
        <f t="shared" si="708"/>
        <v>0.67303488888888885</v>
      </c>
      <c r="AL1925" s="225">
        <f>Table1[[#This Row],[WSP/Dealer]]/Table1[[#This Row],[OD Sq Inch]]</f>
        <v>0.375</v>
      </c>
      <c r="AM1925" s="113">
        <f>Table1[[#This Row],[OD Wdth]]*Table1[[#This Row],[OD Hgt]]</f>
        <v>2000</v>
      </c>
      <c r="AN1925" s="115">
        <f>Table1[[#This Row],[Min VO]]+Table1[[#This Row],[Max VO]]</f>
        <v>90</v>
      </c>
      <c r="AO1925" s="115"/>
      <c r="AP1925" s="115"/>
      <c r="AQ1925" s="121"/>
      <c r="AR1925" s="121"/>
      <c r="AS1925" s="121"/>
      <c r="AT1925" s="104"/>
      <c r="AU1925" s="1359" t="str">
        <f t="shared" si="697"/>
        <v>-</v>
      </c>
    </row>
    <row r="1926" spans="1:47" s="45" customFormat="1" x14ac:dyDescent="0.2">
      <c r="A1926" s="68" t="s">
        <v>58</v>
      </c>
      <c r="B1926" s="1085" t="s">
        <v>1013</v>
      </c>
      <c r="C1926" s="964" t="s">
        <v>4468</v>
      </c>
      <c r="D1926" s="94" t="s">
        <v>4469</v>
      </c>
      <c r="E1926" s="172" t="s">
        <v>4470</v>
      </c>
      <c r="F1926" s="172" t="s">
        <v>1738</v>
      </c>
      <c r="G1926" s="68" t="s">
        <v>296</v>
      </c>
      <c r="H1926" s="68" t="s">
        <v>296</v>
      </c>
      <c r="I1926" s="68" t="s">
        <v>52</v>
      </c>
      <c r="J1926" s="140" t="s">
        <v>53</v>
      </c>
      <c r="K1926" s="68" t="s">
        <v>54</v>
      </c>
      <c r="L1926" s="68" t="s">
        <v>55</v>
      </c>
      <c r="M1926" s="141">
        <v>1200</v>
      </c>
      <c r="N1926" s="93"/>
      <c r="O1926" s="68" t="s">
        <v>64</v>
      </c>
      <c r="P1926" s="68">
        <v>80</v>
      </c>
      <c r="Q1926" s="68">
        <v>64</v>
      </c>
      <c r="R1926" s="68">
        <v>64</v>
      </c>
      <c r="S1926" s="68">
        <v>80</v>
      </c>
      <c r="T1926" s="623">
        <v>80</v>
      </c>
      <c r="U1926" s="623">
        <v>64</v>
      </c>
      <c r="V1926" s="946">
        <f t="shared" si="704"/>
        <v>88</v>
      </c>
      <c r="W1926" s="608">
        <f t="shared" si="705"/>
        <v>72</v>
      </c>
      <c r="X1926" s="68">
        <v>122</v>
      </c>
      <c r="Y1926" s="68">
        <v>88</v>
      </c>
      <c r="Z1926" s="68">
        <v>72</v>
      </c>
      <c r="AA1926" s="699">
        <f t="shared" si="706"/>
        <v>44</v>
      </c>
      <c r="AB1926" s="297">
        <f>AA1926*Swiss1</f>
        <v>1245.2</v>
      </c>
      <c r="AC1926" s="74">
        <f>AA1926*Canvas</f>
        <v>29.040000000000003</v>
      </c>
      <c r="AD1926" s="67">
        <f>Table1[[#This Row],[Substrate SF]]*Materials!C$37</f>
        <v>123.19999999999999</v>
      </c>
      <c r="AE1926" s="104">
        <f>IF(Table1[[#This Row],[Work Center]]="SwissQ",Materials!G$37,IF(Table1[[#This Row],[Work Center]]="Inca",Materials!G$29,IF(Table1[[#This Row],[Work Center]]="Canon",Materials!G$49,Materials!G$45)))</f>
        <v>20</v>
      </c>
      <c r="AF1926" s="73">
        <f>'Cali FPS'!C161</f>
        <v>253.22499999999997</v>
      </c>
      <c r="AG1926" s="84"/>
      <c r="AH1926" s="498">
        <f t="shared" si="707"/>
        <v>60</v>
      </c>
      <c r="AI1926" s="498"/>
      <c r="AJ1926" s="121">
        <f t="shared" si="709"/>
        <v>485.46499999999992</v>
      </c>
      <c r="AK1926" s="650">
        <f t="shared" si="708"/>
        <v>0.59544583333333345</v>
      </c>
      <c r="AL1926" s="225">
        <f>Table1[[#This Row],[WSP/Dealer]]/Table1[[#This Row],[OD Sq Inch]]</f>
        <v>0.234375</v>
      </c>
      <c r="AM1926" s="101">
        <f>Table1[[#This Row],[OD Wdth]]*Table1[[#This Row],[OD Hgt]]</f>
        <v>5120</v>
      </c>
      <c r="AN1926" s="101">
        <f>Table1[[#This Row],[Min VO]]+Table1[[#This Row],[Max VO]]</f>
        <v>144</v>
      </c>
      <c r="AO1926" s="84"/>
      <c r="AP1926" s="84"/>
      <c r="AQ1926" s="126"/>
      <c r="AR1926" s="126"/>
      <c r="AS1926" s="126"/>
      <c r="AT1926" s="74"/>
      <c r="AU1926" s="1357" t="str">
        <f t="shared" si="697"/>
        <v>-</v>
      </c>
    </row>
    <row r="1927" spans="1:47" s="63" customFormat="1" x14ac:dyDescent="0.2">
      <c r="A1927" s="86" t="s">
        <v>58</v>
      </c>
      <c r="B1927" s="1061" t="s">
        <v>88</v>
      </c>
      <c r="C1927" s="1093" t="s">
        <v>4471</v>
      </c>
      <c r="D1927" s="94" t="s">
        <v>4472</v>
      </c>
      <c r="E1927" s="85" t="s">
        <v>4473</v>
      </c>
      <c r="F1927" s="85" t="s">
        <v>800</v>
      </c>
      <c r="G1927" s="86" t="s">
        <v>449</v>
      </c>
      <c r="H1927" s="86" t="s">
        <v>4474</v>
      </c>
      <c r="I1927" s="86" t="s">
        <v>794</v>
      </c>
      <c r="J1927" s="86" t="s">
        <v>53</v>
      </c>
      <c r="K1927" s="86" t="s">
        <v>69</v>
      </c>
      <c r="L1927" s="86" t="s">
        <v>70</v>
      </c>
      <c r="M1927" s="87">
        <v>583</v>
      </c>
      <c r="N1927" s="639">
        <v>725</v>
      </c>
      <c r="O1927" s="551" t="s">
        <v>795</v>
      </c>
      <c r="P1927" s="101">
        <v>36</v>
      </c>
      <c r="Q1927" s="101">
        <v>36</v>
      </c>
      <c r="R1927" s="101">
        <v>36</v>
      </c>
      <c r="S1927" s="101">
        <v>36</v>
      </c>
      <c r="T1927" s="101">
        <v>38</v>
      </c>
      <c r="U1927" s="101" t="str">
        <f>RIGHT(H1927,2)</f>
        <v>38</v>
      </c>
      <c r="V1927" s="608">
        <f t="shared" si="704"/>
        <v>44</v>
      </c>
      <c r="W1927" s="608">
        <f t="shared" si="705"/>
        <v>44</v>
      </c>
      <c r="X1927" s="137"/>
      <c r="Y1927" s="101"/>
      <c r="Z1927" s="101"/>
      <c r="AA1927" s="649">
        <f t="shared" si="706"/>
        <v>13.444444444444445</v>
      </c>
      <c r="AB1927" s="184">
        <v>0</v>
      </c>
      <c r="AC1927" s="104">
        <f>TX!H28</f>
        <v>120.35</v>
      </c>
      <c r="AD1927" s="104">
        <f t="shared" ref="AD1927:AD1932" si="710">AA1927*IncaC</f>
        <v>22.629688888888889</v>
      </c>
      <c r="AE1927" s="104">
        <f>IF(Table1[[#This Row],[Work Center]]="SwissQ",Materials!G$37,IF(Table1[[#This Row],[Work Center]]="Inca",Materials!G$29,IF(Table1[[#This Row],[Work Center]]="Canon",Materials!G$49,Materials!G$45)))</f>
        <v>5</v>
      </c>
      <c r="AF1927" s="104">
        <f>'Cali Frames'!D$297</f>
        <v>119.875</v>
      </c>
      <c r="AG1927" s="115"/>
      <c r="AH1927" s="498">
        <f t="shared" si="707"/>
        <v>29.150000000000002</v>
      </c>
      <c r="AI1927" s="498"/>
      <c r="AJ1927" s="104">
        <f t="shared" si="709"/>
        <v>297.00468888888884</v>
      </c>
      <c r="AK1927" s="650">
        <f t="shared" si="708"/>
        <v>0.49055799504478759</v>
      </c>
      <c r="AL1927" s="225">
        <f>Table1[[#This Row],[WSP/Dealer]]/Table1[[#This Row],[OD Sq Inch]]</f>
        <v>0.40373961218836563</v>
      </c>
      <c r="AM1927" s="216">
        <f>Table1[[#This Row],[OD Wdth]]*Table1[[#This Row],[OD Hgt]]</f>
        <v>1444</v>
      </c>
      <c r="AN1927" s="216">
        <f>Table1[[#This Row],[Min VO]]+Table1[[#This Row],[Max VO]]</f>
        <v>72</v>
      </c>
      <c r="AO1927" s="101"/>
      <c r="AP1927" s="101"/>
      <c r="AQ1927" s="104"/>
      <c r="AR1927" s="104"/>
      <c r="AS1927" s="104"/>
      <c r="AT1927" s="104"/>
      <c r="AU1927" s="830" t="str">
        <f t="shared" si="697"/>
        <v>-</v>
      </c>
    </row>
    <row r="1928" spans="1:47" s="63" customFormat="1" x14ac:dyDescent="0.2">
      <c r="A1928" s="180" t="s">
        <v>58</v>
      </c>
      <c r="B1928" s="170"/>
      <c r="C1928" s="1325" t="s">
        <v>4471</v>
      </c>
      <c r="D1928" s="94" t="s">
        <v>4472</v>
      </c>
      <c r="E1928" s="284" t="s">
        <v>4473</v>
      </c>
      <c r="F1928" s="284" t="s">
        <v>800</v>
      </c>
      <c r="G1928" s="180" t="s">
        <v>449</v>
      </c>
      <c r="H1928" s="180" t="s">
        <v>4474</v>
      </c>
      <c r="I1928" s="180" t="s">
        <v>52</v>
      </c>
      <c r="J1928" s="180" t="s">
        <v>53</v>
      </c>
      <c r="K1928" s="180" t="s">
        <v>69</v>
      </c>
      <c r="L1928" s="180" t="s">
        <v>70</v>
      </c>
      <c r="M1928" s="285">
        <v>583</v>
      </c>
      <c r="N1928" s="639">
        <v>725</v>
      </c>
      <c r="O1928" s="180" t="s">
        <v>56</v>
      </c>
      <c r="P1928" s="180">
        <v>36</v>
      </c>
      <c r="Q1928" s="180">
        <v>36</v>
      </c>
      <c r="R1928" s="180">
        <v>36</v>
      </c>
      <c r="S1928" s="180">
        <v>36</v>
      </c>
      <c r="T1928" s="180">
        <v>38</v>
      </c>
      <c r="U1928" s="180" t="str">
        <f>RIGHT(H1928,2)</f>
        <v>38</v>
      </c>
      <c r="V1928" s="174">
        <f t="shared" si="704"/>
        <v>44</v>
      </c>
      <c r="W1928" s="174">
        <f t="shared" si="705"/>
        <v>44</v>
      </c>
      <c r="X1928" s="289"/>
      <c r="Y1928" s="180"/>
      <c r="Z1928" s="180"/>
      <c r="AA1928" s="678">
        <f t="shared" si="706"/>
        <v>13.444444444444445</v>
      </c>
      <c r="AB1928" s="329">
        <v>0</v>
      </c>
      <c r="AC1928" s="176">
        <f>TX!H29</f>
        <v>99.99</v>
      </c>
      <c r="AD1928" s="175">
        <f t="shared" si="710"/>
        <v>22.629688888888889</v>
      </c>
      <c r="AE1928" s="176">
        <f>IF(Table1[[#This Row],[Work Center]]="SwissQ",Materials!G$37,IF(Table1[[#This Row],[Work Center]]="Inca",Materials!G$29,IF(Table1[[#This Row],[Work Center]]="Canon",Materials!G$49,Materials!G$45)))</f>
        <v>8</v>
      </c>
      <c r="AF1928" s="176">
        <f>'Cali Frames'!D$297</f>
        <v>119.875</v>
      </c>
      <c r="AG1928" s="284"/>
      <c r="AH1928" s="498">
        <f t="shared" si="707"/>
        <v>29.150000000000002</v>
      </c>
      <c r="AI1928" s="498"/>
      <c r="AJ1928" s="176">
        <f t="shared" si="709"/>
        <v>279.64468888888888</v>
      </c>
      <c r="AK1928" s="650">
        <f t="shared" si="708"/>
        <v>0.52033501048218034</v>
      </c>
      <c r="AL1928" s="225">
        <f>Table1[[#This Row],[WSP/Dealer]]/Table1[[#This Row],[OD Sq Inch]]</f>
        <v>0.40373961218836563</v>
      </c>
      <c r="AM1928" s="173">
        <f>Table1[[#This Row],[OD Wdth]]*Table1[[#This Row],[OD Hgt]]</f>
        <v>1444</v>
      </c>
      <c r="AN1928" s="180">
        <f>Table1[[#This Row],[Min VO]]+Table1[[#This Row],[Max VO]]</f>
        <v>72</v>
      </c>
      <c r="AO1928" s="284"/>
      <c r="AP1928" s="284"/>
      <c r="AQ1928" s="296"/>
      <c r="AR1928" s="296"/>
      <c r="AS1928" s="296"/>
      <c r="AT1928" s="176"/>
      <c r="AU1928" s="1358" t="str">
        <f t="shared" si="697"/>
        <v>-</v>
      </c>
    </row>
    <row r="1929" spans="1:47" s="63" customFormat="1" hidden="1" x14ac:dyDescent="0.2">
      <c r="A1929" s="60" t="s">
        <v>272</v>
      </c>
      <c r="B1929" s="1061" t="s">
        <v>718</v>
      </c>
      <c r="C1929" s="1035" t="s">
        <v>4475</v>
      </c>
      <c r="D1929" s="94"/>
      <c r="E1929" s="83" t="s">
        <v>4473</v>
      </c>
      <c r="F1929" s="83" t="s">
        <v>800</v>
      </c>
      <c r="G1929" s="60" t="s">
        <v>449</v>
      </c>
      <c r="H1929" s="60" t="s">
        <v>4474</v>
      </c>
      <c r="I1929" s="60" t="s">
        <v>52</v>
      </c>
      <c r="J1929" s="60" t="s">
        <v>53</v>
      </c>
      <c r="K1929" s="60" t="s">
        <v>54</v>
      </c>
      <c r="L1929" s="60" t="s">
        <v>55</v>
      </c>
      <c r="M1929" s="179">
        <v>290</v>
      </c>
      <c r="N1929" s="124"/>
      <c r="O1929" s="60" t="s">
        <v>56</v>
      </c>
      <c r="P1929" s="60">
        <v>36</v>
      </c>
      <c r="Q1929" s="60">
        <v>36</v>
      </c>
      <c r="R1929" s="60">
        <v>36</v>
      </c>
      <c r="S1929" s="60">
        <v>36</v>
      </c>
      <c r="T1929" s="60">
        <v>38</v>
      </c>
      <c r="U1929" s="60" t="str">
        <f>RIGHT(H1929,2)</f>
        <v>38</v>
      </c>
      <c r="V1929" s="47">
        <f t="shared" si="704"/>
        <v>44</v>
      </c>
      <c r="W1929" s="47">
        <f t="shared" si="705"/>
        <v>44</v>
      </c>
      <c r="X1929" s="138"/>
      <c r="Y1929" s="60"/>
      <c r="Z1929" s="60"/>
      <c r="AA1929" s="717">
        <f t="shared" si="706"/>
        <v>13.444444444444445</v>
      </c>
      <c r="AB1929" s="125">
        <v>0</v>
      </c>
      <c r="AC1929" s="69">
        <f>TX!H31</f>
        <v>52</v>
      </c>
      <c r="AD1929" s="48">
        <f t="shared" si="710"/>
        <v>22.629688888888889</v>
      </c>
      <c r="AE1929" s="69">
        <f>IF(Table1[[#This Row],[Work Center]]="SwissQ",Materials!G$37,IF(Table1[[#This Row],[Work Center]]="Inca",Materials!G$29,IF(Table1[[#This Row],[Work Center]]="Canon",Materials!G$49,Materials!G$45)))</f>
        <v>8</v>
      </c>
      <c r="AF1929" s="69">
        <f>'CALI_SONDER '!H17</f>
        <v>67.14</v>
      </c>
      <c r="AG1929" s="83"/>
      <c r="AH1929" s="498">
        <f t="shared" si="707"/>
        <v>14.5</v>
      </c>
      <c r="AI1929" s="498"/>
      <c r="AJ1929" s="69">
        <f t="shared" si="709"/>
        <v>164.26968888888888</v>
      </c>
      <c r="AK1929" s="650">
        <f t="shared" si="708"/>
        <v>0.43355279693486592</v>
      </c>
      <c r="AL1929" s="225">
        <f>Table1[[#This Row],[WSP/Dealer]]/Table1[[#This Row],[OD Sq Inch]]</f>
        <v>0.20083102493074792</v>
      </c>
      <c r="AM1929" s="46">
        <f>Table1[[#This Row],[OD Wdth]]*Table1[[#This Row],[OD Hgt]]</f>
        <v>1444</v>
      </c>
      <c r="AN1929" s="60">
        <f>Table1[[#This Row],[Min VO]]+Table1[[#This Row],[Max VO]]</f>
        <v>72</v>
      </c>
      <c r="AO1929" s="83"/>
      <c r="AP1929" s="83"/>
      <c r="AQ1929" s="540"/>
      <c r="AR1929" s="540"/>
      <c r="AS1929" s="540"/>
      <c r="AT1929" s="69"/>
      <c r="AU1929" s="1361" t="str">
        <f t="shared" si="697"/>
        <v>-</v>
      </c>
    </row>
    <row r="1930" spans="1:47" s="159" customFormat="1" x14ac:dyDescent="0.2">
      <c r="A1930" s="86" t="s">
        <v>58</v>
      </c>
      <c r="B1930" s="1061" t="s">
        <v>88</v>
      </c>
      <c r="C1930" s="1093" t="s">
        <v>4476</v>
      </c>
      <c r="D1930" s="94" t="s">
        <v>4477</v>
      </c>
      <c r="E1930" s="85" t="s">
        <v>4478</v>
      </c>
      <c r="F1930" s="85" t="s">
        <v>800</v>
      </c>
      <c r="G1930" s="86" t="s">
        <v>449</v>
      </c>
      <c r="H1930" s="86" t="s">
        <v>4474</v>
      </c>
      <c r="I1930" s="86" t="s">
        <v>794</v>
      </c>
      <c r="J1930" s="86" t="s">
        <v>53</v>
      </c>
      <c r="K1930" s="86" t="s">
        <v>69</v>
      </c>
      <c r="L1930" s="86" t="s">
        <v>70</v>
      </c>
      <c r="M1930" s="87">
        <v>583</v>
      </c>
      <c r="N1930" s="639">
        <v>725</v>
      </c>
      <c r="O1930" s="551" t="s">
        <v>795</v>
      </c>
      <c r="P1930" s="101">
        <v>36</v>
      </c>
      <c r="Q1930" s="101">
        <v>36</v>
      </c>
      <c r="R1930" s="101">
        <v>36</v>
      </c>
      <c r="S1930" s="101">
        <v>36</v>
      </c>
      <c r="T1930" s="101">
        <v>38</v>
      </c>
      <c r="U1930" s="101" t="str">
        <f>RIGHT(H1930,2)</f>
        <v>38</v>
      </c>
      <c r="V1930" s="106">
        <f t="shared" si="704"/>
        <v>44</v>
      </c>
      <c r="W1930" s="106">
        <f t="shared" si="705"/>
        <v>44</v>
      </c>
      <c r="X1930" s="137"/>
      <c r="Y1930" s="101"/>
      <c r="Z1930" s="101"/>
      <c r="AA1930" s="649">
        <f t="shared" si="706"/>
        <v>13.444444444444445</v>
      </c>
      <c r="AB1930" s="184">
        <v>0</v>
      </c>
      <c r="AC1930" s="104">
        <f>TX!H30</f>
        <v>99.99</v>
      </c>
      <c r="AD1930" s="107">
        <f t="shared" si="710"/>
        <v>22.629688888888889</v>
      </c>
      <c r="AE1930" s="104">
        <f>IF(Table1[[#This Row],[Work Center]]="SwissQ",Materials!G$37,IF(Table1[[#This Row],[Work Center]]="Inca",Materials!G$29,IF(Table1[[#This Row],[Work Center]]="Canon",Materials!G$49,Materials!G$45)))</f>
        <v>5</v>
      </c>
      <c r="AF1930" s="104">
        <f>'Cali Frames'!D$297</f>
        <v>119.875</v>
      </c>
      <c r="AG1930" s="115"/>
      <c r="AH1930" s="498">
        <f t="shared" si="707"/>
        <v>29.150000000000002</v>
      </c>
      <c r="AI1930" s="498"/>
      <c r="AJ1930" s="104">
        <f t="shared" si="709"/>
        <v>276.64468888888888</v>
      </c>
      <c r="AK1930" s="650">
        <f t="shared" si="708"/>
        <v>0.5254808080808081</v>
      </c>
      <c r="AL1930" s="225">
        <f>Table1[[#This Row],[WSP/Dealer]]/Table1[[#This Row],[OD Sq Inch]]</f>
        <v>0.40373961218836563</v>
      </c>
      <c r="AM1930" s="218">
        <f>Table1[[#This Row],[OD Wdth]]*Table1[[#This Row],[OD Hgt]]</f>
        <v>1444</v>
      </c>
      <c r="AN1930" s="216">
        <f>Table1[[#This Row],[Min VO]]+Table1[[#This Row],[Max VO]]</f>
        <v>72</v>
      </c>
      <c r="AO1930" s="101"/>
      <c r="AP1930" s="101"/>
      <c r="AQ1930" s="104"/>
      <c r="AR1930" s="104"/>
      <c r="AS1930" s="104"/>
      <c r="AT1930" s="104"/>
      <c r="AU1930" s="830" t="str">
        <f t="shared" si="697"/>
        <v>-</v>
      </c>
    </row>
    <row r="1931" spans="1:47" s="46" customFormat="1" x14ac:dyDescent="0.2">
      <c r="A1931" s="180" t="s">
        <v>58</v>
      </c>
      <c r="B1931" s="170"/>
      <c r="C1931" s="1325" t="s">
        <v>4476</v>
      </c>
      <c r="D1931" s="94" t="s">
        <v>4477</v>
      </c>
      <c r="E1931" s="284" t="s">
        <v>4478</v>
      </c>
      <c r="F1931" s="284" t="s">
        <v>800</v>
      </c>
      <c r="G1931" s="180" t="s">
        <v>449</v>
      </c>
      <c r="H1931" s="180" t="s">
        <v>4474</v>
      </c>
      <c r="I1931" s="180" t="s">
        <v>52</v>
      </c>
      <c r="J1931" s="180" t="s">
        <v>53</v>
      </c>
      <c r="K1931" s="180" t="s">
        <v>69</v>
      </c>
      <c r="L1931" s="180" t="s">
        <v>70</v>
      </c>
      <c r="M1931" s="285">
        <v>583</v>
      </c>
      <c r="N1931" s="639">
        <v>725</v>
      </c>
      <c r="O1931" s="180" t="s">
        <v>56</v>
      </c>
      <c r="P1931" s="180">
        <v>36</v>
      </c>
      <c r="Q1931" s="180">
        <v>36</v>
      </c>
      <c r="R1931" s="180">
        <v>36</v>
      </c>
      <c r="S1931" s="180">
        <v>36</v>
      </c>
      <c r="T1931" s="180">
        <v>38</v>
      </c>
      <c r="U1931" s="180" t="str">
        <f>RIGHT(H1931,2)</f>
        <v>38</v>
      </c>
      <c r="V1931" s="947">
        <f t="shared" si="704"/>
        <v>44</v>
      </c>
      <c r="W1931" s="947">
        <f t="shared" si="705"/>
        <v>44</v>
      </c>
      <c r="X1931" s="289"/>
      <c r="Y1931" s="180"/>
      <c r="Z1931" s="180"/>
      <c r="AA1931" s="678">
        <f t="shared" si="706"/>
        <v>13.444444444444445</v>
      </c>
      <c r="AB1931" s="329">
        <v>0</v>
      </c>
      <c r="AC1931" s="176">
        <f>TX!H31</f>
        <v>52</v>
      </c>
      <c r="AD1931" s="175">
        <f t="shared" si="710"/>
        <v>22.629688888888889</v>
      </c>
      <c r="AE1931" s="176">
        <f>IF(Table1[[#This Row],[Work Center]]="SwissQ",Materials!G$37,IF(Table1[[#This Row],[Work Center]]="Inca",Materials!G$29,IF(Table1[[#This Row],[Work Center]]="Canon",Materials!G$49,Materials!G$45)))</f>
        <v>8</v>
      </c>
      <c r="AF1931" s="176">
        <f>'Cali Frames'!D$297</f>
        <v>119.875</v>
      </c>
      <c r="AG1931" s="284"/>
      <c r="AH1931" s="498">
        <f t="shared" si="707"/>
        <v>29.150000000000002</v>
      </c>
      <c r="AI1931" s="498"/>
      <c r="AJ1931" s="176">
        <f t="shared" si="709"/>
        <v>231.6546888888889</v>
      </c>
      <c r="AK1931" s="650">
        <f t="shared" si="708"/>
        <v>0.60265061940156273</v>
      </c>
      <c r="AL1931" s="225">
        <f>Table1[[#This Row],[WSP/Dealer]]/Table1[[#This Row],[OD Sq Inch]]</f>
        <v>0.40373961218836563</v>
      </c>
      <c r="AM1931" s="173">
        <f>Table1[[#This Row],[OD Wdth]]*Table1[[#This Row],[OD Hgt]]</f>
        <v>1444</v>
      </c>
      <c r="AN1931" s="180">
        <f>Table1[[#This Row],[Min VO]]+Table1[[#This Row],[Max VO]]</f>
        <v>72</v>
      </c>
      <c r="AO1931" s="284"/>
      <c r="AP1931" s="284"/>
      <c r="AQ1931" s="296"/>
      <c r="AR1931" s="296"/>
      <c r="AS1931" s="296"/>
      <c r="AT1931" s="176"/>
      <c r="AU1931" s="1358" t="str">
        <f t="shared" si="697"/>
        <v>-</v>
      </c>
    </row>
    <row r="1932" spans="1:47" s="159" customFormat="1" x14ac:dyDescent="0.2">
      <c r="A1932" s="101" t="s">
        <v>581</v>
      </c>
      <c r="B1932" s="1061" t="s">
        <v>292</v>
      </c>
      <c r="C1932" s="1093" t="s">
        <v>4479</v>
      </c>
      <c r="D1932" s="94" t="s">
        <v>4480</v>
      </c>
      <c r="E1932" s="115" t="s">
        <v>4481</v>
      </c>
      <c r="F1932" s="115" t="s">
        <v>800</v>
      </c>
      <c r="G1932" s="101" t="s">
        <v>115</v>
      </c>
      <c r="H1932" s="101" t="s">
        <v>145</v>
      </c>
      <c r="I1932" s="101" t="s">
        <v>52</v>
      </c>
      <c r="J1932" s="487" t="s">
        <v>53</v>
      </c>
      <c r="K1932" s="101" t="s">
        <v>69</v>
      </c>
      <c r="L1932" s="101" t="s">
        <v>76</v>
      </c>
      <c r="M1932" s="114">
        <v>970</v>
      </c>
      <c r="N1932" s="114">
        <v>970</v>
      </c>
      <c r="O1932" s="101" t="s">
        <v>56</v>
      </c>
      <c r="P1932" s="101">
        <v>48</v>
      </c>
      <c r="Q1932" s="101">
        <v>48</v>
      </c>
      <c r="R1932" s="101">
        <v>48</v>
      </c>
      <c r="S1932" s="101">
        <v>48</v>
      </c>
      <c r="T1932" s="697">
        <v>49</v>
      </c>
      <c r="U1932" s="697">
        <v>49</v>
      </c>
      <c r="V1932" s="106">
        <f t="shared" si="704"/>
        <v>56</v>
      </c>
      <c r="W1932" s="106">
        <f t="shared" si="705"/>
        <v>56</v>
      </c>
      <c r="X1932" s="101">
        <v>59</v>
      </c>
      <c r="Y1932" s="101">
        <v>56</v>
      </c>
      <c r="Z1932" s="101">
        <v>56</v>
      </c>
      <c r="AA1932" s="724">
        <f t="shared" si="706"/>
        <v>21.777777777777779</v>
      </c>
      <c r="AB1932" s="633">
        <f>AA1932*IncaG</f>
        <v>458.20444444444445</v>
      </c>
      <c r="AC1932" s="406">
        <f>AA1932*Canvas</f>
        <v>14.373333333333335</v>
      </c>
      <c r="AD1932" s="405">
        <f t="shared" si="710"/>
        <v>36.656355555555557</v>
      </c>
      <c r="AE1932" s="406">
        <f>IF(Table1[[#This Row],[Work Center]]="SwissQ",Materials!G$37,IF(Table1[[#This Row],[Work Center]]="Inca",Materials!G$29,IF(Table1[[#This Row],[Work Center]]="Canon",Materials!G$49,Materials!G$45)))</f>
        <v>8</v>
      </c>
      <c r="AF1932" s="102">
        <f>'Cali Frames'!D377</f>
        <v>173.82749999999999</v>
      </c>
      <c r="AG1932" s="540"/>
      <c r="AH1932" s="107">
        <f t="shared" si="707"/>
        <v>48.5</v>
      </c>
      <c r="AI1932" s="107"/>
      <c r="AJ1932" s="405">
        <f t="shared" si="709"/>
        <v>281.35718888888891</v>
      </c>
      <c r="AK1932" s="108">
        <f t="shared" si="708"/>
        <v>0.70994104238258871</v>
      </c>
      <c r="AL1932" s="660">
        <f>Table1[[#This Row],[WSP/Dealer]]/Table1[[#This Row],[OD Sq Inch]]</f>
        <v>0.40399833402748853</v>
      </c>
      <c r="AM1932" s="399">
        <f>Table1[[#This Row],[OD Wdth]]*Table1[[#This Row],[OD Hgt]]</f>
        <v>2401</v>
      </c>
      <c r="AN1932" s="400">
        <f>Table1[[#This Row],[Min VO]]+Table1[[#This Row],[Max VO]]</f>
        <v>96</v>
      </c>
      <c r="AO1932" s="115"/>
      <c r="AP1932" s="115"/>
      <c r="AQ1932" s="121"/>
      <c r="AR1932" s="121"/>
      <c r="AS1932" s="121"/>
      <c r="AT1932" s="104"/>
      <c r="AU1932" s="1359" t="str">
        <f t="shared" si="697"/>
        <v>-</v>
      </c>
    </row>
    <row r="1933" spans="1:47" s="103" customFormat="1" hidden="1" x14ac:dyDescent="0.2">
      <c r="A1933" s="485" t="s">
        <v>318</v>
      </c>
      <c r="B1933" s="1061" t="s">
        <v>96</v>
      </c>
      <c r="C1933" s="1034" t="s">
        <v>4482</v>
      </c>
      <c r="D1933" s="94">
        <v>177446</v>
      </c>
      <c r="E1933" s="115" t="s">
        <v>4483</v>
      </c>
      <c r="F1933" s="115" t="s">
        <v>105</v>
      </c>
      <c r="G1933" s="101" t="s">
        <v>643</v>
      </c>
      <c r="H1933" s="101" t="s">
        <v>810</v>
      </c>
      <c r="I1933" s="101" t="s">
        <v>256</v>
      </c>
      <c r="J1933" s="487" t="s">
        <v>257</v>
      </c>
      <c r="K1933" s="101" t="s">
        <v>1444</v>
      </c>
      <c r="L1933" s="101" t="s">
        <v>259</v>
      </c>
      <c r="M1933" s="543">
        <v>200</v>
      </c>
      <c r="N1933" s="786">
        <v>500</v>
      </c>
      <c r="O1933" s="400" t="s">
        <v>260</v>
      </c>
      <c r="P1933" s="400">
        <v>20</v>
      </c>
      <c r="Q1933" s="400">
        <v>16</v>
      </c>
      <c r="R1933" s="400">
        <v>16</v>
      </c>
      <c r="S1933" s="400">
        <v>20</v>
      </c>
      <c r="T1933" s="400">
        <v>22</v>
      </c>
      <c r="U1933" s="400">
        <v>18</v>
      </c>
      <c r="V1933" s="106">
        <f t="shared" si="704"/>
        <v>20</v>
      </c>
      <c r="W1933" s="106">
        <f t="shared" si="705"/>
        <v>16</v>
      </c>
      <c r="X1933" s="525">
        <v>40</v>
      </c>
      <c r="Y1933" s="400">
        <v>20</v>
      </c>
      <c r="Z1933" s="400">
        <v>16</v>
      </c>
      <c r="AA1933" s="724">
        <f t="shared" si="706"/>
        <v>2.2222222222222223</v>
      </c>
      <c r="AB1933" s="184">
        <f>AA1933*canonML</f>
        <v>10.666666666666666</v>
      </c>
      <c r="AC1933" s="104">
        <f>Table1[[#This Row],[Substrate SF]]*Paper</f>
        <v>3.0066666666666668</v>
      </c>
      <c r="AD1933" s="107">
        <f>Table1[[#This Row],[Ink g/mL]]*CanonC</f>
        <v>2.88</v>
      </c>
      <c r="AE1933" s="104">
        <f>IF(Table1[[#This Row],[Work Center]]="SwissQ",Materials!G$37,IF(Table1[[#This Row],[Work Center]]="Inca",Materials!G$29,IF(Table1[[#This Row],[Work Center]]="Canon",Materials!G$49,Materials!G$45)))</f>
        <v>7</v>
      </c>
      <c r="AF1933" s="102">
        <f>'Cali Frames'!D22</f>
        <v>82.44</v>
      </c>
      <c r="AG1933" s="115"/>
      <c r="AH1933" s="498">
        <v>0</v>
      </c>
      <c r="AI1933" s="498"/>
      <c r="AJ1933" s="406">
        <f t="shared" si="709"/>
        <v>95.326666666666668</v>
      </c>
      <c r="AK1933" s="650">
        <f t="shared" si="708"/>
        <v>0.52336666666666665</v>
      </c>
      <c r="AL1933" s="225">
        <f>Table1[[#This Row],[WSP/Dealer]]/Table1[[#This Row],[OD Sq Inch]]</f>
        <v>0.50505050505050508</v>
      </c>
      <c r="AM1933" s="399">
        <f>Table1[[#This Row],[OD Wdth]]*Table1[[#This Row],[OD Hgt]]</f>
        <v>396</v>
      </c>
      <c r="AN1933" s="400" t="str">
        <f>Table1[[#This Row],[Color]]</f>
        <v>BA</v>
      </c>
      <c r="AO1933" s="115" t="str">
        <f>Table1[[#This Row],[Print Type]]</f>
        <v>Work on Paper</v>
      </c>
      <c r="AP1933" s="121"/>
      <c r="AQ1933" s="121"/>
      <c r="AR1933" s="121"/>
      <c r="AS1933" s="121"/>
      <c r="AT1933" s="104"/>
      <c r="AU1933" s="1359" t="str">
        <f t="shared" si="697"/>
        <v>-</v>
      </c>
    </row>
    <row r="1934" spans="1:47" s="103" customFormat="1" hidden="1" x14ac:dyDescent="0.2">
      <c r="A1934" s="101" t="s">
        <v>101</v>
      </c>
      <c r="B1934" s="1064" t="s">
        <v>102</v>
      </c>
      <c r="C1934" s="1034" t="s">
        <v>4484</v>
      </c>
      <c r="D1934" s="168"/>
      <c r="E1934" s="115" t="s">
        <v>4485</v>
      </c>
      <c r="F1934" s="115" t="s">
        <v>105</v>
      </c>
      <c r="G1934" s="101" t="s">
        <v>350</v>
      </c>
      <c r="H1934" s="101" t="s">
        <v>1087</v>
      </c>
      <c r="I1934" s="101" t="s">
        <v>256</v>
      </c>
      <c r="J1934" s="487" t="s">
        <v>257</v>
      </c>
      <c r="K1934" s="68" t="s">
        <v>258</v>
      </c>
      <c r="L1934" s="101" t="s">
        <v>269</v>
      </c>
      <c r="M1934" s="141">
        <v>158</v>
      </c>
      <c r="N1934" s="114"/>
      <c r="O1934" s="101" t="s">
        <v>260</v>
      </c>
      <c r="P1934" s="101">
        <v>12</v>
      </c>
      <c r="Q1934" s="101">
        <v>16</v>
      </c>
      <c r="R1934" s="101">
        <v>12</v>
      </c>
      <c r="S1934" s="101">
        <v>16</v>
      </c>
      <c r="T1934" s="101">
        <v>14</v>
      </c>
      <c r="U1934" s="101">
        <v>18</v>
      </c>
      <c r="V1934" s="608">
        <f t="shared" si="704"/>
        <v>12</v>
      </c>
      <c r="W1934" s="608">
        <f t="shared" si="705"/>
        <v>16</v>
      </c>
      <c r="X1934" s="101" t="s">
        <v>1018</v>
      </c>
      <c r="Y1934" s="1346">
        <f>Table1[[#This Row],[Print Wth]]+Materials!$C$7</f>
        <v>14</v>
      </c>
      <c r="Z1934" s="1346">
        <f>Table1[[#This Row],[Print Ht]]+Materials!$C$7</f>
        <v>18</v>
      </c>
      <c r="AA1934" s="903">
        <f>(Table1[[#This Row],[Cut Width]]*Table1[[#This Row],[Cut Height]])/144</f>
        <v>1.75</v>
      </c>
      <c r="AB1934" s="1168">
        <f>(Table1[[#This Row],[Print Wth]]*Table1[[#This Row],[Print Ht]])/144*canonML</f>
        <v>6.3999999999999995</v>
      </c>
      <c r="AC1934" s="863">
        <f>Table1[[#This Row],[Substrate SF]]*Paper</f>
        <v>2.36775</v>
      </c>
      <c r="AD1934" s="862">
        <f>(Table1[[#This Row],[Print Wth]]*Table1[[#This Row],[Print Ht]])/144*CanonC</f>
        <v>0.36</v>
      </c>
      <c r="AE1934" s="863">
        <f>IF(Table1[[#This Row],[Work Center]]="SwissQ",Materials!G$37,IF(Table1[[#This Row],[Work Center]]="Inca",Materials!G$29,IF(Table1[[#This Row],[Work Center]]="Canon",Materials!G$49,Materials!G$45)))</f>
        <v>7</v>
      </c>
      <c r="AF1934" s="102">
        <f>'Cali Frames'!D59</f>
        <v>68.900000000000006</v>
      </c>
      <c r="AG1934" s="115"/>
      <c r="AH1934" s="104">
        <v>0</v>
      </c>
      <c r="AI1934" s="104"/>
      <c r="AJ1934" s="406">
        <f t="shared" si="709"/>
        <v>78.627750000000006</v>
      </c>
      <c r="AK1934" s="830">
        <f t="shared" si="708"/>
        <v>0.50235601265822782</v>
      </c>
      <c r="AL1934" s="660">
        <f>Table1[[#This Row],[WSP/Dealer]]/Table1[[#This Row],[OD Sq Inch]]</f>
        <v>0.62698412698412698</v>
      </c>
      <c r="AM1934" s="400">
        <f>Table1[[#This Row],[OD Wdth]]*Table1[[#This Row],[OD Hgt]]</f>
        <v>252</v>
      </c>
      <c r="AN1934" s="400" t="str">
        <f>Table1[[#This Row],[Color]]</f>
        <v>NA</v>
      </c>
      <c r="AO1934" s="115" t="str">
        <f>Table1[[#This Row],[Print Type]]</f>
        <v>Work on Paper</v>
      </c>
      <c r="AP1934" s="121"/>
      <c r="AQ1934" s="121"/>
      <c r="AR1934" s="121"/>
      <c r="AS1934" s="121"/>
      <c r="AT1934" s="104"/>
      <c r="AU1934" s="1359" t="str">
        <f t="shared" si="697"/>
        <v>-</v>
      </c>
    </row>
    <row r="1935" spans="1:47" s="103" customFormat="1" hidden="1" x14ac:dyDescent="0.2">
      <c r="A1935" s="101" t="s">
        <v>110</v>
      </c>
      <c r="B1935" s="1062" t="s">
        <v>250</v>
      </c>
      <c r="C1935" s="1093" t="s">
        <v>4486</v>
      </c>
      <c r="D1935" s="168"/>
      <c r="E1935" s="115" t="s">
        <v>4487</v>
      </c>
      <c r="F1935" s="115" t="s">
        <v>105</v>
      </c>
      <c r="G1935" s="101" t="s">
        <v>643</v>
      </c>
      <c r="H1935" s="101" t="s">
        <v>810</v>
      </c>
      <c r="I1935" s="400" t="s">
        <v>256</v>
      </c>
      <c r="J1935" s="487" t="s">
        <v>257</v>
      </c>
      <c r="K1935" s="101" t="s">
        <v>258</v>
      </c>
      <c r="L1935" s="101" t="s">
        <v>259</v>
      </c>
      <c r="M1935" s="488">
        <v>300</v>
      </c>
      <c r="N1935" s="102"/>
      <c r="O1935" s="400" t="s">
        <v>260</v>
      </c>
      <c r="P1935" s="400">
        <v>20</v>
      </c>
      <c r="Q1935" s="400">
        <v>16</v>
      </c>
      <c r="R1935" s="400">
        <v>16</v>
      </c>
      <c r="S1935" s="399">
        <v>20</v>
      </c>
      <c r="T1935" s="399">
        <v>22</v>
      </c>
      <c r="U1935" s="399">
        <v>18</v>
      </c>
      <c r="V1935" s="106">
        <f t="shared" si="704"/>
        <v>20</v>
      </c>
      <c r="W1935" s="106">
        <f t="shared" si="705"/>
        <v>16</v>
      </c>
      <c r="X1935" s="525">
        <v>40</v>
      </c>
      <c r="Y1935" s="400">
        <v>20</v>
      </c>
      <c r="Z1935" s="400">
        <v>16</v>
      </c>
      <c r="AA1935" s="724">
        <f t="shared" ref="AA1935:AA1941" si="711">V1935*W1935/144</f>
        <v>2.2222222222222223</v>
      </c>
      <c r="AB1935" s="184">
        <f>AA1935*canonML</f>
        <v>10.666666666666666</v>
      </c>
      <c r="AC1935" s="104">
        <f>Table1[[#This Row],[Substrate SF]]*Paper</f>
        <v>3.0066666666666668</v>
      </c>
      <c r="AD1935" s="107">
        <f>Table1[[#This Row],[Ink g/mL]]*CanonC</f>
        <v>2.88</v>
      </c>
      <c r="AE1935" s="104">
        <f>IF(Table1[[#This Row],[Work Center]]="SwissQ",Materials!G$37,IF(Table1[[#This Row],[Work Center]]="Inca",Materials!G$29,IF(Table1[[#This Row],[Work Center]]="Canon",Materials!G$49,Materials!G$45)))</f>
        <v>7</v>
      </c>
      <c r="AF1935" s="102">
        <f>'Cali Frames'!D260</f>
        <v>73</v>
      </c>
      <c r="AG1935" s="115"/>
      <c r="AH1935" s="121">
        <f>(M1935*0.05)</f>
        <v>15</v>
      </c>
      <c r="AI1935" s="406">
        <f>IF(A1935="Codarus",(M1935*0.13))</f>
        <v>39</v>
      </c>
      <c r="AJ1935" s="104">
        <f>SUM(AC1935:AI1935)</f>
        <v>139.88666666666666</v>
      </c>
      <c r="AK1935" s="830">
        <f t="shared" si="708"/>
        <v>0.53371111111111114</v>
      </c>
      <c r="AL1935" s="660">
        <f>Table1[[#This Row],[WSP/Dealer]]/Table1[[#This Row],[OD Sq Inch]]</f>
        <v>0.75757575757575757</v>
      </c>
      <c r="AM1935" s="399">
        <f>Table1[[#This Row],[OD Wdth]]*Table1[[#This Row],[OD Hgt]]</f>
        <v>396</v>
      </c>
      <c r="AN1935" s="400">
        <f>Table1[[#This Row],[Min VO]]+Table1[[#This Row],[Max VO]]</f>
        <v>36</v>
      </c>
      <c r="AO1935" s="113"/>
      <c r="AP1935" s="104">
        <v>600</v>
      </c>
      <c r="AQ1935" s="104">
        <f>(Table1[[#This Row],[Desgnr/Retail P]]*0.05)</f>
        <v>30</v>
      </c>
      <c r="AR1935" s="121">
        <f>IF(A1935="Codarus",(AP1935*0.13))</f>
        <v>78</v>
      </c>
      <c r="AS1935" s="121">
        <f>SUM(Table1[[#This Row],[Substrate $]:[GP FINISH]])+Table1[[#This Row],[Retail Royalty]]+Table1[[#This Row],[Retail$Comm]]</f>
        <v>193.88666666666666</v>
      </c>
      <c r="AT1935" s="830">
        <f>IF(AP1935=0,"-",(AP1935-AS1935)/AP1935)</f>
        <v>0.67685555555555554</v>
      </c>
      <c r="AU1935" s="830">
        <f t="shared" si="697"/>
        <v>0.97743814814814811</v>
      </c>
    </row>
    <row r="1936" spans="1:47" s="63" customFormat="1" hidden="1" x14ac:dyDescent="0.2">
      <c r="A1936" s="485" t="s">
        <v>318</v>
      </c>
      <c r="B1936" s="1061" t="s">
        <v>96</v>
      </c>
      <c r="C1936" s="1034" t="s">
        <v>4488</v>
      </c>
      <c r="D1936" s="94">
        <v>177553</v>
      </c>
      <c r="E1936" s="115" t="s">
        <v>4489</v>
      </c>
      <c r="F1936" s="115" t="s">
        <v>105</v>
      </c>
      <c r="G1936" s="101" t="s">
        <v>519</v>
      </c>
      <c r="H1936" s="101" t="s">
        <v>974</v>
      </c>
      <c r="I1936" s="101" t="s">
        <v>256</v>
      </c>
      <c r="J1936" s="487" t="s">
        <v>257</v>
      </c>
      <c r="K1936" s="101" t="s">
        <v>1444</v>
      </c>
      <c r="L1936" s="101" t="s">
        <v>259</v>
      </c>
      <c r="M1936" s="543">
        <v>200</v>
      </c>
      <c r="N1936" s="786">
        <v>500</v>
      </c>
      <c r="O1936" s="400" t="s">
        <v>260</v>
      </c>
      <c r="P1936" s="400">
        <v>16</v>
      </c>
      <c r="Q1936" s="400">
        <v>20</v>
      </c>
      <c r="R1936" s="400">
        <v>16</v>
      </c>
      <c r="S1936" s="400">
        <v>20</v>
      </c>
      <c r="T1936" s="400">
        <v>18</v>
      </c>
      <c r="U1936" s="400">
        <v>22</v>
      </c>
      <c r="V1936" s="608">
        <f t="shared" si="704"/>
        <v>16</v>
      </c>
      <c r="W1936" s="608">
        <f t="shared" si="705"/>
        <v>20</v>
      </c>
      <c r="X1936" s="525" t="s">
        <v>1018</v>
      </c>
      <c r="Y1936" s="101">
        <v>16</v>
      </c>
      <c r="Z1936" s="101">
        <v>20</v>
      </c>
      <c r="AA1936" s="724">
        <f t="shared" si="711"/>
        <v>2.2222222222222223</v>
      </c>
      <c r="AB1936" s="184">
        <f>AA1936*canonML</f>
        <v>10.666666666666666</v>
      </c>
      <c r="AC1936" s="104">
        <f>Table1[[#This Row],[Substrate SF]]*Paper</f>
        <v>3.0066666666666668</v>
      </c>
      <c r="AD1936" s="104">
        <f>Table1[[#This Row],[Ink g/mL]]*CanonC</f>
        <v>2.88</v>
      </c>
      <c r="AE1936" s="104">
        <f>IF(Table1[[#This Row],[Work Center]]="SwissQ",Materials!G$37,IF(Table1[[#This Row],[Work Center]]="Inca",Materials!G$29,IF(Table1[[#This Row],[Work Center]]="Canon",Materials!G$49,Materials!G$45)))</f>
        <v>7</v>
      </c>
      <c r="AF1936" s="102">
        <f>'Cali Frames'!D22</f>
        <v>82.44</v>
      </c>
      <c r="AG1936" s="115"/>
      <c r="AH1936" s="498">
        <v>0</v>
      </c>
      <c r="AI1936" s="498"/>
      <c r="AJ1936" s="406">
        <f t="shared" ref="AJ1936:AJ1972" si="712">SUM(AC1936:AH1936)</f>
        <v>95.326666666666668</v>
      </c>
      <c r="AK1936" s="650">
        <f t="shared" si="708"/>
        <v>0.52336666666666665</v>
      </c>
      <c r="AL1936" s="225">
        <f>Table1[[#This Row],[WSP/Dealer]]/Table1[[#This Row],[OD Sq Inch]]</f>
        <v>0.50505050505050508</v>
      </c>
      <c r="AM1936" s="400">
        <f>Table1[[#This Row],[OD Wdth]]*Table1[[#This Row],[OD Hgt]]</f>
        <v>396</v>
      </c>
      <c r="AN1936" s="400" t="str">
        <f>Table1[[#This Row],[Color]]</f>
        <v>BA</v>
      </c>
      <c r="AO1936" s="115" t="str">
        <f>Table1[[#This Row],[Print Type]]</f>
        <v>Work on Paper</v>
      </c>
      <c r="AP1936" s="121"/>
      <c r="AQ1936" s="121"/>
      <c r="AR1936" s="121"/>
      <c r="AS1936" s="121"/>
      <c r="AT1936" s="104"/>
      <c r="AU1936" s="1357" t="str">
        <f t="shared" si="697"/>
        <v>-</v>
      </c>
    </row>
    <row r="1937" spans="1:47" s="170" customFormat="1" hidden="1" x14ac:dyDescent="0.2">
      <c r="A1937" s="101" t="s">
        <v>110</v>
      </c>
      <c r="B1937" s="1062" t="s">
        <v>134</v>
      </c>
      <c r="C1937" s="1093" t="s">
        <v>4490</v>
      </c>
      <c r="D1937" s="168"/>
      <c r="E1937" s="115" t="s">
        <v>4491</v>
      </c>
      <c r="F1937" s="115" t="s">
        <v>114</v>
      </c>
      <c r="G1937" s="101" t="s">
        <v>139</v>
      </c>
      <c r="H1937" s="101" t="s">
        <v>1067</v>
      </c>
      <c r="I1937" s="101" t="s">
        <v>52</v>
      </c>
      <c r="J1937" s="101" t="s">
        <v>283</v>
      </c>
      <c r="K1937" s="101" t="s">
        <v>69</v>
      </c>
      <c r="L1937" s="101" t="s">
        <v>70</v>
      </c>
      <c r="M1937" s="114">
        <v>350</v>
      </c>
      <c r="N1937" s="829">
        <v>350</v>
      </c>
      <c r="O1937" s="101" t="s">
        <v>64</v>
      </c>
      <c r="P1937" s="101">
        <v>24</v>
      </c>
      <c r="Q1937" s="101">
        <v>24</v>
      </c>
      <c r="R1937" s="101">
        <v>24</v>
      </c>
      <c r="S1937" s="697">
        <v>24</v>
      </c>
      <c r="T1937" s="101">
        <v>25</v>
      </c>
      <c r="U1937" s="101" t="str">
        <f>RIGHT(H1937,2)</f>
        <v>25</v>
      </c>
      <c r="V1937" s="106">
        <f t="shared" si="704"/>
        <v>24</v>
      </c>
      <c r="W1937" s="106">
        <f t="shared" si="705"/>
        <v>24</v>
      </c>
      <c r="X1937" s="137" t="str">
        <f>J1937</f>
        <v>MDF</v>
      </c>
      <c r="Y1937" s="101"/>
      <c r="Z1937" s="101"/>
      <c r="AA1937" s="649">
        <f t="shared" si="711"/>
        <v>4</v>
      </c>
      <c r="AB1937" s="184">
        <f>Table1[[#This Row],[Substrate SF]]*Swiss1</f>
        <v>113.2</v>
      </c>
      <c r="AC1937" s="104">
        <f>MDFSHEET/6</f>
        <v>4.0583333333333336</v>
      </c>
      <c r="AD1937" s="107">
        <f>Table1[[#This Row],[Substrate SF]]*Materials!C$37</f>
        <v>11.2</v>
      </c>
      <c r="AE1937" s="104">
        <f>IF(Table1[[#This Row],[Work Center]]="SwissQ",Materials!G$37,IF(Table1[[#This Row],[Work Center]]="Inca",Materials!G$29,IF(Table1[[#This Row],[Work Center]]="Canon",Materials!G$49,Materials!G$45)))</f>
        <v>20</v>
      </c>
      <c r="AF1937" s="104">
        <f>'Cali Frames'!D$278</f>
        <v>93.42</v>
      </c>
      <c r="AG1937" s="115"/>
      <c r="AH1937" s="104">
        <f>(M1937*0.05)</f>
        <v>17.5</v>
      </c>
      <c r="AI1937" s="406">
        <f>IF(A1937="Codarus",(M1937*0.13))</f>
        <v>45.5</v>
      </c>
      <c r="AJ1937" s="104">
        <f t="shared" si="712"/>
        <v>146.17833333333334</v>
      </c>
      <c r="AK1937" s="830">
        <f t="shared" si="708"/>
        <v>0.582347619047619</v>
      </c>
      <c r="AL1937" s="660">
        <f>Table1[[#This Row],[WSP/Dealer]]/Table1[[#This Row],[OD Sq Inch]]</f>
        <v>0.56000000000000005</v>
      </c>
      <c r="AM1937" s="103">
        <f>Table1[[#This Row],[OD Wdth]]*Table1[[#This Row],[OD Hgt]]</f>
        <v>625</v>
      </c>
      <c r="AN1937" s="266">
        <f>Table1[[#This Row],[Min VO]]+Table1[[#This Row],[Max VO]]</f>
        <v>48</v>
      </c>
      <c r="AO1937" s="101"/>
      <c r="AP1937" s="104">
        <v>700</v>
      </c>
      <c r="AQ1937" s="104">
        <f>(Table1[[#This Row],[Desgnr/Retail P]]*0.05)</f>
        <v>35</v>
      </c>
      <c r="AR1937" s="121">
        <f>IF(A1937="Codarus",(AP1937*0.13))</f>
        <v>91</v>
      </c>
      <c r="AS1937" s="121">
        <f>SUM(Table1[[#This Row],[Substrate $]:[GP FINISH]])+Table1[[#This Row],[Retail Royalty]]+Table1[[#This Row],[Retail$Comm]]</f>
        <v>254.67833333333334</v>
      </c>
      <c r="AT1937" s="830">
        <f>IF(AP1937=0,"-",(AP1937-AS1937)/AP1937)</f>
        <v>0.63617380952380953</v>
      </c>
      <c r="AU1937" s="830">
        <f t="shared" si="697"/>
        <v>0.98182360544217684</v>
      </c>
    </row>
    <row r="1938" spans="1:47" s="170" customFormat="1" x14ac:dyDescent="0.2">
      <c r="A1938" s="86" t="s">
        <v>58</v>
      </c>
      <c r="B1938" s="1061" t="s">
        <v>366</v>
      </c>
      <c r="C1938" s="1093" t="s">
        <v>4492</v>
      </c>
      <c r="D1938" s="94" t="s">
        <v>4493</v>
      </c>
      <c r="E1938" s="85" t="s">
        <v>4494</v>
      </c>
      <c r="F1938" s="85" t="s">
        <v>114</v>
      </c>
      <c r="G1938" s="86" t="s">
        <v>139</v>
      </c>
      <c r="H1938" s="86" t="s">
        <v>1067</v>
      </c>
      <c r="I1938" s="86" t="s">
        <v>52</v>
      </c>
      <c r="J1938" s="86" t="s">
        <v>283</v>
      </c>
      <c r="K1938" s="86" t="s">
        <v>69</v>
      </c>
      <c r="L1938" s="86" t="s">
        <v>70</v>
      </c>
      <c r="M1938" s="87">
        <v>308</v>
      </c>
      <c r="N1938" s="639">
        <v>350</v>
      </c>
      <c r="O1938" s="101" t="s">
        <v>64</v>
      </c>
      <c r="P1938" s="101">
        <v>24</v>
      </c>
      <c r="Q1938" s="101">
        <v>24</v>
      </c>
      <c r="R1938" s="60">
        <v>24</v>
      </c>
      <c r="S1938" s="273">
        <v>24</v>
      </c>
      <c r="T1938" s="101">
        <v>25</v>
      </c>
      <c r="U1938" s="101" t="str">
        <f>RIGHT(H1938,2)</f>
        <v>25</v>
      </c>
      <c r="V1938" s="106">
        <f t="shared" si="704"/>
        <v>24</v>
      </c>
      <c r="W1938" s="106">
        <f t="shared" si="705"/>
        <v>24</v>
      </c>
      <c r="X1938" s="137" t="str">
        <f>J1938</f>
        <v>MDF</v>
      </c>
      <c r="Y1938" s="101"/>
      <c r="Z1938" s="101"/>
      <c r="AA1938" s="649">
        <f t="shared" si="711"/>
        <v>4</v>
      </c>
      <c r="AB1938" s="184">
        <f>Table1[[#This Row],[Substrate SF]]*Swiss1</f>
        <v>113.2</v>
      </c>
      <c r="AC1938" s="104">
        <f>MDFSHEET/6</f>
        <v>4.0583333333333336</v>
      </c>
      <c r="AD1938" s="107">
        <f>Table1[[#This Row],[Substrate SF]]*Materials!C$37</f>
        <v>11.2</v>
      </c>
      <c r="AE1938" s="104">
        <f>IF(Table1[[#This Row],[Work Center]]="SwissQ",Materials!G$37,IF(Table1[[#This Row],[Work Center]]="Inca",Materials!G$29,IF(Table1[[#This Row],[Work Center]]="Canon",Materials!G$49,Materials!G$45)))</f>
        <v>20</v>
      </c>
      <c r="AF1938" s="104">
        <f>'Cali Frames'!D$278</f>
        <v>93.42</v>
      </c>
      <c r="AG1938" s="115"/>
      <c r="AH1938" s="498">
        <f>(M1938*0.05)</f>
        <v>15.4</v>
      </c>
      <c r="AI1938" s="498"/>
      <c r="AJ1938" s="104">
        <f t="shared" si="712"/>
        <v>144.07833333333335</v>
      </c>
      <c r="AK1938" s="650">
        <f t="shared" si="708"/>
        <v>0.53221320346320344</v>
      </c>
      <c r="AL1938" s="225">
        <f>Table1[[#This Row],[WSP/Dealer]]/Table1[[#This Row],[OD Sq Inch]]</f>
        <v>0.49280000000000002</v>
      </c>
      <c r="AM1938" s="218">
        <f>Table1[[#This Row],[OD Wdth]]*Table1[[#This Row],[OD Hgt]]</f>
        <v>625</v>
      </c>
      <c r="AN1938" s="216">
        <f>Table1[[#This Row],[Min VO]]+Table1[[#This Row],[Max VO]]</f>
        <v>48</v>
      </c>
      <c r="AO1938" s="101"/>
      <c r="AP1938" s="101"/>
      <c r="AQ1938" s="104"/>
      <c r="AR1938" s="104"/>
      <c r="AS1938" s="104"/>
      <c r="AT1938" s="104"/>
      <c r="AU1938" s="830" t="str">
        <f t="shared" si="697"/>
        <v>-</v>
      </c>
    </row>
    <row r="1939" spans="1:47" s="103" customFormat="1" hidden="1" x14ac:dyDescent="0.2">
      <c r="A1939" s="86"/>
      <c r="B1939" s="1061" t="s">
        <v>562</v>
      </c>
      <c r="C1939" s="1093" t="s">
        <v>4495</v>
      </c>
      <c r="D1939" s="94" t="s">
        <v>4496</v>
      </c>
      <c r="E1939" s="85" t="s">
        <v>4497</v>
      </c>
      <c r="F1939" s="85" t="s">
        <v>114</v>
      </c>
      <c r="G1939" s="86" t="s">
        <v>139</v>
      </c>
      <c r="H1939" s="86" t="s">
        <v>1067</v>
      </c>
      <c r="I1939" s="86" t="s">
        <v>52</v>
      </c>
      <c r="J1939" s="86" t="s">
        <v>283</v>
      </c>
      <c r="K1939" s="86" t="s">
        <v>69</v>
      </c>
      <c r="L1939" s="86" t="s">
        <v>70</v>
      </c>
      <c r="M1939" s="87">
        <v>308</v>
      </c>
      <c r="N1939" s="71"/>
      <c r="O1939" s="101" t="s">
        <v>64</v>
      </c>
      <c r="P1939" s="101">
        <v>24</v>
      </c>
      <c r="Q1939" s="101">
        <v>24</v>
      </c>
      <c r="R1939" s="60">
        <v>24</v>
      </c>
      <c r="S1939" s="273">
        <v>24</v>
      </c>
      <c r="T1939" s="101">
        <v>25</v>
      </c>
      <c r="U1939" s="101" t="str">
        <f>RIGHT(H1939,2)</f>
        <v>25</v>
      </c>
      <c r="V1939" s="608">
        <f t="shared" si="704"/>
        <v>24</v>
      </c>
      <c r="W1939" s="608">
        <f t="shared" si="705"/>
        <v>24</v>
      </c>
      <c r="X1939" s="137" t="str">
        <f>J1939</f>
        <v>MDF</v>
      </c>
      <c r="Y1939" s="101"/>
      <c r="Z1939" s="101"/>
      <c r="AA1939" s="649">
        <f t="shared" si="711"/>
        <v>4</v>
      </c>
      <c r="AB1939" s="184">
        <f>Table1[[#This Row],[Substrate SF]]*Swiss1</f>
        <v>113.2</v>
      </c>
      <c r="AC1939" s="104">
        <f>MDFSHEET/6</f>
        <v>4.0583333333333336</v>
      </c>
      <c r="AD1939" s="107">
        <f>Table1[[#This Row],[Substrate SF]]*Materials!C$37</f>
        <v>11.2</v>
      </c>
      <c r="AE1939" s="104">
        <f>IF(Table1[[#This Row],[Work Center]]="SwissQ",Materials!G$37,IF(Table1[[#This Row],[Work Center]]="Inca",Materials!G$29,IF(Table1[[#This Row],[Work Center]]="Canon",Materials!G$49,Materials!G$45)))</f>
        <v>20</v>
      </c>
      <c r="AF1939" s="104">
        <f>'Cali Frames'!D$278</f>
        <v>93.42</v>
      </c>
      <c r="AG1939" s="115"/>
      <c r="AH1939" s="498">
        <f>(M1939*0.05)</f>
        <v>15.4</v>
      </c>
      <c r="AI1939" s="498"/>
      <c r="AJ1939" s="104">
        <f t="shared" si="712"/>
        <v>144.07833333333335</v>
      </c>
      <c r="AK1939" s="650">
        <f t="shared" si="708"/>
        <v>0.53221320346320344</v>
      </c>
      <c r="AL1939" s="225">
        <f>Table1[[#This Row],[WSP/Dealer]]/Table1[[#This Row],[OD Sq Inch]]</f>
        <v>0.49280000000000002</v>
      </c>
      <c r="AM1939" s="103">
        <f>Table1[[#This Row],[OD Wdth]]*Table1[[#This Row],[OD Hgt]]</f>
        <v>625</v>
      </c>
      <c r="AN1939" s="216">
        <f>Table1[[#This Row],[Min VO]]+Table1[[#This Row],[Max VO]]</f>
        <v>48</v>
      </c>
      <c r="AO1939" s="101"/>
      <c r="AP1939" s="101"/>
      <c r="AQ1939" s="104"/>
      <c r="AR1939" s="104"/>
      <c r="AS1939" s="104"/>
      <c r="AT1939" s="104"/>
      <c r="AU1939" s="830" t="str">
        <f t="shared" si="697"/>
        <v>-</v>
      </c>
    </row>
    <row r="1940" spans="1:47" s="103" customFormat="1" x14ac:dyDescent="0.2">
      <c r="A1940" s="86" t="s">
        <v>58</v>
      </c>
      <c r="B1940" s="1061" t="s">
        <v>366</v>
      </c>
      <c r="C1940" s="1093" t="s">
        <v>4498</v>
      </c>
      <c r="D1940" s="94" t="s">
        <v>4499</v>
      </c>
      <c r="E1940" s="85" t="s">
        <v>4500</v>
      </c>
      <c r="F1940" s="85" t="s">
        <v>114</v>
      </c>
      <c r="G1940" s="86" t="s">
        <v>139</v>
      </c>
      <c r="H1940" s="86" t="s">
        <v>1067</v>
      </c>
      <c r="I1940" s="86" t="s">
        <v>52</v>
      </c>
      <c r="J1940" s="86" t="s">
        <v>283</v>
      </c>
      <c r="K1940" s="86" t="s">
        <v>69</v>
      </c>
      <c r="L1940" s="86" t="s">
        <v>70</v>
      </c>
      <c r="M1940" s="87">
        <v>308</v>
      </c>
      <c r="N1940" s="639">
        <v>350</v>
      </c>
      <c r="O1940" s="101" t="s">
        <v>64</v>
      </c>
      <c r="P1940" s="101">
        <v>24</v>
      </c>
      <c r="Q1940" s="101">
        <v>24</v>
      </c>
      <c r="R1940" s="60">
        <v>24</v>
      </c>
      <c r="S1940" s="273">
        <v>24</v>
      </c>
      <c r="T1940" s="101">
        <v>25</v>
      </c>
      <c r="U1940" s="101" t="str">
        <f>RIGHT(H1940,2)</f>
        <v>25</v>
      </c>
      <c r="V1940" s="608">
        <f t="shared" si="704"/>
        <v>24</v>
      </c>
      <c r="W1940" s="608">
        <f t="shared" si="705"/>
        <v>24</v>
      </c>
      <c r="X1940" s="137" t="str">
        <f>J1940</f>
        <v>MDF</v>
      </c>
      <c r="Y1940" s="101"/>
      <c r="Z1940" s="101"/>
      <c r="AA1940" s="649">
        <f t="shared" si="711"/>
        <v>4</v>
      </c>
      <c r="AB1940" s="184">
        <f>Table1[[#This Row],[Substrate SF]]*Swiss1</f>
        <v>113.2</v>
      </c>
      <c r="AC1940" s="104">
        <f>MDFSHEET/6</f>
        <v>4.0583333333333336</v>
      </c>
      <c r="AD1940" s="107">
        <f>Table1[[#This Row],[Substrate SF]]*Materials!C$37</f>
        <v>11.2</v>
      </c>
      <c r="AE1940" s="104">
        <f>IF(Table1[[#This Row],[Work Center]]="SwissQ",Materials!G$37,IF(Table1[[#This Row],[Work Center]]="Inca",Materials!G$29,IF(Table1[[#This Row],[Work Center]]="Canon",Materials!G$49,Materials!G$45)))</f>
        <v>20</v>
      </c>
      <c r="AF1940" s="104">
        <f>'Cali Frames'!D$278</f>
        <v>93.42</v>
      </c>
      <c r="AG1940" s="115"/>
      <c r="AH1940" s="112">
        <f>(M1940*0.05)</f>
        <v>15.4</v>
      </c>
      <c r="AI1940" s="112"/>
      <c r="AJ1940" s="104">
        <f t="shared" si="712"/>
        <v>144.07833333333335</v>
      </c>
      <c r="AK1940" s="62">
        <f t="shared" si="708"/>
        <v>0.53221320346320344</v>
      </c>
      <c r="AL1940" s="225">
        <f>Table1[[#This Row],[WSP/Dealer]]/Table1[[#This Row],[OD Sq Inch]]</f>
        <v>0.49280000000000002</v>
      </c>
      <c r="AM1940" s="103">
        <f>Table1[[#This Row],[OD Wdth]]*Table1[[#This Row],[OD Hgt]]</f>
        <v>625</v>
      </c>
      <c r="AN1940" s="216">
        <f>Table1[[#This Row],[Min VO]]+Table1[[#This Row],[Max VO]]</f>
        <v>48</v>
      </c>
      <c r="AO1940" s="101"/>
      <c r="AP1940" s="101"/>
      <c r="AQ1940" s="104"/>
      <c r="AR1940" s="104"/>
      <c r="AS1940" s="104"/>
      <c r="AT1940" s="104"/>
      <c r="AU1940" s="830" t="str">
        <f t="shared" si="697"/>
        <v>-</v>
      </c>
    </row>
    <row r="1941" spans="1:47" s="63" customFormat="1" hidden="1" x14ac:dyDescent="0.2">
      <c r="A1941" s="485" t="s">
        <v>318</v>
      </c>
      <c r="B1941" s="1061" t="s">
        <v>96</v>
      </c>
      <c r="C1941" s="168" t="s">
        <v>4501</v>
      </c>
      <c r="D1941" s="94">
        <v>177524</v>
      </c>
      <c r="E1941" s="115" t="s">
        <v>4502</v>
      </c>
      <c r="F1941" s="115" t="s">
        <v>105</v>
      </c>
      <c r="G1941" s="101" t="s">
        <v>519</v>
      </c>
      <c r="H1941" s="101" t="s">
        <v>974</v>
      </c>
      <c r="I1941" s="101" t="s">
        <v>256</v>
      </c>
      <c r="J1941" s="487" t="s">
        <v>257</v>
      </c>
      <c r="K1941" s="101" t="s">
        <v>1444</v>
      </c>
      <c r="L1941" s="101" t="s">
        <v>259</v>
      </c>
      <c r="M1941" s="543">
        <v>200</v>
      </c>
      <c r="N1941" s="786">
        <v>500</v>
      </c>
      <c r="O1941" s="400" t="s">
        <v>260</v>
      </c>
      <c r="P1941" s="400">
        <v>16</v>
      </c>
      <c r="Q1941" s="400">
        <v>20</v>
      </c>
      <c r="R1941" s="400">
        <v>16</v>
      </c>
      <c r="S1941" s="400">
        <v>20</v>
      </c>
      <c r="T1941" s="400">
        <v>18</v>
      </c>
      <c r="U1941" s="400">
        <v>22</v>
      </c>
      <c r="V1941" s="608">
        <f t="shared" si="704"/>
        <v>16</v>
      </c>
      <c r="W1941" s="608">
        <f t="shared" si="705"/>
        <v>20</v>
      </c>
      <c r="X1941" s="525">
        <v>40</v>
      </c>
      <c r="Y1941" s="101">
        <v>16</v>
      </c>
      <c r="Z1941" s="101">
        <v>20</v>
      </c>
      <c r="AA1941" s="724">
        <f t="shared" si="711"/>
        <v>2.2222222222222223</v>
      </c>
      <c r="AB1941" s="184">
        <f>AA1941*canonML</f>
        <v>10.666666666666666</v>
      </c>
      <c r="AC1941" s="104">
        <f>Table1[[#This Row],[Substrate SF]]*Paper</f>
        <v>3.0066666666666668</v>
      </c>
      <c r="AD1941" s="107">
        <f>Table1[[#This Row],[Ink g/mL]]*CanonC</f>
        <v>2.88</v>
      </c>
      <c r="AE1941" s="104">
        <f>IF(Table1[[#This Row],[Work Center]]="SwissQ",Materials!G$37,IF(Table1[[#This Row],[Work Center]]="Inca",Materials!G$29,IF(Table1[[#This Row],[Work Center]]="Canon",Materials!G$49,Materials!G$45)))</f>
        <v>7</v>
      </c>
      <c r="AF1941" s="102">
        <f>'Cali Frames'!D22</f>
        <v>82.44</v>
      </c>
      <c r="AG1941" s="115"/>
      <c r="AH1941" s="498">
        <v>0</v>
      </c>
      <c r="AI1941" s="498"/>
      <c r="AJ1941" s="406">
        <f t="shared" si="712"/>
        <v>95.326666666666668</v>
      </c>
      <c r="AK1941" s="650">
        <f t="shared" si="708"/>
        <v>0.52336666666666665</v>
      </c>
      <c r="AL1941" s="225">
        <f>Table1[[#This Row],[WSP/Dealer]]/Table1[[#This Row],[OD Sq Inch]]</f>
        <v>0.50505050505050508</v>
      </c>
      <c r="AM1941" s="399">
        <f>Table1[[#This Row],[OD Wdth]]*Table1[[#This Row],[OD Hgt]]</f>
        <v>396</v>
      </c>
      <c r="AN1941" s="400" t="str">
        <f>Table1[[#This Row],[Color]]</f>
        <v>BA</v>
      </c>
      <c r="AO1941" s="115" t="str">
        <f>Table1[[#This Row],[Print Type]]</f>
        <v>Work on Paper</v>
      </c>
      <c r="AP1941" s="121"/>
      <c r="AQ1941" s="121"/>
      <c r="AR1941" s="121"/>
      <c r="AS1941" s="121"/>
      <c r="AT1941" s="104"/>
      <c r="AU1941" s="1359" t="str">
        <f t="shared" si="697"/>
        <v>-</v>
      </c>
    </row>
    <row r="1942" spans="1:47" s="63" customFormat="1" hidden="1" x14ac:dyDescent="0.2">
      <c r="A1942" s="68" t="s">
        <v>101</v>
      </c>
      <c r="B1942" s="1072" t="s">
        <v>102</v>
      </c>
      <c r="C1942" s="94" t="s">
        <v>4503</v>
      </c>
      <c r="D1942" s="94"/>
      <c r="E1942" s="84" t="s">
        <v>4504</v>
      </c>
      <c r="F1942" s="84" t="s">
        <v>105</v>
      </c>
      <c r="G1942" s="68" t="s">
        <v>1382</v>
      </c>
      <c r="H1942" s="68" t="s">
        <v>519</v>
      </c>
      <c r="I1942" s="68" t="s">
        <v>256</v>
      </c>
      <c r="J1942" s="140" t="s">
        <v>257</v>
      </c>
      <c r="K1942" s="68" t="s">
        <v>1315</v>
      </c>
      <c r="L1942" s="68" t="s">
        <v>259</v>
      </c>
      <c r="M1942" s="141">
        <v>187</v>
      </c>
      <c r="N1942" s="93"/>
      <c r="O1942" s="68" t="s">
        <v>260</v>
      </c>
      <c r="P1942" s="68">
        <v>7</v>
      </c>
      <c r="Q1942" s="68">
        <v>11</v>
      </c>
      <c r="R1942" s="68">
        <v>7</v>
      </c>
      <c r="S1942" s="68">
        <v>11</v>
      </c>
      <c r="T1942" s="68">
        <v>16</v>
      </c>
      <c r="U1942" s="68">
        <v>20</v>
      </c>
      <c r="V1942" s="66">
        <f t="shared" si="704"/>
        <v>7</v>
      </c>
      <c r="W1942" s="66">
        <f t="shared" si="705"/>
        <v>11</v>
      </c>
      <c r="X1942" s="68" t="s">
        <v>1018</v>
      </c>
      <c r="Y1942" s="1347">
        <f>Table1[[#This Row],[Print Wth]]+Materials!$C$7</f>
        <v>9</v>
      </c>
      <c r="Z1942" s="1347">
        <f>Table1[[#This Row],[Print Ht]]+Materials!$C$7</f>
        <v>13</v>
      </c>
      <c r="AA1942" s="1027">
        <f>(Table1[[#This Row],[Cut Width]]*Table1[[#This Row],[Cut Height]])/144</f>
        <v>0.8125</v>
      </c>
      <c r="AB1942" s="297">
        <f>(Table1[[#This Row],[Print Wth]]*Table1[[#This Row],[Print Ht]])/144*canonML</f>
        <v>2.5666666666666664</v>
      </c>
      <c r="AC1942" s="74">
        <f>Table1[[#This Row],[Substrate SF]]*Paper</f>
        <v>1.0993124999999999</v>
      </c>
      <c r="AD1942" s="67">
        <f>(Table1[[#This Row],[Print Wth]]*Table1[[#This Row],[Print Ht]])/144*CanonC</f>
        <v>0.144375</v>
      </c>
      <c r="AE1942" s="74">
        <f>IF(Table1[[#This Row],[Work Center]]="SwissQ",Materials!G$37,IF(Table1[[#This Row],[Work Center]]="Inca",Materials!G$29,IF(Table1[[#This Row],[Work Center]]="Canon",Materials!G$49,Materials!G$45)))</f>
        <v>7</v>
      </c>
      <c r="AF1942" s="73">
        <f>'Cali Frames'!D89</f>
        <v>84.93</v>
      </c>
      <c r="AG1942" s="84"/>
      <c r="AH1942" s="67">
        <v>0</v>
      </c>
      <c r="AI1942" s="67"/>
      <c r="AJ1942" s="263">
        <f t="shared" si="712"/>
        <v>93.1736875</v>
      </c>
      <c r="AK1942" s="661">
        <f t="shared" si="708"/>
        <v>0.50174498663101608</v>
      </c>
      <c r="AL1942" s="240">
        <f>Table1[[#This Row],[WSP/Dealer]]/Table1[[#This Row],[OD Sq Inch]]</f>
        <v>0.58437499999999998</v>
      </c>
      <c r="AM1942" s="170">
        <f>Table1[[#This Row],[OD Wdth]]*Table1[[#This Row],[OD Hgt]]</f>
        <v>320</v>
      </c>
      <c r="AN1942" s="274" t="str">
        <f>Table1[[#This Row],[Color]]</f>
        <v>BA</v>
      </c>
      <c r="AO1942" s="84" t="str">
        <f>Table1[[#This Row],[Print Type]]</f>
        <v>Work on Paper</v>
      </c>
      <c r="AP1942" s="126"/>
      <c r="AQ1942" s="126"/>
      <c r="AR1942" s="126"/>
      <c r="AS1942" s="126"/>
      <c r="AT1942" s="74"/>
      <c r="AU1942" s="1357" t="str">
        <f t="shared" si="697"/>
        <v>-</v>
      </c>
    </row>
    <row r="1943" spans="1:47" s="63" customFormat="1" hidden="1" x14ac:dyDescent="0.2">
      <c r="A1943" s="86"/>
      <c r="B1943" s="170"/>
      <c r="C1943" s="75" t="s">
        <v>4505</v>
      </c>
      <c r="D1943" s="94"/>
      <c r="E1943" s="85" t="s">
        <v>4506</v>
      </c>
      <c r="F1943" s="85" t="s">
        <v>634</v>
      </c>
      <c r="G1943" s="86" t="s">
        <v>449</v>
      </c>
      <c r="H1943" s="86" t="s">
        <v>449</v>
      </c>
      <c r="I1943" s="86" t="s">
        <v>52</v>
      </c>
      <c r="J1943" s="86" t="s">
        <v>53</v>
      </c>
      <c r="K1943" s="86" t="s">
        <v>54</v>
      </c>
      <c r="L1943" s="86" t="s">
        <v>55</v>
      </c>
      <c r="M1943" s="87">
        <v>580</v>
      </c>
      <c r="N1943" s="71"/>
      <c r="O1943" s="68" t="s">
        <v>64</v>
      </c>
      <c r="P1943" s="273">
        <v>36</v>
      </c>
      <c r="Q1943" s="273">
        <v>36</v>
      </c>
      <c r="R1943" s="60">
        <v>36</v>
      </c>
      <c r="S1943" s="273">
        <v>36</v>
      </c>
      <c r="T1943" s="273">
        <v>36</v>
      </c>
      <c r="U1943" s="273">
        <v>36</v>
      </c>
      <c r="V1943" s="608">
        <f>IF(J1943="Canvas",P1943+BorderGW,P1943)</f>
        <v>44</v>
      </c>
      <c r="W1943" s="608">
        <f>IF(J1943="Canvas",Q1943+BorderGW,Q1943)</f>
        <v>44</v>
      </c>
      <c r="X1943" s="137" t="s">
        <v>699</v>
      </c>
      <c r="Y1943" s="101"/>
      <c r="Z1943" s="101"/>
      <c r="AA1943" s="649">
        <f t="shared" ref="AA1943:AA1957" si="713">V1943*W1943/144</f>
        <v>13.444444444444445</v>
      </c>
      <c r="AB1943" s="125">
        <f>AA1943*Swiss1</f>
        <v>380.47777777777782</v>
      </c>
      <c r="AC1943" s="104">
        <f>AA1943*Canvas</f>
        <v>8.8733333333333331</v>
      </c>
      <c r="AD1943" s="107">
        <f>Table1[[#This Row],[Substrate SF]]*Materials!C$37</f>
        <v>37.644444444444446</v>
      </c>
      <c r="AE1943" s="104">
        <f>IF(Table1[[#This Row],[Work Center]]="SwissQ",Materials!G$37,IF(Table1[[#This Row],[Work Center]]="Inca",Materials!G$29,IF(Table1[[#This Row],[Work Center]]="Canon",Materials!G$49,Materials!G$45)))</f>
        <v>20</v>
      </c>
      <c r="AF1943" s="104">
        <f>'Cali FPS'!C$67</f>
        <v>83.46</v>
      </c>
      <c r="AG1943" s="115"/>
      <c r="AH1943" s="112">
        <f t="shared" ref="AH1943:AH1957" si="714">(M1943*0.05)</f>
        <v>29</v>
      </c>
      <c r="AI1943" s="112"/>
      <c r="AJ1943" s="104">
        <f t="shared" si="712"/>
        <v>178.97777777777776</v>
      </c>
      <c r="AK1943" s="62">
        <f t="shared" si="708"/>
        <v>0.6914176245210728</v>
      </c>
      <c r="AL1943" s="225">
        <f>Table1[[#This Row],[WSP/Dealer]]/Table1[[#This Row],[OD Sq Inch]]</f>
        <v>0.44753086419753085</v>
      </c>
      <c r="AM1943" s="103">
        <f>Table1[[#This Row],[OD Wdth]]*Table1[[#This Row],[OD Hgt]]</f>
        <v>1296</v>
      </c>
      <c r="AN1943" s="216">
        <f>Table1[[#This Row],[Min VO]]+Table1[[#This Row],[Max VO]]</f>
        <v>72</v>
      </c>
      <c r="AO1943" s="101"/>
      <c r="AP1943" s="101"/>
      <c r="AQ1943" s="104"/>
      <c r="AR1943" s="104"/>
      <c r="AS1943" s="104"/>
      <c r="AT1943" s="104"/>
      <c r="AU1943" s="830" t="str">
        <f t="shared" si="697"/>
        <v>-</v>
      </c>
    </row>
    <row r="1944" spans="1:47" s="63" customFormat="1" hidden="1" x14ac:dyDescent="0.2">
      <c r="A1944" s="86"/>
      <c r="B1944" s="170"/>
      <c r="C1944" s="75" t="s">
        <v>4507</v>
      </c>
      <c r="D1944" s="94"/>
      <c r="E1944" s="85" t="s">
        <v>4508</v>
      </c>
      <c r="F1944" s="85" t="s">
        <v>634</v>
      </c>
      <c r="G1944" s="86" t="s">
        <v>449</v>
      </c>
      <c r="H1944" s="86" t="s">
        <v>449</v>
      </c>
      <c r="I1944" s="86" t="s">
        <v>52</v>
      </c>
      <c r="J1944" s="86" t="s">
        <v>53</v>
      </c>
      <c r="K1944" s="86" t="s">
        <v>54</v>
      </c>
      <c r="L1944" s="86" t="s">
        <v>55</v>
      </c>
      <c r="M1944" s="87">
        <v>580</v>
      </c>
      <c r="N1944" s="71"/>
      <c r="O1944" s="68" t="s">
        <v>64</v>
      </c>
      <c r="P1944" s="273">
        <v>36</v>
      </c>
      <c r="Q1944" s="273">
        <v>36</v>
      </c>
      <c r="R1944" s="60">
        <v>36</v>
      </c>
      <c r="S1944" s="273">
        <v>36</v>
      </c>
      <c r="T1944" s="61">
        <v>36</v>
      </c>
      <c r="U1944" s="61">
        <v>36</v>
      </c>
      <c r="V1944" s="106">
        <f>IF(J1944="Canvas",P1944+BorderGW,P1944)</f>
        <v>44</v>
      </c>
      <c r="W1944" s="106">
        <f>IF(J1944="Canvas",Q1944+BorderGW,Q1944)</f>
        <v>44</v>
      </c>
      <c r="X1944" s="137" t="s">
        <v>699</v>
      </c>
      <c r="Y1944" s="101"/>
      <c r="Z1944" s="101"/>
      <c r="AA1944" s="649">
        <f t="shared" si="713"/>
        <v>13.444444444444445</v>
      </c>
      <c r="AB1944" s="125">
        <f>AA1944*Swiss1</f>
        <v>380.47777777777782</v>
      </c>
      <c r="AC1944" s="104">
        <f>AA1944*Canvas</f>
        <v>8.8733333333333331</v>
      </c>
      <c r="AD1944" s="107">
        <f>Table1[[#This Row],[Substrate SF]]*Materials!C$37</f>
        <v>37.644444444444446</v>
      </c>
      <c r="AE1944" s="104">
        <f>IF(Table1[[#This Row],[Work Center]]="SwissQ",Materials!G$37,IF(Table1[[#This Row],[Work Center]]="Inca",Materials!G$29,IF(Table1[[#This Row],[Work Center]]="Canon",Materials!G$49,Materials!G$45)))</f>
        <v>20</v>
      </c>
      <c r="AF1944" s="104">
        <f>'Cali FPS'!C$67</f>
        <v>83.46</v>
      </c>
      <c r="AG1944" s="115"/>
      <c r="AH1944" s="498">
        <f t="shared" si="714"/>
        <v>29</v>
      </c>
      <c r="AI1944" s="498"/>
      <c r="AJ1944" s="104">
        <f t="shared" si="712"/>
        <v>178.97777777777776</v>
      </c>
      <c r="AK1944" s="650">
        <f t="shared" si="708"/>
        <v>0.6914176245210728</v>
      </c>
      <c r="AL1944" s="225">
        <f>Table1[[#This Row],[WSP/Dealer]]/Table1[[#This Row],[OD Sq Inch]]</f>
        <v>0.44753086419753085</v>
      </c>
      <c r="AM1944" s="103">
        <f>Table1[[#This Row],[OD Wdth]]*Table1[[#This Row],[OD Hgt]]</f>
        <v>1296</v>
      </c>
      <c r="AN1944" s="216">
        <f>Table1[[#This Row],[Min VO]]+Table1[[#This Row],[Max VO]]</f>
        <v>72</v>
      </c>
      <c r="AO1944" s="101"/>
      <c r="AP1944" s="101"/>
      <c r="AQ1944" s="104"/>
      <c r="AR1944" s="104"/>
      <c r="AS1944" s="104"/>
      <c r="AT1944" s="104"/>
      <c r="AU1944" s="830" t="str">
        <f t="shared" si="697"/>
        <v>-</v>
      </c>
    </row>
    <row r="1945" spans="1:47" s="63" customFormat="1" hidden="1" x14ac:dyDescent="0.2">
      <c r="A1945" s="374" t="s">
        <v>187</v>
      </c>
      <c r="B1945" s="1061" t="s">
        <v>261</v>
      </c>
      <c r="C1945" s="317" t="s">
        <v>4509</v>
      </c>
      <c r="D1945" s="94"/>
      <c r="E1945" s="375" t="s">
        <v>4510</v>
      </c>
      <c r="F1945" s="375" t="s">
        <v>585</v>
      </c>
      <c r="G1945" s="274" t="s">
        <v>132</v>
      </c>
      <c r="H1945" s="274" t="s">
        <v>132</v>
      </c>
      <c r="I1945" s="274" t="s">
        <v>52</v>
      </c>
      <c r="J1945" s="344" t="s">
        <v>280</v>
      </c>
      <c r="K1945" s="274" t="s">
        <v>281</v>
      </c>
      <c r="L1945" s="274" t="s">
        <v>282</v>
      </c>
      <c r="M1945" s="178">
        <v>2730</v>
      </c>
      <c r="N1945" s="71"/>
      <c r="O1945" s="274" t="s">
        <v>64</v>
      </c>
      <c r="P1945" s="274">
        <v>36</v>
      </c>
      <c r="Q1945" s="274">
        <v>48</v>
      </c>
      <c r="R1945" s="274">
        <v>36</v>
      </c>
      <c r="S1945" s="170">
        <v>48</v>
      </c>
      <c r="T1945" s="170">
        <v>36</v>
      </c>
      <c r="U1945" s="170">
        <v>48</v>
      </c>
      <c r="V1945" s="277">
        <v>36</v>
      </c>
      <c r="W1945" s="277">
        <v>48</v>
      </c>
      <c r="X1945" s="343" t="s">
        <v>283</v>
      </c>
      <c r="Y1945" s="274"/>
      <c r="Z1945" s="274"/>
      <c r="AA1945" s="727">
        <f t="shared" si="713"/>
        <v>12</v>
      </c>
      <c r="AB1945" s="341">
        <f>AA1945*Swiss1</f>
        <v>339.6</v>
      </c>
      <c r="AC1945" s="278">
        <f>MDFSHEET</f>
        <v>24.35</v>
      </c>
      <c r="AD1945" s="263">
        <f>Table1[[#This Row],[Substrate SF]]*Materials!C$37</f>
        <v>33.599999999999994</v>
      </c>
      <c r="AE1945" s="104">
        <f>IF(Table1[[#This Row],[Work Center]]="SwissQ",Materials!G$37,IF(Table1[[#This Row],[Work Center]]="Inca",Materials!G$29,IF(Table1[[#This Row],[Work Center]]="Canon",Materials!G$49,Materials!G$45)))</f>
        <v>20</v>
      </c>
      <c r="AF1945" s="321">
        <f>'Cali Frames'!D548</f>
        <v>143.535</v>
      </c>
      <c r="AG1945" s="320"/>
      <c r="AH1945" s="112">
        <f t="shared" si="714"/>
        <v>136.5</v>
      </c>
      <c r="AI1945" s="112"/>
      <c r="AJ1945" s="263">
        <f t="shared" si="712"/>
        <v>357.98500000000001</v>
      </c>
      <c r="AK1945" s="62">
        <f t="shared" si="708"/>
        <v>0.86886996336996336</v>
      </c>
      <c r="AL1945" s="225">
        <f>Table1[[#This Row],[WSP/Dealer]]/Table1[[#This Row],[OD Sq Inch]]</f>
        <v>1.5798611111111112</v>
      </c>
      <c r="AM1945" s="170">
        <f>Table1[[#This Row],[OD Wdth]]*Table1[[#This Row],[OD Hgt]]</f>
        <v>1728</v>
      </c>
      <c r="AN1945" s="238">
        <f>Table1[[#This Row],[Min VO]]+Table1[[#This Row],[Max VO]]</f>
        <v>84</v>
      </c>
      <c r="AO1945" s="275"/>
      <c r="AP1945" s="275"/>
      <c r="AQ1945" s="320"/>
      <c r="AR1945" s="320"/>
      <c r="AS1945" s="320"/>
      <c r="AT1945" s="278"/>
      <c r="AU1945" s="1368" t="str">
        <f t="shared" si="697"/>
        <v>-</v>
      </c>
    </row>
    <row r="1946" spans="1:47" s="63" customFormat="1" x14ac:dyDescent="0.2">
      <c r="A1946" s="180" t="s">
        <v>58</v>
      </c>
      <c r="B1946" s="279" t="s">
        <v>587</v>
      </c>
      <c r="C1946" s="281" t="s">
        <v>4511</v>
      </c>
      <c r="D1946" s="94"/>
      <c r="E1946" s="291" t="s">
        <v>4510</v>
      </c>
      <c r="F1946" s="291" t="s">
        <v>585</v>
      </c>
      <c r="G1946" s="180" t="s">
        <v>132</v>
      </c>
      <c r="H1946" s="180" t="s">
        <v>132</v>
      </c>
      <c r="I1946" s="180" t="s">
        <v>52</v>
      </c>
      <c r="J1946" s="310" t="s">
        <v>280</v>
      </c>
      <c r="K1946" s="180" t="s">
        <v>281</v>
      </c>
      <c r="L1946" s="180" t="s">
        <v>282</v>
      </c>
      <c r="M1946" s="292">
        <v>800</v>
      </c>
      <c r="N1946" s="639">
        <v>800</v>
      </c>
      <c r="O1946" s="180" t="s">
        <v>64</v>
      </c>
      <c r="P1946" s="180">
        <v>36</v>
      </c>
      <c r="Q1946" s="180">
        <v>48</v>
      </c>
      <c r="R1946" s="180">
        <v>36</v>
      </c>
      <c r="S1946" s="180">
        <v>48</v>
      </c>
      <c r="T1946" s="180">
        <v>36</v>
      </c>
      <c r="U1946" s="180">
        <v>48</v>
      </c>
      <c r="V1946" s="947">
        <v>36</v>
      </c>
      <c r="W1946" s="947">
        <v>48</v>
      </c>
      <c r="X1946" s="289" t="s">
        <v>283</v>
      </c>
      <c r="Y1946" s="180"/>
      <c r="Z1946" s="180"/>
      <c r="AA1946" s="678">
        <f t="shared" si="713"/>
        <v>12</v>
      </c>
      <c r="AB1946" s="329">
        <f>AA1946*Swiss1</f>
        <v>339.6</v>
      </c>
      <c r="AC1946" s="176">
        <f>MDFSHEET</f>
        <v>24.35</v>
      </c>
      <c r="AD1946" s="175">
        <f>Table1[[#This Row],[Substrate SF]]*Materials!C$37</f>
        <v>33.599999999999994</v>
      </c>
      <c r="AE1946" s="104">
        <f>IF(Table1[[#This Row],[Work Center]]="SwissQ",Materials!G$37,IF(Table1[[#This Row],[Work Center]]="Inca",Materials!G$29,IF(Table1[[#This Row],[Work Center]]="Canon",Materials!G$49,Materials!G$45)))</f>
        <v>20</v>
      </c>
      <c r="AF1946" s="290">
        <f>'Cali Frames'!D547</f>
        <v>142.13499999999999</v>
      </c>
      <c r="AG1946" s="296"/>
      <c r="AH1946" s="498">
        <f t="shared" si="714"/>
        <v>40</v>
      </c>
      <c r="AI1946" s="498"/>
      <c r="AJ1946" s="176">
        <f t="shared" si="712"/>
        <v>260.08499999999998</v>
      </c>
      <c r="AK1946" s="650">
        <f t="shared" si="708"/>
        <v>0.67489374999999996</v>
      </c>
      <c r="AL1946" s="225">
        <f>Table1[[#This Row],[WSP/Dealer]]/Table1[[#This Row],[OD Sq Inch]]</f>
        <v>0.46296296296296297</v>
      </c>
      <c r="AM1946" s="173">
        <f>Table1[[#This Row],[OD Wdth]]*Table1[[#This Row],[OD Hgt]]</f>
        <v>1728</v>
      </c>
      <c r="AN1946" s="216">
        <f>Table1[[#This Row],[Min VO]]+Table1[[#This Row],[Max VO]]</f>
        <v>84</v>
      </c>
      <c r="AO1946" s="284"/>
      <c r="AP1946" s="284"/>
      <c r="AQ1946" s="296"/>
      <c r="AR1946" s="296"/>
      <c r="AS1946" s="296"/>
      <c r="AT1946" s="176"/>
      <c r="AU1946" s="1358" t="str">
        <f t="shared" si="697"/>
        <v>-</v>
      </c>
    </row>
    <row r="1947" spans="1:47" s="235" customFormat="1" hidden="1" x14ac:dyDescent="0.2">
      <c r="A1947" s="377" t="s">
        <v>187</v>
      </c>
      <c r="B1947" s="1061" t="s">
        <v>261</v>
      </c>
      <c r="C1947" s="967" t="s">
        <v>4512</v>
      </c>
      <c r="D1947" s="94"/>
      <c r="E1947" s="967" t="s">
        <v>4513</v>
      </c>
      <c r="F1947" s="291" t="s">
        <v>585</v>
      </c>
      <c r="G1947" s="180" t="s">
        <v>132</v>
      </c>
      <c r="H1947" s="180" t="s">
        <v>132</v>
      </c>
      <c r="I1947" s="180" t="s">
        <v>108</v>
      </c>
      <c r="J1947" s="60" t="s">
        <v>197</v>
      </c>
      <c r="K1947" s="180" t="s">
        <v>198</v>
      </c>
      <c r="L1947" s="180" t="s">
        <v>199</v>
      </c>
      <c r="M1947" s="982">
        <v>90</v>
      </c>
      <c r="N1947" s="71"/>
      <c r="O1947" s="180" t="s">
        <v>64</v>
      </c>
      <c r="P1947" s="180">
        <v>36</v>
      </c>
      <c r="Q1947" s="180">
        <v>48</v>
      </c>
      <c r="R1947" s="180">
        <v>36</v>
      </c>
      <c r="S1947" s="180">
        <v>48</v>
      </c>
      <c r="T1947" s="180">
        <v>36</v>
      </c>
      <c r="U1947" s="180">
        <v>48</v>
      </c>
      <c r="V1947" s="947">
        <f>Table1[[#This Row],[VO Wdth]]+Materials!$C$7</f>
        <v>38</v>
      </c>
      <c r="W1947" s="947">
        <f>Table1[[#This Row],[VO Hgt]]+Materials!$C$7</f>
        <v>50</v>
      </c>
      <c r="X1947" s="289" t="s">
        <v>197</v>
      </c>
      <c r="Y1947" s="60"/>
      <c r="Z1947" s="60"/>
      <c r="AA1947" s="717">
        <f t="shared" si="713"/>
        <v>13.194444444444445</v>
      </c>
      <c r="AB1947" s="341">
        <f>AA1947*SWISSRML</f>
        <v>26.388888888888889</v>
      </c>
      <c r="AC1947" s="74">
        <f>Table1[[#This Row],[Substrate SF]]*POster</f>
        <v>9.8166666666666664</v>
      </c>
      <c r="AD1947" s="263">
        <f>Table1[[#This Row],[Substrate SF]]*SWISSRC</f>
        <v>2.9027777777777777</v>
      </c>
      <c r="AE194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947" s="73">
        <v>0</v>
      </c>
      <c r="AG1947" s="126">
        <f>Materials!D$76</f>
        <v>10.82</v>
      </c>
      <c r="AH1947" s="498">
        <f t="shared" si="714"/>
        <v>4.5</v>
      </c>
      <c r="AI1947" s="498"/>
      <c r="AJ1947" s="176">
        <f t="shared" si="712"/>
        <v>38.039444444444442</v>
      </c>
      <c r="AK1947" s="650">
        <f t="shared" si="708"/>
        <v>0.57733950617283958</v>
      </c>
      <c r="AL1947" s="225">
        <f>Table1[[#This Row],[WSP/Dealer]]/Table1[[#This Row],[OD Sq Inch]]</f>
        <v>5.2083333333333336E-2</v>
      </c>
      <c r="AM1947" s="173">
        <f>Table1[[#This Row],[OD Wdth]]*Table1[[#This Row],[OD Hgt]]</f>
        <v>1728</v>
      </c>
      <c r="AN1947" s="83"/>
      <c r="AO1947" s="83"/>
      <c r="AP1947" s="83"/>
      <c r="AQ1947" s="540"/>
      <c r="AR1947" s="540"/>
      <c r="AS1947" s="540"/>
      <c r="AT1947" s="69"/>
      <c r="AU1947" s="1361" t="str">
        <f t="shared" si="697"/>
        <v>-</v>
      </c>
    </row>
    <row r="1948" spans="1:47" s="173" customFormat="1" x14ac:dyDescent="0.2">
      <c r="A1948" s="86" t="s">
        <v>58</v>
      </c>
      <c r="B1948" s="1061" t="s">
        <v>406</v>
      </c>
      <c r="C1948" s="100" t="s">
        <v>4514</v>
      </c>
      <c r="D1948" s="94" t="s">
        <v>4515</v>
      </c>
      <c r="E1948" s="85" t="s">
        <v>4516</v>
      </c>
      <c r="F1948" s="85" t="s">
        <v>897</v>
      </c>
      <c r="G1948" s="86" t="s">
        <v>1508</v>
      </c>
      <c r="H1948" s="86" t="s">
        <v>1512</v>
      </c>
      <c r="I1948" s="86" t="s">
        <v>52</v>
      </c>
      <c r="J1948" s="86" t="s">
        <v>280</v>
      </c>
      <c r="K1948" s="86" t="s">
        <v>69</v>
      </c>
      <c r="L1948" s="86" t="s">
        <v>70</v>
      </c>
      <c r="M1948" s="87">
        <v>1045</v>
      </c>
      <c r="N1948" s="639">
        <v>1140</v>
      </c>
      <c r="O1948" s="551" t="s">
        <v>56</v>
      </c>
      <c r="P1948" s="101">
        <v>72</v>
      </c>
      <c r="Q1948" s="101">
        <v>36</v>
      </c>
      <c r="R1948" s="60">
        <v>36</v>
      </c>
      <c r="S1948" s="61">
        <v>72</v>
      </c>
      <c r="T1948" s="103">
        <v>74</v>
      </c>
      <c r="U1948" s="103">
        <v>38</v>
      </c>
      <c r="V1948" s="608">
        <f>IF(J1948="Canvas",P1948+Border,P1948)</f>
        <v>72</v>
      </c>
      <c r="W1948" s="608">
        <f>IF(J1948="Canvas",Q1948+Border,Q1948)</f>
        <v>36</v>
      </c>
      <c r="X1948" s="137" t="s">
        <v>675</v>
      </c>
      <c r="Y1948" s="101"/>
      <c r="Z1948" s="101"/>
      <c r="AA1948" s="649">
        <f t="shared" si="713"/>
        <v>18</v>
      </c>
      <c r="AB1948" s="184">
        <f>AA1948*IncaG</f>
        <v>378.71999999999997</v>
      </c>
      <c r="AC1948" s="104">
        <f>PETG48</f>
        <v>48.66</v>
      </c>
      <c r="AD1948" s="107">
        <f>Table1[[#This Row],[Substrate SF]]*Materials!C$37</f>
        <v>50.4</v>
      </c>
      <c r="AE1948" s="104">
        <f>IF(Table1[[#This Row],[Work Center]]="SwissQ",Materials!G$37,IF(Table1[[#This Row],[Work Center]]="Inca",Materials!G$29,IF(Table1[[#This Row],[Work Center]]="Canon",Materials!G$49,Materials!G$45)))</f>
        <v>8</v>
      </c>
      <c r="AF1948" s="104">
        <f>'Cali Frames'!D$302</f>
        <v>240.03</v>
      </c>
      <c r="AG1948" s="115"/>
      <c r="AH1948" s="112">
        <f t="shared" si="714"/>
        <v>52.25</v>
      </c>
      <c r="AI1948" s="112"/>
      <c r="AJ1948" s="104">
        <f t="shared" si="712"/>
        <v>399.34000000000003</v>
      </c>
      <c r="AK1948" s="62">
        <f t="shared" si="708"/>
        <v>0.61785645933014355</v>
      </c>
      <c r="AL1948" s="225">
        <f>Table1[[#This Row],[WSP/Dealer]]/Table1[[#This Row],[OD Sq Inch]]</f>
        <v>0.3716216216216216</v>
      </c>
      <c r="AM1948" s="103">
        <f>Table1[[#This Row],[OD Wdth]]*Table1[[#This Row],[OD Hgt]]</f>
        <v>2812</v>
      </c>
      <c r="AN1948" s="216">
        <f>Table1[[#This Row],[Min VO]]+Table1[[#This Row],[Max VO]]</f>
        <v>108</v>
      </c>
      <c r="AO1948" s="103"/>
      <c r="AP1948" s="101"/>
      <c r="AQ1948" s="104"/>
      <c r="AR1948" s="104"/>
      <c r="AS1948" s="104"/>
      <c r="AT1948" s="104"/>
      <c r="AU1948" s="108" t="str">
        <f t="shared" si="697"/>
        <v>-</v>
      </c>
    </row>
    <row r="1949" spans="1:47" s="103" customFormat="1" x14ac:dyDescent="0.2">
      <c r="A1949" s="86" t="s">
        <v>58</v>
      </c>
      <c r="B1949" s="1061" t="s">
        <v>406</v>
      </c>
      <c r="C1949" s="76" t="s">
        <v>4517</v>
      </c>
      <c r="D1949" s="94" t="s">
        <v>4518</v>
      </c>
      <c r="E1949" s="85" t="s">
        <v>4516</v>
      </c>
      <c r="F1949" s="85" t="s">
        <v>897</v>
      </c>
      <c r="G1949" s="86" t="s">
        <v>1508</v>
      </c>
      <c r="H1949" s="86" t="s">
        <v>1512</v>
      </c>
      <c r="I1949" s="86" t="s">
        <v>52</v>
      </c>
      <c r="J1949" s="86" t="s">
        <v>53</v>
      </c>
      <c r="K1949" s="86" t="s">
        <v>69</v>
      </c>
      <c r="L1949" s="86" t="s">
        <v>70</v>
      </c>
      <c r="M1949" s="87">
        <v>1045</v>
      </c>
      <c r="N1949" s="639">
        <v>1140</v>
      </c>
      <c r="O1949" s="551" t="s">
        <v>56</v>
      </c>
      <c r="P1949" s="101">
        <v>72</v>
      </c>
      <c r="Q1949" s="101">
        <v>36</v>
      </c>
      <c r="R1949" s="60">
        <v>36</v>
      </c>
      <c r="S1949" s="273">
        <v>72</v>
      </c>
      <c r="T1949" s="101">
        <v>74</v>
      </c>
      <c r="U1949" s="101">
        <v>38</v>
      </c>
      <c r="V1949" s="608">
        <f>IF(J1949="Canvas",P1949+Border,P1949)</f>
        <v>80</v>
      </c>
      <c r="W1949" s="608">
        <f>IF(J1949="Canvas",Q1949+Border,Q1949)</f>
        <v>44</v>
      </c>
      <c r="X1949" s="137">
        <v>80</v>
      </c>
      <c r="Y1949" s="101"/>
      <c r="Z1949" s="101"/>
      <c r="AA1949" s="649">
        <f t="shared" si="713"/>
        <v>24.444444444444443</v>
      </c>
      <c r="AB1949" s="184">
        <f>AA1949*IncaG</f>
        <v>514.31111111111102</v>
      </c>
      <c r="AC1949" s="104">
        <f>PETG48</f>
        <v>48.66</v>
      </c>
      <c r="AD1949" s="104">
        <f>Table1[[#This Row],[Substrate SF]]*Materials!C$37</f>
        <v>68.444444444444429</v>
      </c>
      <c r="AE1949" s="104">
        <f>IF(Table1[[#This Row],[Work Center]]="SwissQ",Materials!G$37,IF(Table1[[#This Row],[Work Center]]="Inca",Materials!G$29,IF(Table1[[#This Row],[Work Center]]="Canon",Materials!G$49,Materials!G$45)))</f>
        <v>8</v>
      </c>
      <c r="AF1949" s="104">
        <f>'Cali Frames'!D$302</f>
        <v>240.03</v>
      </c>
      <c r="AG1949" s="115"/>
      <c r="AH1949" s="498">
        <f t="shared" si="714"/>
        <v>52.25</v>
      </c>
      <c r="AI1949" s="498"/>
      <c r="AJ1949" s="104">
        <f t="shared" si="712"/>
        <v>417.3844444444444</v>
      </c>
      <c r="AK1949" s="650">
        <f t="shared" si="708"/>
        <v>0.60058904837852212</v>
      </c>
      <c r="AL1949" s="225">
        <f>Table1[[#This Row],[WSP/Dealer]]/Table1[[#This Row],[OD Sq Inch]]</f>
        <v>0.3716216216216216</v>
      </c>
      <c r="AM1949" s="216">
        <f>Table1[[#This Row],[OD Wdth]]*Table1[[#This Row],[OD Hgt]]</f>
        <v>2812</v>
      </c>
      <c r="AN1949" s="216">
        <f>Table1[[#This Row],[Min VO]]+Table1[[#This Row],[Max VO]]</f>
        <v>108</v>
      </c>
      <c r="AO1949" s="101"/>
      <c r="AP1949" s="101"/>
      <c r="AQ1949" s="104"/>
      <c r="AR1949" s="104"/>
      <c r="AS1949" s="104"/>
      <c r="AT1949" s="104"/>
      <c r="AU1949" s="830" t="str">
        <f t="shared" si="697"/>
        <v>-</v>
      </c>
    </row>
    <row r="1950" spans="1:47" s="103" customFormat="1" hidden="1" x14ac:dyDescent="0.2">
      <c r="A1950" s="373"/>
      <c r="B1950" s="1061"/>
      <c r="C1950" s="94" t="s">
        <v>4519</v>
      </c>
      <c r="D1950" s="94"/>
      <c r="E1950" s="84" t="s">
        <v>4520</v>
      </c>
      <c r="F1950" s="84" t="s">
        <v>571</v>
      </c>
      <c r="G1950" s="68" t="s">
        <v>637</v>
      </c>
      <c r="H1950" s="68" t="s">
        <v>1119</v>
      </c>
      <c r="I1950" s="68" t="s">
        <v>108</v>
      </c>
      <c r="J1950" s="68" t="s">
        <v>53</v>
      </c>
      <c r="K1950" s="68" t="s">
        <v>69</v>
      </c>
      <c r="L1950" s="68" t="s">
        <v>70</v>
      </c>
      <c r="M1950" s="141">
        <v>550</v>
      </c>
      <c r="N1950" s="71"/>
      <c r="O1950" s="68" t="s">
        <v>64</v>
      </c>
      <c r="P1950" s="68">
        <v>60</v>
      </c>
      <c r="Q1950" s="68">
        <v>48</v>
      </c>
      <c r="R1950" s="68">
        <v>48</v>
      </c>
      <c r="S1950" s="68">
        <v>60</v>
      </c>
      <c r="T1950" s="68">
        <v>61</v>
      </c>
      <c r="U1950" s="68">
        <v>49</v>
      </c>
      <c r="V1950" s="686">
        <f>IF(J1950="Canvas",P1950+Border,P1950)</f>
        <v>68</v>
      </c>
      <c r="W1950" s="686">
        <f>IF(J1950="Canvas",Q1950+Border,Q1950)</f>
        <v>56</v>
      </c>
      <c r="X1950" s="189"/>
      <c r="Y1950" s="68">
        <v>68</v>
      </c>
      <c r="Z1950" s="68">
        <v>56</v>
      </c>
      <c r="AA1950" s="727">
        <f t="shared" si="713"/>
        <v>26.444444444444443</v>
      </c>
      <c r="AB1950" s="341">
        <f>Table1[[#This Row],[Substrate SF]]*SWISSMLR</f>
        <v>52.888888888888886</v>
      </c>
      <c r="AC1950" s="278">
        <f>AA1950*Canvas</f>
        <v>17.453333333333333</v>
      </c>
      <c r="AD1950" s="263">
        <f>Table1[[#This Row],[Substrate SF]]*SWISSCR</f>
        <v>5.8177777777777777</v>
      </c>
      <c r="AE1950" s="74">
        <f>Materials!I$41</f>
        <v>8</v>
      </c>
      <c r="AF1950" s="73">
        <f>'Cali Frames'!D335</f>
        <v>258.27999999999997</v>
      </c>
      <c r="AG1950" s="126"/>
      <c r="AH1950" s="498">
        <f t="shared" si="714"/>
        <v>27.5</v>
      </c>
      <c r="AI1950" s="498"/>
      <c r="AJ1950" s="278">
        <f t="shared" si="712"/>
        <v>317.05111111111108</v>
      </c>
      <c r="AK1950" s="650">
        <f t="shared" si="708"/>
        <v>0.42354343434343439</v>
      </c>
      <c r="AL1950" s="225">
        <f>Table1[[#This Row],[WSP/Dealer]]/Table1[[#This Row],[OD Sq Inch]]</f>
        <v>0.18400802944128472</v>
      </c>
      <c r="AM1950" s="170">
        <f>Table1[[#This Row],[OD Wdth]]*Table1[[#This Row],[OD Hgt]]</f>
        <v>2989</v>
      </c>
      <c r="AN1950" s="274" t="str">
        <f>Table1[[#This Row],[Color]]</f>
        <v>BF</v>
      </c>
      <c r="AO1950" s="84" t="str">
        <f>Table1[[#This Row],[Print Type]]</f>
        <v>Reductive</v>
      </c>
      <c r="AP1950" s="84"/>
      <c r="AQ1950" s="126"/>
      <c r="AR1950" s="126"/>
      <c r="AS1950" s="126"/>
      <c r="AT1950" s="74"/>
      <c r="AU1950" s="1357" t="str">
        <f t="shared" si="697"/>
        <v>-</v>
      </c>
    </row>
    <row r="1951" spans="1:47" s="103" customFormat="1" x14ac:dyDescent="0.2">
      <c r="A1951" s="145" t="s">
        <v>58</v>
      </c>
      <c r="B1951" s="1061" t="s">
        <v>533</v>
      </c>
      <c r="C1951" s="146" t="s">
        <v>4521</v>
      </c>
      <c r="D1951" s="94" t="s">
        <v>4522</v>
      </c>
      <c r="E1951" s="146" t="s">
        <v>4523</v>
      </c>
      <c r="F1951" s="147" t="s">
        <v>1738</v>
      </c>
      <c r="G1951" s="156" t="s">
        <v>323</v>
      </c>
      <c r="H1951" s="156" t="s">
        <v>323</v>
      </c>
      <c r="I1951" s="145" t="s">
        <v>52</v>
      </c>
      <c r="J1951" s="145" t="s">
        <v>53</v>
      </c>
      <c r="K1951" s="145" t="s">
        <v>54</v>
      </c>
      <c r="L1951" s="145" t="s">
        <v>55</v>
      </c>
      <c r="M1951" s="151">
        <v>430</v>
      </c>
      <c r="N1951" s="639">
        <v>460</v>
      </c>
      <c r="O1951" s="145" t="s">
        <v>56</v>
      </c>
      <c r="P1951" s="145">
        <v>36</v>
      </c>
      <c r="Q1951" s="145">
        <v>24</v>
      </c>
      <c r="R1951" s="145">
        <v>24</v>
      </c>
      <c r="S1951" s="145">
        <v>36</v>
      </c>
      <c r="T1951" s="698">
        <f>Table1[[#This Row],[VO Wdth]]</f>
        <v>36</v>
      </c>
      <c r="U1951" s="698">
        <f>Table1[[#This Row],[VO Hgt]]</f>
        <v>24</v>
      </c>
      <c r="V1951" s="149">
        <f>IF(J1951="Canvas",P1951+Border,P1951)</f>
        <v>44</v>
      </c>
      <c r="W1951" s="149">
        <f>IF(J1951="Canvas",Q1951+Border,Q1951)</f>
        <v>32</v>
      </c>
      <c r="X1951" s="157" t="s">
        <v>57</v>
      </c>
      <c r="Y1951" s="145">
        <v>32</v>
      </c>
      <c r="Z1951" s="145">
        <v>88</v>
      </c>
      <c r="AA1951" s="722">
        <f t="shared" si="713"/>
        <v>9.7777777777777786</v>
      </c>
      <c r="AB1951" s="389">
        <f>AA1951*IncaG</f>
        <v>205.72444444444446</v>
      </c>
      <c r="AC1951" s="143">
        <f>Table1[[#This Row],[Substrate SF]]*Paper</f>
        <v>13.229333333333335</v>
      </c>
      <c r="AD1951" s="150">
        <f>AA1951*IncaC</f>
        <v>16.457955555555557</v>
      </c>
      <c r="AE1951" s="104">
        <f>IF(Table1[[#This Row],[Work Center]]="SwissQ",Materials!G$37,IF(Table1[[#This Row],[Work Center]]="Inca",Materials!G$29,IF(Table1[[#This Row],[Work Center]]="Canon",Materials!G$49,Materials!G$45)))</f>
        <v>8</v>
      </c>
      <c r="AF1951" s="143">
        <f>'Cali FPS'!C$32</f>
        <v>63.47</v>
      </c>
      <c r="AG1951" s="115"/>
      <c r="AH1951" s="112">
        <f t="shared" si="714"/>
        <v>21.5</v>
      </c>
      <c r="AI1951" s="112"/>
      <c r="AJ1951" s="143">
        <f t="shared" si="712"/>
        <v>122.6572888888889</v>
      </c>
      <c r="AK1951" s="62">
        <f t="shared" si="708"/>
        <v>0.71475049095607235</v>
      </c>
      <c r="AL1951" s="225">
        <f>Table1[[#This Row],[WSP/Dealer]]/Table1[[#This Row],[OD Sq Inch]]</f>
        <v>0.49768518518518517</v>
      </c>
      <c r="AM1951" s="103">
        <f>Table1[[#This Row],[OD Wdth]]*Table1[[#This Row],[OD Hgt]]</f>
        <v>864</v>
      </c>
      <c r="AN1951" s="216">
        <f>Table1[[#This Row],[Min VO]]+Table1[[#This Row],[Max VO]]</f>
        <v>60</v>
      </c>
      <c r="AO1951" s="145"/>
      <c r="AP1951" s="145"/>
      <c r="AQ1951" s="143"/>
      <c r="AR1951" s="143"/>
      <c r="AS1951" s="143"/>
      <c r="AT1951" s="143"/>
      <c r="AU1951" s="1371" t="str">
        <f t="shared" si="697"/>
        <v>-</v>
      </c>
    </row>
    <row r="1952" spans="1:47" s="173" customFormat="1" x14ac:dyDescent="0.2">
      <c r="A1952" s="180" t="s">
        <v>58</v>
      </c>
      <c r="B1952" s="1061" t="s">
        <v>533</v>
      </c>
      <c r="C1952" s="281" t="s">
        <v>4524</v>
      </c>
      <c r="D1952" s="94"/>
      <c r="E1952" s="281" t="s">
        <v>4525</v>
      </c>
      <c r="F1952" s="284" t="s">
        <v>1738</v>
      </c>
      <c r="G1952" s="181" t="s">
        <v>660</v>
      </c>
      <c r="H1952" s="181" t="s">
        <v>660</v>
      </c>
      <c r="I1952" s="180" t="s">
        <v>52</v>
      </c>
      <c r="J1952" s="180" t="s">
        <v>53</v>
      </c>
      <c r="K1952" s="180" t="s">
        <v>54</v>
      </c>
      <c r="L1952" s="180" t="s">
        <v>55</v>
      </c>
      <c r="M1952" s="182">
        <v>920</v>
      </c>
      <c r="N1952" s="639">
        <v>850</v>
      </c>
      <c r="O1952" s="180" t="s">
        <v>56</v>
      </c>
      <c r="P1952" s="180">
        <v>60</v>
      </c>
      <c r="Q1952" s="180">
        <v>40</v>
      </c>
      <c r="R1952" s="180">
        <v>40</v>
      </c>
      <c r="S1952" s="180">
        <v>60</v>
      </c>
      <c r="T1952" s="813">
        <f>Table1[[#This Row],[VO Wdth]]</f>
        <v>60</v>
      </c>
      <c r="U1952" s="813">
        <f>Table1[[#This Row],[VO Hgt]]</f>
        <v>40</v>
      </c>
      <c r="V1952" s="174">
        <f>IF(J1952="Canvas",P1952+Border,P1952)</f>
        <v>68</v>
      </c>
      <c r="W1952" s="174">
        <f>IF(J1952="Canvas",Q1952+Border,Q1952)</f>
        <v>48</v>
      </c>
      <c r="X1952" s="289">
        <v>69</v>
      </c>
      <c r="Y1952" s="180"/>
      <c r="Z1952" s="180"/>
      <c r="AA1952" s="678">
        <f t="shared" si="713"/>
        <v>22.666666666666668</v>
      </c>
      <c r="AB1952" s="329">
        <f>AA1952*IncaG</f>
        <v>476.90666666666669</v>
      </c>
      <c r="AC1952" s="176">
        <f>Table1[[#This Row],[Substrate SF]]*Paper</f>
        <v>30.668000000000003</v>
      </c>
      <c r="AD1952" s="175">
        <f>AA1952*IncaC</f>
        <v>38.152533333333338</v>
      </c>
      <c r="AE1952" s="104">
        <f>IF(Table1[[#This Row],[Work Center]]="SwissQ",Materials!G$37,IF(Table1[[#This Row],[Work Center]]="Inca",Materials!G$29,IF(Table1[[#This Row],[Work Center]]="Canon",Materials!G$49,Materials!G$45)))</f>
        <v>8</v>
      </c>
      <c r="AF1952" s="176">
        <f>'Cali FPS'!C101</f>
        <v>174.29999999999998</v>
      </c>
      <c r="AG1952" s="115"/>
      <c r="AH1952" s="112">
        <f t="shared" si="714"/>
        <v>46</v>
      </c>
      <c r="AI1952" s="112"/>
      <c r="AJ1952" s="176">
        <f t="shared" si="712"/>
        <v>297.12053333333336</v>
      </c>
      <c r="AK1952" s="62">
        <f t="shared" si="708"/>
        <v>0.67704289855072464</v>
      </c>
      <c r="AL1952" s="225">
        <f>Table1[[#This Row],[WSP/Dealer]]/Table1[[#This Row],[OD Sq Inch]]</f>
        <v>0.38333333333333336</v>
      </c>
      <c r="AM1952" s="218">
        <f>Table1[[#This Row],[OD Wdth]]*Table1[[#This Row],[OD Hgt]]</f>
        <v>2400</v>
      </c>
      <c r="AN1952" s="216">
        <f>Table1[[#This Row],[Min VO]]+Table1[[#This Row],[Max VO]]</f>
        <v>100</v>
      </c>
      <c r="AP1952" s="180"/>
      <c r="AQ1952" s="176"/>
      <c r="AR1952" s="176"/>
      <c r="AS1952" s="176"/>
      <c r="AT1952" s="176"/>
      <c r="AU1952" s="676" t="str">
        <f t="shared" si="697"/>
        <v>-</v>
      </c>
    </row>
    <row r="1953" spans="1:47" s="63" customFormat="1" hidden="1" x14ac:dyDescent="0.2">
      <c r="A1953" s="101"/>
      <c r="B1953" s="1061"/>
      <c r="C1953" s="77" t="s">
        <v>4526</v>
      </c>
      <c r="D1953" s="94"/>
      <c r="E1953" s="115" t="s">
        <v>4527</v>
      </c>
      <c r="F1953" s="115" t="s">
        <v>3625</v>
      </c>
      <c r="G1953" s="101" t="s">
        <v>4528</v>
      </c>
      <c r="H1953" s="101"/>
      <c r="I1953" s="60" t="s">
        <v>108</v>
      </c>
      <c r="J1953" s="59" t="s">
        <v>257</v>
      </c>
      <c r="K1953" s="101" t="s">
        <v>258</v>
      </c>
      <c r="L1953" s="101" t="s">
        <v>259</v>
      </c>
      <c r="M1953" s="299">
        <v>1000</v>
      </c>
      <c r="N1953" s="71"/>
      <c r="O1953" s="101" t="s">
        <v>260</v>
      </c>
      <c r="P1953" s="60">
        <v>53</v>
      </c>
      <c r="Q1953" s="60">
        <v>70</v>
      </c>
      <c r="R1953" s="60">
        <v>53</v>
      </c>
      <c r="S1953" s="60">
        <v>70</v>
      </c>
      <c r="T1953" s="101">
        <v>55</v>
      </c>
      <c r="U1953" s="101">
        <v>72</v>
      </c>
      <c r="V1953" s="47">
        <f>Table1[[#This Row],[VO Wdth]]+Materials!$C$50</f>
        <v>55</v>
      </c>
      <c r="W1953" s="47">
        <f>Table1[[#This Row],[VO Hgt]]+Materials!$C$50</f>
        <v>72</v>
      </c>
      <c r="X1953" s="137" t="s">
        <v>257</v>
      </c>
      <c r="Y1953" s="101"/>
      <c r="Z1953" s="101"/>
      <c r="AA1953" s="717">
        <f t="shared" si="713"/>
        <v>27.5</v>
      </c>
      <c r="AB1953" s="125">
        <f>AA1953*canonML</f>
        <v>132</v>
      </c>
      <c r="AC1953" s="69">
        <f>Table1[[#This Row],[Print Wth]]*paper60</f>
        <v>18.700000000000003</v>
      </c>
      <c r="AD1953" s="48">
        <f>Table1[[#This Row],[Ink g/mL]]*CanonC</f>
        <v>35.64</v>
      </c>
      <c r="AE1953" s="104">
        <f>IF(Table1[[#This Row],[Work Center]]="SwissQ",Materials!G$37,IF(Table1[[#This Row],[Work Center]]="Inca",Materials!G$29,IF(Table1[[#This Row],[Work Center]]="Canon",Materials!G$49,Materials!G$45)))</f>
        <v>7</v>
      </c>
      <c r="AF1953" s="102">
        <f>'Cali Frames'!D51</f>
        <v>505.19099999999997</v>
      </c>
      <c r="AG1953" s="121"/>
      <c r="AH1953" s="498">
        <f t="shared" si="714"/>
        <v>50</v>
      </c>
      <c r="AI1953" s="498"/>
      <c r="AJ1953" s="104">
        <f t="shared" si="712"/>
        <v>616.53099999999995</v>
      </c>
      <c r="AK1953" s="650">
        <f t="shared" si="708"/>
        <v>0.38346900000000006</v>
      </c>
      <c r="AL1953" s="225" t="e">
        <f>Table1[[#This Row],[WSP/Dealer]]/Table1[[#This Row],[OD Sq Inch]]</f>
        <v>#DIV/0!</v>
      </c>
      <c r="AM1953" s="113"/>
      <c r="AN1953" s="216">
        <f>Table1[[#This Row],[Min VO]]+Table1[[#This Row],[Max VO]]</f>
        <v>123</v>
      </c>
      <c r="AO1953" s="115"/>
      <c r="AP1953" s="115"/>
      <c r="AQ1953" s="121"/>
      <c r="AR1953" s="121"/>
      <c r="AS1953" s="121"/>
      <c r="AT1953" s="104"/>
      <c r="AU1953" s="1359" t="str">
        <f t="shared" si="697"/>
        <v>-</v>
      </c>
    </row>
    <row r="1954" spans="1:47" s="103" customFormat="1" hidden="1" x14ac:dyDescent="0.2">
      <c r="A1954" s="101"/>
      <c r="B1954" s="1061"/>
      <c r="C1954" s="77" t="s">
        <v>4529</v>
      </c>
      <c r="D1954" s="94"/>
      <c r="E1954" s="115" t="s">
        <v>4527</v>
      </c>
      <c r="F1954" s="115" t="s">
        <v>3625</v>
      </c>
      <c r="G1954" s="101" t="s">
        <v>4528</v>
      </c>
      <c r="H1954" s="101"/>
      <c r="I1954" s="60" t="s">
        <v>108</v>
      </c>
      <c r="J1954" s="59" t="s">
        <v>257</v>
      </c>
      <c r="K1954" s="101" t="s">
        <v>258</v>
      </c>
      <c r="L1954" s="101" t="s">
        <v>269</v>
      </c>
      <c r="M1954" s="299">
        <v>1150</v>
      </c>
      <c r="N1954" s="71"/>
      <c r="O1954" s="101" t="s">
        <v>260</v>
      </c>
      <c r="P1954" s="60">
        <v>53</v>
      </c>
      <c r="Q1954" s="60">
        <v>70</v>
      </c>
      <c r="R1954" s="60">
        <v>53</v>
      </c>
      <c r="S1954" s="60">
        <v>70</v>
      </c>
      <c r="T1954" s="101">
        <v>55</v>
      </c>
      <c r="U1954" s="101">
        <v>72</v>
      </c>
      <c r="V1954" s="946">
        <f>Table1[[#This Row],[VO Wdth]]+Materials!$C$50</f>
        <v>55</v>
      </c>
      <c r="W1954" s="946">
        <f>Table1[[#This Row],[VO Hgt]]+Materials!$C$50</f>
        <v>72</v>
      </c>
      <c r="X1954" s="137" t="s">
        <v>257</v>
      </c>
      <c r="Y1954" s="101"/>
      <c r="Z1954" s="101"/>
      <c r="AA1954" s="717">
        <f t="shared" si="713"/>
        <v>27.5</v>
      </c>
      <c r="AB1954" s="125">
        <f>AA1954*canonML</f>
        <v>132</v>
      </c>
      <c r="AC1954" s="69">
        <f>Table1[[#This Row],[Print Wth]]*paper60</f>
        <v>18.700000000000003</v>
      </c>
      <c r="AD1954" s="69">
        <f>Table1[[#This Row],[Ink g/mL]]*CanonC</f>
        <v>35.64</v>
      </c>
      <c r="AE1954" s="104">
        <f>IF(Table1[[#This Row],[Work Center]]="SwissQ",Materials!G$37,IF(Table1[[#This Row],[Work Center]]="Inca",Materials!G$29,IF(Table1[[#This Row],[Work Center]]="Canon",Materials!G$49,Materials!G$45)))</f>
        <v>7</v>
      </c>
      <c r="AF1954" s="102">
        <f>'Cali Frames'!D69</f>
        <v>460.89750000000004</v>
      </c>
      <c r="AG1954" s="121"/>
      <c r="AH1954" s="498">
        <f t="shared" si="714"/>
        <v>57.5</v>
      </c>
      <c r="AI1954" s="498"/>
      <c r="AJ1954" s="104">
        <f t="shared" si="712"/>
        <v>579.73750000000007</v>
      </c>
      <c r="AK1954" s="650">
        <f t="shared" si="708"/>
        <v>0.49588043478260863</v>
      </c>
      <c r="AL1954" s="225" t="e">
        <f>Table1[[#This Row],[WSP/Dealer]]/Table1[[#This Row],[OD Sq Inch]]</f>
        <v>#DIV/0!</v>
      </c>
      <c r="AM1954" s="115"/>
      <c r="AN1954" s="216">
        <f>Table1[[#This Row],[Min VO]]+Table1[[#This Row],[Max VO]]</f>
        <v>123</v>
      </c>
      <c r="AO1954" s="115"/>
      <c r="AP1954" s="115"/>
      <c r="AQ1954" s="121"/>
      <c r="AR1954" s="121"/>
      <c r="AS1954" s="121"/>
      <c r="AT1954" s="104"/>
      <c r="AU1954" s="1359" t="str">
        <f t="shared" si="697"/>
        <v>-</v>
      </c>
    </row>
    <row r="1955" spans="1:47" s="63" customFormat="1" hidden="1" x14ac:dyDescent="0.2">
      <c r="A1955" s="374" t="s">
        <v>187</v>
      </c>
      <c r="B1955" s="1061" t="s">
        <v>261</v>
      </c>
      <c r="C1955" s="317" t="s">
        <v>4530</v>
      </c>
      <c r="D1955" s="94"/>
      <c r="E1955" s="375" t="s">
        <v>4531</v>
      </c>
      <c r="F1955" s="375" t="s">
        <v>585</v>
      </c>
      <c r="G1955" s="274" t="s">
        <v>1026</v>
      </c>
      <c r="H1955" s="274" t="s">
        <v>1026</v>
      </c>
      <c r="I1955" s="274" t="s">
        <v>52</v>
      </c>
      <c r="J1955" s="344" t="s">
        <v>280</v>
      </c>
      <c r="K1955" s="274" t="s">
        <v>281</v>
      </c>
      <c r="L1955" s="274" t="s">
        <v>282</v>
      </c>
      <c r="M1955" s="178">
        <v>2130</v>
      </c>
      <c r="N1955" s="71"/>
      <c r="O1955" s="274" t="s">
        <v>64</v>
      </c>
      <c r="P1955" s="274">
        <v>30</v>
      </c>
      <c r="Q1955" s="274">
        <v>40</v>
      </c>
      <c r="R1955" s="274">
        <v>30</v>
      </c>
      <c r="S1955" s="274">
        <v>40</v>
      </c>
      <c r="T1955" s="274">
        <v>30</v>
      </c>
      <c r="U1955" s="274">
        <v>40</v>
      </c>
      <c r="V1955" s="277">
        <v>30</v>
      </c>
      <c r="W1955" s="277">
        <v>40</v>
      </c>
      <c r="X1955" s="343" t="s">
        <v>283</v>
      </c>
      <c r="Y1955" s="274"/>
      <c r="Z1955" s="274"/>
      <c r="AA1955" s="727">
        <f t="shared" si="713"/>
        <v>8.3333333333333339</v>
      </c>
      <c r="AB1955" s="341">
        <f>AA1955*Swiss1</f>
        <v>235.83333333333334</v>
      </c>
      <c r="AC1955" s="278">
        <f>MDFSHEET*0.5</f>
        <v>12.175000000000001</v>
      </c>
      <c r="AD1955" s="263">
        <f>Table1[[#This Row],[Substrate SF]]*Materials!C$37</f>
        <v>23.333333333333332</v>
      </c>
      <c r="AE1955" s="104">
        <f>IF(Table1[[#This Row],[Work Center]]="SwissQ",Materials!G$37,IF(Table1[[#This Row],[Work Center]]="Inca",Materials!G$29,IF(Table1[[#This Row],[Work Center]]="Canon",Materials!G$49,Materials!G$45)))</f>
        <v>20</v>
      </c>
      <c r="AF1955" s="321">
        <f>'Cali Frames'!D542</f>
        <v>139.35249999999999</v>
      </c>
      <c r="AG1955" s="320"/>
      <c r="AH1955" s="498">
        <f t="shared" si="714"/>
        <v>106.5</v>
      </c>
      <c r="AI1955" s="498"/>
      <c r="AJ1955" s="278">
        <f t="shared" si="712"/>
        <v>301.36083333333329</v>
      </c>
      <c r="AK1955" s="650">
        <f t="shared" ref="AK1955:AK1986" si="715">(M1955-AJ1955)/M1955</f>
        <v>0.85851604068857601</v>
      </c>
      <c r="AL1955" s="225">
        <f>Table1[[#This Row],[WSP/Dealer]]/Table1[[#This Row],[OD Sq Inch]]</f>
        <v>1.7749999999999999</v>
      </c>
      <c r="AM1955" s="170">
        <f>Table1[[#This Row],[OD Wdth]]*Table1[[#This Row],[OD Hgt]]</f>
        <v>1200</v>
      </c>
      <c r="AN1955" s="238">
        <f>Table1[[#This Row],[Min VO]]+Table1[[#This Row],[Max VO]]</f>
        <v>70</v>
      </c>
      <c r="AO1955" s="275"/>
      <c r="AP1955" s="275"/>
      <c r="AQ1955" s="320"/>
      <c r="AR1955" s="320"/>
      <c r="AS1955" s="320"/>
      <c r="AT1955" s="278"/>
      <c r="AU1955" s="1368" t="str">
        <f t="shared" si="697"/>
        <v>-</v>
      </c>
    </row>
    <row r="1956" spans="1:47" s="170" customFormat="1" x14ac:dyDescent="0.2">
      <c r="A1956" s="180" t="s">
        <v>58</v>
      </c>
      <c r="B1956" s="1061" t="s">
        <v>587</v>
      </c>
      <c r="C1956" s="281" t="s">
        <v>4532</v>
      </c>
      <c r="D1956" s="94"/>
      <c r="E1956" s="291" t="s">
        <v>4531</v>
      </c>
      <c r="F1956" s="291" t="s">
        <v>585</v>
      </c>
      <c r="G1956" s="180" t="s">
        <v>1026</v>
      </c>
      <c r="H1956" s="180" t="s">
        <v>1026</v>
      </c>
      <c r="I1956" s="180" t="s">
        <v>52</v>
      </c>
      <c r="J1956" s="310" t="s">
        <v>280</v>
      </c>
      <c r="K1956" s="180" t="s">
        <v>281</v>
      </c>
      <c r="L1956" s="180" t="s">
        <v>282</v>
      </c>
      <c r="M1956" s="292">
        <v>625</v>
      </c>
      <c r="N1956" s="639">
        <v>625</v>
      </c>
      <c r="O1956" s="180" t="s">
        <v>64</v>
      </c>
      <c r="P1956" s="180">
        <v>30</v>
      </c>
      <c r="Q1956" s="180">
        <v>40</v>
      </c>
      <c r="R1956" s="180">
        <v>30</v>
      </c>
      <c r="S1956" s="180">
        <v>40</v>
      </c>
      <c r="T1956" s="180">
        <v>30</v>
      </c>
      <c r="U1956" s="180">
        <v>40</v>
      </c>
      <c r="V1956" s="174">
        <v>30</v>
      </c>
      <c r="W1956" s="174">
        <v>40</v>
      </c>
      <c r="X1956" s="289" t="s">
        <v>283</v>
      </c>
      <c r="Y1956" s="180"/>
      <c r="Z1956" s="180"/>
      <c r="AA1956" s="678">
        <f t="shared" si="713"/>
        <v>8.3333333333333339</v>
      </c>
      <c r="AB1956" s="329">
        <f>AA1956*Swiss1</f>
        <v>235.83333333333334</v>
      </c>
      <c r="AC1956" s="176">
        <f>MDFSHEET*0.5</f>
        <v>12.175000000000001</v>
      </c>
      <c r="AD1956" s="175">
        <f>Table1[[#This Row],[Substrate SF]]*Materials!C$37</f>
        <v>23.333333333333332</v>
      </c>
      <c r="AE1956" s="104">
        <f>IF(Table1[[#This Row],[Work Center]]="SwissQ",Materials!G$37,IF(Table1[[#This Row],[Work Center]]="Inca",Materials!G$29,IF(Table1[[#This Row],[Work Center]]="Canon",Materials!G$49,Materials!G$45)))</f>
        <v>20</v>
      </c>
      <c r="AF1956" s="290">
        <f>'Cali Frames'!D541</f>
        <v>126.02</v>
      </c>
      <c r="AG1956" s="296"/>
      <c r="AH1956" s="112">
        <f t="shared" si="714"/>
        <v>31.25</v>
      </c>
      <c r="AI1956" s="112"/>
      <c r="AJ1956" s="176">
        <f t="shared" si="712"/>
        <v>212.77833333333334</v>
      </c>
      <c r="AK1956" s="62">
        <f t="shared" si="715"/>
        <v>0.65955466666666673</v>
      </c>
      <c r="AL1956" s="225">
        <f>Table1[[#This Row],[WSP/Dealer]]/Table1[[#This Row],[OD Sq Inch]]</f>
        <v>0.52083333333333337</v>
      </c>
      <c r="AM1956" s="173">
        <f>Table1[[#This Row],[OD Wdth]]*Table1[[#This Row],[OD Hgt]]</f>
        <v>1200</v>
      </c>
      <c r="AN1956" s="216">
        <f>Table1[[#This Row],[Min VO]]+Table1[[#This Row],[Max VO]]</f>
        <v>70</v>
      </c>
      <c r="AO1956" s="284"/>
      <c r="AP1956" s="284"/>
      <c r="AQ1956" s="296"/>
      <c r="AR1956" s="296"/>
      <c r="AS1956" s="296"/>
      <c r="AT1956" s="176"/>
      <c r="AU1956" s="1358" t="str">
        <f t="shared" si="697"/>
        <v>-</v>
      </c>
    </row>
    <row r="1957" spans="1:47" s="173" customFormat="1" hidden="1" x14ac:dyDescent="0.2">
      <c r="A1957" s="374" t="s">
        <v>187</v>
      </c>
      <c r="B1957" s="1061" t="s">
        <v>261</v>
      </c>
      <c r="C1957" s="436" t="s">
        <v>4533</v>
      </c>
      <c r="D1957" s="94"/>
      <c r="E1957" s="436" t="s">
        <v>4534</v>
      </c>
      <c r="F1957" s="375" t="s">
        <v>585</v>
      </c>
      <c r="G1957" s="274" t="s">
        <v>1026</v>
      </c>
      <c r="H1957" s="274" t="s">
        <v>1026</v>
      </c>
      <c r="I1957" s="274" t="s">
        <v>108</v>
      </c>
      <c r="J1957" s="68" t="s">
        <v>197</v>
      </c>
      <c r="K1957" s="274" t="s">
        <v>198</v>
      </c>
      <c r="L1957" s="274" t="s">
        <v>199</v>
      </c>
      <c r="M1957" s="455">
        <v>60</v>
      </c>
      <c r="N1957" s="71"/>
      <c r="O1957" s="274" t="s">
        <v>64</v>
      </c>
      <c r="P1957" s="274">
        <v>30</v>
      </c>
      <c r="Q1957" s="274">
        <v>40</v>
      </c>
      <c r="R1957" s="274">
        <v>30</v>
      </c>
      <c r="S1957" s="274">
        <v>40</v>
      </c>
      <c r="T1957" s="274">
        <v>30</v>
      </c>
      <c r="U1957" s="274">
        <v>40</v>
      </c>
      <c r="V1957" s="277">
        <f>Table1[[#This Row],[VO Wdth]]+Materials!$C$7</f>
        <v>32</v>
      </c>
      <c r="W1957" s="277">
        <f>Table1[[#This Row],[VO Hgt]]+Materials!$C$7</f>
        <v>42</v>
      </c>
      <c r="X1957" s="343" t="s">
        <v>197</v>
      </c>
      <c r="Y1957" s="68"/>
      <c r="Z1957" s="68"/>
      <c r="AA1957" s="699">
        <f t="shared" si="713"/>
        <v>9.3333333333333339</v>
      </c>
      <c r="AB1957" s="341">
        <f>AA1957*SWISSRML</f>
        <v>18.666666666666668</v>
      </c>
      <c r="AC1957" s="74">
        <f>Table1[[#This Row],[Substrate SF]]*POster</f>
        <v>6.944</v>
      </c>
      <c r="AD1957" s="263">
        <f>Table1[[#This Row],[Substrate SF]]*SWISSRC</f>
        <v>2.0533333333333337</v>
      </c>
      <c r="AE195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1957" s="73">
        <v>0</v>
      </c>
      <c r="AG1957" s="126">
        <f>Materials!D$76</f>
        <v>10.82</v>
      </c>
      <c r="AH1957" s="112">
        <f t="shared" si="714"/>
        <v>3</v>
      </c>
      <c r="AI1957" s="112"/>
      <c r="AJ1957" s="263">
        <f t="shared" si="712"/>
        <v>32.817333333333337</v>
      </c>
      <c r="AK1957" s="62">
        <f t="shared" si="715"/>
        <v>0.45304444444444436</v>
      </c>
      <c r="AL1957" s="225">
        <f>Table1[[#This Row],[WSP/Dealer]]/Table1[[#This Row],[OD Sq Inch]]</f>
        <v>0.05</v>
      </c>
      <c r="AM1957" s="170">
        <f>Table1[[#This Row],[OD Wdth]]*Table1[[#This Row],[OD Hgt]]</f>
        <v>1200</v>
      </c>
      <c r="AN1957" s="84"/>
      <c r="AO1957" s="84"/>
      <c r="AP1957" s="84"/>
      <c r="AQ1957" s="126"/>
      <c r="AR1957" s="126"/>
      <c r="AS1957" s="126"/>
      <c r="AT1957" s="74"/>
      <c r="AU1957" s="1357" t="str">
        <f t="shared" si="697"/>
        <v>-</v>
      </c>
    </row>
    <row r="1958" spans="1:47" s="170" customFormat="1" hidden="1" x14ac:dyDescent="0.2">
      <c r="A1958" s="101" t="s">
        <v>101</v>
      </c>
      <c r="B1958" s="1064" t="s">
        <v>111</v>
      </c>
      <c r="C1958" s="625" t="s">
        <v>4535</v>
      </c>
      <c r="D1958" s="168"/>
      <c r="E1958" s="169" t="s">
        <v>4536</v>
      </c>
      <c r="F1958" s="169" t="s">
        <v>105</v>
      </c>
      <c r="G1958" s="101" t="s">
        <v>693</v>
      </c>
      <c r="H1958" s="101" t="s">
        <v>4537</v>
      </c>
      <c r="I1958" s="101" t="s">
        <v>108</v>
      </c>
      <c r="J1958" s="487" t="s">
        <v>53</v>
      </c>
      <c r="K1958" s="101" t="s">
        <v>69</v>
      </c>
      <c r="L1958" s="101" t="s">
        <v>70</v>
      </c>
      <c r="M1958" s="141">
        <v>176</v>
      </c>
      <c r="N1958" s="114"/>
      <c r="O1958" s="101" t="s">
        <v>109</v>
      </c>
      <c r="P1958" s="101">
        <v>12</v>
      </c>
      <c r="Q1958" s="101">
        <v>12</v>
      </c>
      <c r="R1958" s="101">
        <v>12</v>
      </c>
      <c r="S1958" s="101">
        <v>12</v>
      </c>
      <c r="T1958" s="101">
        <v>13</v>
      </c>
      <c r="U1958" s="101">
        <v>13</v>
      </c>
      <c r="V1958" s="1353">
        <f>IF(J1958="Canvas",P1958+BorderGW,P1958)</f>
        <v>20</v>
      </c>
      <c r="W1958" s="1353">
        <f>IF(J1958="Canvas",Q1958+BorderGW,Q1958)</f>
        <v>20</v>
      </c>
      <c r="X1958" s="101">
        <v>40</v>
      </c>
      <c r="Y1958" s="686">
        <f>Table1[[#This Row],[Print Wth]]</f>
        <v>20</v>
      </c>
      <c r="Z1958" s="686">
        <f>Table1[[#This Row],[Print Ht]]</f>
        <v>20</v>
      </c>
      <c r="AA1958" s="1027">
        <f>Table1[[#This Row],[Cut Width]]*Table1[[#This Row],[Cut Height]]/144</f>
        <v>2.7777777777777777</v>
      </c>
      <c r="AB1958" s="1130">
        <f>Table1[[#This Row],[Print Wth]]*Table1[[#This Row],[Print Ht]]/144*EPSONM</f>
        <v>12.5</v>
      </c>
      <c r="AC1958" s="278">
        <f>Table1[[#This Row],[Substrate SF]]*Canvas</f>
        <v>1.8333333333333333</v>
      </c>
      <c r="AD1958" s="278">
        <f>Table1[[#This Row],[Ink g/mL]]*EPSONC</f>
        <v>2.75</v>
      </c>
      <c r="AE1958" s="104">
        <f>IF(Table1[[#This Row],[Color]]="UF",10,IF(Table1[[#This Row],[Work Center]]="SwissQ",Materials!G$37,IF(Table1[[#This Row],[Work Center]]="Inca",Materials!G$29,IF(Table1[[#This Row],[Work Center]]="Canon",Materials!G$49,Materials!G$45))))</f>
        <v>5</v>
      </c>
      <c r="AF1958" s="102">
        <f>'Cali Frames'!D259</f>
        <v>78</v>
      </c>
      <c r="AG1958" s="121"/>
      <c r="AH1958" s="406">
        <v>0</v>
      </c>
      <c r="AI1958" s="406"/>
      <c r="AJ1958" s="406">
        <f t="shared" si="712"/>
        <v>87.583333333333329</v>
      </c>
      <c r="AK1958" s="1065">
        <f t="shared" si="715"/>
        <v>0.50236742424242431</v>
      </c>
      <c r="AL1958" s="406">
        <f>Table1[[#This Row],[WSP/Dealer]]/Table1[[#This Row],[OD Sq Inch]]</f>
        <v>1.0414201183431953</v>
      </c>
      <c r="AM1958" s="400">
        <f>Table1[[#This Row],[OD Wdth]]*Table1[[#This Row],[OD Hgt]]</f>
        <v>169</v>
      </c>
      <c r="AN1958" s="400">
        <f>Table1[[#This Row],[Min VO]]+Table1[[#This Row],[Max VO]]</f>
        <v>24</v>
      </c>
      <c r="AO1958" s="115"/>
      <c r="AP1958" s="115"/>
      <c r="AQ1958" s="121"/>
      <c r="AR1958" s="121"/>
      <c r="AS1958" s="121"/>
      <c r="AT1958" s="104"/>
      <c r="AU1958" s="1359" t="str">
        <f t="shared" si="697"/>
        <v>-</v>
      </c>
    </row>
    <row r="1959" spans="1:47" s="399" customFormat="1" hidden="1" x14ac:dyDescent="0.2">
      <c r="A1959" s="86" t="s">
        <v>669</v>
      </c>
      <c r="B1959" s="1061" t="s">
        <v>406</v>
      </c>
      <c r="C1959" s="100" t="s">
        <v>4538</v>
      </c>
      <c r="D1959" s="94" t="s">
        <v>4539</v>
      </c>
      <c r="E1959" s="85" t="s">
        <v>4540</v>
      </c>
      <c r="F1959" s="85" t="s">
        <v>144</v>
      </c>
      <c r="G1959" s="86" t="s">
        <v>2469</v>
      </c>
      <c r="H1959" s="86" t="s">
        <v>2470</v>
      </c>
      <c r="I1959" s="86" t="s">
        <v>52</v>
      </c>
      <c r="J1959" s="86" t="s">
        <v>280</v>
      </c>
      <c r="K1959" s="86" t="s">
        <v>69</v>
      </c>
      <c r="L1959" s="86" t="s">
        <v>70</v>
      </c>
      <c r="M1959" s="87">
        <v>1265</v>
      </c>
      <c r="N1959" s="71"/>
      <c r="O1959" s="551" t="s">
        <v>64</v>
      </c>
      <c r="P1959" s="101">
        <v>50</v>
      </c>
      <c r="Q1959" s="101">
        <v>68</v>
      </c>
      <c r="R1959" s="60">
        <v>50</v>
      </c>
      <c r="S1959" s="273">
        <v>68</v>
      </c>
      <c r="T1959" s="103">
        <v>51</v>
      </c>
      <c r="U1959" s="103" t="str">
        <f>RIGHT(H1959,2)</f>
        <v>69</v>
      </c>
      <c r="V1959" s="106">
        <f>IF(J1959="Canvas",P1959+Border,P1959)</f>
        <v>50</v>
      </c>
      <c r="W1959" s="106">
        <f>IF(J1959="Canvas",Q1959+Border,Q1959)</f>
        <v>68</v>
      </c>
      <c r="X1959" s="137" t="s">
        <v>2471</v>
      </c>
      <c r="Y1959" s="101"/>
      <c r="Z1959" s="101"/>
      <c r="AA1959" s="649">
        <f t="shared" ref="AA1959:AA1972" si="716">V1959*W1959/144</f>
        <v>23.611111111111111</v>
      </c>
      <c r="AB1959" s="125">
        <f>AA1959*Swiss1</f>
        <v>668.19444444444446</v>
      </c>
      <c r="AC1959" s="104">
        <f>PETG60</f>
        <v>58.32</v>
      </c>
      <c r="AD1959" s="107">
        <f>Table1[[#This Row],[Substrate SF]]*Materials!C$37</f>
        <v>66.1111111111111</v>
      </c>
      <c r="AE1959" s="104">
        <f>IF(Table1[[#This Row],[Work Center]]="SwissQ",Materials!G$37,IF(Table1[[#This Row],[Work Center]]="Inca",Materials!G$29,IF(Table1[[#This Row],[Work Center]]="Canon",Materials!G$49,Materials!G$45)))</f>
        <v>20</v>
      </c>
      <c r="AF1959" s="104">
        <f>'Cali Frames'!D554</f>
        <v>178.11500000000001</v>
      </c>
      <c r="AG1959" s="115"/>
      <c r="AH1959" s="498">
        <f t="shared" ref="AH1959:AH1972" si="717">(M1959*0.05)</f>
        <v>63.25</v>
      </c>
      <c r="AI1959" s="498"/>
      <c r="AJ1959" s="107">
        <f t="shared" si="712"/>
        <v>385.79611111111114</v>
      </c>
      <c r="AK1959" s="650">
        <f t="shared" si="715"/>
        <v>0.69502283706631529</v>
      </c>
      <c r="AL1959" s="225">
        <f>Table1[[#This Row],[WSP/Dealer]]/Table1[[#This Row],[OD Sq Inch]]</f>
        <v>0.35947712418300654</v>
      </c>
      <c r="AM1959" s="218">
        <f>Table1[[#This Row],[OD Wdth]]*Table1[[#This Row],[OD Hgt]]</f>
        <v>3519</v>
      </c>
      <c r="AN1959" s="216">
        <f>Table1[[#This Row],[Min VO]]+Table1[[#This Row],[Max VO]]</f>
        <v>118</v>
      </c>
      <c r="AO1959" s="101"/>
      <c r="AP1959" s="101"/>
      <c r="AQ1959" s="104"/>
      <c r="AR1959" s="104"/>
      <c r="AS1959" s="104"/>
      <c r="AT1959" s="104"/>
      <c r="AU1959" s="830" t="str">
        <f t="shared" si="697"/>
        <v>-</v>
      </c>
    </row>
    <row r="1960" spans="1:47" s="399" customFormat="1" x14ac:dyDescent="0.2">
      <c r="A1960" s="86" t="s">
        <v>58</v>
      </c>
      <c r="B1960" s="1061" t="s">
        <v>406</v>
      </c>
      <c r="C1960" s="76" t="s">
        <v>4541</v>
      </c>
      <c r="D1960" s="94" t="s">
        <v>4542</v>
      </c>
      <c r="E1960" s="85" t="s">
        <v>4543</v>
      </c>
      <c r="F1960" s="85" t="s">
        <v>144</v>
      </c>
      <c r="G1960" s="86" t="s">
        <v>2469</v>
      </c>
      <c r="H1960" s="86" t="s">
        <v>2470</v>
      </c>
      <c r="I1960" s="86" t="s">
        <v>52</v>
      </c>
      <c r="J1960" s="86" t="s">
        <v>53</v>
      </c>
      <c r="K1960" s="86" t="s">
        <v>69</v>
      </c>
      <c r="L1960" s="86" t="s">
        <v>70</v>
      </c>
      <c r="M1960" s="87">
        <v>1265</v>
      </c>
      <c r="N1960" s="639">
        <v>1300</v>
      </c>
      <c r="O1960" s="1455" t="s">
        <v>64</v>
      </c>
      <c r="P1960" s="101">
        <v>50</v>
      </c>
      <c r="Q1960" s="101">
        <v>68</v>
      </c>
      <c r="R1960" s="60">
        <v>50</v>
      </c>
      <c r="S1960" s="61">
        <v>68</v>
      </c>
      <c r="T1960" s="103">
        <v>51</v>
      </c>
      <c r="U1960" s="103">
        <v>69</v>
      </c>
      <c r="V1960" s="106">
        <f>IF(J1960="Canvas",P1960+Border,P1960)</f>
        <v>58</v>
      </c>
      <c r="W1960" s="106">
        <f>IF(J1960="Canvas",Q1960+Border,Q1960)</f>
        <v>76</v>
      </c>
      <c r="X1960" s="137" t="s">
        <v>4544</v>
      </c>
      <c r="Y1960" s="101"/>
      <c r="Z1960" s="101"/>
      <c r="AA1960" s="649">
        <f t="shared" si="716"/>
        <v>30.611111111111111</v>
      </c>
      <c r="AB1960" s="125">
        <f>AA1960*Swiss1</f>
        <v>866.29444444444448</v>
      </c>
      <c r="AC1960" s="104">
        <f t="shared" ref="AC1960:AC1972" si="718">AA1960*Canvas</f>
        <v>20.203333333333333</v>
      </c>
      <c r="AD1960" s="107">
        <f>Table1[[#This Row],[Substrate SF]]*Materials!C$37</f>
        <v>85.711111111111109</v>
      </c>
      <c r="AE1960" s="104">
        <f>IF(Table1[[#This Row],[Work Center]]="SwissQ",Materials!G$37,IF(Table1[[#This Row],[Work Center]]="Inca",Materials!G$29,IF(Table1[[#This Row],[Work Center]]="Canon",Materials!G$49,Materials!G$45)))</f>
        <v>20</v>
      </c>
      <c r="AF1960" s="104">
        <f>'Cali Frames'!D340</f>
        <v>247.17</v>
      </c>
      <c r="AG1960" s="115"/>
      <c r="AH1960" s="112">
        <f t="shared" si="717"/>
        <v>63.25</v>
      </c>
      <c r="AI1960" s="112"/>
      <c r="AJ1960" s="104">
        <f t="shared" si="712"/>
        <v>436.33444444444444</v>
      </c>
      <c r="AK1960" s="62">
        <f t="shared" si="715"/>
        <v>0.65507158541941146</v>
      </c>
      <c r="AL1960" s="225">
        <f>Table1[[#This Row],[WSP/Dealer]]/Table1[[#This Row],[OD Sq Inch]]</f>
        <v>0.35947712418300654</v>
      </c>
      <c r="AM1960" s="97">
        <f>Table1[[#This Row],[OD Wdth]]*Table1[[#This Row],[OD Hgt]]</f>
        <v>3519</v>
      </c>
      <c r="AN1960" s="216">
        <f>Table1[[#This Row],[Min VO]]+Table1[[#This Row],[Max VO]]</f>
        <v>118</v>
      </c>
      <c r="AO1960" s="101"/>
      <c r="AP1960" s="101"/>
      <c r="AQ1960" s="104"/>
      <c r="AR1960" s="104"/>
      <c r="AS1960" s="104"/>
      <c r="AT1960" s="104"/>
      <c r="AU1960" s="830" t="str">
        <f t="shared" si="697"/>
        <v>-</v>
      </c>
    </row>
    <row r="1961" spans="1:47" s="399" customFormat="1" x14ac:dyDescent="0.2">
      <c r="A1961" s="60" t="s">
        <v>58</v>
      </c>
      <c r="B1961" s="1073" t="s">
        <v>406</v>
      </c>
      <c r="C1961" s="76" t="s">
        <v>4545</v>
      </c>
      <c r="D1961" s="94" t="s">
        <v>4546</v>
      </c>
      <c r="E1961" s="83" t="s">
        <v>4547</v>
      </c>
      <c r="F1961" s="83" t="s">
        <v>144</v>
      </c>
      <c r="G1961" s="60" t="s">
        <v>1200</v>
      </c>
      <c r="H1961" s="60" t="s">
        <v>1202</v>
      </c>
      <c r="I1961" s="60" t="s">
        <v>52</v>
      </c>
      <c r="J1961" s="60" t="s">
        <v>53</v>
      </c>
      <c r="K1961" s="60" t="s">
        <v>69</v>
      </c>
      <c r="L1961" s="60" t="s">
        <v>70</v>
      </c>
      <c r="M1961" s="124">
        <v>1500</v>
      </c>
      <c r="N1961" s="656">
        <v>1600</v>
      </c>
      <c r="O1961" s="60" t="s">
        <v>64</v>
      </c>
      <c r="P1961" s="60">
        <v>60</v>
      </c>
      <c r="Q1961" s="60">
        <v>80</v>
      </c>
      <c r="R1961" s="60">
        <v>60</v>
      </c>
      <c r="S1961" s="273">
        <v>80</v>
      </c>
      <c r="T1961" s="60">
        <v>61</v>
      </c>
      <c r="U1961" s="60">
        <v>81</v>
      </c>
      <c r="V1961" s="946">
        <f t="shared" ref="V1961:V1972" si="719">IF(J1961="Canvas",P1961+BorderL,P1961)</f>
        <v>71</v>
      </c>
      <c r="W1961" s="946">
        <f t="shared" ref="W1961:W1972" si="720">IF(J1961="Canvas",Q1961+BorderL,Q1961)</f>
        <v>91</v>
      </c>
      <c r="X1961" s="138" t="s">
        <v>1462</v>
      </c>
      <c r="Y1961" s="60"/>
      <c r="Z1961" s="60"/>
      <c r="AA1961" s="717">
        <f t="shared" si="716"/>
        <v>44.868055555555557</v>
      </c>
      <c r="AB1961" s="125">
        <f>AA1961*Swiss1</f>
        <v>1269.7659722222222</v>
      </c>
      <c r="AC1961" s="69">
        <f t="shared" si="718"/>
        <v>29.612916666666671</v>
      </c>
      <c r="AD1961" s="69">
        <f>Table1[[#This Row],[Substrate SF]]*Materials!C$37</f>
        <v>125.63055555555555</v>
      </c>
      <c r="AE1961" s="69">
        <f>IF(Table1[[#This Row],[Work Center]]="SwissQ",Materials!G$37,IF(Table1[[#This Row],[Work Center]]="Inca",Materials!G$29,IF(Table1[[#This Row],[Work Center]]="Canon",Materials!G$49,Materials!G$45)))</f>
        <v>20</v>
      </c>
      <c r="AF1961" s="69">
        <f>'Cali Frames'!D351</f>
        <v>334.74</v>
      </c>
      <c r="AG1961" s="83"/>
      <c r="AH1961" s="69">
        <f t="shared" si="717"/>
        <v>75</v>
      </c>
      <c r="AI1961" s="69"/>
      <c r="AJ1961" s="69">
        <f t="shared" si="712"/>
        <v>584.98347222222219</v>
      </c>
      <c r="AK1961" s="650">
        <f t="shared" si="715"/>
        <v>0.61001101851851858</v>
      </c>
      <c r="AL1961" s="225">
        <f>Table1[[#This Row],[WSP/Dealer]]/Table1[[#This Row],[OD Sq Inch]]</f>
        <v>0.30358227079538552</v>
      </c>
      <c r="AM1961" s="46">
        <f>Table1[[#This Row],[OD Wdth]]*Table1[[#This Row],[OD Hgt]]</f>
        <v>4941</v>
      </c>
      <c r="AN1961" s="216">
        <f>Table1[[#This Row],[Min VO]]+Table1[[#This Row],[Max VO]]</f>
        <v>140</v>
      </c>
      <c r="AO1961" s="60"/>
      <c r="AP1961" s="60"/>
      <c r="AQ1961" s="69"/>
      <c r="AR1961" s="69"/>
      <c r="AS1961" s="69"/>
      <c r="AT1961" s="69"/>
      <c r="AU1961" s="650" t="str">
        <f t="shared" si="697"/>
        <v>-</v>
      </c>
    </row>
    <row r="1962" spans="1:47" s="170" customFormat="1" x14ac:dyDescent="0.2">
      <c r="A1962" s="68" t="s">
        <v>58</v>
      </c>
      <c r="B1962" s="1072" t="s">
        <v>1013</v>
      </c>
      <c r="C1962" s="78" t="s">
        <v>4548</v>
      </c>
      <c r="D1962" s="94" t="s">
        <v>4549</v>
      </c>
      <c r="E1962" s="84" t="s">
        <v>4550</v>
      </c>
      <c r="F1962" s="84" t="s">
        <v>144</v>
      </c>
      <c r="G1962" s="68" t="s">
        <v>2482</v>
      </c>
      <c r="H1962" s="68" t="s">
        <v>2483</v>
      </c>
      <c r="I1962" s="68" t="s">
        <v>52</v>
      </c>
      <c r="J1962" s="140" t="s">
        <v>53</v>
      </c>
      <c r="K1962" s="68" t="s">
        <v>69</v>
      </c>
      <c r="L1962" s="68" t="s">
        <v>70</v>
      </c>
      <c r="M1962" s="141">
        <v>1650</v>
      </c>
      <c r="N1962" s="93"/>
      <c r="O1962" s="68" t="s">
        <v>64</v>
      </c>
      <c r="P1962" s="68">
        <v>67</v>
      </c>
      <c r="Q1962" s="68">
        <v>90</v>
      </c>
      <c r="R1962" s="68">
        <v>67</v>
      </c>
      <c r="S1962" s="623">
        <v>90</v>
      </c>
      <c r="T1962" s="68">
        <v>68</v>
      </c>
      <c r="U1962" s="68">
        <v>91</v>
      </c>
      <c r="V1962" s="946">
        <f t="shared" si="719"/>
        <v>78</v>
      </c>
      <c r="W1962" s="946">
        <f t="shared" si="720"/>
        <v>101</v>
      </c>
      <c r="X1962" s="68">
        <v>122</v>
      </c>
      <c r="Y1962" s="68">
        <v>78</v>
      </c>
      <c r="Z1962" s="68">
        <v>101</v>
      </c>
      <c r="AA1962" s="717">
        <f t="shared" si="716"/>
        <v>54.708333333333336</v>
      </c>
      <c r="AB1962" s="125">
        <f>AA1962*Swiss1</f>
        <v>1548.2458333333334</v>
      </c>
      <c r="AC1962" s="69">
        <f t="shared" si="718"/>
        <v>36.107500000000002</v>
      </c>
      <c r="AD1962" s="69">
        <f>Table1[[#This Row],[Substrate SF]]*Materials!C$37</f>
        <v>153.18333333333334</v>
      </c>
      <c r="AE1962" s="69">
        <f>IF(Table1[[#This Row],[Work Center]]="SwissQ",Materials!G$37,IF(Table1[[#This Row],[Work Center]]="Inca",Materials!G$29,IF(Table1[[#This Row],[Work Center]]="Canon",Materials!G$49,Materials!G$45)))</f>
        <v>20</v>
      </c>
      <c r="AF1962" s="73">
        <f>'Cali Frames'!D354</f>
        <v>375</v>
      </c>
      <c r="AG1962" s="84"/>
      <c r="AH1962" s="69">
        <f t="shared" si="717"/>
        <v>82.5</v>
      </c>
      <c r="AI1962" s="69"/>
      <c r="AJ1962" s="69">
        <f t="shared" si="712"/>
        <v>666.79083333333335</v>
      </c>
      <c r="AK1962" s="650">
        <f t="shared" si="715"/>
        <v>0.59588434343434338</v>
      </c>
      <c r="AL1962" s="225">
        <f>Table1[[#This Row],[WSP/Dealer]]/Table1[[#This Row],[OD Sq Inch]]</f>
        <v>0.26664511958629605</v>
      </c>
      <c r="AM1962" s="60">
        <f>Table1[[#This Row],[OD Wdth]]*Table1[[#This Row],[OD Hgt]]</f>
        <v>6188</v>
      </c>
      <c r="AN1962" s="216">
        <f>Table1[[#This Row],[Min VO]]+Table1[[#This Row],[Max VO]]</f>
        <v>157</v>
      </c>
      <c r="AO1962" s="84"/>
      <c r="AP1962" s="84"/>
      <c r="AQ1962" s="126"/>
      <c r="AR1962" s="126"/>
      <c r="AS1962" s="126"/>
      <c r="AT1962" s="74"/>
      <c r="AU1962" s="1357" t="str">
        <f t="shared" ref="AU1962:AU2025" si="721">IF(AQ1962=0,"-",(AQ1962-AT1962)/AQ1962)</f>
        <v>-</v>
      </c>
    </row>
    <row r="1963" spans="1:47" s="1594" customFormat="1" x14ac:dyDescent="0.2">
      <c r="A1963" s="552" t="s">
        <v>58</v>
      </c>
      <c r="B1963" s="1654" t="s">
        <v>1436</v>
      </c>
      <c r="C1963" s="1583" t="s">
        <v>4551</v>
      </c>
      <c r="D1963" s="1584"/>
      <c r="E1963" s="1266" t="s">
        <v>4552</v>
      </c>
      <c r="F1963" s="1266" t="s">
        <v>308</v>
      </c>
      <c r="G1963" s="552" t="s">
        <v>379</v>
      </c>
      <c r="H1963" s="552" t="s">
        <v>379</v>
      </c>
      <c r="I1963" s="552" t="s">
        <v>52</v>
      </c>
      <c r="J1963" s="1585" t="s">
        <v>53</v>
      </c>
      <c r="K1963" s="552" t="s">
        <v>54</v>
      </c>
      <c r="L1963" s="552" t="s">
        <v>55</v>
      </c>
      <c r="M1963" s="1586">
        <v>1120</v>
      </c>
      <c r="N1963" s="1586"/>
      <c r="O1963" s="552" t="s">
        <v>56</v>
      </c>
      <c r="P1963" s="552">
        <v>48</v>
      </c>
      <c r="Q1963" s="552">
        <v>72</v>
      </c>
      <c r="R1963" s="552">
        <v>48</v>
      </c>
      <c r="S1963" s="1587">
        <v>72</v>
      </c>
      <c r="T1963" s="552">
        <v>48</v>
      </c>
      <c r="U1963" s="552">
        <v>72</v>
      </c>
      <c r="V1963" s="1696">
        <f t="shared" si="719"/>
        <v>59</v>
      </c>
      <c r="W1963" s="1696">
        <f t="shared" si="720"/>
        <v>83</v>
      </c>
      <c r="X1963" s="552">
        <v>59</v>
      </c>
      <c r="Y1963" s="552">
        <v>59</v>
      </c>
      <c r="Z1963" s="552">
        <v>83</v>
      </c>
      <c r="AA1963" s="1588">
        <f t="shared" si="716"/>
        <v>34.006944444444443</v>
      </c>
      <c r="AB1963" s="1589">
        <f>AA1963*IncaG</f>
        <v>715.50611111111107</v>
      </c>
      <c r="AC1963" s="1590">
        <f t="shared" si="718"/>
        <v>22.444583333333334</v>
      </c>
      <c r="AD1963" s="1591">
        <f>AA1963*IncaC</f>
        <v>57.240488888888891</v>
      </c>
      <c r="AE1963" s="1590">
        <f>IF(Table1[[#This Row],[Work Center]]="SwissQ",Materials!G$37,IF(Table1[[#This Row],[Work Center]]="Inca",Materials!G$29,IF(Table1[[#This Row],[Work Center]]="Canon",Materials!G$49,Materials!G$45)))</f>
        <v>8</v>
      </c>
      <c r="AF1963" s="1592">
        <f>'Cali FPS'!C126</f>
        <v>189.88</v>
      </c>
      <c r="AG1963" s="1266"/>
      <c r="AH1963" s="1593">
        <f t="shared" si="717"/>
        <v>56</v>
      </c>
      <c r="AI1963" s="1593"/>
      <c r="AJ1963" s="1593">
        <f t="shared" si="712"/>
        <v>333.56507222222223</v>
      </c>
      <c r="AK1963" s="1665">
        <f t="shared" si="715"/>
        <v>0.70217404265873018</v>
      </c>
      <c r="AL1963" s="1593">
        <f>Table1[[#This Row],[WSP/Dealer]]/Table1[[#This Row],[OD Sq Inch]]</f>
        <v>0.32407407407407407</v>
      </c>
      <c r="AM1963" s="1594">
        <f>Table1[[#This Row],[OD Wdth]]*Table1[[#This Row],[OD Hgt]]</f>
        <v>3456</v>
      </c>
      <c r="AN1963" s="1595">
        <f>Table1[[#This Row],[Min VO]]+Table1[[#This Row],[Max VO]]</f>
        <v>120</v>
      </c>
      <c r="AO1963" s="1266"/>
      <c r="AP1963" s="1266"/>
      <c r="AQ1963" s="1596"/>
      <c r="AR1963" s="1596"/>
      <c r="AS1963" s="1596"/>
      <c r="AT1963" s="1590"/>
      <c r="AU1963" s="1597" t="str">
        <f t="shared" si="721"/>
        <v>-</v>
      </c>
    </row>
    <row r="1964" spans="1:47" s="1594" customFormat="1" x14ac:dyDescent="0.2">
      <c r="A1964" s="373" t="s">
        <v>58</v>
      </c>
      <c r="B1964" s="1598" t="s">
        <v>1436</v>
      </c>
      <c r="C1964" s="1262" t="s">
        <v>4551</v>
      </c>
      <c r="D1964" s="1599"/>
      <c r="E1964" s="1600" t="s">
        <v>4552</v>
      </c>
      <c r="F1964" s="1600" t="s">
        <v>308</v>
      </c>
      <c r="G1964" s="373" t="s">
        <v>379</v>
      </c>
      <c r="H1964" s="373" t="s">
        <v>379</v>
      </c>
      <c r="I1964" s="373" t="s">
        <v>52</v>
      </c>
      <c r="J1964" s="1601" t="s">
        <v>53</v>
      </c>
      <c r="K1964" s="373" t="s">
        <v>54</v>
      </c>
      <c r="L1964" s="373" t="s">
        <v>55</v>
      </c>
      <c r="M1964" s="1602">
        <v>1120</v>
      </c>
      <c r="N1964" s="1602"/>
      <c r="O1964" s="373" t="s">
        <v>64</v>
      </c>
      <c r="P1964" s="373">
        <v>48</v>
      </c>
      <c r="Q1964" s="373">
        <v>72</v>
      </c>
      <c r="R1964" s="373">
        <v>48</v>
      </c>
      <c r="S1964" s="1603">
        <v>72</v>
      </c>
      <c r="T1964" s="373">
        <v>48</v>
      </c>
      <c r="U1964" s="373">
        <v>72</v>
      </c>
      <c r="V1964" s="1695">
        <f t="shared" si="719"/>
        <v>59</v>
      </c>
      <c r="W1964" s="1695">
        <f t="shared" si="720"/>
        <v>83</v>
      </c>
      <c r="X1964" s="373">
        <v>59</v>
      </c>
      <c r="Y1964" s="373">
        <v>59</v>
      </c>
      <c r="Z1964" s="373">
        <v>83</v>
      </c>
      <c r="AA1964" s="1604">
        <f t="shared" si="716"/>
        <v>34.006944444444443</v>
      </c>
      <c r="AB1964" s="1605">
        <f>AA1964*Swiss1</f>
        <v>962.39652777777781</v>
      </c>
      <c r="AC1964" s="1606">
        <f t="shared" si="718"/>
        <v>22.444583333333334</v>
      </c>
      <c r="AD1964" s="1607">
        <f>Table1[[#This Row],[Substrate SF]]*Materials!C$37</f>
        <v>95.219444444444434</v>
      </c>
      <c r="AE1964" s="1606">
        <f>IF(Table1[[#This Row],[Work Center]]="SwissQ",Materials!G$37,IF(Table1[[#This Row],[Work Center]]="Inca",Materials!G$29,IF(Table1[[#This Row],[Work Center]]="Canon",Materials!G$49,Materials!G$45)))</f>
        <v>20</v>
      </c>
      <c r="AF1964" s="1608">
        <f>'Cali FPS'!C126</f>
        <v>189.88</v>
      </c>
      <c r="AG1964" s="1600"/>
      <c r="AH1964" s="1606">
        <f t="shared" si="717"/>
        <v>56</v>
      </c>
      <c r="AI1964" s="1606"/>
      <c r="AJ1964" s="1606">
        <f t="shared" si="712"/>
        <v>383.54402777777773</v>
      </c>
      <c r="AK1964" s="1702">
        <f t="shared" si="715"/>
        <v>0.65754997519841274</v>
      </c>
      <c r="AL1964" s="1606">
        <f>Table1[[#This Row],[WSP/Dealer]]/Table1[[#This Row],[OD Sq Inch]]</f>
        <v>0.32407407407407407</v>
      </c>
      <c r="AM1964" s="1609">
        <f>Table1[[#This Row],[OD Wdth]]*Table1[[#This Row],[OD Hgt]]</f>
        <v>3456</v>
      </c>
      <c r="AN1964" s="373">
        <f>Table1[[#This Row],[Min VO]]+Table1[[#This Row],[Max VO]]</f>
        <v>120</v>
      </c>
      <c r="AO1964" s="1600"/>
      <c r="AP1964" s="1600"/>
      <c r="AQ1964" s="1610">
        <f>(Table1[[#This Row],[Desgnr/Retail P]]*0.05)</f>
        <v>0</v>
      </c>
      <c r="AR1964" s="1610" t="b">
        <f>IF(A1964="Codarus",(AP1964*0.13))</f>
        <v>0</v>
      </c>
      <c r="AS1964" s="1610" t="e" cm="1">
        <f t="array" ref="AS1964">SUM(AC1964:AG1964+AQ+AR)</f>
        <v>#NAME?</v>
      </c>
      <c r="AT1964" s="1606" t="e">
        <f>(AP1964-AS1964)/AP1964</f>
        <v>#NAME?</v>
      </c>
      <c r="AU1964" s="1611" t="str">
        <f t="shared" si="721"/>
        <v>-</v>
      </c>
    </row>
    <row r="1965" spans="1:47" s="1625" customFormat="1" x14ac:dyDescent="0.2">
      <c r="A1965" s="458" t="s">
        <v>58</v>
      </c>
      <c r="B1965" s="1721" t="s">
        <v>1436</v>
      </c>
      <c r="C1965" s="1612" t="s">
        <v>4553</v>
      </c>
      <c r="D1965" s="1613"/>
      <c r="E1965" s="1614" t="s">
        <v>4552</v>
      </c>
      <c r="F1965" s="1614" t="s">
        <v>308</v>
      </c>
      <c r="G1965" s="458" t="s">
        <v>379</v>
      </c>
      <c r="H1965" s="458" t="s">
        <v>990</v>
      </c>
      <c r="I1965" s="458" t="s">
        <v>52</v>
      </c>
      <c r="J1965" s="1615" t="s">
        <v>53</v>
      </c>
      <c r="K1965" s="458" t="s">
        <v>69</v>
      </c>
      <c r="L1965" s="458" t="s">
        <v>70</v>
      </c>
      <c r="M1965" s="1616">
        <v>1300</v>
      </c>
      <c r="N1965" s="1616"/>
      <c r="O1965" s="458" t="s">
        <v>56</v>
      </c>
      <c r="P1965" s="458">
        <v>48</v>
      </c>
      <c r="Q1965" s="458">
        <v>72</v>
      </c>
      <c r="R1965" s="458">
        <v>48</v>
      </c>
      <c r="S1965" s="1689">
        <v>72</v>
      </c>
      <c r="T1965" s="458">
        <v>49</v>
      </c>
      <c r="U1965" s="458">
        <v>73</v>
      </c>
      <c r="V1965" s="1694">
        <f t="shared" si="719"/>
        <v>59</v>
      </c>
      <c r="W1965" s="1694">
        <f t="shared" si="720"/>
        <v>83</v>
      </c>
      <c r="X1965" s="458">
        <v>59</v>
      </c>
      <c r="Y1965" s="458">
        <v>59</v>
      </c>
      <c r="Z1965" s="458">
        <v>83</v>
      </c>
      <c r="AA1965" s="1617">
        <f t="shared" si="716"/>
        <v>34.006944444444443</v>
      </c>
      <c r="AB1965" s="1618">
        <f>AA1965*IncaG</f>
        <v>715.50611111111107</v>
      </c>
      <c r="AC1965" s="1619">
        <f t="shared" si="718"/>
        <v>22.444583333333334</v>
      </c>
      <c r="AD1965" s="1620">
        <f>AA1965*IncaC</f>
        <v>57.240488888888891</v>
      </c>
      <c r="AE1965" s="1619">
        <f>IF(Table1[[#This Row],[Work Center]]="SwissQ",Materials!G$37,IF(Table1[[#This Row],[Work Center]]="Inca",Materials!G$29,IF(Table1[[#This Row],[Work Center]]="Canon",Materials!G$49,Materials!G$45)))</f>
        <v>8</v>
      </c>
      <c r="AF1965" s="1621">
        <f>'Cali Frames'!D337</f>
        <v>263.8</v>
      </c>
      <c r="AG1965" s="1614"/>
      <c r="AH1965" s="1619">
        <f t="shared" si="717"/>
        <v>65</v>
      </c>
      <c r="AI1965" s="1619"/>
      <c r="AJ1965" s="1619">
        <f t="shared" si="712"/>
        <v>416.48507222222224</v>
      </c>
      <c r="AK1965" s="1622">
        <f t="shared" si="715"/>
        <v>0.67962686752136747</v>
      </c>
      <c r="AL1965" s="1619">
        <f>Table1[[#This Row],[WSP/Dealer]]/Table1[[#This Row],[OD Sq Inch]]</f>
        <v>0.36343304445065699</v>
      </c>
      <c r="AM1965" s="458">
        <f>Table1[[#This Row],[OD Wdth]]*Table1[[#This Row],[OD Hgt]]</f>
        <v>3577</v>
      </c>
      <c r="AN1965" s="458">
        <f>Table1[[#This Row],[Min VO]]+Table1[[#This Row],[Max VO]]</f>
        <v>120</v>
      </c>
      <c r="AO1965" s="1614"/>
      <c r="AP1965" s="1614"/>
      <c r="AQ1965" s="1623">
        <f>(Table1[[#This Row],[Desgnr/Retail P]]*0.05)</f>
        <v>0</v>
      </c>
      <c r="AR1965" s="1623" t="b">
        <f>IF(A1965="Codarus",(AP1965*0.13))</f>
        <v>0</v>
      </c>
      <c r="AS1965" s="1623" t="e" cm="1">
        <f t="array" ref="AS1965">SUM(AC1965:AG1965+AQ+AR)</f>
        <v>#NAME?</v>
      </c>
      <c r="AT1965" s="1619" t="e">
        <f>(AP1965-AS1965)/AP1965</f>
        <v>#NAME?</v>
      </c>
      <c r="AU1965" s="1624" t="str">
        <f t="shared" si="721"/>
        <v>-</v>
      </c>
    </row>
    <row r="1966" spans="1:47" s="1594" customFormat="1" x14ac:dyDescent="0.2">
      <c r="A1966" s="552" t="s">
        <v>58</v>
      </c>
      <c r="B1966" s="1719" t="s">
        <v>1436</v>
      </c>
      <c r="C1966" s="1583" t="s">
        <v>4554</v>
      </c>
      <c r="D1966" s="1584"/>
      <c r="E1966" s="1266" t="s">
        <v>4555</v>
      </c>
      <c r="F1966" s="1266" t="s">
        <v>308</v>
      </c>
      <c r="G1966" s="552" t="s">
        <v>379</v>
      </c>
      <c r="H1966" s="552" t="s">
        <v>379</v>
      </c>
      <c r="I1966" s="552" t="s">
        <v>52</v>
      </c>
      <c r="J1966" s="1585" t="s">
        <v>53</v>
      </c>
      <c r="K1966" s="552" t="s">
        <v>54</v>
      </c>
      <c r="L1966" s="552" t="s">
        <v>55</v>
      </c>
      <c r="M1966" s="1586">
        <v>1120</v>
      </c>
      <c r="N1966" s="1586"/>
      <c r="O1966" s="552" t="s">
        <v>56</v>
      </c>
      <c r="P1966" s="552">
        <v>48</v>
      </c>
      <c r="Q1966" s="552">
        <v>72</v>
      </c>
      <c r="R1966" s="552">
        <v>48</v>
      </c>
      <c r="S1966" s="1587">
        <v>72</v>
      </c>
      <c r="T1966" s="552">
        <v>48</v>
      </c>
      <c r="U1966" s="552">
        <v>72</v>
      </c>
      <c r="V1966" s="1696">
        <f t="shared" si="719"/>
        <v>59</v>
      </c>
      <c r="W1966" s="1696">
        <f t="shared" si="720"/>
        <v>83</v>
      </c>
      <c r="X1966" s="552">
        <v>59</v>
      </c>
      <c r="Y1966" s="552">
        <v>59</v>
      </c>
      <c r="Z1966" s="552">
        <v>83</v>
      </c>
      <c r="AA1966" s="1588">
        <f t="shared" si="716"/>
        <v>34.006944444444443</v>
      </c>
      <c r="AB1966" s="1589">
        <f>AA1966*IncaG</f>
        <v>715.50611111111107</v>
      </c>
      <c r="AC1966" s="1590">
        <f t="shared" si="718"/>
        <v>22.444583333333334</v>
      </c>
      <c r="AD1966" s="1591">
        <f>AA1966*IncaC</f>
        <v>57.240488888888891</v>
      </c>
      <c r="AE1966" s="1590">
        <f>IF(Table1[[#This Row],[Work Center]]="SwissQ",Materials!G$37,IF(Table1[[#This Row],[Work Center]]="Inca",Materials!G$29,IF(Table1[[#This Row],[Work Center]]="Canon",Materials!G$49,Materials!G$45)))</f>
        <v>8</v>
      </c>
      <c r="AF1966" s="1592">
        <f>'Cali FPS'!C126</f>
        <v>189.88</v>
      </c>
      <c r="AG1966" s="1266"/>
      <c r="AH1966" s="1593">
        <f t="shared" si="717"/>
        <v>56</v>
      </c>
      <c r="AI1966" s="1593"/>
      <c r="AJ1966" s="1593">
        <f t="shared" si="712"/>
        <v>333.56507222222223</v>
      </c>
      <c r="AK1966" s="1665">
        <f t="shared" si="715"/>
        <v>0.70217404265873018</v>
      </c>
      <c r="AL1966" s="1593">
        <f>Table1[[#This Row],[WSP/Dealer]]/Table1[[#This Row],[OD Sq Inch]]</f>
        <v>0.32407407407407407</v>
      </c>
      <c r="AM1966" s="1595">
        <f>Table1[[#This Row],[OD Wdth]]*Table1[[#This Row],[OD Hgt]]</f>
        <v>3456</v>
      </c>
      <c r="AN1966" s="1595">
        <f>Table1[[#This Row],[Min VO]]+Table1[[#This Row],[Max VO]]</f>
        <v>120</v>
      </c>
      <c r="AO1966" s="1266"/>
      <c r="AP1966" s="1266"/>
      <c r="AQ1966" s="1596"/>
      <c r="AR1966" s="1596"/>
      <c r="AS1966" s="1596"/>
      <c r="AT1966" s="1590"/>
      <c r="AU1966" s="1597" t="str">
        <f t="shared" si="721"/>
        <v>-</v>
      </c>
    </row>
    <row r="1967" spans="1:47" s="1626" customFormat="1" x14ac:dyDescent="0.2">
      <c r="A1967" s="373" t="s">
        <v>58</v>
      </c>
      <c r="B1967" s="1598" t="s">
        <v>1436</v>
      </c>
      <c r="C1967" s="1262" t="s">
        <v>4554</v>
      </c>
      <c r="D1967" s="1599"/>
      <c r="E1967" s="1600" t="s">
        <v>4555</v>
      </c>
      <c r="F1967" s="1600" t="s">
        <v>308</v>
      </c>
      <c r="G1967" s="373" t="s">
        <v>379</v>
      </c>
      <c r="H1967" s="373" t="s">
        <v>379</v>
      </c>
      <c r="I1967" s="373" t="s">
        <v>52</v>
      </c>
      <c r="J1967" s="1601" t="s">
        <v>53</v>
      </c>
      <c r="K1967" s="373" t="s">
        <v>54</v>
      </c>
      <c r="L1967" s="373" t="s">
        <v>55</v>
      </c>
      <c r="M1967" s="1602">
        <v>1120</v>
      </c>
      <c r="N1967" s="1602"/>
      <c r="O1967" s="373" t="s">
        <v>64</v>
      </c>
      <c r="P1967" s="373">
        <v>48</v>
      </c>
      <c r="Q1967" s="373">
        <v>72</v>
      </c>
      <c r="R1967" s="373">
        <v>48</v>
      </c>
      <c r="S1967" s="1603">
        <v>72</v>
      </c>
      <c r="T1967" s="373">
        <v>48</v>
      </c>
      <c r="U1967" s="373">
        <v>72</v>
      </c>
      <c r="V1967" s="1695">
        <f t="shared" si="719"/>
        <v>59</v>
      </c>
      <c r="W1967" s="1695">
        <f t="shared" si="720"/>
        <v>83</v>
      </c>
      <c r="X1967" s="373">
        <v>59</v>
      </c>
      <c r="Y1967" s="373">
        <v>59</v>
      </c>
      <c r="Z1967" s="373">
        <v>83</v>
      </c>
      <c r="AA1967" s="1604">
        <f t="shared" si="716"/>
        <v>34.006944444444443</v>
      </c>
      <c r="AB1967" s="1605">
        <f>AA1967*Swiss1</f>
        <v>962.39652777777781</v>
      </c>
      <c r="AC1967" s="1606">
        <f t="shared" si="718"/>
        <v>22.444583333333334</v>
      </c>
      <c r="AD1967" s="1607">
        <f>Table1[[#This Row],[Substrate SF]]*Materials!C$37</f>
        <v>95.219444444444434</v>
      </c>
      <c r="AE1967" s="1606">
        <f>IF(Table1[[#This Row],[Work Center]]="SwissQ",Materials!G$37,IF(Table1[[#This Row],[Work Center]]="Inca",Materials!G$29,IF(Table1[[#This Row],[Work Center]]="Canon",Materials!G$49,Materials!G$45)))</f>
        <v>20</v>
      </c>
      <c r="AF1967" s="1608">
        <f>'Cali FPS'!C126</f>
        <v>189.88</v>
      </c>
      <c r="AG1967" s="1600"/>
      <c r="AH1967" s="1606">
        <f t="shared" si="717"/>
        <v>56</v>
      </c>
      <c r="AI1967" s="1606"/>
      <c r="AJ1967" s="1606">
        <f t="shared" si="712"/>
        <v>383.54402777777773</v>
      </c>
      <c r="AK1967" s="1702">
        <f t="shared" si="715"/>
        <v>0.65754997519841274</v>
      </c>
      <c r="AL1967" s="1606">
        <f>Table1[[#This Row],[WSP/Dealer]]/Table1[[#This Row],[OD Sq Inch]]</f>
        <v>0.32407407407407407</v>
      </c>
      <c r="AM1967" s="1609">
        <f>Table1[[#This Row],[OD Wdth]]*Table1[[#This Row],[OD Hgt]]</f>
        <v>3456</v>
      </c>
      <c r="AN1967" s="373">
        <f>Table1[[#This Row],[Min VO]]+Table1[[#This Row],[Max VO]]</f>
        <v>120</v>
      </c>
      <c r="AO1967" s="1600"/>
      <c r="AP1967" s="1600"/>
      <c r="AQ1967" s="1610">
        <f>(Table1[[#This Row],[Desgnr/Retail P]]*0.05)</f>
        <v>0</v>
      </c>
      <c r="AR1967" s="1610" t="b">
        <f>IF(A1967="Codarus",(AP1967*0.13))</f>
        <v>0</v>
      </c>
      <c r="AS1967" s="1610" t="e" cm="1">
        <f t="array" ref="AS1967">SUM(AC1967:AG1967+AQ+AR)</f>
        <v>#NAME?</v>
      </c>
      <c r="AT1967" s="1606" t="e">
        <f>(AP1967-AS1967)/AP1967</f>
        <v>#NAME?</v>
      </c>
      <c r="AU1967" s="1611" t="str">
        <f t="shared" si="721"/>
        <v>-</v>
      </c>
    </row>
    <row r="1968" spans="1:47" s="1594" customFormat="1" x14ac:dyDescent="0.2">
      <c r="A1968" s="552" t="s">
        <v>58</v>
      </c>
      <c r="B1968" s="1719" t="s">
        <v>1436</v>
      </c>
      <c r="C1968" s="1583" t="s">
        <v>4556</v>
      </c>
      <c r="D1968" s="1584"/>
      <c r="E1968" s="1266" t="s">
        <v>4555</v>
      </c>
      <c r="F1968" s="1266" t="s">
        <v>308</v>
      </c>
      <c r="G1968" s="552" t="s">
        <v>379</v>
      </c>
      <c r="H1968" s="552" t="s">
        <v>990</v>
      </c>
      <c r="I1968" s="552" t="s">
        <v>52</v>
      </c>
      <c r="J1968" s="1585" t="s">
        <v>53</v>
      </c>
      <c r="K1968" s="552" t="s">
        <v>69</v>
      </c>
      <c r="L1968" s="552" t="s">
        <v>70</v>
      </c>
      <c r="M1968" s="1586">
        <v>1300</v>
      </c>
      <c r="N1968" s="1586"/>
      <c r="O1968" s="552" t="s">
        <v>56</v>
      </c>
      <c r="P1968" s="552">
        <v>48</v>
      </c>
      <c r="Q1968" s="552">
        <v>72</v>
      </c>
      <c r="R1968" s="552">
        <v>48</v>
      </c>
      <c r="S1968" s="1587">
        <v>72</v>
      </c>
      <c r="T1968" s="552">
        <v>49</v>
      </c>
      <c r="U1968" s="552">
        <v>73</v>
      </c>
      <c r="V1968" s="1648">
        <f t="shared" si="719"/>
        <v>59</v>
      </c>
      <c r="W1968" s="1648">
        <f t="shared" si="720"/>
        <v>83</v>
      </c>
      <c r="X1968" s="552">
        <v>59</v>
      </c>
      <c r="Y1968" s="552">
        <v>59</v>
      </c>
      <c r="Z1968" s="552">
        <v>83</v>
      </c>
      <c r="AA1968" s="1588">
        <f t="shared" si="716"/>
        <v>34.006944444444443</v>
      </c>
      <c r="AB1968" s="1589">
        <f>AA1968*IncaG</f>
        <v>715.50611111111107</v>
      </c>
      <c r="AC1968" s="1590">
        <f t="shared" si="718"/>
        <v>22.444583333333334</v>
      </c>
      <c r="AD1968" s="1591">
        <f>AA1968*IncaC</f>
        <v>57.240488888888891</v>
      </c>
      <c r="AE1968" s="1590">
        <f>IF(Table1[[#This Row],[Work Center]]="SwissQ",Materials!G$37,IF(Table1[[#This Row],[Work Center]]="Inca",Materials!G$29,IF(Table1[[#This Row],[Work Center]]="Canon",Materials!G$49,Materials!G$45)))</f>
        <v>8</v>
      </c>
      <c r="AF1968" s="1592">
        <f>'Cali Frames'!D337</f>
        <v>263.8</v>
      </c>
      <c r="AG1968" s="1266"/>
      <c r="AH1968" s="1590">
        <f t="shared" si="717"/>
        <v>65</v>
      </c>
      <c r="AI1968" s="1590"/>
      <c r="AJ1968" s="1590">
        <f t="shared" si="712"/>
        <v>416.48507222222224</v>
      </c>
      <c r="AK1968" s="1802">
        <f t="shared" si="715"/>
        <v>0.67962686752136747</v>
      </c>
      <c r="AL1968" s="1590">
        <f>Table1[[#This Row],[WSP/Dealer]]/Table1[[#This Row],[OD Sq Inch]]</f>
        <v>0.36343304445065699</v>
      </c>
      <c r="AM1968" s="1809">
        <f>Table1[[#This Row],[OD Wdth]]*Table1[[#This Row],[OD Hgt]]</f>
        <v>3577</v>
      </c>
      <c r="AN1968" s="552">
        <f>Table1[[#This Row],[Min VO]]+Table1[[#This Row],[Max VO]]</f>
        <v>120</v>
      </c>
      <c r="AO1968" s="1266"/>
      <c r="AP1968" s="1266"/>
      <c r="AQ1968" s="1596">
        <f>(Table1[[#This Row],[Desgnr/Retail P]]*0.05)</f>
        <v>0</v>
      </c>
      <c r="AR1968" s="1596" t="b">
        <f>IF(A1968="Codarus",(AP1968*0.13))</f>
        <v>0</v>
      </c>
      <c r="AS1968" s="1596" t="e" cm="1">
        <f t="array" ref="AS1968">SUM(AC1968:AG1968+AQ+AR)</f>
        <v>#NAME?</v>
      </c>
      <c r="AT1968" s="1590" t="e">
        <f>(AP1968-AS1968)/AP1968</f>
        <v>#NAME?</v>
      </c>
      <c r="AU1968" s="1597" t="str">
        <f t="shared" si="721"/>
        <v>-</v>
      </c>
    </row>
    <row r="1969" spans="1:47" s="1626" customFormat="1" x14ac:dyDescent="0.2">
      <c r="A1969" s="373" t="s">
        <v>58</v>
      </c>
      <c r="B1969" s="1655" t="s">
        <v>1436</v>
      </c>
      <c r="C1969" s="1627" t="s">
        <v>4557</v>
      </c>
      <c r="D1969" s="1599"/>
      <c r="E1969" s="1600" t="s">
        <v>4555</v>
      </c>
      <c r="F1969" s="1600" t="s">
        <v>308</v>
      </c>
      <c r="G1969" s="373" t="s">
        <v>379</v>
      </c>
      <c r="H1969" s="373" t="s">
        <v>990</v>
      </c>
      <c r="I1969" s="373" t="s">
        <v>52</v>
      </c>
      <c r="J1969" s="1601" t="s">
        <v>53</v>
      </c>
      <c r="K1969" s="373" t="s">
        <v>69</v>
      </c>
      <c r="L1969" s="373" t="s">
        <v>73</v>
      </c>
      <c r="M1969" s="1602">
        <v>1300</v>
      </c>
      <c r="N1969" s="1602"/>
      <c r="O1969" s="373" t="s">
        <v>56</v>
      </c>
      <c r="P1969" s="373">
        <v>48</v>
      </c>
      <c r="Q1969" s="373">
        <v>72</v>
      </c>
      <c r="R1969" s="373">
        <v>48</v>
      </c>
      <c r="S1969" s="1603">
        <v>72</v>
      </c>
      <c r="T1969" s="373">
        <v>49</v>
      </c>
      <c r="U1969" s="373">
        <v>73</v>
      </c>
      <c r="V1969" s="1650">
        <f t="shared" si="719"/>
        <v>59</v>
      </c>
      <c r="W1969" s="1650">
        <f t="shared" si="720"/>
        <v>83</v>
      </c>
      <c r="X1969" s="373">
        <v>59</v>
      </c>
      <c r="Y1969" s="373">
        <v>59</v>
      </c>
      <c r="Z1969" s="373">
        <v>83</v>
      </c>
      <c r="AA1969" s="1604">
        <f t="shared" si="716"/>
        <v>34.006944444444443</v>
      </c>
      <c r="AB1969" s="1605">
        <f>AA1969*IncaG</f>
        <v>715.50611111111107</v>
      </c>
      <c r="AC1969" s="1606">
        <f t="shared" si="718"/>
        <v>22.444583333333334</v>
      </c>
      <c r="AD1969" s="1607">
        <f>AA1969*IncaC</f>
        <v>57.240488888888891</v>
      </c>
      <c r="AE1969" s="1606">
        <f>IF(Table1[[#This Row],[Work Center]]="SwissQ",Materials!G$37,IF(Table1[[#This Row],[Work Center]]="Inca",Materials!G$29,IF(Table1[[#This Row],[Work Center]]="Canon",Materials!G$49,Materials!G$45)))</f>
        <v>8</v>
      </c>
      <c r="AF1969" s="1608">
        <f>'Cali Frames'!D472</f>
        <v>269.8</v>
      </c>
      <c r="AG1969" s="1600"/>
      <c r="AH1969" s="1606">
        <f t="shared" si="717"/>
        <v>65</v>
      </c>
      <c r="AI1969" s="1606"/>
      <c r="AJ1969" s="1606">
        <f t="shared" si="712"/>
        <v>422.48507222222224</v>
      </c>
      <c r="AK1969" s="1702">
        <f t="shared" si="715"/>
        <v>0.6750114829059829</v>
      </c>
      <c r="AL1969" s="1606">
        <f>Table1[[#This Row],[WSP/Dealer]]/Table1[[#This Row],[OD Sq Inch]]</f>
        <v>0.36343304445065699</v>
      </c>
      <c r="AM1969" s="1609">
        <f>Table1[[#This Row],[OD Wdth]]*Table1[[#This Row],[OD Hgt]]</f>
        <v>3577</v>
      </c>
      <c r="AN1969" s="373">
        <f>Table1[[#This Row],[Min VO]]+Table1[[#This Row],[Max VO]]</f>
        <v>120</v>
      </c>
      <c r="AO1969" s="1600"/>
      <c r="AP1969" s="1600"/>
      <c r="AQ1969" s="1610">
        <f>(Table1[[#This Row],[Desgnr/Retail P]]*0.05)</f>
        <v>0</v>
      </c>
      <c r="AR1969" s="1610" t="b">
        <f>IF(A1969="Codarus",(AP1969*0.13))</f>
        <v>0</v>
      </c>
      <c r="AS1969" s="1610" t="e" cm="1">
        <f t="array" ref="AS1969">SUM(AC1969:AG1969+AQ+AR)</f>
        <v>#NAME?</v>
      </c>
      <c r="AT1969" s="1606" t="e">
        <f>(AP1969-AS1969)/AP1969</f>
        <v>#NAME?</v>
      </c>
      <c r="AU1969" s="1611" t="str">
        <f t="shared" si="721"/>
        <v>-</v>
      </c>
    </row>
    <row r="1970" spans="1:47" s="173" customFormat="1" hidden="1" x14ac:dyDescent="0.2">
      <c r="A1970" s="60" t="s">
        <v>272</v>
      </c>
      <c r="B1970" s="1061" t="s">
        <v>261</v>
      </c>
      <c r="C1970" s="75" t="s">
        <v>4558</v>
      </c>
      <c r="D1970" s="94"/>
      <c r="E1970" s="83" t="s">
        <v>4559</v>
      </c>
      <c r="F1970" s="83" t="s">
        <v>650</v>
      </c>
      <c r="G1970" s="60" t="s">
        <v>4560</v>
      </c>
      <c r="H1970" s="60" t="s">
        <v>4560</v>
      </c>
      <c r="I1970" s="60" t="s">
        <v>52</v>
      </c>
      <c r="J1970" s="60" t="s">
        <v>53</v>
      </c>
      <c r="K1970" s="60" t="s">
        <v>54</v>
      </c>
      <c r="L1970" s="60" t="s">
        <v>298</v>
      </c>
      <c r="M1970" s="124">
        <v>270</v>
      </c>
      <c r="N1970" s="124"/>
      <c r="O1970" s="60" t="s">
        <v>56</v>
      </c>
      <c r="P1970" s="273">
        <v>36</v>
      </c>
      <c r="Q1970" s="273">
        <v>30</v>
      </c>
      <c r="R1970" s="60">
        <v>30</v>
      </c>
      <c r="S1970" s="273">
        <v>36</v>
      </c>
      <c r="T1970" s="273">
        <f>Table1[[#This Row],[VO Wdth]]</f>
        <v>36</v>
      </c>
      <c r="U1970" s="273">
        <f>Table1[[#This Row],[VO Hgt]]</f>
        <v>30</v>
      </c>
      <c r="V1970" s="946">
        <f t="shared" si="719"/>
        <v>47</v>
      </c>
      <c r="W1970" s="946">
        <f t="shared" si="720"/>
        <v>41</v>
      </c>
      <c r="X1970" s="138" t="s">
        <v>1462</v>
      </c>
      <c r="Y1970" s="60"/>
      <c r="Z1970" s="60"/>
      <c r="AA1970" s="717">
        <f t="shared" si="716"/>
        <v>13.381944444444445</v>
      </c>
      <c r="AB1970" s="125">
        <f>AA1970*IncaG</f>
        <v>281.55611111111108</v>
      </c>
      <c r="AC1970" s="69">
        <f t="shared" si="718"/>
        <v>8.8320833333333333</v>
      </c>
      <c r="AD1970" s="48">
        <f>AA1970*IncaC</f>
        <v>22.524488888888889</v>
      </c>
      <c r="AE1970" s="104">
        <f>IF(Table1[[#This Row],[Work Center]]="SwissQ",Materials!G$37,IF(Table1[[#This Row],[Work Center]]="Inca",Materials!G$29,IF(Table1[[#This Row],[Work Center]]="Canon",Materials!G$49,Materials!G$45)))</f>
        <v>8</v>
      </c>
      <c r="AF1970" s="69">
        <f>'Cali FPS'!C47</f>
        <v>76.125</v>
      </c>
      <c r="AG1970" s="83"/>
      <c r="AH1970" s="498">
        <f t="shared" si="717"/>
        <v>13.5</v>
      </c>
      <c r="AI1970" s="498"/>
      <c r="AJ1970" s="69">
        <f t="shared" si="712"/>
        <v>128.98157222222221</v>
      </c>
      <c r="AK1970" s="650">
        <f t="shared" si="715"/>
        <v>0.52229047325102884</v>
      </c>
      <c r="AL1970" s="225">
        <f>Table1[[#This Row],[WSP/Dealer]]/Table1[[#This Row],[OD Sq Inch]]</f>
        <v>0.25</v>
      </c>
      <c r="AM1970" s="46">
        <f>Table1[[#This Row],[OD Wdth]]*Table1[[#This Row],[OD Hgt]]</f>
        <v>1080</v>
      </c>
      <c r="AN1970" s="60">
        <f>Table1[[#This Row],[Min VO]]+Table1[[#This Row],[Max VO]]</f>
        <v>66</v>
      </c>
      <c r="AO1970" s="60"/>
      <c r="AP1970" s="60"/>
      <c r="AQ1970" s="69"/>
      <c r="AR1970" s="69"/>
      <c r="AS1970" s="69"/>
      <c r="AT1970" s="69"/>
      <c r="AU1970" s="650" t="str">
        <f t="shared" si="721"/>
        <v>-</v>
      </c>
    </row>
    <row r="1971" spans="1:47" s="173" customFormat="1" x14ac:dyDescent="0.2">
      <c r="A1971" s="180" t="s">
        <v>58</v>
      </c>
      <c r="B1971" s="279" t="s">
        <v>619</v>
      </c>
      <c r="C1971" s="607" t="s">
        <v>4561</v>
      </c>
      <c r="D1971" s="94" t="s">
        <v>4562</v>
      </c>
      <c r="E1971" s="284" t="s">
        <v>4563</v>
      </c>
      <c r="F1971" s="284" t="s">
        <v>650</v>
      </c>
      <c r="G1971" s="180" t="s">
        <v>655</v>
      </c>
      <c r="H1971" s="180" t="s">
        <v>655</v>
      </c>
      <c r="I1971" s="180" t="s">
        <v>52</v>
      </c>
      <c r="J1971" s="180" t="s">
        <v>53</v>
      </c>
      <c r="K1971" s="180" t="s">
        <v>54</v>
      </c>
      <c r="L1971" s="180" t="s">
        <v>55</v>
      </c>
      <c r="M1971" s="285">
        <v>1300</v>
      </c>
      <c r="N1971" s="639">
        <v>1350</v>
      </c>
      <c r="O1971" s="180" t="s">
        <v>64</v>
      </c>
      <c r="P1971" s="813">
        <v>72</v>
      </c>
      <c r="Q1971" s="813">
        <v>60</v>
      </c>
      <c r="R1971" s="180">
        <v>60</v>
      </c>
      <c r="S1971" s="813">
        <v>72</v>
      </c>
      <c r="T1971" s="813">
        <f>Table1[[#This Row],[VO Wdth]]</f>
        <v>72</v>
      </c>
      <c r="U1971" s="813">
        <f>Table1[[#This Row],[VO Hgt]]</f>
        <v>60</v>
      </c>
      <c r="V1971" s="947">
        <f t="shared" si="719"/>
        <v>83</v>
      </c>
      <c r="W1971" s="947">
        <f t="shared" si="720"/>
        <v>71</v>
      </c>
      <c r="X1971" s="289" t="s">
        <v>1462</v>
      </c>
      <c r="Y1971" s="180"/>
      <c r="Z1971" s="180"/>
      <c r="AA1971" s="678">
        <f t="shared" si="716"/>
        <v>40.923611111111114</v>
      </c>
      <c r="AB1971" s="329">
        <f>AA1971*Swiss1</f>
        <v>1158.1381944444445</v>
      </c>
      <c r="AC1971" s="176">
        <f t="shared" si="718"/>
        <v>27.009583333333335</v>
      </c>
      <c r="AD1971" s="175">
        <f>Table1[[#This Row],[Substrate SF]]*Materials!C$37</f>
        <v>114.58611111111111</v>
      </c>
      <c r="AE1971" s="176">
        <f>IF(Table1[[#This Row],[Work Center]]="SwissQ",Materials!G$37,IF(Table1[[#This Row],[Work Center]]="Inca",Materials!G$29,IF(Table1[[#This Row],[Work Center]]="Canon",Materials!G$49,Materials!G$45)))</f>
        <v>20</v>
      </c>
      <c r="AF1971" s="176">
        <f>'Cali FPS'!C$160</f>
        <v>253.32999999999998</v>
      </c>
      <c r="AG1971" s="284"/>
      <c r="AH1971" s="498">
        <f t="shared" si="717"/>
        <v>65</v>
      </c>
      <c r="AI1971" s="498"/>
      <c r="AJ1971" s="176">
        <f t="shared" si="712"/>
        <v>479.92569444444439</v>
      </c>
      <c r="AK1971" s="650">
        <f t="shared" si="715"/>
        <v>0.63082638888888898</v>
      </c>
      <c r="AL1971" s="225">
        <f>Table1[[#This Row],[WSP/Dealer]]/Table1[[#This Row],[OD Sq Inch]]</f>
        <v>0.30092592592592593</v>
      </c>
      <c r="AM1971" s="173">
        <f>Table1[[#This Row],[OD Wdth]]*Table1[[#This Row],[OD Hgt]]</f>
        <v>4320</v>
      </c>
      <c r="AN1971" s="180">
        <f>Table1[[#This Row],[Min VO]]+Table1[[#This Row],[Max VO]]</f>
        <v>132</v>
      </c>
      <c r="AO1971" s="180"/>
      <c r="AP1971" s="180"/>
      <c r="AQ1971" s="176"/>
      <c r="AR1971" s="176"/>
      <c r="AS1971" s="176"/>
      <c r="AT1971" s="176"/>
      <c r="AU1971" s="1201" t="str">
        <f t="shared" si="721"/>
        <v>-</v>
      </c>
    </row>
    <row r="1972" spans="1:47" s="173" customFormat="1" x14ac:dyDescent="0.2">
      <c r="A1972" s="101" t="s">
        <v>581</v>
      </c>
      <c r="B1972" s="1061" t="s">
        <v>292</v>
      </c>
      <c r="C1972" s="100" t="s">
        <v>4564</v>
      </c>
      <c r="D1972" s="94" t="s">
        <v>4565</v>
      </c>
      <c r="E1972" s="115" t="s">
        <v>4563</v>
      </c>
      <c r="F1972" s="115" t="s">
        <v>650</v>
      </c>
      <c r="G1972" s="101" t="s">
        <v>655</v>
      </c>
      <c r="H1972" s="101" t="s">
        <v>657</v>
      </c>
      <c r="I1972" s="101" t="s">
        <v>52</v>
      </c>
      <c r="J1972" s="487" t="s">
        <v>53</v>
      </c>
      <c r="K1972" s="101" t="s">
        <v>82</v>
      </c>
      <c r="L1972" s="101" t="s">
        <v>298</v>
      </c>
      <c r="M1972" s="114">
        <v>1450</v>
      </c>
      <c r="N1972" s="102">
        <v>1450</v>
      </c>
      <c r="O1972" s="101" t="s">
        <v>64</v>
      </c>
      <c r="P1972" s="697">
        <v>72</v>
      </c>
      <c r="Q1972" s="697">
        <v>60</v>
      </c>
      <c r="R1972" s="101">
        <v>60</v>
      </c>
      <c r="S1972" s="697">
        <v>72</v>
      </c>
      <c r="T1972" s="697">
        <v>73</v>
      </c>
      <c r="U1972" s="697">
        <v>61</v>
      </c>
      <c r="V1972" s="918">
        <f t="shared" si="719"/>
        <v>83</v>
      </c>
      <c r="W1972" s="918">
        <f t="shared" si="720"/>
        <v>71</v>
      </c>
      <c r="X1972" s="101">
        <v>82</v>
      </c>
      <c r="Y1972" s="101">
        <v>83</v>
      </c>
      <c r="Z1972" s="101">
        <v>71</v>
      </c>
      <c r="AA1972" s="724">
        <f t="shared" si="716"/>
        <v>40.923611111111114</v>
      </c>
      <c r="AB1972" s="633">
        <f>Table1[[#This Row],[Substrate SF]]*Swiss1</f>
        <v>1158.1381944444445</v>
      </c>
      <c r="AC1972" s="406">
        <f t="shared" si="718"/>
        <v>27.009583333333335</v>
      </c>
      <c r="AD1972" s="406">
        <f>Table1[[#This Row],[Substrate SF]]*Materials!C$37</f>
        <v>114.58611111111111</v>
      </c>
      <c r="AE1972" s="104">
        <f>IF(Table1[[#This Row],[Work Center]]="SwissQ",Materials!G$37,IF(Table1[[#This Row],[Work Center]]="Inca",Materials!G$29,IF(Table1[[#This Row],[Work Center]]="Canon",Materials!G$49,Materials!G$45)))</f>
        <v>20</v>
      </c>
      <c r="AF1972" s="102"/>
      <c r="AG1972" s="540"/>
      <c r="AH1972" s="104">
        <f t="shared" si="717"/>
        <v>72.5</v>
      </c>
      <c r="AI1972" s="104"/>
      <c r="AJ1972" s="406">
        <f t="shared" si="712"/>
        <v>234.09569444444443</v>
      </c>
      <c r="AK1972" s="830">
        <f t="shared" si="715"/>
        <v>0.83855469348659006</v>
      </c>
      <c r="AL1972" s="660">
        <f>Table1[[#This Row],[WSP/Dealer]]/Table1[[#This Row],[OD Sq Inch]]</f>
        <v>0.32562317538737928</v>
      </c>
      <c r="AM1972" s="399">
        <f>Table1[[#This Row],[OD Wdth]]*Table1[[#This Row],[OD Hgt]]</f>
        <v>4453</v>
      </c>
      <c r="AN1972" s="400">
        <f>Table1[[#This Row],[Min VO]]+Table1[[#This Row],[Max VO]]</f>
        <v>132</v>
      </c>
      <c r="AO1972" s="115"/>
      <c r="AP1972" s="115"/>
      <c r="AQ1972" s="121"/>
      <c r="AR1972" s="121"/>
      <c r="AS1972" s="121"/>
      <c r="AT1972" s="104"/>
      <c r="AU1972" s="1359" t="str">
        <f t="shared" si="721"/>
        <v>-</v>
      </c>
    </row>
    <row r="1973" spans="1:47" s="170" customFormat="1" hidden="1" x14ac:dyDescent="0.2">
      <c r="A1973" s="1291" t="s">
        <v>2186</v>
      </c>
      <c r="B1973" s="1303" t="s">
        <v>2187</v>
      </c>
      <c r="C1973" s="1291" t="s">
        <v>4566</v>
      </c>
      <c r="D1973" s="1292"/>
      <c r="E1973" s="1293" t="s">
        <v>4567</v>
      </c>
      <c r="F1973" s="1293"/>
      <c r="G1973" s="1291"/>
      <c r="H1973" s="1291"/>
      <c r="I1973" s="1291" t="s">
        <v>52</v>
      </c>
      <c r="J1973" s="1294"/>
      <c r="K1973" s="1291"/>
      <c r="L1973" s="1291"/>
      <c r="M1973" s="1483">
        <v>4</v>
      </c>
      <c r="N1973" s="1308"/>
      <c r="O1973" s="1291" t="s">
        <v>64</v>
      </c>
      <c r="P1973" s="1295">
        <v>60</v>
      </c>
      <c r="Q1973" s="1295">
        <v>120</v>
      </c>
      <c r="R1973" s="1291">
        <v>60</v>
      </c>
      <c r="S1973" s="1771">
        <v>120</v>
      </c>
      <c r="T1973" s="1771">
        <v>60</v>
      </c>
      <c r="U1973" s="1771">
        <v>120</v>
      </c>
      <c r="V1973" s="1291">
        <v>60</v>
      </c>
      <c r="W1973" s="1291">
        <v>120</v>
      </c>
      <c r="X1973" s="1291"/>
      <c r="Y1973" s="1291"/>
      <c r="Z1973" s="1291"/>
      <c r="AA1973" s="1296">
        <v>50</v>
      </c>
      <c r="AB1973" s="1300">
        <v>1415</v>
      </c>
      <c r="AC1973" s="1301">
        <v>33</v>
      </c>
      <c r="AD1973" s="1305">
        <v>140</v>
      </c>
      <c r="AE1973" s="1301">
        <v>20</v>
      </c>
      <c r="AF1973" s="1308"/>
      <c r="AG1973" s="1293"/>
      <c r="AH1973" s="1297"/>
      <c r="AI1973" s="1306"/>
      <c r="AJ1973" s="1305">
        <v>1.93</v>
      </c>
      <c r="AK1973" s="1703">
        <v>0.51750000000000007</v>
      </c>
      <c r="AL1973" s="1293"/>
      <c r="AM1973" s="1297"/>
      <c r="AN1973" s="1293"/>
      <c r="AO1973" s="1293"/>
      <c r="AP1973" s="1341"/>
      <c r="AQ1973" s="1342"/>
      <c r="AR1973" s="1342"/>
      <c r="AS1973" s="1342"/>
      <c r="AT1973" s="1343"/>
      <c r="AU1973" s="1378" t="str">
        <f t="shared" si="721"/>
        <v>-</v>
      </c>
    </row>
    <row r="1974" spans="1:47" s="170" customFormat="1" hidden="1" x14ac:dyDescent="0.2">
      <c r="A1974" s="1291" t="s">
        <v>2186</v>
      </c>
      <c r="B1974" s="1303" t="s">
        <v>2187</v>
      </c>
      <c r="C1974" s="1291" t="s">
        <v>4568</v>
      </c>
      <c r="D1974" s="1292"/>
      <c r="E1974" s="1293" t="s">
        <v>4569</v>
      </c>
      <c r="F1974" s="1293"/>
      <c r="G1974" s="1291"/>
      <c r="H1974" s="1291"/>
      <c r="I1974" s="1291" t="s">
        <v>52</v>
      </c>
      <c r="J1974" s="1294"/>
      <c r="K1974" s="1291"/>
      <c r="L1974" s="1291"/>
      <c r="M1974" s="1440"/>
      <c r="N1974" s="1440"/>
      <c r="O1974" s="1291"/>
      <c r="P1974" s="1295"/>
      <c r="Q1974" s="1295"/>
      <c r="R1974" s="1291"/>
      <c r="S1974" s="1295"/>
      <c r="T1974" s="1295"/>
      <c r="U1974" s="1295"/>
      <c r="V1974" s="1291"/>
      <c r="W1974" s="1291"/>
      <c r="X1974" s="1291"/>
      <c r="Y1974" s="1291"/>
      <c r="Z1974" s="1291"/>
      <c r="AA1974" s="1296"/>
      <c r="AB1974" s="1446"/>
      <c r="AC1974" s="1291"/>
      <c r="AD1974" s="1297"/>
      <c r="AE1974" s="1293"/>
      <c r="AF1974" s="1440"/>
      <c r="AG1974" s="1293"/>
      <c r="AH1974" s="1293"/>
      <c r="AI1974" s="1461"/>
      <c r="AJ1974" s="1293"/>
      <c r="AK1974" s="1291"/>
      <c r="AL1974" s="1293"/>
      <c r="AM1974" s="1297"/>
      <c r="AN1974" s="1293"/>
      <c r="AO1974" s="1293"/>
      <c r="AP1974" s="1448"/>
      <c r="AQ1974" s="1448">
        <f>(Table1[[#This Row],[Desgnr/Retail P]]*0.05)</f>
        <v>0</v>
      </c>
      <c r="AR1974" s="1448" t="b">
        <f>IF(A1974="Codarus",(AP1974*0.13))</f>
        <v>0</v>
      </c>
      <c r="AS1974" s="1448" t="e" cm="1">
        <f t="array" ref="AS1974">SUM(AC1974:AG1974+AQ+AR)</f>
        <v>#NAME?</v>
      </c>
      <c r="AT1974" s="1472" t="e">
        <f>(AP1974-AS1974)/AP1974</f>
        <v>#NAME?</v>
      </c>
      <c r="AU1974" s="1378" t="str">
        <f t="shared" si="721"/>
        <v>-</v>
      </c>
    </row>
    <row r="1975" spans="1:47" s="170" customFormat="1" hidden="1" x14ac:dyDescent="0.2">
      <c r="A1975" s="68"/>
      <c r="B1975" s="279"/>
      <c r="C1975" s="94" t="s">
        <v>4570</v>
      </c>
      <c r="D1975" s="94"/>
      <c r="E1975" s="84" t="s">
        <v>4571</v>
      </c>
      <c r="F1975" s="84" t="s">
        <v>131</v>
      </c>
      <c r="G1975" s="68" t="s">
        <v>4302</v>
      </c>
      <c r="H1975" s="68"/>
      <c r="I1975" s="68" t="s">
        <v>52</v>
      </c>
      <c r="J1975" s="68" t="s">
        <v>53</v>
      </c>
      <c r="K1975" s="68" t="s">
        <v>54</v>
      </c>
      <c r="L1975" s="68" t="s">
        <v>55</v>
      </c>
      <c r="M1975" s="93"/>
      <c r="N1975" s="71"/>
      <c r="O1975" s="68"/>
      <c r="P1975" s="68"/>
      <c r="Q1975" s="68"/>
      <c r="R1975" s="68"/>
      <c r="S1975" s="68"/>
      <c r="T1975" s="68"/>
      <c r="U1975" s="68"/>
      <c r="V1975" s="66"/>
      <c r="W1975" s="66"/>
      <c r="X1975" s="189"/>
      <c r="Y1975" s="68"/>
      <c r="Z1975" s="68"/>
      <c r="AA1975" s="699"/>
      <c r="AB1975" s="297"/>
      <c r="AC1975" s="74"/>
      <c r="AD1975" s="118"/>
      <c r="AE1975" s="126"/>
      <c r="AF1975" s="73"/>
      <c r="AG1975" s="126"/>
      <c r="AH1975" s="498">
        <f t="shared" ref="AH1975:AH1981" si="722">(M1975*0.05)</f>
        <v>0</v>
      </c>
      <c r="AI1975" s="498"/>
      <c r="AJ1975" s="126"/>
      <c r="AK1975" s="650" t="e">
        <f t="shared" ref="AK1975:AK1989" si="723">(M1975-AJ1975)/M1975</f>
        <v>#DIV/0!</v>
      </c>
      <c r="AL1975" s="225" t="e">
        <f>Table1[[#This Row],[WSP/Dealer]]/Table1[[#This Row],[OD Sq Inch]]</f>
        <v>#DIV/0!</v>
      </c>
      <c r="AM1975" s="119"/>
      <c r="AN1975" s="216">
        <f>Table1[[#This Row],[Min VO]]+Table1[[#This Row],[Max VO]]</f>
        <v>0</v>
      </c>
      <c r="AO1975" s="84"/>
      <c r="AP1975" s="84"/>
      <c r="AQ1975" s="126"/>
      <c r="AR1975" s="126"/>
      <c r="AS1975" s="126"/>
      <c r="AT1975" s="74"/>
      <c r="AU1975" s="1357" t="str">
        <f t="shared" si="721"/>
        <v>-</v>
      </c>
    </row>
    <row r="1976" spans="1:47" s="170" customFormat="1" hidden="1" x14ac:dyDescent="0.2">
      <c r="A1976" s="216" t="s">
        <v>272</v>
      </c>
      <c r="B1976" s="1061" t="s">
        <v>273</v>
      </c>
      <c r="C1976" s="232" t="s">
        <v>4572</v>
      </c>
      <c r="D1976" s="94"/>
      <c r="E1976" s="217" t="s">
        <v>4573</v>
      </c>
      <c r="F1976" s="217" t="s">
        <v>131</v>
      </c>
      <c r="G1976" s="216" t="s">
        <v>323</v>
      </c>
      <c r="H1976" s="216" t="s">
        <v>323</v>
      </c>
      <c r="I1976" s="216" t="s">
        <v>52</v>
      </c>
      <c r="J1976" s="216" t="s">
        <v>53</v>
      </c>
      <c r="K1976" s="216" t="s">
        <v>54</v>
      </c>
      <c r="L1976" s="216" t="s">
        <v>55</v>
      </c>
      <c r="M1976" s="219">
        <v>300</v>
      </c>
      <c r="N1976" s="219"/>
      <c r="O1976" s="216" t="s">
        <v>56</v>
      </c>
      <c r="P1976" s="216">
        <v>36</v>
      </c>
      <c r="Q1976" s="216">
        <v>24</v>
      </c>
      <c r="R1976" s="216">
        <v>24</v>
      </c>
      <c r="S1976" s="626">
        <v>36</v>
      </c>
      <c r="T1976" s="216">
        <f>P1976</f>
        <v>36</v>
      </c>
      <c r="U1976" s="216">
        <f>Q1976</f>
        <v>24</v>
      </c>
      <c r="V1976" s="907">
        <f>IF(J1976="Canvas",P1976+BorderGW,P1976)</f>
        <v>44</v>
      </c>
      <c r="W1976" s="907">
        <f>IF(J1976="Canvas",Q1976+BorderGW,Q1976)</f>
        <v>32</v>
      </c>
      <c r="X1976" s="223" t="s">
        <v>57</v>
      </c>
      <c r="Y1976" s="216">
        <v>32</v>
      </c>
      <c r="Z1976" s="216">
        <v>88</v>
      </c>
      <c r="AA1976" s="718">
        <f t="shared" ref="AA1976:AA1981" si="724">V1976*W1976/144</f>
        <v>9.7777777777777786</v>
      </c>
      <c r="AB1976" s="233">
        <f>AA1976*IncaG</f>
        <v>205.72444444444446</v>
      </c>
      <c r="AC1976" s="225">
        <f t="shared" ref="AC1976:AC1981" si="725">AA1976*Canvas</f>
        <v>6.453333333333334</v>
      </c>
      <c r="AD1976" s="206">
        <f>Table1[[#This Row],[Ink g/mL]]*Materials!$C$29</f>
        <v>16.457955555555557</v>
      </c>
      <c r="AE1976" s="104">
        <f>IF(Table1[[#This Row],[Work Center]]="SwissQ",Materials!G$37,IF(Table1[[#This Row],[Work Center]]="Inca",Materials!G$29,IF(Table1[[#This Row],[Work Center]]="Canon",Materials!G$49,Materials!G$45)))</f>
        <v>8</v>
      </c>
      <c r="AF1976" s="225"/>
      <c r="AG1976" s="115"/>
      <c r="AH1976" s="498">
        <f t="shared" si="722"/>
        <v>15</v>
      </c>
      <c r="AI1976" s="498"/>
      <c r="AJ1976" s="207">
        <f t="shared" ref="AJ1976:AJ1989" si="726">SUM(AC1976:AH1976)</f>
        <v>45.91128888888889</v>
      </c>
      <c r="AK1976" s="650">
        <f t="shared" si="723"/>
        <v>0.84696237037037037</v>
      </c>
      <c r="AL1976" s="225">
        <f>Table1[[#This Row],[WSP/Dealer]]/Table1[[#This Row],[OD Sq Inch]]</f>
        <v>0.34722222222222221</v>
      </c>
      <c r="AM1976" s="103">
        <f>Table1[[#This Row],[OD Wdth]]*Table1[[#This Row],[OD Hgt]]</f>
        <v>864</v>
      </c>
      <c r="AN1976" s="216">
        <f>Table1[[#This Row],[Min VO]]+Table1[[#This Row],[Max VO]]</f>
        <v>60</v>
      </c>
      <c r="AO1976" s="216" t="s">
        <v>1716</v>
      </c>
      <c r="AP1976" s="226"/>
      <c r="AQ1976" s="226"/>
      <c r="AR1976" s="226"/>
      <c r="AS1976" s="226"/>
      <c r="AT1976" s="226"/>
      <c r="AU1976" s="1365" t="str">
        <f t="shared" si="721"/>
        <v>-</v>
      </c>
    </row>
    <row r="1977" spans="1:47" s="170" customFormat="1" hidden="1" x14ac:dyDescent="0.2">
      <c r="A1977" s="216" t="s">
        <v>272</v>
      </c>
      <c r="B1977" s="1061" t="s">
        <v>273</v>
      </c>
      <c r="C1977" s="243" t="s">
        <v>4574</v>
      </c>
      <c r="D1977" s="94"/>
      <c r="E1977" s="217" t="s">
        <v>4575</v>
      </c>
      <c r="F1977" s="217" t="s">
        <v>131</v>
      </c>
      <c r="G1977" s="216" t="s">
        <v>323</v>
      </c>
      <c r="H1977" s="216" t="s">
        <v>323</v>
      </c>
      <c r="I1977" s="216" t="s">
        <v>108</v>
      </c>
      <c r="J1977" s="216" t="s">
        <v>53</v>
      </c>
      <c r="K1977" s="216" t="s">
        <v>54</v>
      </c>
      <c r="L1977" s="216" t="s">
        <v>55</v>
      </c>
      <c r="M1977" s="219">
        <v>250</v>
      </c>
      <c r="N1977" s="219"/>
      <c r="O1977" s="216" t="s">
        <v>109</v>
      </c>
      <c r="P1977" s="216">
        <v>36</v>
      </c>
      <c r="Q1977" s="216">
        <v>24</v>
      </c>
      <c r="R1977" s="216">
        <v>24</v>
      </c>
      <c r="S1977" s="626">
        <v>36</v>
      </c>
      <c r="T1977" s="216">
        <f>P1977</f>
        <v>36</v>
      </c>
      <c r="U1977" s="216">
        <f>Q1977</f>
        <v>24</v>
      </c>
      <c r="V1977" s="907">
        <f>IF(J1977="Canvas",P1977+BorderGW,P1977)</f>
        <v>44</v>
      </c>
      <c r="W1977" s="907">
        <f>IF(J1977="Canvas",Q1977+BorderGW,Q1977)</f>
        <v>32</v>
      </c>
      <c r="X1977" s="223">
        <v>62</v>
      </c>
      <c r="Y1977" s="216"/>
      <c r="Z1977" s="216"/>
      <c r="AA1977" s="718">
        <f t="shared" si="724"/>
        <v>9.7777777777777786</v>
      </c>
      <c r="AB1977" s="233">
        <f>AA1977*EPSONM</f>
        <v>44</v>
      </c>
      <c r="AC1977" s="225">
        <f t="shared" si="725"/>
        <v>6.453333333333334</v>
      </c>
      <c r="AD1977" s="207">
        <f>Table1[[#This Row],[Ink g/mL]]*EPSONC</f>
        <v>9.68</v>
      </c>
      <c r="AE1977" s="104">
        <f>IF(Table1[[#This Row],[Work Center]]="SwissQ",Materials!G$37,IF(Table1[[#This Row],[Work Center]]="Inca",Materials!G$29,IF(Table1[[#This Row],[Work Center]]="Canon",Materials!G$49,Materials!G$45)))</f>
        <v>5</v>
      </c>
      <c r="AF1977" s="225">
        <f>'Cali FPS'!C37</f>
        <v>75.162500000000009</v>
      </c>
      <c r="AG1977" s="115"/>
      <c r="AH1977" s="498">
        <f t="shared" si="722"/>
        <v>12.5</v>
      </c>
      <c r="AI1977" s="498"/>
      <c r="AJ1977" s="225">
        <f t="shared" si="726"/>
        <v>108.79583333333335</v>
      </c>
      <c r="AK1977" s="650">
        <f t="shared" si="723"/>
        <v>0.56481666666666663</v>
      </c>
      <c r="AL1977" s="225">
        <f>Table1[[#This Row],[WSP/Dealer]]/Table1[[#This Row],[OD Sq Inch]]</f>
        <v>0.28935185185185186</v>
      </c>
      <c r="AM1977" s="216">
        <f>Table1[[#This Row],[OD Wdth]]*Table1[[#This Row],[OD Hgt]]</f>
        <v>864</v>
      </c>
      <c r="AN1977" s="216">
        <f>Table1[[#This Row],[Min VO]]+Table1[[#This Row],[Max VO]]</f>
        <v>60</v>
      </c>
      <c r="AO1977" s="216" t="s">
        <v>1716</v>
      </c>
      <c r="AP1977" s="226"/>
      <c r="AQ1977" s="226"/>
      <c r="AR1977" s="226"/>
      <c r="AS1977" s="226"/>
      <c r="AT1977" s="226"/>
      <c r="AU1977" s="1363" t="str">
        <f t="shared" si="721"/>
        <v>-</v>
      </c>
    </row>
    <row r="1978" spans="1:47" s="170" customFormat="1" hidden="1" x14ac:dyDescent="0.2">
      <c r="A1978" s="60" t="s">
        <v>95</v>
      </c>
      <c r="B1978" s="1061" t="s">
        <v>96</v>
      </c>
      <c r="C1978" s="76" t="s">
        <v>4576</v>
      </c>
      <c r="D1978" s="94"/>
      <c r="E1978" s="83" t="s">
        <v>4577</v>
      </c>
      <c r="F1978" s="83" t="s">
        <v>634</v>
      </c>
      <c r="G1978" s="60" t="s">
        <v>51</v>
      </c>
      <c r="H1978" s="60" t="s">
        <v>364</v>
      </c>
      <c r="I1978" s="60" t="s">
        <v>108</v>
      </c>
      <c r="J1978" s="59" t="s">
        <v>53</v>
      </c>
      <c r="K1978" s="60" t="s">
        <v>69</v>
      </c>
      <c r="L1978" s="60" t="s">
        <v>73</v>
      </c>
      <c r="M1978" s="179">
        <v>700</v>
      </c>
      <c r="N1978" s="72"/>
      <c r="O1978" s="470" t="s">
        <v>109</v>
      </c>
      <c r="P1978" s="60">
        <v>30</v>
      </c>
      <c r="Q1978" s="60">
        <v>40</v>
      </c>
      <c r="R1978" s="60">
        <v>20</v>
      </c>
      <c r="S1978" s="273">
        <v>30</v>
      </c>
      <c r="T1978" s="60">
        <v>31</v>
      </c>
      <c r="U1978" s="60">
        <v>41</v>
      </c>
      <c r="V1978" s="47">
        <f>IF(J1978="Canvas",P1978+Border,P1978)</f>
        <v>38</v>
      </c>
      <c r="W1978" s="47">
        <f>IF(J1978="Canvas",Q1978+Border,Q1978)</f>
        <v>48</v>
      </c>
      <c r="X1978" s="138">
        <v>53</v>
      </c>
      <c r="Y1978" s="60">
        <v>38</v>
      </c>
      <c r="Z1978" s="60">
        <v>48</v>
      </c>
      <c r="AA1978" s="678">
        <f t="shared" si="724"/>
        <v>12.666666666666666</v>
      </c>
      <c r="AB1978" s="329">
        <f>AA1978*EPSONM</f>
        <v>57</v>
      </c>
      <c r="AC1978" s="176">
        <f t="shared" si="725"/>
        <v>8.36</v>
      </c>
      <c r="AD1978" s="175">
        <f>Table1[[#This Row],[Ink g/mL]]*EPSONC</f>
        <v>12.540000000000001</v>
      </c>
      <c r="AE1978" s="176">
        <f>IF(Table1[[#This Row],[Work Center]]="SwissQ",Materials!G$37,IF(Table1[[#This Row],[Work Center]]="Inca",Materials!G$29,IF(Table1[[#This Row],[Work Center]]="Canon",Materials!G$49,Materials!G$45)))</f>
        <v>5</v>
      </c>
      <c r="AF1978" s="72">
        <f>'Cali Frames'!D430</f>
        <v>108.955</v>
      </c>
      <c r="AG1978" s="83"/>
      <c r="AH1978" s="48">
        <f t="shared" si="722"/>
        <v>35</v>
      </c>
      <c r="AI1978" s="48"/>
      <c r="AJ1978" s="48">
        <f t="shared" si="726"/>
        <v>169.85499999999999</v>
      </c>
      <c r="AK1978" s="62">
        <f t="shared" si="723"/>
        <v>0.75734999999999997</v>
      </c>
      <c r="AL1978" s="225">
        <f>Table1[[#This Row],[WSP/Dealer]]/Table1[[#This Row],[OD Sq Inch]]</f>
        <v>0.55074744295830058</v>
      </c>
      <c r="AM1978" s="218">
        <f>Table1[[#This Row],[OD Wdth]]*Table1[[#This Row],[OD Hgt]]</f>
        <v>1271</v>
      </c>
      <c r="AN1978" s="216">
        <f>Table1[[#This Row],[Min VO]]+Table1[[#This Row],[Max VO]]</f>
        <v>50</v>
      </c>
      <c r="AO1978" s="83"/>
      <c r="AP1978" s="821"/>
      <c r="AQ1978" s="821"/>
      <c r="AR1978" s="821"/>
      <c r="AS1978" s="821"/>
      <c r="AT1978" s="72"/>
      <c r="AU1978" s="1361" t="str">
        <f t="shared" si="721"/>
        <v>-</v>
      </c>
    </row>
    <row r="1979" spans="1:47" s="170" customFormat="1" x14ac:dyDescent="0.2">
      <c r="A1979" s="101" t="s">
        <v>581</v>
      </c>
      <c r="B1979" s="1061" t="s">
        <v>292</v>
      </c>
      <c r="C1979" s="100" t="s">
        <v>4578</v>
      </c>
      <c r="D1979" s="94" t="s">
        <v>4579</v>
      </c>
      <c r="E1979" s="115" t="s">
        <v>4580</v>
      </c>
      <c r="F1979" s="115" t="s">
        <v>1129</v>
      </c>
      <c r="G1979" s="101" t="s">
        <v>4581</v>
      </c>
      <c r="H1979" s="101" t="s">
        <v>4582</v>
      </c>
      <c r="I1979" s="101" t="s">
        <v>52</v>
      </c>
      <c r="J1979" s="487" t="s">
        <v>53</v>
      </c>
      <c r="K1979" s="101" t="s">
        <v>82</v>
      </c>
      <c r="L1979" s="101" t="s">
        <v>298</v>
      </c>
      <c r="M1979" s="114">
        <v>1400</v>
      </c>
      <c r="N1979" s="114">
        <v>1400</v>
      </c>
      <c r="O1979" s="101" t="s">
        <v>56</v>
      </c>
      <c r="P1979" s="101">
        <v>54</v>
      </c>
      <c r="Q1979" s="101">
        <v>70</v>
      </c>
      <c r="R1979" s="101">
        <v>54</v>
      </c>
      <c r="S1979" s="697">
        <v>70</v>
      </c>
      <c r="T1979" s="101">
        <v>55</v>
      </c>
      <c r="U1979" s="101">
        <v>71</v>
      </c>
      <c r="V1979" s="404">
        <f>IF(J1979="Canvas",P1979+BorderL,P1979)</f>
        <v>65</v>
      </c>
      <c r="W1979" s="404">
        <f>IF(J1979="Canvas",Q1979+BorderL,Q1979)</f>
        <v>81</v>
      </c>
      <c r="X1979" s="101">
        <v>82</v>
      </c>
      <c r="Y1979" s="101">
        <v>65</v>
      </c>
      <c r="Z1979" s="101">
        <v>81</v>
      </c>
      <c r="AA1979" s="724">
        <f t="shared" si="724"/>
        <v>36.5625</v>
      </c>
      <c r="AB1979" s="633">
        <f>AA1979*IncaG</f>
        <v>769.27499999999998</v>
      </c>
      <c r="AC1979" s="406">
        <f t="shared" si="725"/>
        <v>24.131250000000001</v>
      </c>
      <c r="AD1979" s="405">
        <f>AA1979*IncaC</f>
        <v>61.542000000000002</v>
      </c>
      <c r="AE1979" s="406">
        <f>IF(Table1[[#This Row],[Work Center]]="SwissQ",Materials!G$37,IF(Table1[[#This Row],[Work Center]]="Inca",Materials!G$29,IF(Table1[[#This Row],[Work Center]]="Canon",Materials!G$49,Materials!G$45)))</f>
        <v>8</v>
      </c>
      <c r="AF1979" s="102">
        <f>'Cali Frames'!D240</f>
        <v>325.43</v>
      </c>
      <c r="AG1979" s="540"/>
      <c r="AH1979" s="107">
        <f t="shared" si="722"/>
        <v>70</v>
      </c>
      <c r="AI1979" s="107"/>
      <c r="AJ1979" s="406">
        <f t="shared" si="726"/>
        <v>489.10325</v>
      </c>
      <c r="AK1979" s="108">
        <f t="shared" si="723"/>
        <v>0.65064053571428571</v>
      </c>
      <c r="AL1979" s="660">
        <f>Table1[[#This Row],[WSP/Dealer]]/Table1[[#This Row],[OD Sq Inch]]</f>
        <v>0.35851472471190782</v>
      </c>
      <c r="AM1979" s="399">
        <f>Table1[[#This Row],[OD Wdth]]*Table1[[#This Row],[OD Hgt]]</f>
        <v>3905</v>
      </c>
      <c r="AN1979" s="400">
        <f>Table1[[#This Row],[Min VO]]+Table1[[#This Row],[Max VO]]</f>
        <v>124</v>
      </c>
      <c r="AO1979" s="113"/>
      <c r="AP1979" s="408"/>
      <c r="AQ1979" s="408"/>
      <c r="AR1979" s="408"/>
      <c r="AS1979" s="408"/>
      <c r="AT1979" s="102"/>
      <c r="AU1979" s="1367" t="str">
        <f t="shared" si="721"/>
        <v>-</v>
      </c>
    </row>
    <row r="1980" spans="1:47" s="173" customFormat="1" x14ac:dyDescent="0.2">
      <c r="A1980" s="101" t="s">
        <v>581</v>
      </c>
      <c r="B1980" s="1061" t="s">
        <v>292</v>
      </c>
      <c r="C1980" s="100" t="s">
        <v>4583</v>
      </c>
      <c r="D1980" s="94" t="s">
        <v>4584</v>
      </c>
      <c r="E1980" s="115" t="s">
        <v>4585</v>
      </c>
      <c r="F1980" s="115" t="s">
        <v>1129</v>
      </c>
      <c r="G1980" s="101" t="s">
        <v>482</v>
      </c>
      <c r="H1980" s="101" t="s">
        <v>488</v>
      </c>
      <c r="I1980" s="101" t="s">
        <v>52</v>
      </c>
      <c r="J1980" s="487" t="s">
        <v>53</v>
      </c>
      <c r="K1980" s="101" t="s">
        <v>82</v>
      </c>
      <c r="L1980" s="101" t="s">
        <v>76</v>
      </c>
      <c r="M1980" s="114">
        <v>970</v>
      </c>
      <c r="N1980" s="102">
        <v>970</v>
      </c>
      <c r="O1980" s="101" t="s">
        <v>64</v>
      </c>
      <c r="P1980" s="101">
        <v>40</v>
      </c>
      <c r="Q1980" s="101">
        <v>60</v>
      </c>
      <c r="R1980" s="101">
        <v>40</v>
      </c>
      <c r="S1980" s="116">
        <v>60</v>
      </c>
      <c r="T1980" s="103">
        <v>41</v>
      </c>
      <c r="U1980" s="103">
        <v>61</v>
      </c>
      <c r="V1980" s="404">
        <f>IF(J1980="Canvas",P1980+BorderL,P1980)</f>
        <v>51</v>
      </c>
      <c r="W1980" s="404">
        <f>IF(J1980="Canvas",Q1980+BorderL,Q1980)</f>
        <v>71</v>
      </c>
      <c r="X1980" s="101">
        <v>53</v>
      </c>
      <c r="Y1980" s="101">
        <v>51</v>
      </c>
      <c r="Z1980" s="101">
        <v>71</v>
      </c>
      <c r="AA1980" s="724">
        <f t="shared" si="724"/>
        <v>25.145833333333332</v>
      </c>
      <c r="AB1980" s="633">
        <f>Table1[[#This Row],[Substrate SF]]*Swiss1</f>
        <v>711.6270833333333</v>
      </c>
      <c r="AC1980" s="406">
        <f t="shared" si="725"/>
        <v>16.596250000000001</v>
      </c>
      <c r="AD1980" s="405">
        <f>Table1[[#This Row],[Substrate SF]]*Materials!C$37</f>
        <v>70.408333333333331</v>
      </c>
      <c r="AE1980" s="104">
        <f>IF(Table1[[#This Row],[Work Center]]="SwissQ",Materials!G$37,IF(Table1[[#This Row],[Work Center]]="Inca",Materials!G$29,IF(Table1[[#This Row],[Work Center]]="Canon",Materials!G$49,Materials!G$45)))</f>
        <v>20</v>
      </c>
      <c r="AF1980" s="102">
        <f>'Cali Frames'!D235</f>
        <v>168.56</v>
      </c>
      <c r="AG1980" s="540"/>
      <c r="AH1980" s="104">
        <f t="shared" si="722"/>
        <v>48.5</v>
      </c>
      <c r="AI1980" s="104"/>
      <c r="AJ1980" s="406">
        <f t="shared" si="726"/>
        <v>324.0645833333333</v>
      </c>
      <c r="AK1980" s="830">
        <f t="shared" si="723"/>
        <v>0.6659128006872852</v>
      </c>
      <c r="AL1980" s="660">
        <f>Table1[[#This Row],[WSP/Dealer]]/Table1[[#This Row],[OD Sq Inch]]</f>
        <v>0.38784486205517793</v>
      </c>
      <c r="AM1980" s="399">
        <f>Table1[[#This Row],[OD Wdth]]*Table1[[#This Row],[OD Hgt]]</f>
        <v>2501</v>
      </c>
      <c r="AN1980" s="400">
        <f>Table1[[#This Row],[Min VO]]+Table1[[#This Row],[Max VO]]</f>
        <v>100</v>
      </c>
      <c r="AO1980" s="113"/>
      <c r="AP1980" s="408"/>
      <c r="AQ1980" s="408"/>
      <c r="AR1980" s="408"/>
      <c r="AS1980" s="408"/>
      <c r="AT1980" s="102"/>
      <c r="AU1980" s="1359" t="str">
        <f t="shared" si="721"/>
        <v>-</v>
      </c>
    </row>
    <row r="1981" spans="1:47" s="170" customFormat="1" x14ac:dyDescent="0.2">
      <c r="A1981" s="68" t="s">
        <v>58</v>
      </c>
      <c r="B1981" s="1072" t="s">
        <v>1013</v>
      </c>
      <c r="C1981" s="78" t="s">
        <v>4586</v>
      </c>
      <c r="D1981" s="94" t="s">
        <v>4587</v>
      </c>
      <c r="E1981" s="84" t="s">
        <v>4588</v>
      </c>
      <c r="F1981" s="84" t="s">
        <v>1129</v>
      </c>
      <c r="G1981" s="68" t="s">
        <v>898</v>
      </c>
      <c r="H1981" s="68" t="s">
        <v>4589</v>
      </c>
      <c r="I1981" s="68" t="s">
        <v>52</v>
      </c>
      <c r="J1981" s="140" t="s">
        <v>53</v>
      </c>
      <c r="K1981" s="68" t="s">
        <v>69</v>
      </c>
      <c r="L1981" s="68" t="s">
        <v>76</v>
      </c>
      <c r="M1981" s="141">
        <v>1400</v>
      </c>
      <c r="N1981" s="547"/>
      <c r="O1981" s="68" t="s">
        <v>56</v>
      </c>
      <c r="P1981" s="68">
        <v>50</v>
      </c>
      <c r="Q1981" s="68">
        <v>74</v>
      </c>
      <c r="R1981" s="68">
        <v>50</v>
      </c>
      <c r="S1981" s="623">
        <v>74</v>
      </c>
      <c r="T1981" s="68">
        <v>51</v>
      </c>
      <c r="U1981" s="68">
        <v>75</v>
      </c>
      <c r="V1981" s="66">
        <f>IF(J1981="Canvas",P1981+BorderGW,P1981)</f>
        <v>58</v>
      </c>
      <c r="W1981" s="66">
        <f>IF(J1981="Canvas",Q1981+BorderGW,Q1981)</f>
        <v>82</v>
      </c>
      <c r="X1981" s="68">
        <v>82</v>
      </c>
      <c r="Y1981" s="68">
        <v>58</v>
      </c>
      <c r="Z1981" s="68">
        <v>82</v>
      </c>
      <c r="AA1981" s="1011">
        <f t="shared" si="724"/>
        <v>33.027777777777779</v>
      </c>
      <c r="AB1981" s="297">
        <f>AA1981*IncaG</f>
        <v>694.90444444444438</v>
      </c>
      <c r="AC1981" s="74">
        <f t="shared" si="725"/>
        <v>21.798333333333336</v>
      </c>
      <c r="AD1981" s="67">
        <f>AA1981*IncaC</f>
        <v>55.592355555555557</v>
      </c>
      <c r="AE1981" s="74">
        <f>IF(Table1[[#This Row],[Work Center]]="SwissQ",Materials!G$37,IF(Table1[[#This Row],[Work Center]]="Inca",Materials!G$29,IF(Table1[[#This Row],[Work Center]]="Canon",Materials!G$49,Materials!G$45)))</f>
        <v>8</v>
      </c>
      <c r="AF1981" s="73">
        <f>'Cali Frames'!D379</f>
        <v>392.12</v>
      </c>
      <c r="AG1981" s="126"/>
      <c r="AH1981" s="67">
        <f t="shared" si="722"/>
        <v>70</v>
      </c>
      <c r="AI1981" s="67"/>
      <c r="AJ1981" s="263">
        <f t="shared" si="726"/>
        <v>547.51068888888892</v>
      </c>
      <c r="AK1981" s="661">
        <f t="shared" si="723"/>
        <v>0.60892093650793644</v>
      </c>
      <c r="AL1981" s="240">
        <f>Table1[[#This Row],[WSP/Dealer]]/Table1[[#This Row],[OD Sq Inch]]</f>
        <v>0.36601307189542481</v>
      </c>
      <c r="AM1981" s="170">
        <f>Table1[[#This Row],[OD Wdth]]*Table1[[#This Row],[OD Hgt]]</f>
        <v>3825</v>
      </c>
      <c r="AN1981" s="274">
        <f>Table1[[#This Row],[Min VO]]+Table1[[#This Row],[Max VO]]</f>
        <v>124</v>
      </c>
      <c r="AO1981" s="84"/>
      <c r="AP1981" s="1185"/>
      <c r="AQ1981" s="1185"/>
      <c r="AR1981" s="1185"/>
      <c r="AS1981" s="1185"/>
      <c r="AT1981" s="955"/>
      <c r="AU1981" s="1357" t="str">
        <f t="shared" si="721"/>
        <v>-</v>
      </c>
    </row>
    <row r="1982" spans="1:47" s="170" customFormat="1" hidden="1" x14ac:dyDescent="0.2">
      <c r="A1982" s="68" t="s">
        <v>101</v>
      </c>
      <c r="B1982" s="1152" t="s">
        <v>102</v>
      </c>
      <c r="C1982" s="78" t="s">
        <v>4590</v>
      </c>
      <c r="D1982" s="94"/>
      <c r="E1982" s="84" t="s">
        <v>4591</v>
      </c>
      <c r="F1982" s="84" t="s">
        <v>105</v>
      </c>
      <c r="G1982" s="68" t="s">
        <v>4592</v>
      </c>
      <c r="H1982" s="68" t="s">
        <v>4593</v>
      </c>
      <c r="I1982" s="68" t="s">
        <v>256</v>
      </c>
      <c r="J1982" s="140" t="s">
        <v>257</v>
      </c>
      <c r="K1982" s="68" t="s">
        <v>258</v>
      </c>
      <c r="L1982" s="68" t="s">
        <v>259</v>
      </c>
      <c r="M1982" s="141">
        <v>181</v>
      </c>
      <c r="N1982" s="93"/>
      <c r="O1982" s="68" t="s">
        <v>260</v>
      </c>
      <c r="P1982" s="68">
        <v>10</v>
      </c>
      <c r="Q1982" s="68">
        <v>24</v>
      </c>
      <c r="R1982" s="68">
        <v>10</v>
      </c>
      <c r="S1982" s="623">
        <v>24</v>
      </c>
      <c r="T1982" s="68">
        <v>12</v>
      </c>
      <c r="U1982" s="68">
        <v>26</v>
      </c>
      <c r="V1982" s="66">
        <f>IF(J1982="Canvas",P1982+BorderGW,P1982)</f>
        <v>10</v>
      </c>
      <c r="W1982" s="66">
        <f>IF(J1982="Canvas",Q1982+BorderGW,Q1982)</f>
        <v>24</v>
      </c>
      <c r="X1982" s="68" t="s">
        <v>1018</v>
      </c>
      <c r="Y1982" s="1347">
        <f>Table1[[#This Row],[Print Wth]]+Materials!$C$7</f>
        <v>12</v>
      </c>
      <c r="Z1982" s="1347">
        <f>Table1[[#This Row],[Print Ht]]+Materials!$C$7</f>
        <v>26</v>
      </c>
      <c r="AA1982" s="1027">
        <f>(Table1[[#This Row],[Cut Width]]*Table1[[#This Row],[Cut Height]])/144</f>
        <v>2.1666666666666665</v>
      </c>
      <c r="AB1982" s="297">
        <f>(Table1[[#This Row],[Print Wth]]*Table1[[#This Row],[Print Ht]])/144*canonML</f>
        <v>8</v>
      </c>
      <c r="AC1982" s="74">
        <f>Table1[[#This Row],[Substrate SF]]*Paper</f>
        <v>2.9314999999999998</v>
      </c>
      <c r="AD1982" s="67">
        <f>(Table1[[#This Row],[Print Wth]]*Table1[[#This Row],[Print Ht]])/144*CanonC</f>
        <v>0.45000000000000007</v>
      </c>
      <c r="AE1982" s="74">
        <f>IF(Table1[[#This Row],[Work Center]]="SwissQ",Materials!G$37,IF(Table1[[#This Row],[Work Center]]="Inca",Materials!G$29,IF(Table1[[#This Row],[Work Center]]="Canon",Materials!G$49,Materials!G$45)))</f>
        <v>7</v>
      </c>
      <c r="AF1982" s="73">
        <f>'Cali Frames'!D9</f>
        <v>80.239999999999995</v>
      </c>
      <c r="AG1982" s="126"/>
      <c r="AH1982" s="67">
        <v>0</v>
      </c>
      <c r="AI1982" s="67"/>
      <c r="AJ1982" s="278">
        <f t="shared" si="726"/>
        <v>90.621499999999997</v>
      </c>
      <c r="AK1982" s="661">
        <f t="shared" si="723"/>
        <v>0.49932872928176797</v>
      </c>
      <c r="AL1982" s="240">
        <f>Table1[[#This Row],[WSP/Dealer]]/Table1[[#This Row],[OD Sq Inch]]</f>
        <v>0.58012820512820518</v>
      </c>
      <c r="AM1982" s="170">
        <f>Table1[[#This Row],[OD Wdth]]*Table1[[#This Row],[OD Hgt]]</f>
        <v>312</v>
      </c>
      <c r="AN1982" s="274">
        <f>Table1[[#This Row],[Min VO]]+Table1[[#This Row],[Max VO]]</f>
        <v>34</v>
      </c>
      <c r="AO1982" s="84"/>
      <c r="AP1982" s="535"/>
      <c r="AQ1982" s="1185"/>
      <c r="AR1982" s="1185"/>
      <c r="AS1982" s="1185"/>
      <c r="AT1982" s="955"/>
      <c r="AU1982" s="1357" t="str">
        <f t="shared" si="721"/>
        <v>-</v>
      </c>
    </row>
    <row r="1983" spans="1:47" s="170" customFormat="1" x14ac:dyDescent="0.2">
      <c r="A1983" s="68" t="s">
        <v>58</v>
      </c>
      <c r="B1983" s="1061" t="s">
        <v>445</v>
      </c>
      <c r="C1983" s="78" t="s">
        <v>4594</v>
      </c>
      <c r="D1983" s="94"/>
      <c r="E1983" s="84" t="s">
        <v>4595</v>
      </c>
      <c r="F1983" s="84" t="s">
        <v>448</v>
      </c>
      <c r="G1983" s="68" t="s">
        <v>51</v>
      </c>
      <c r="H1983" s="68" t="s">
        <v>51</v>
      </c>
      <c r="I1983" s="68" t="s">
        <v>52</v>
      </c>
      <c r="J1983" s="140" t="s">
        <v>53</v>
      </c>
      <c r="K1983" s="68" t="s">
        <v>54</v>
      </c>
      <c r="L1983" s="68" t="s">
        <v>55</v>
      </c>
      <c r="M1983" s="141">
        <v>560</v>
      </c>
      <c r="N1983" s="639">
        <v>560</v>
      </c>
      <c r="O1983" s="68" t="s">
        <v>56</v>
      </c>
      <c r="P1983" s="68">
        <v>30</v>
      </c>
      <c r="Q1983" s="68">
        <v>40</v>
      </c>
      <c r="R1983" s="68">
        <v>30</v>
      </c>
      <c r="S1983" s="68">
        <v>40</v>
      </c>
      <c r="T1983" s="68">
        <v>30</v>
      </c>
      <c r="U1983" s="68">
        <v>40</v>
      </c>
      <c r="V1983" s="917">
        <f>IF(J1983="Canvas",P1983+BorderGW,P1983)</f>
        <v>38</v>
      </c>
      <c r="W1983" s="917">
        <f>IF(J1983="Canvas",Q1983+BorderGW,Q1983)</f>
        <v>48</v>
      </c>
      <c r="X1983" s="189">
        <v>53</v>
      </c>
      <c r="Y1983" s="68">
        <v>38</v>
      </c>
      <c r="Z1983" s="68">
        <v>48</v>
      </c>
      <c r="AA1983" s="699">
        <f t="shared" ref="AA1983:AA1989" si="727">V1983*W1983/144</f>
        <v>12.666666666666666</v>
      </c>
      <c r="AB1983" s="297">
        <f>AA1983*IncaG</f>
        <v>266.50666666666666</v>
      </c>
      <c r="AC1983" s="74">
        <f t="shared" ref="AC1983:AC1989" si="728">AA1983*Canvas</f>
        <v>8.36</v>
      </c>
      <c r="AD1983" s="176">
        <f>Table1[[#This Row],[Substrate SF]]*Materials!C$37</f>
        <v>35.466666666666661</v>
      </c>
      <c r="AE1983" s="74">
        <f>IF(Table1[[#This Row],[Work Center]]="SwissQ",Materials!G$37,IF(Table1[[#This Row],[Work Center]]="Inca",Materials!G$29,IF(Table1[[#This Row],[Work Center]]="Canon",Materials!G$49,Materials!G$45)))</f>
        <v>8</v>
      </c>
      <c r="AF1983" s="73">
        <f>'Cali FPS'!C48</f>
        <v>76.3</v>
      </c>
      <c r="AG1983" s="84"/>
      <c r="AH1983" s="112">
        <f t="shared" ref="AH1983:AH1989" si="729">(M1983*0.05)</f>
        <v>28</v>
      </c>
      <c r="AI1983" s="112"/>
      <c r="AJ1983" s="74">
        <f t="shared" si="726"/>
        <v>156.12666666666667</v>
      </c>
      <c r="AK1983" s="62">
        <f t="shared" si="723"/>
        <v>0.72120238095238098</v>
      </c>
      <c r="AL1983" s="225">
        <f>Table1[[#This Row],[WSP/Dealer]]/Table1[[#This Row],[OD Sq Inch]]</f>
        <v>0.46666666666666667</v>
      </c>
      <c r="AM1983" s="63">
        <f>Table1[[#This Row],[OD Wdth]]*Table1[[#This Row],[OD Hgt]]</f>
        <v>1200</v>
      </c>
      <c r="AN1983" s="68">
        <f>Table1[[#This Row],[Min VO]]+Table1[[#This Row],[Max VO]]</f>
        <v>70</v>
      </c>
      <c r="AO1983" s="84"/>
      <c r="AP1983" s="535"/>
      <c r="AQ1983" s="535"/>
      <c r="AR1983" s="535"/>
      <c r="AS1983" s="535"/>
      <c r="AT1983" s="73"/>
      <c r="AU1983" s="1357" t="str">
        <f t="shared" si="721"/>
        <v>-</v>
      </c>
    </row>
    <row r="1984" spans="1:47" s="173" customFormat="1" hidden="1" x14ac:dyDescent="0.2">
      <c r="A1984" s="60" t="s">
        <v>1020</v>
      </c>
      <c r="B1984" s="1061" t="s">
        <v>1021</v>
      </c>
      <c r="C1984" s="76" t="s">
        <v>4596</v>
      </c>
      <c r="D1984" s="94"/>
      <c r="E1984" s="83" t="s">
        <v>4597</v>
      </c>
      <c r="F1984" s="83" t="s">
        <v>448</v>
      </c>
      <c r="G1984" s="60" t="s">
        <v>51</v>
      </c>
      <c r="H1984" s="60" t="s">
        <v>51</v>
      </c>
      <c r="I1984" s="60" t="s">
        <v>52</v>
      </c>
      <c r="J1984" s="59" t="s">
        <v>53</v>
      </c>
      <c r="K1984" s="60" t="s">
        <v>54</v>
      </c>
      <c r="L1984" s="60" t="s">
        <v>55</v>
      </c>
      <c r="M1984" s="179">
        <v>560</v>
      </c>
      <c r="N1984" s="656">
        <v>560</v>
      </c>
      <c r="O1984" s="60" t="s">
        <v>56</v>
      </c>
      <c r="P1984" s="60">
        <v>30</v>
      </c>
      <c r="Q1984" s="60">
        <v>40</v>
      </c>
      <c r="R1984" s="60">
        <v>30</v>
      </c>
      <c r="S1984" s="60">
        <v>40</v>
      </c>
      <c r="T1984" s="60">
        <v>30</v>
      </c>
      <c r="U1984" s="60">
        <v>40</v>
      </c>
      <c r="V1984" s="946">
        <f>IF(J1984="Canvas",P1984+BorderGW,P1984)</f>
        <v>38</v>
      </c>
      <c r="W1984" s="946">
        <f>IF(J1984="Canvas",Q1984+BorderGW,Q1984)</f>
        <v>48</v>
      </c>
      <c r="X1984" s="138">
        <v>53</v>
      </c>
      <c r="Y1984" s="60">
        <v>38</v>
      </c>
      <c r="Z1984" s="60">
        <v>48</v>
      </c>
      <c r="AA1984" s="717">
        <f t="shared" si="727"/>
        <v>12.666666666666666</v>
      </c>
      <c r="AB1984" s="125">
        <f>AA1984*IncaG</f>
        <v>266.50666666666666</v>
      </c>
      <c r="AC1984" s="69">
        <f t="shared" si="728"/>
        <v>8.36</v>
      </c>
      <c r="AD1984" s="69">
        <f>AA1984*IncaC</f>
        <v>21.320533333333334</v>
      </c>
      <c r="AE1984" s="69">
        <f>IF(Table1[[#This Row],[Work Center]]="SwissQ",Materials!G$37,IF(Table1[[#This Row],[Work Center]]="Inca",Materials!G$29,IF(Table1[[#This Row],[Work Center]]="Canon",Materials!G$49,Materials!G$45)))</f>
        <v>8</v>
      </c>
      <c r="AF1984" s="72">
        <f>'Cali FPS'!C48</f>
        <v>76.3</v>
      </c>
      <c r="AG1984" s="83"/>
      <c r="AH1984" s="69">
        <f t="shared" si="729"/>
        <v>28</v>
      </c>
      <c r="AI1984" s="69"/>
      <c r="AJ1984" s="69">
        <f t="shared" si="726"/>
        <v>141.98053333333331</v>
      </c>
      <c r="AK1984" s="650">
        <f t="shared" si="723"/>
        <v>0.74646333333333337</v>
      </c>
      <c r="AL1984" s="225">
        <f>Table1[[#This Row],[WSP/Dealer]]/Table1[[#This Row],[OD Sq Inch]]</f>
        <v>0.46666666666666667</v>
      </c>
      <c r="AM1984" s="60">
        <f>Table1[[#This Row],[OD Wdth]]*Table1[[#This Row],[OD Hgt]]</f>
        <v>1200</v>
      </c>
      <c r="AN1984" s="60">
        <f>Table1[[#This Row],[Min VO]]+Table1[[#This Row],[Max VO]]</f>
        <v>70</v>
      </c>
      <c r="AO1984" s="83"/>
      <c r="AP1984" s="821"/>
      <c r="AQ1984" s="821"/>
      <c r="AR1984" s="821"/>
      <c r="AS1984" s="821"/>
      <c r="AT1984" s="72"/>
      <c r="AU1984" s="1361" t="str">
        <f t="shared" si="721"/>
        <v>-</v>
      </c>
    </row>
    <row r="1985" spans="1:47" s="173" customFormat="1" hidden="1" x14ac:dyDescent="0.2">
      <c r="A1985" s="60" t="s">
        <v>1020</v>
      </c>
      <c r="B1985" s="279" t="s">
        <v>1021</v>
      </c>
      <c r="C1985" s="76" t="s">
        <v>4596</v>
      </c>
      <c r="D1985" s="94"/>
      <c r="E1985" s="83" t="s">
        <v>4597</v>
      </c>
      <c r="F1985" s="83" t="s">
        <v>448</v>
      </c>
      <c r="G1985" s="60" t="s">
        <v>51</v>
      </c>
      <c r="H1985" s="60" t="s">
        <v>51</v>
      </c>
      <c r="I1985" s="60" t="s">
        <v>52</v>
      </c>
      <c r="J1985" s="59" t="s">
        <v>53</v>
      </c>
      <c r="K1985" s="60" t="s">
        <v>54</v>
      </c>
      <c r="L1985" s="60" t="s">
        <v>55</v>
      </c>
      <c r="M1985" s="179">
        <v>560</v>
      </c>
      <c r="N1985" s="656">
        <v>560</v>
      </c>
      <c r="O1985" s="60" t="s">
        <v>64</v>
      </c>
      <c r="P1985" s="60">
        <v>30</v>
      </c>
      <c r="Q1985" s="60">
        <v>40</v>
      </c>
      <c r="R1985" s="60">
        <v>30</v>
      </c>
      <c r="S1985" s="60">
        <v>40</v>
      </c>
      <c r="T1985" s="60">
        <v>30</v>
      </c>
      <c r="U1985" s="60">
        <v>40</v>
      </c>
      <c r="V1985" s="946">
        <f>IF(J1985="Canvas",P1985+BorderGW,P1985)</f>
        <v>38</v>
      </c>
      <c r="W1985" s="946">
        <f>IF(J1985="Canvas",Q1985+BorderGW,Q1985)</f>
        <v>48</v>
      </c>
      <c r="X1985" s="138">
        <v>53</v>
      </c>
      <c r="Y1985" s="60">
        <v>38</v>
      </c>
      <c r="Z1985" s="60">
        <v>48</v>
      </c>
      <c r="AA1985" s="717">
        <f t="shared" si="727"/>
        <v>12.666666666666666</v>
      </c>
      <c r="AB1985" s="329">
        <f>AA1985*Swiss1</f>
        <v>358.46666666666664</v>
      </c>
      <c r="AC1985" s="69">
        <f t="shared" si="728"/>
        <v>8.36</v>
      </c>
      <c r="AD1985" s="48">
        <f>AA1985*IncaC</f>
        <v>21.320533333333334</v>
      </c>
      <c r="AE1985" s="69">
        <f>IF(Table1[[#This Row],[Work Center]]="SwissQ",Materials!G$37,IF(Table1[[#This Row],[Work Center]]="Inca",Materials!G$29,IF(Table1[[#This Row],[Work Center]]="Canon",Materials!G$49,Materials!G$45)))</f>
        <v>20</v>
      </c>
      <c r="AF1985" s="72">
        <f>'Cali FPS'!C49</f>
        <v>78.259999999999991</v>
      </c>
      <c r="AG1985" s="83"/>
      <c r="AH1985" s="69">
        <f t="shared" si="729"/>
        <v>28</v>
      </c>
      <c r="AI1985" s="48"/>
      <c r="AJ1985" s="69">
        <f t="shared" si="726"/>
        <v>155.94053333333332</v>
      </c>
      <c r="AK1985" s="650">
        <f t="shared" si="723"/>
        <v>0.72153476190476196</v>
      </c>
      <c r="AL1985" s="225">
        <f>Table1[[#This Row],[WSP/Dealer]]/Table1[[#This Row],[OD Sq Inch]]</f>
        <v>0.46666666666666667</v>
      </c>
      <c r="AM1985" s="60">
        <f>Table1[[#This Row],[OD Wdth]]*Table1[[#This Row],[OD Hgt]]</f>
        <v>1200</v>
      </c>
      <c r="AN1985" s="60">
        <f>Table1[[#This Row],[Min VO]]+Table1[[#This Row],[Max VO]]</f>
        <v>70</v>
      </c>
      <c r="AO1985" s="83"/>
      <c r="AP1985" s="821"/>
      <c r="AQ1985" s="821"/>
      <c r="AR1985" s="821"/>
      <c r="AS1985" s="821"/>
      <c r="AT1985" s="72"/>
      <c r="AU1985" s="1361" t="str">
        <f t="shared" si="721"/>
        <v>-</v>
      </c>
    </row>
    <row r="1986" spans="1:47" s="173" customFormat="1" x14ac:dyDescent="0.2">
      <c r="A1986" s="68" t="s">
        <v>58</v>
      </c>
      <c r="B1986" s="1072" t="s">
        <v>310</v>
      </c>
      <c r="C1986" s="78" t="s">
        <v>4598</v>
      </c>
      <c r="D1986" s="94"/>
      <c r="E1986" s="84" t="s">
        <v>4599</v>
      </c>
      <c r="F1986" s="84" t="s">
        <v>1197</v>
      </c>
      <c r="G1986" s="68" t="s">
        <v>395</v>
      </c>
      <c r="H1986" s="68" t="s">
        <v>395</v>
      </c>
      <c r="I1986" s="68" t="s">
        <v>52</v>
      </c>
      <c r="J1986" s="140" t="s">
        <v>53</v>
      </c>
      <c r="K1986" s="68" t="s">
        <v>54</v>
      </c>
      <c r="L1986" s="68" t="s">
        <v>55</v>
      </c>
      <c r="M1986" s="93">
        <v>1100</v>
      </c>
      <c r="N1986" s="93"/>
      <c r="O1986" s="68" t="s">
        <v>64</v>
      </c>
      <c r="P1986" s="68">
        <v>60</v>
      </c>
      <c r="Q1986" s="68">
        <v>60</v>
      </c>
      <c r="R1986" s="68">
        <v>60</v>
      </c>
      <c r="S1986" s="68">
        <v>60</v>
      </c>
      <c r="T1986" s="68">
        <v>60</v>
      </c>
      <c r="U1986" s="68">
        <v>60</v>
      </c>
      <c r="V1986" s="917">
        <f>IF(J1986="Canvas",P1986+Border,P1986)</f>
        <v>68</v>
      </c>
      <c r="W1986" s="917">
        <f>IF(J1986="Canvas",Q1986+Border,Q1986)</f>
        <v>68</v>
      </c>
      <c r="X1986" s="68">
        <v>69</v>
      </c>
      <c r="Y1986" s="68">
        <v>68</v>
      </c>
      <c r="Z1986" s="68">
        <v>68</v>
      </c>
      <c r="AA1986" s="699">
        <f t="shared" si="727"/>
        <v>32.111111111111114</v>
      </c>
      <c r="AB1986" s="341">
        <f>AA1986*Swiss1</f>
        <v>908.74444444444453</v>
      </c>
      <c r="AC1986" s="278">
        <f t="shared" si="728"/>
        <v>21.193333333333335</v>
      </c>
      <c r="AD1986" s="263">
        <f>Table1[[#This Row],[Substrate SF]]*Materials!C$37</f>
        <v>89.911111111111111</v>
      </c>
      <c r="AE1986" s="278">
        <f>IF(Table1[[#This Row],[Work Center]]="SwissQ",Materials!G$37,IF(Table1[[#This Row],[Work Center]]="Inca",Materials!G$29,IF(Table1[[#This Row],[Work Center]]="Canon",Materials!G$49,Materials!G$45)))</f>
        <v>20</v>
      </c>
      <c r="AF1986" s="73">
        <f>'Cali FPS'!C158</f>
        <v>196.875</v>
      </c>
      <c r="AG1986" s="84"/>
      <c r="AH1986" s="74">
        <f t="shared" si="729"/>
        <v>55</v>
      </c>
      <c r="AI1986" s="74"/>
      <c r="AJ1986" s="74">
        <f t="shared" si="726"/>
        <v>382.97944444444443</v>
      </c>
      <c r="AK1986" s="1001">
        <f t="shared" si="723"/>
        <v>0.65183686868686874</v>
      </c>
      <c r="AL1986" s="74">
        <f>Table1[[#This Row],[WSP/Dealer]]/Table1[[#This Row],[OD Sq Inch]]</f>
        <v>0.30555555555555558</v>
      </c>
      <c r="AM1986" s="63">
        <f>Table1[[#This Row],[OD Wdth]]*Table1[[#This Row],[OD Hgt]]</f>
        <v>3600</v>
      </c>
      <c r="AN1986" s="68">
        <f>Table1[[#This Row],[Min VO]]+Table1[[#This Row],[Max VO]]</f>
        <v>120</v>
      </c>
      <c r="AO1986" s="84"/>
      <c r="AP1986" s="535"/>
      <c r="AQ1986" s="535">
        <f>(Table1[[#This Row],[Desgnr/Retail P]]*0.05)</f>
        <v>0</v>
      </c>
      <c r="AR1986" s="535" t="b">
        <f>IF(A1986="Codarus",(AP1986*0.13))</f>
        <v>0</v>
      </c>
      <c r="AS1986" s="535" t="e" cm="1">
        <f t="array" ref="AS1986">SUM(AC1986:AG1986+AQ+AR)</f>
        <v>#NAME?</v>
      </c>
      <c r="AT1986" s="73" t="e">
        <f>(AP1986-AS1986)/AP1986</f>
        <v>#NAME?</v>
      </c>
      <c r="AU1986" s="1357" t="str">
        <f t="shared" si="721"/>
        <v>-</v>
      </c>
    </row>
    <row r="1987" spans="1:47" s="170" customFormat="1" x14ac:dyDescent="0.2">
      <c r="A1987" s="68" t="s">
        <v>58</v>
      </c>
      <c r="B1987" s="1072" t="s">
        <v>310</v>
      </c>
      <c r="C1987" s="78" t="s">
        <v>4600</v>
      </c>
      <c r="D1987" s="94"/>
      <c r="E1987" s="84" t="s">
        <v>4599</v>
      </c>
      <c r="F1987" s="84" t="s">
        <v>1197</v>
      </c>
      <c r="G1987" s="68" t="s">
        <v>395</v>
      </c>
      <c r="H1987" s="68" t="s">
        <v>396</v>
      </c>
      <c r="I1987" s="68" t="s">
        <v>52</v>
      </c>
      <c r="J1987" s="140" t="s">
        <v>53</v>
      </c>
      <c r="K1987" s="68" t="s">
        <v>69</v>
      </c>
      <c r="L1987" s="68" t="s">
        <v>76</v>
      </c>
      <c r="M1987" s="93">
        <v>1450</v>
      </c>
      <c r="N1987" s="93"/>
      <c r="O1987" s="68" t="s">
        <v>64</v>
      </c>
      <c r="P1987" s="68">
        <v>60</v>
      </c>
      <c r="Q1987" s="68">
        <v>60</v>
      </c>
      <c r="R1987" s="68">
        <v>60</v>
      </c>
      <c r="S1987" s="68">
        <v>60</v>
      </c>
      <c r="T1987" s="68">
        <v>61</v>
      </c>
      <c r="U1987" s="68">
        <v>61</v>
      </c>
      <c r="V1987" s="917">
        <f>IF(J1987="Canvas",P1987+Border,P1987)</f>
        <v>68</v>
      </c>
      <c r="W1987" s="917">
        <f>IF(J1987="Canvas",Q1987+Border,Q1987)</f>
        <v>68</v>
      </c>
      <c r="X1987" s="68">
        <v>69</v>
      </c>
      <c r="Y1987" s="68">
        <v>68</v>
      </c>
      <c r="Z1987" s="68">
        <v>68</v>
      </c>
      <c r="AA1987" s="699">
        <f t="shared" si="727"/>
        <v>32.111111111111114</v>
      </c>
      <c r="AB1987" s="341">
        <f>AA1987*Swiss1</f>
        <v>908.74444444444453</v>
      </c>
      <c r="AC1987" s="278">
        <f t="shared" si="728"/>
        <v>21.193333333333335</v>
      </c>
      <c r="AD1987" s="263">
        <f>Table1[[#This Row],[Substrate SF]]*Materials!C$37</f>
        <v>89.911111111111111</v>
      </c>
      <c r="AE1987" s="278">
        <f>IF(Table1[[#This Row],[Work Center]]="SwissQ",Materials!G$37,IF(Table1[[#This Row],[Work Center]]="Inca",Materials!G$29,IF(Table1[[#This Row],[Work Center]]="Canon",Materials!G$49,Materials!G$45)))</f>
        <v>20</v>
      </c>
      <c r="AF1987" s="73">
        <f>'Cali Frames'!D387</f>
        <v>281.17</v>
      </c>
      <c r="AG1987" s="84"/>
      <c r="AH1987" s="74">
        <f t="shared" si="729"/>
        <v>72.5</v>
      </c>
      <c r="AI1987" s="74"/>
      <c r="AJ1987" s="74">
        <f t="shared" si="726"/>
        <v>484.7744444444445</v>
      </c>
      <c r="AK1987" s="1001">
        <f t="shared" si="723"/>
        <v>0.66567279693486592</v>
      </c>
      <c r="AL1987" s="74">
        <f>Table1[[#This Row],[WSP/Dealer]]/Table1[[#This Row],[OD Sq Inch]]</f>
        <v>0.38968019349637195</v>
      </c>
      <c r="AM1987" s="63">
        <f>Table1[[#This Row],[OD Wdth]]*Table1[[#This Row],[OD Hgt]]</f>
        <v>3721</v>
      </c>
      <c r="AN1987" s="68">
        <f>Table1[[#This Row],[Min VO]]+Table1[[#This Row],[Max VO]]</f>
        <v>120</v>
      </c>
      <c r="AO1987" s="84"/>
      <c r="AP1987" s="535"/>
      <c r="AQ1987" s="535">
        <f>(Table1[[#This Row],[Desgnr/Retail P]]*0.05)</f>
        <v>0</v>
      </c>
      <c r="AR1987" s="535" t="b">
        <f>IF(A1987="Codarus",(AP1987*0.13))</f>
        <v>0</v>
      </c>
      <c r="AS1987" s="535" t="e" cm="1">
        <f t="array" ref="AS1987">SUM(AC1987:AG1987+AQ+AR)</f>
        <v>#NAME?</v>
      </c>
      <c r="AT1987" s="73" t="e">
        <f>(AP1987-AS1987)/AP1987</f>
        <v>#NAME?</v>
      </c>
      <c r="AU1987" s="1357" t="str">
        <f t="shared" si="721"/>
        <v>-</v>
      </c>
    </row>
    <row r="1988" spans="1:47" s="170" customFormat="1" x14ac:dyDescent="0.2">
      <c r="A1988" s="68" t="s">
        <v>58</v>
      </c>
      <c r="B1988" s="1072" t="s">
        <v>310</v>
      </c>
      <c r="C1988" s="78" t="s">
        <v>4601</v>
      </c>
      <c r="D1988" s="94"/>
      <c r="E1988" s="84" t="s">
        <v>4599</v>
      </c>
      <c r="F1988" s="84" t="s">
        <v>1197</v>
      </c>
      <c r="G1988" s="68" t="s">
        <v>395</v>
      </c>
      <c r="H1988" s="68" t="s">
        <v>396</v>
      </c>
      <c r="I1988" s="68" t="s">
        <v>52</v>
      </c>
      <c r="J1988" s="140" t="s">
        <v>53</v>
      </c>
      <c r="K1988" s="68" t="s">
        <v>69</v>
      </c>
      <c r="L1988" s="68" t="s">
        <v>315</v>
      </c>
      <c r="M1988" s="93">
        <v>1450</v>
      </c>
      <c r="N1988" s="93"/>
      <c r="O1988" s="68" t="s">
        <v>64</v>
      </c>
      <c r="P1988" s="68">
        <v>60</v>
      </c>
      <c r="Q1988" s="68">
        <v>60</v>
      </c>
      <c r="R1988" s="68">
        <v>60</v>
      </c>
      <c r="S1988" s="68">
        <v>60</v>
      </c>
      <c r="T1988" s="68">
        <v>61</v>
      </c>
      <c r="U1988" s="68">
        <v>61</v>
      </c>
      <c r="V1988" s="917">
        <f>IF(J1988="Canvas",P1988+Border,P1988)</f>
        <v>68</v>
      </c>
      <c r="W1988" s="917">
        <f>IF(J1988="Canvas",Q1988+Border,Q1988)</f>
        <v>68</v>
      </c>
      <c r="X1988" s="68">
        <v>69</v>
      </c>
      <c r="Y1988" s="68">
        <v>68</v>
      </c>
      <c r="Z1988" s="68">
        <v>68</v>
      </c>
      <c r="AA1988" s="699">
        <f t="shared" si="727"/>
        <v>32.111111111111114</v>
      </c>
      <c r="AB1988" s="341">
        <f>AA1988*Swiss1</f>
        <v>908.74444444444453</v>
      </c>
      <c r="AC1988" s="278">
        <f t="shared" si="728"/>
        <v>21.193333333333335</v>
      </c>
      <c r="AD1988" s="263">
        <f>Table1[[#This Row],[Substrate SF]]*Materials!C$37</f>
        <v>89.911111111111111</v>
      </c>
      <c r="AE1988" s="278">
        <f>IF(Table1[[#This Row],[Work Center]]="SwissQ",Materials!G$37,IF(Table1[[#This Row],[Work Center]]="Inca",Materials!G$29,IF(Table1[[#This Row],[Work Center]]="Canon",Materials!G$49,Materials!G$45)))</f>
        <v>20</v>
      </c>
      <c r="AF1988" s="73">
        <f>'Cali Frames'!D520</f>
        <v>320</v>
      </c>
      <c r="AG1988" s="84"/>
      <c r="AH1988" s="74">
        <f t="shared" si="729"/>
        <v>72.5</v>
      </c>
      <c r="AI1988" s="74"/>
      <c r="AJ1988" s="74">
        <f t="shared" si="726"/>
        <v>523.60444444444443</v>
      </c>
      <c r="AK1988" s="1001">
        <f t="shared" si="723"/>
        <v>0.63889348659003831</v>
      </c>
      <c r="AL1988" s="74">
        <f>Table1[[#This Row],[WSP/Dealer]]/Table1[[#This Row],[OD Sq Inch]]</f>
        <v>0.38968019349637195</v>
      </c>
      <c r="AM1988" s="63">
        <f>Table1[[#This Row],[OD Wdth]]*Table1[[#This Row],[OD Hgt]]</f>
        <v>3721</v>
      </c>
      <c r="AN1988" s="68">
        <f>Table1[[#This Row],[Min VO]]+Table1[[#This Row],[Max VO]]</f>
        <v>120</v>
      </c>
      <c r="AO1988" s="84"/>
      <c r="AP1988" s="535"/>
      <c r="AQ1988" s="535">
        <f>(Table1[[#This Row],[Desgnr/Retail P]]*0.05)</f>
        <v>0</v>
      </c>
      <c r="AR1988" s="535" t="b">
        <f>IF(A1988="Codarus",(AP1988*0.13))</f>
        <v>0</v>
      </c>
      <c r="AS1988" s="535" t="e" cm="1">
        <f t="array" ref="AS1988">SUM(AC1988:AG1988+AQ+AR)</f>
        <v>#NAME?</v>
      </c>
      <c r="AT1988" s="73" t="e">
        <f>(AP1988-AS1988)/AP1988</f>
        <v>#NAME?</v>
      </c>
      <c r="AU1988" s="1357" t="str">
        <f t="shared" si="721"/>
        <v>-</v>
      </c>
    </row>
    <row r="1989" spans="1:47" s="170" customFormat="1" x14ac:dyDescent="0.2">
      <c r="A1989" s="60" t="s">
        <v>58</v>
      </c>
      <c r="B1989" s="1106" t="s">
        <v>305</v>
      </c>
      <c r="C1989" s="76" t="s">
        <v>4602</v>
      </c>
      <c r="D1989" s="79"/>
      <c r="E1989" s="83" t="s">
        <v>4603</v>
      </c>
      <c r="F1989" s="83" t="s">
        <v>1197</v>
      </c>
      <c r="G1989" s="60" t="s">
        <v>4604</v>
      </c>
      <c r="H1989" s="60" t="s">
        <v>4604</v>
      </c>
      <c r="I1989" s="60" t="s">
        <v>52</v>
      </c>
      <c r="J1989" s="59" t="s">
        <v>53</v>
      </c>
      <c r="K1989" s="60" t="s">
        <v>54</v>
      </c>
      <c r="L1989" s="60" t="s">
        <v>55</v>
      </c>
      <c r="M1989" s="124">
        <v>1100</v>
      </c>
      <c r="N1989" s="124"/>
      <c r="O1989" s="60" t="s">
        <v>64</v>
      </c>
      <c r="P1989" s="60">
        <v>68</v>
      </c>
      <c r="Q1989" s="60">
        <v>68</v>
      </c>
      <c r="R1989" s="60">
        <v>68</v>
      </c>
      <c r="S1989" s="60">
        <v>68</v>
      </c>
      <c r="T1989" s="60">
        <v>68</v>
      </c>
      <c r="U1989" s="60">
        <v>68</v>
      </c>
      <c r="V1989" s="946">
        <f>IF(J1989="Canvas",P1989+Border,P1989)</f>
        <v>76</v>
      </c>
      <c r="W1989" s="946">
        <f>IF(J1989="Canvas",Q1989+Border,Q1989)</f>
        <v>76</v>
      </c>
      <c r="X1989" s="138">
        <v>80</v>
      </c>
      <c r="Y1989" s="60">
        <v>76</v>
      </c>
      <c r="Z1989" s="60">
        <v>76</v>
      </c>
      <c r="AA1989" s="717">
        <f t="shared" si="727"/>
        <v>40.111111111111114</v>
      </c>
      <c r="AB1989" s="329">
        <f>AA1989*Swiss1</f>
        <v>1135.1444444444446</v>
      </c>
      <c r="AC1989" s="176">
        <f t="shared" si="728"/>
        <v>26.473333333333336</v>
      </c>
      <c r="AD1989" s="176">
        <f>Table1[[#This Row],[Substrate SF]]*Materials!C$37</f>
        <v>112.31111111111112</v>
      </c>
      <c r="AE1989" s="176">
        <f>IF(Table1[[#This Row],[Work Center]]="SwissQ",Materials!G$37,IF(Table1[[#This Row],[Work Center]]="Inca",Materials!G$29,IF(Table1[[#This Row],[Work Center]]="Canon",Materials!G$49,Materials!G$45)))</f>
        <v>20</v>
      </c>
      <c r="AF1989" s="72">
        <f>'Cali FPS'!C166</f>
        <v>275</v>
      </c>
      <c r="AG1989" s="83"/>
      <c r="AH1989" s="176">
        <f t="shared" si="729"/>
        <v>55</v>
      </c>
      <c r="AI1989" s="176"/>
      <c r="AJ1989" s="176">
        <f t="shared" si="726"/>
        <v>488.78444444444449</v>
      </c>
      <c r="AK1989" s="1201">
        <f t="shared" si="723"/>
        <v>0.55565050505050506</v>
      </c>
      <c r="AL1989" s="176">
        <f>Table1[[#This Row],[WSP/Dealer]]/Table1[[#This Row],[OD Sq Inch]]</f>
        <v>0.23788927335640139</v>
      </c>
      <c r="AM1989" s="180">
        <f>Table1[[#This Row],[OD Wdth]]*Table1[[#This Row],[OD Hgt]]</f>
        <v>4624</v>
      </c>
      <c r="AN1989" s="180">
        <f>Table1[[#This Row],[Min VO]]+Table1[[#This Row],[Max VO]]</f>
        <v>136</v>
      </c>
      <c r="AO1989" s="83"/>
      <c r="AP1989" s="821"/>
      <c r="AQ1989" s="821">
        <f>(Table1[[#This Row],[Desgnr/Retail P]]*0.05)</f>
        <v>0</v>
      </c>
      <c r="AR1989" s="821" t="b">
        <f>IF(A1989="Codarus",(AP1989*0.13))</f>
        <v>0</v>
      </c>
      <c r="AS1989" s="821" t="e" cm="1">
        <f t="array" ref="AS1989">SUM(AC1989:AG1989+AQ+AR)</f>
        <v>#NAME?</v>
      </c>
      <c r="AT1989" s="72" t="e">
        <f>(AP1989-AS1989)/AP1989</f>
        <v>#NAME?</v>
      </c>
      <c r="AU1989" s="1361" t="str">
        <f t="shared" si="721"/>
        <v>-</v>
      </c>
    </row>
    <row r="1990" spans="1:47" s="170" customFormat="1" x14ac:dyDescent="0.2">
      <c r="A1990" s="68" t="s">
        <v>58</v>
      </c>
      <c r="B1990" s="1072" t="s">
        <v>599</v>
      </c>
      <c r="C1990" s="76" t="s">
        <v>4605</v>
      </c>
      <c r="D1990" s="94"/>
      <c r="E1990" s="84" t="s">
        <v>4606</v>
      </c>
      <c r="F1990" s="84" t="s">
        <v>1197</v>
      </c>
      <c r="G1990" s="68" t="s">
        <v>942</v>
      </c>
      <c r="H1990" s="68" t="s">
        <v>4607</v>
      </c>
      <c r="I1990" s="68" t="s">
        <v>52</v>
      </c>
      <c r="J1990" s="140" t="s">
        <v>53</v>
      </c>
      <c r="K1990" s="68" t="s">
        <v>54</v>
      </c>
      <c r="L1990" s="68" t="s">
        <v>55</v>
      </c>
      <c r="M1990" s="93"/>
      <c r="N1990" s="93"/>
      <c r="O1990" s="68" t="s">
        <v>64</v>
      </c>
      <c r="P1990" s="68"/>
      <c r="Q1990" s="68"/>
      <c r="R1990" s="68"/>
      <c r="S1990" s="68"/>
      <c r="T1990" s="63"/>
      <c r="U1990" s="63"/>
      <c r="V1990" s="66"/>
      <c r="W1990" s="66"/>
      <c r="X1990" s="68"/>
      <c r="Y1990" s="68"/>
      <c r="Z1990" s="68"/>
      <c r="AA1990" s="699"/>
      <c r="AB1990" s="297"/>
      <c r="AC1990" s="74"/>
      <c r="AD1990" s="118"/>
      <c r="AE1990" s="126"/>
      <c r="AF1990" s="73"/>
      <c r="AG1990" s="84"/>
      <c r="AH1990" s="126"/>
      <c r="AI1990" s="126"/>
      <c r="AJ1990" s="118"/>
      <c r="AK1990" s="1001"/>
      <c r="AL1990" s="126"/>
      <c r="AM1990" s="119"/>
      <c r="AN1990" s="84"/>
      <c r="AO1990" s="84"/>
      <c r="AP1990" s="535"/>
      <c r="AQ1990" s="535"/>
      <c r="AR1990" s="535"/>
      <c r="AS1990" s="535"/>
      <c r="AT1990" s="73"/>
      <c r="AU1990" s="1357" t="str">
        <f t="shared" si="721"/>
        <v>-</v>
      </c>
    </row>
    <row r="1991" spans="1:47" s="173" customFormat="1" x14ac:dyDescent="0.2">
      <c r="A1991" s="60" t="s">
        <v>58</v>
      </c>
      <c r="B1991" s="1340" t="s">
        <v>305</v>
      </c>
      <c r="C1991" s="76" t="s">
        <v>4608</v>
      </c>
      <c r="D1991" s="79"/>
      <c r="E1991" s="83" t="s">
        <v>4609</v>
      </c>
      <c r="F1991" s="83" t="s">
        <v>1197</v>
      </c>
      <c r="G1991" s="60" t="s">
        <v>925</v>
      </c>
      <c r="H1991" s="60" t="s">
        <v>925</v>
      </c>
      <c r="I1991" s="60" t="s">
        <v>52</v>
      </c>
      <c r="J1991" s="59" t="s">
        <v>53</v>
      </c>
      <c r="K1991" s="60" t="s">
        <v>54</v>
      </c>
      <c r="L1991" s="60" t="s">
        <v>55</v>
      </c>
      <c r="M1991" s="124">
        <v>560</v>
      </c>
      <c r="N1991" s="124"/>
      <c r="O1991" s="60" t="s">
        <v>64</v>
      </c>
      <c r="P1991" s="60">
        <v>36</v>
      </c>
      <c r="Q1991" s="60">
        <v>36</v>
      </c>
      <c r="R1991" s="60">
        <v>36</v>
      </c>
      <c r="S1991" s="46">
        <v>36</v>
      </c>
      <c r="T1991" s="46">
        <v>36</v>
      </c>
      <c r="U1991" s="46">
        <v>36</v>
      </c>
      <c r="V1991" s="47">
        <f>IF(J1991="Canvas",P1991+Border,P1991)</f>
        <v>44</v>
      </c>
      <c r="W1991" s="47">
        <f>IF(J1991="Canvas",Q1991+Border,Q1991)</f>
        <v>44</v>
      </c>
      <c r="X1991" s="138">
        <v>53</v>
      </c>
      <c r="Y1991" s="60">
        <v>44</v>
      </c>
      <c r="Z1991" s="60">
        <v>44</v>
      </c>
      <c r="AA1991" s="717">
        <f t="shared" ref="AA1991:AA2008" si="730">V1991*W1991/144</f>
        <v>13.444444444444445</v>
      </c>
      <c r="AB1991" s="329">
        <f>AA1991*Swiss1</f>
        <v>380.47777777777782</v>
      </c>
      <c r="AC1991" s="176">
        <f>AA1991*Canvas</f>
        <v>8.8733333333333331</v>
      </c>
      <c r="AD1991" s="175">
        <f>Table1[[#This Row],[Substrate SF]]*Materials!C$37</f>
        <v>37.644444444444446</v>
      </c>
      <c r="AE1991" s="176">
        <f>IF(Table1[[#This Row],[Work Center]]="SwissQ",Materials!G$37,IF(Table1[[#This Row],[Work Center]]="Inca",Materials!G$29,IF(Table1[[#This Row],[Work Center]]="Canon",Materials!G$49,Materials!G$45)))</f>
        <v>20</v>
      </c>
      <c r="AF1991" s="72">
        <f>'Cali FPS'!C67</f>
        <v>83.46</v>
      </c>
      <c r="AG1991" s="83"/>
      <c r="AH1991" s="175">
        <f>(M1991*0.05)</f>
        <v>28</v>
      </c>
      <c r="AI1991" s="175"/>
      <c r="AJ1991" s="176">
        <f>SUM(AC1991:AH1991)</f>
        <v>177.97777777777776</v>
      </c>
      <c r="AK1991" s="676">
        <f>(M1991-AJ1991)/M1991</f>
        <v>0.68218253968253972</v>
      </c>
      <c r="AL1991" s="176">
        <f>Table1[[#This Row],[WSP/Dealer]]/Table1[[#This Row],[OD Sq Inch]]</f>
        <v>0.43209876543209874</v>
      </c>
      <c r="AM1991" s="173">
        <f>Table1[[#This Row],[OD Wdth]]*Table1[[#This Row],[OD Hgt]]</f>
        <v>1296</v>
      </c>
      <c r="AN1991" s="180">
        <f>Table1[[#This Row],[Min VO]]+Table1[[#This Row],[Max VO]]</f>
        <v>72</v>
      </c>
      <c r="AO1991" s="83"/>
      <c r="AP1991" s="821"/>
      <c r="AQ1991" s="821"/>
      <c r="AR1991" s="821"/>
      <c r="AS1991" s="821"/>
      <c r="AT1991" s="72"/>
      <c r="AU1991" s="1361" t="str">
        <f t="shared" si="721"/>
        <v>-</v>
      </c>
    </row>
    <row r="1992" spans="1:47" s="170" customFormat="1" x14ac:dyDescent="0.2">
      <c r="A1992" s="68" t="s">
        <v>58</v>
      </c>
      <c r="B1992" s="1063" t="s">
        <v>310</v>
      </c>
      <c r="C1992" s="78" t="s">
        <v>4610</v>
      </c>
      <c r="D1992" s="94"/>
      <c r="E1992" s="84" t="s">
        <v>4609</v>
      </c>
      <c r="F1992" s="84" t="s">
        <v>1197</v>
      </c>
      <c r="G1992" s="68" t="s">
        <v>925</v>
      </c>
      <c r="H1992" s="68" t="s">
        <v>1619</v>
      </c>
      <c r="I1992" s="68" t="s">
        <v>52</v>
      </c>
      <c r="J1992" s="140" t="s">
        <v>53</v>
      </c>
      <c r="K1992" s="68" t="s">
        <v>69</v>
      </c>
      <c r="L1992" s="68" t="s">
        <v>76</v>
      </c>
      <c r="M1992" s="93">
        <v>660</v>
      </c>
      <c r="N1992" s="93"/>
      <c r="O1992" s="68" t="s">
        <v>64</v>
      </c>
      <c r="P1992" s="68">
        <v>36</v>
      </c>
      <c r="Q1992" s="68">
        <v>36</v>
      </c>
      <c r="R1992" s="68">
        <v>36</v>
      </c>
      <c r="S1992" s="68">
        <v>36</v>
      </c>
      <c r="T1992" s="68">
        <v>37</v>
      </c>
      <c r="U1992" s="68">
        <v>37</v>
      </c>
      <c r="V1992" s="66">
        <f>IF(J1992="Canvas",P1992+Border,P1992)</f>
        <v>44</v>
      </c>
      <c r="W1992" s="66">
        <f>IF(J1992="Canvas",Q1992+Border,Q1992)</f>
        <v>44</v>
      </c>
      <c r="X1992" s="68">
        <v>53</v>
      </c>
      <c r="Y1992" s="68">
        <v>44</v>
      </c>
      <c r="Z1992" s="68">
        <v>44</v>
      </c>
      <c r="AA1992" s="699">
        <f t="shared" si="730"/>
        <v>13.444444444444445</v>
      </c>
      <c r="AB1992" s="341">
        <f>AA1992*Swiss1</f>
        <v>380.47777777777782</v>
      </c>
      <c r="AC1992" s="278">
        <f>AA1992*Canvas</f>
        <v>8.8733333333333331</v>
      </c>
      <c r="AD1992" s="263">
        <f>Table1[[#This Row],[Substrate SF]]*Materials!C$37</f>
        <v>37.644444444444446</v>
      </c>
      <c r="AE1992" s="278">
        <f>IF(Table1[[#This Row],[Work Center]]="SwissQ",Materials!G$37,IF(Table1[[#This Row],[Work Center]]="Inca",Materials!G$29,IF(Table1[[#This Row],[Work Center]]="Canon",Materials!G$49,Materials!G$45)))</f>
        <v>20</v>
      </c>
      <c r="AF1992" s="73">
        <f>'Cali Frames'!D370</f>
        <v>129.68</v>
      </c>
      <c r="AG1992" s="84"/>
      <c r="AH1992" s="74">
        <f>(M1992*0.05)</f>
        <v>33</v>
      </c>
      <c r="AI1992" s="74"/>
      <c r="AJ1992" s="74">
        <f>SUM(AC1992:AH1992)</f>
        <v>229.19777777777779</v>
      </c>
      <c r="AK1992" s="1001">
        <f>(M1992-AJ1992)/M1992</f>
        <v>0.65273063973063972</v>
      </c>
      <c r="AL1992" s="74">
        <f>Table1[[#This Row],[WSP/Dealer]]/Table1[[#This Row],[OD Sq Inch]]</f>
        <v>0.4821037253469686</v>
      </c>
      <c r="AM1992" s="63">
        <f>Table1[[#This Row],[OD Wdth]]*Table1[[#This Row],[OD Hgt]]</f>
        <v>1369</v>
      </c>
      <c r="AN1992" s="68">
        <f>Table1[[#This Row],[Min VO]]+Table1[[#This Row],[Max VO]]</f>
        <v>72</v>
      </c>
      <c r="AO1992" s="84"/>
      <c r="AP1992" s="535"/>
      <c r="AQ1992" s="535">
        <f>(Table1[[#This Row],[Desgnr/Retail P]]*0.05)</f>
        <v>0</v>
      </c>
      <c r="AR1992" s="535" t="b">
        <f>IF(A1992="Codarus",(AP1992*0.13))</f>
        <v>0</v>
      </c>
      <c r="AS1992" s="535" t="e" cm="1">
        <f t="array" ref="AS1992">SUM(AC1992:AG1992+AQ+AR)</f>
        <v>#NAME?</v>
      </c>
      <c r="AT1992" s="73" t="e">
        <f>(AP1992-AS1992)/AP1992</f>
        <v>#NAME?</v>
      </c>
      <c r="AU1992" s="1357" t="str">
        <f t="shared" si="721"/>
        <v>-</v>
      </c>
    </row>
    <row r="1993" spans="1:47" s="170" customFormat="1" x14ac:dyDescent="0.2">
      <c r="A1993" s="68" t="s">
        <v>58</v>
      </c>
      <c r="B1993" s="1063" t="s">
        <v>310</v>
      </c>
      <c r="C1993" s="78" t="s">
        <v>4611</v>
      </c>
      <c r="D1993" s="94"/>
      <c r="E1993" s="84" t="s">
        <v>4609</v>
      </c>
      <c r="F1993" s="84" t="s">
        <v>1197</v>
      </c>
      <c r="G1993" s="68" t="s">
        <v>925</v>
      </c>
      <c r="H1993" s="68" t="s">
        <v>1619</v>
      </c>
      <c r="I1993" s="68" t="s">
        <v>52</v>
      </c>
      <c r="J1993" s="140" t="s">
        <v>53</v>
      </c>
      <c r="K1993" s="68" t="s">
        <v>69</v>
      </c>
      <c r="L1993" s="68" t="s">
        <v>315</v>
      </c>
      <c r="M1993" s="93">
        <v>660</v>
      </c>
      <c r="N1993" s="93"/>
      <c r="O1993" s="68" t="s">
        <v>64</v>
      </c>
      <c r="P1993" s="68">
        <v>36</v>
      </c>
      <c r="Q1993" s="68">
        <v>36</v>
      </c>
      <c r="R1993" s="68">
        <v>36</v>
      </c>
      <c r="S1993" s="68">
        <v>36</v>
      </c>
      <c r="T1993" s="68">
        <v>37</v>
      </c>
      <c r="U1993" s="68">
        <v>37</v>
      </c>
      <c r="V1993" s="66">
        <f>IF(J1993="Canvas",P1993+Border,P1993)</f>
        <v>44</v>
      </c>
      <c r="W1993" s="66">
        <f>IF(J1993="Canvas",Q1993+Border,Q1993)</f>
        <v>44</v>
      </c>
      <c r="X1993" s="68">
        <v>53</v>
      </c>
      <c r="Y1993" s="68">
        <v>44</v>
      </c>
      <c r="Z1993" s="68">
        <v>44</v>
      </c>
      <c r="AA1993" s="699">
        <f t="shared" si="730"/>
        <v>13.444444444444445</v>
      </c>
      <c r="AB1993" s="341">
        <f>AA1993*Swiss1</f>
        <v>380.47777777777782</v>
      </c>
      <c r="AC1993" s="278">
        <f>AA1993*Canvas</f>
        <v>8.8733333333333331</v>
      </c>
      <c r="AD1993" s="263">
        <f>Table1[[#This Row],[Substrate SF]]*Materials!C$37</f>
        <v>37.644444444444446</v>
      </c>
      <c r="AE1993" s="278">
        <f>IF(Table1[[#This Row],[Work Center]]="SwissQ",Materials!G$37,IF(Table1[[#This Row],[Work Center]]="Inca",Materials!G$29,IF(Table1[[#This Row],[Work Center]]="Canon",Materials!G$49,Materials!G$45)))</f>
        <v>20</v>
      </c>
      <c r="AF1993" s="73">
        <f>'Cali Frames'!D514</f>
        <v>204.715</v>
      </c>
      <c r="AG1993" s="84"/>
      <c r="AH1993" s="67">
        <f>(M1993*0.05)</f>
        <v>33</v>
      </c>
      <c r="AI1993" s="67"/>
      <c r="AJ1993" s="74">
        <f>SUM(AC1993:AH1993)</f>
        <v>304.23277777777776</v>
      </c>
      <c r="AK1993" s="661">
        <f>(M1993-AJ1993)/M1993</f>
        <v>0.53904124579124579</v>
      </c>
      <c r="AL1993" s="74">
        <f>Table1[[#This Row],[WSP/Dealer]]/Table1[[#This Row],[OD Sq Inch]]</f>
        <v>0.4821037253469686</v>
      </c>
      <c r="AM1993" s="63">
        <f>Table1[[#This Row],[OD Wdth]]*Table1[[#This Row],[OD Hgt]]</f>
        <v>1369</v>
      </c>
      <c r="AN1993" s="68">
        <f>Table1[[#This Row],[Min VO]]+Table1[[#This Row],[Max VO]]</f>
        <v>72</v>
      </c>
      <c r="AO1993" s="84"/>
      <c r="AP1993" s="535"/>
      <c r="AQ1993" s="535">
        <f>(Table1[[#This Row],[Desgnr/Retail P]]*0.05)</f>
        <v>0</v>
      </c>
      <c r="AR1993" s="535" t="b">
        <f>IF(A1993="Codarus",(AP1993*0.13))</f>
        <v>0</v>
      </c>
      <c r="AS1993" s="535" t="e" cm="1">
        <f t="array" ref="AS1993">SUM(AC1993:AG1993+AQ+AR)</f>
        <v>#NAME?</v>
      </c>
      <c r="AT1993" s="73" t="e">
        <f>(AP1993-AS1993)/AP1993</f>
        <v>#NAME?</v>
      </c>
      <c r="AU1993" s="1357" t="str">
        <f t="shared" si="721"/>
        <v>-</v>
      </c>
    </row>
    <row r="1994" spans="1:47" s="399" customFormat="1" x14ac:dyDescent="0.2">
      <c r="A1994" s="86" t="s">
        <v>58</v>
      </c>
      <c r="B1994" s="1061" t="s">
        <v>406</v>
      </c>
      <c r="C1994" s="100" t="s">
        <v>4612</v>
      </c>
      <c r="D1994" s="94" t="s">
        <v>4613</v>
      </c>
      <c r="E1994" s="85" t="s">
        <v>4614</v>
      </c>
      <c r="F1994" s="85" t="s">
        <v>301</v>
      </c>
      <c r="G1994" s="86" t="s">
        <v>660</v>
      </c>
      <c r="H1994" s="86" t="s">
        <v>572</v>
      </c>
      <c r="I1994" s="86" t="s">
        <v>52</v>
      </c>
      <c r="J1994" s="86" t="s">
        <v>280</v>
      </c>
      <c r="K1994" s="86" t="s">
        <v>69</v>
      </c>
      <c r="L1994" s="86" t="s">
        <v>70</v>
      </c>
      <c r="M1994" s="87">
        <v>968</v>
      </c>
      <c r="N1994" s="639">
        <v>970</v>
      </c>
      <c r="O1994" s="551" t="s">
        <v>56</v>
      </c>
      <c r="P1994" s="101">
        <v>60</v>
      </c>
      <c r="Q1994" s="101">
        <v>40</v>
      </c>
      <c r="R1994" s="60">
        <v>40</v>
      </c>
      <c r="S1994" s="273">
        <v>60</v>
      </c>
      <c r="T1994" s="103">
        <v>60</v>
      </c>
      <c r="U1994" s="103" t="str">
        <f>RIGHT(H1994,2)</f>
        <v>40</v>
      </c>
      <c r="V1994" s="106">
        <f>IF(J1994="Canvas",P1994+Border,P1994)</f>
        <v>60</v>
      </c>
      <c r="W1994" s="106">
        <f>IF(J1994="Canvas",Q1994+Border,Q1994)</f>
        <v>40</v>
      </c>
      <c r="X1994" s="137" t="s">
        <v>2471</v>
      </c>
      <c r="Y1994" s="101"/>
      <c r="Z1994" s="101"/>
      <c r="AA1994" s="649">
        <f t="shared" si="730"/>
        <v>16.666666666666668</v>
      </c>
      <c r="AB1994" s="184">
        <f>AA1994*IncaG</f>
        <v>350.66666666666669</v>
      </c>
      <c r="AC1994" s="104">
        <f>PETG60/2</f>
        <v>29.16</v>
      </c>
      <c r="AD1994" s="107">
        <f>AA1994*IncaC</f>
        <v>28.053333333333335</v>
      </c>
      <c r="AE1994" s="104">
        <f>IF(Table1[[#This Row],[Work Center]]="SwissQ",Materials!G$37,IF(Table1[[#This Row],[Work Center]]="Inca",Materials!G$29,IF(Table1[[#This Row],[Work Center]]="Canon",Materials!G$49,Materials!G$45)))</f>
        <v>8</v>
      </c>
      <c r="AF1994" s="104" t="e">
        <f>'Cali Frames'!#REF!</f>
        <v>#REF!</v>
      </c>
      <c r="AG1994" s="115"/>
      <c r="AH1994" s="112">
        <f>(M1994*0.05)</f>
        <v>48.400000000000006</v>
      </c>
      <c r="AI1994" s="112"/>
      <c r="AJ1994" s="107" t="e">
        <f>SUM(AC1994:AH1994)</f>
        <v>#REF!</v>
      </c>
      <c r="AK1994" s="62" t="e">
        <f>(M1994-AJ1994)/M1994</f>
        <v>#REF!</v>
      </c>
      <c r="AL1994" s="225">
        <f>Table1[[#This Row],[WSP/Dealer]]/Table1[[#This Row],[OD Sq Inch]]</f>
        <v>0.40333333333333332</v>
      </c>
      <c r="AM1994" s="218">
        <f>Table1[[#This Row],[OD Wdth]]*Table1[[#This Row],[OD Hgt]]</f>
        <v>2400</v>
      </c>
      <c r="AN1994" s="216">
        <f>Table1[[#This Row],[Min VO]]+Table1[[#This Row],[Max VO]]</f>
        <v>100</v>
      </c>
      <c r="AO1994" s="103"/>
      <c r="AP1994" s="101"/>
      <c r="AQ1994" s="104"/>
      <c r="AR1994" s="104"/>
      <c r="AS1994" s="104"/>
      <c r="AT1994" s="104"/>
      <c r="AU1994" s="108" t="str">
        <f t="shared" si="721"/>
        <v>-</v>
      </c>
    </row>
    <row r="1995" spans="1:47" s="170" customFormat="1" x14ac:dyDescent="0.2">
      <c r="A1995" s="86" t="s">
        <v>58</v>
      </c>
      <c r="B1995" s="1061" t="s">
        <v>406</v>
      </c>
      <c r="C1995" s="76" t="s">
        <v>4615</v>
      </c>
      <c r="D1995" s="94" t="s">
        <v>4616</v>
      </c>
      <c r="E1995" s="85" t="s">
        <v>4617</v>
      </c>
      <c r="F1995" s="85" t="s">
        <v>301</v>
      </c>
      <c r="G1995" s="86" t="s">
        <v>660</v>
      </c>
      <c r="H1995" s="86" t="s">
        <v>573</v>
      </c>
      <c r="I1995" s="86" t="s">
        <v>52</v>
      </c>
      <c r="J1995" s="86" t="s">
        <v>53</v>
      </c>
      <c r="K1995" s="86" t="s">
        <v>69</v>
      </c>
      <c r="L1995" s="86" t="s">
        <v>70</v>
      </c>
      <c r="M1995" s="87">
        <v>968</v>
      </c>
      <c r="N1995" s="639">
        <v>970</v>
      </c>
      <c r="O1995" s="551" t="s">
        <v>56</v>
      </c>
      <c r="P1995" s="101">
        <v>60</v>
      </c>
      <c r="Q1995" s="101">
        <v>40</v>
      </c>
      <c r="R1995" s="60">
        <v>40</v>
      </c>
      <c r="S1995" s="273">
        <v>60</v>
      </c>
      <c r="T1995" s="101">
        <v>61</v>
      </c>
      <c r="U1995" s="101">
        <v>41</v>
      </c>
      <c r="V1995" s="106">
        <f>IF(J1995="Canvas",P1995+Border,P1995)</f>
        <v>68</v>
      </c>
      <c r="W1995" s="106">
        <f>IF(J1995="Canvas",Q1995+Border,Q1995)</f>
        <v>48</v>
      </c>
      <c r="X1995" s="137">
        <v>122</v>
      </c>
      <c r="Y1995" s="101"/>
      <c r="Z1995" s="101"/>
      <c r="AA1995" s="649">
        <f t="shared" si="730"/>
        <v>22.666666666666668</v>
      </c>
      <c r="AB1995" s="184">
        <f>AA1995*IncaG</f>
        <v>476.90666666666669</v>
      </c>
      <c r="AC1995" s="104">
        <f t="shared" ref="AC1995:AC2007" si="731">AA1995*Canvas</f>
        <v>14.96</v>
      </c>
      <c r="AD1995" s="107">
        <f>AA1995*IncaC</f>
        <v>38.152533333333338</v>
      </c>
      <c r="AE1995" s="104">
        <f>IF(Table1[[#This Row],[Work Center]]="SwissQ",Materials!G$37,IF(Table1[[#This Row],[Work Center]]="Inca",Materials!G$29,IF(Table1[[#This Row],[Work Center]]="Canon",Materials!G$49,Materials!G$45)))</f>
        <v>8</v>
      </c>
      <c r="AF1995" s="104" t="e">
        <f>'Cali Frames'!#REF!</f>
        <v>#REF!</v>
      </c>
      <c r="AG1995" s="115"/>
      <c r="AH1995" s="498">
        <f>(M1995*0.05)</f>
        <v>48.400000000000006</v>
      </c>
      <c r="AI1995" s="498"/>
      <c r="AJ1995" s="107" t="e">
        <f>SUM(AC1995:AH1995)</f>
        <v>#REF!</v>
      </c>
      <c r="AK1995" s="650" t="e">
        <f>(M1995-AJ1995)/M1995</f>
        <v>#REF!</v>
      </c>
      <c r="AL1995" s="225">
        <f>Table1[[#This Row],[WSP/Dealer]]/Table1[[#This Row],[OD Sq Inch]]</f>
        <v>0.38704518192722909</v>
      </c>
      <c r="AM1995" s="103">
        <f>Table1[[#This Row],[OD Wdth]]*Table1[[#This Row],[OD Hgt]]</f>
        <v>2501</v>
      </c>
      <c r="AN1995" s="216">
        <f>Table1[[#This Row],[Min VO]]+Table1[[#This Row],[Max VO]]</f>
        <v>100</v>
      </c>
      <c r="AO1995" s="103"/>
      <c r="AP1995" s="101"/>
      <c r="AQ1995" s="104"/>
      <c r="AR1995" s="104"/>
      <c r="AS1995" s="104"/>
      <c r="AT1995" s="104"/>
      <c r="AU1995" s="108" t="str">
        <f t="shared" si="721"/>
        <v>-</v>
      </c>
    </row>
    <row r="1996" spans="1:47" s="170" customFormat="1" hidden="1" x14ac:dyDescent="0.2">
      <c r="A1996" s="101"/>
      <c r="B1996" s="1067"/>
      <c r="C1996" s="75"/>
      <c r="D1996" s="168"/>
      <c r="E1996" s="85" t="s">
        <v>4618</v>
      </c>
      <c r="F1996" s="115"/>
      <c r="G1996" s="101"/>
      <c r="H1996" s="101"/>
      <c r="I1996" s="60"/>
      <c r="J1996" s="59"/>
      <c r="K1996" s="60"/>
      <c r="L1996" s="101"/>
      <c r="M1996" s="114"/>
      <c r="N1996" s="114"/>
      <c r="O1996" s="101"/>
      <c r="P1996" s="273">
        <v>60</v>
      </c>
      <c r="Q1996" s="273">
        <v>120</v>
      </c>
      <c r="R1996" s="60">
        <v>60</v>
      </c>
      <c r="S1996" s="273">
        <v>120</v>
      </c>
      <c r="T1996" s="61">
        <v>60</v>
      </c>
      <c r="U1996" s="61">
        <v>120</v>
      </c>
      <c r="V1996" s="608">
        <v>60</v>
      </c>
      <c r="W1996" s="608">
        <v>120</v>
      </c>
      <c r="X1996" s="101"/>
      <c r="Y1996" s="101">
        <v>60</v>
      </c>
      <c r="Z1996" s="101">
        <v>120</v>
      </c>
      <c r="AA1996" s="649">
        <f t="shared" si="730"/>
        <v>50</v>
      </c>
      <c r="AB1996" s="125">
        <f>AA1996*Swiss1</f>
        <v>1415</v>
      </c>
      <c r="AC1996" s="104">
        <f t="shared" si="731"/>
        <v>33</v>
      </c>
      <c r="AD1996" s="107">
        <f>Table1[[#This Row],[Substrate SF]]*Materials!C$42</f>
        <v>16</v>
      </c>
      <c r="AE1996" s="104">
        <f>IF(Table1[[#This Row],[Work Center]]="SwissQ",Materials!G$37,IF(Table1[[#This Row],[Work Center]]="Inca",Materials!G$29,IF(Table1[[#This Row],[Work Center]]="Canon",Materials!G$49,Materials!G$45)))</f>
        <v>5</v>
      </c>
      <c r="AF1996" s="102"/>
      <c r="AG1996" s="115"/>
      <c r="AH1996" s="121"/>
      <c r="AI1996" s="121"/>
      <c r="AJ1996" s="120"/>
      <c r="AK1996" s="830"/>
      <c r="AL1996" s="121"/>
      <c r="AM1996" s="113"/>
      <c r="AN1996" s="115"/>
      <c r="AO1996" s="113"/>
      <c r="AP1996" s="115"/>
      <c r="AQ1996" s="104">
        <f>(Table1[[#This Row],[Desgnr/Retail P]]*0.05)</f>
        <v>0</v>
      </c>
      <c r="AR1996" s="104" t="b">
        <f>IF(A1996="Codarus",(AP1996*0.13))</f>
        <v>0</v>
      </c>
      <c r="AS1996" s="104" t="e" cm="1">
        <f t="array" ref="AS1996">SUM(AC1996:AG1996+AQ+AR)</f>
        <v>#NAME?</v>
      </c>
      <c r="AT1996" s="104" t="e">
        <f>(AP1996-AS1996)/AP1996</f>
        <v>#NAME?</v>
      </c>
      <c r="AU1996" s="1367" t="str">
        <f t="shared" si="721"/>
        <v>-</v>
      </c>
    </row>
    <row r="1997" spans="1:47" s="399" customFormat="1" ht="16" hidden="1" x14ac:dyDescent="0.2">
      <c r="A1997" s="643"/>
      <c r="B1997" s="1061"/>
      <c r="C1997" s="1261" t="s">
        <v>1163</v>
      </c>
      <c r="D1997" s="94"/>
      <c r="E1997" s="364" t="s">
        <v>4619</v>
      </c>
      <c r="F1997" s="364"/>
      <c r="G1997" s="643" t="s">
        <v>519</v>
      </c>
      <c r="H1997" s="643" t="s">
        <v>519</v>
      </c>
      <c r="I1997" s="333" t="s">
        <v>108</v>
      </c>
      <c r="J1997" s="333" t="s">
        <v>53</v>
      </c>
      <c r="K1997" s="1271" t="s">
        <v>54</v>
      </c>
      <c r="L1997" s="333" t="s">
        <v>55</v>
      </c>
      <c r="M1997" s="1279">
        <v>155</v>
      </c>
      <c r="N1997" s="71">
        <v>225</v>
      </c>
      <c r="O1997" s="643" t="s">
        <v>109</v>
      </c>
      <c r="P1997" s="330">
        <v>16</v>
      </c>
      <c r="Q1997" s="330">
        <v>20</v>
      </c>
      <c r="R1997" s="643">
        <v>16</v>
      </c>
      <c r="S1997" s="331">
        <v>20</v>
      </c>
      <c r="T1997" s="1540">
        <f>Table1[[#This Row],[VO Wdth]]</f>
        <v>16</v>
      </c>
      <c r="U1997" s="1540">
        <f>Table1[[#This Row],[VO Hgt]]</f>
        <v>20</v>
      </c>
      <c r="V1997" s="1541">
        <f>IF(J1997="Canvas",P1997+Border,P1997)</f>
        <v>24</v>
      </c>
      <c r="W1997" s="1541">
        <f>IF(J1997="Canvas",Q1997+Border,Q1997)</f>
        <v>28</v>
      </c>
      <c r="X1997" s="1205"/>
      <c r="Y1997" s="643"/>
      <c r="Z1997" s="643"/>
      <c r="AA1997" s="844">
        <f t="shared" si="730"/>
        <v>4.666666666666667</v>
      </c>
      <c r="AB1997" s="730">
        <f t="shared" ref="AB1997:AB2007" si="732">AA1997*EPSONM</f>
        <v>21</v>
      </c>
      <c r="AC1997" s="985">
        <f t="shared" si="731"/>
        <v>3.0800000000000005</v>
      </c>
      <c r="AD1997" s="332">
        <f>Table1[[#This Row],[Ink g/mL]]*EPSONC</f>
        <v>4.62</v>
      </c>
      <c r="AE1997" s="104">
        <f>IF(Table1[[#This Row],[Work Center]]="SwissQ",Materials!G$37,IF(Table1[[#This Row],[Work Center]]="Inca",Materials!G$29,IF(Table1[[#This Row],[Work Center]]="Canon",Materials!G$49,Materials!G$45)))</f>
        <v>5</v>
      </c>
      <c r="AF1997" s="707">
        <f>'Cali FPS'!C18</f>
        <v>61.15</v>
      </c>
      <c r="AG1997" s="364"/>
      <c r="AH1997" s="112">
        <f t="shared" ref="AH1997:AH2008" si="733">(M1997*0.05)</f>
        <v>7.75</v>
      </c>
      <c r="AI1997" s="112"/>
      <c r="AJ1997" s="985">
        <f t="shared" ref="AJ1997:AJ2009" si="734">SUM(AC1997:AH1997)</f>
        <v>81.599999999999994</v>
      </c>
      <c r="AK1997" s="62">
        <f t="shared" ref="AK1997:AK2011" si="735">(M1997-AJ1997)/M1997</f>
        <v>0.47354838709677421</v>
      </c>
      <c r="AL1997" s="225">
        <f>Table1[[#This Row],[WSP/Dealer]]/Table1[[#This Row],[OD Sq Inch]]</f>
        <v>0.484375</v>
      </c>
      <c r="AM1997" s="331">
        <f>Table1[[#This Row],[OD Wdth]]*Table1[[#This Row],[OD Hgt]]</f>
        <v>320</v>
      </c>
      <c r="AN1997" s="364"/>
      <c r="AO1997" s="1810"/>
      <c r="AP1997" s="364"/>
      <c r="AQ1997" s="1143"/>
      <c r="AR1997" s="1143"/>
      <c r="AS1997" s="1143"/>
      <c r="AT1997" s="985"/>
      <c r="AU1997" s="1491" t="str">
        <f t="shared" si="721"/>
        <v>-</v>
      </c>
    </row>
    <row r="1998" spans="1:47" s="173" customFormat="1" ht="16" hidden="1" x14ac:dyDescent="0.2">
      <c r="A1998" s="643"/>
      <c r="B1998" s="1061"/>
      <c r="C1998" s="1261" t="s">
        <v>1163</v>
      </c>
      <c r="D1998" s="94"/>
      <c r="E1998" s="364" t="s">
        <v>4619</v>
      </c>
      <c r="F1998" s="364"/>
      <c r="G1998" s="643" t="s">
        <v>4620</v>
      </c>
      <c r="H1998" s="643" t="s">
        <v>1290</v>
      </c>
      <c r="I1998" s="333" t="s">
        <v>108</v>
      </c>
      <c r="J1998" s="333" t="s">
        <v>53</v>
      </c>
      <c r="K1998" s="1271" t="s">
        <v>54</v>
      </c>
      <c r="L1998" s="333" t="s">
        <v>55</v>
      </c>
      <c r="M1998" s="1279">
        <v>175</v>
      </c>
      <c r="N1998" s="71">
        <v>225</v>
      </c>
      <c r="O1998" s="643" t="s">
        <v>109</v>
      </c>
      <c r="P1998" s="334">
        <v>20</v>
      </c>
      <c r="Q1998" s="334">
        <v>30</v>
      </c>
      <c r="R1998" s="643">
        <v>20</v>
      </c>
      <c r="S1998" s="643">
        <v>30</v>
      </c>
      <c r="T1998" s="1779">
        <f>Table1[[#This Row],[VO Wdth]]</f>
        <v>20</v>
      </c>
      <c r="U1998" s="1779">
        <f>Table1[[#This Row],[VO Hgt]]</f>
        <v>30</v>
      </c>
      <c r="V1998" s="1541">
        <f>IF(J1998="Canvas",P1998+Border,P1998)</f>
        <v>28</v>
      </c>
      <c r="W1998" s="1541">
        <f>IF(J1998="Canvas",Q1998+Border,Q1998)</f>
        <v>38</v>
      </c>
      <c r="X1998" s="1205"/>
      <c r="Y1998" s="643"/>
      <c r="Z1998" s="643"/>
      <c r="AA1998" s="844">
        <f t="shared" si="730"/>
        <v>7.3888888888888893</v>
      </c>
      <c r="AB1998" s="730">
        <f t="shared" si="732"/>
        <v>33.25</v>
      </c>
      <c r="AC1998" s="985">
        <f t="shared" si="731"/>
        <v>4.8766666666666669</v>
      </c>
      <c r="AD1998" s="332">
        <f>Table1[[#This Row],[Ink g/mL]]*EPSONC</f>
        <v>7.3150000000000004</v>
      </c>
      <c r="AE1998" s="104">
        <f>IF(Table1[[#This Row],[Work Center]]="SwissQ",Materials!G$37,IF(Table1[[#This Row],[Work Center]]="Inca",Materials!G$29,IF(Table1[[#This Row],[Work Center]]="Canon",Materials!G$49,Materials!G$45)))</f>
        <v>5</v>
      </c>
      <c r="AF1998" s="707">
        <f>'Cali FPS'!C29</f>
        <v>73.412500000000009</v>
      </c>
      <c r="AG1998" s="364"/>
      <c r="AH1998" s="498">
        <f t="shared" si="733"/>
        <v>8.75</v>
      </c>
      <c r="AI1998" s="498"/>
      <c r="AJ1998" s="1543">
        <f t="shared" si="734"/>
        <v>99.354166666666671</v>
      </c>
      <c r="AK1998" s="650">
        <f t="shared" si="735"/>
        <v>0.43226190476190474</v>
      </c>
      <c r="AL1998" s="225">
        <f>Table1[[#This Row],[WSP/Dealer]]/Table1[[#This Row],[OD Sq Inch]]</f>
        <v>0.29166666666666669</v>
      </c>
      <c r="AM1998" s="331">
        <f>Table1[[#This Row],[OD Wdth]]*Table1[[#This Row],[OD Hgt]]</f>
        <v>600</v>
      </c>
      <c r="AN1998" s="364"/>
      <c r="AO1998" s="364"/>
      <c r="AP1998" s="364"/>
      <c r="AQ1998" s="1143"/>
      <c r="AR1998" s="1143"/>
      <c r="AS1998" s="1143"/>
      <c r="AT1998" s="985"/>
      <c r="AU1998" s="1491" t="str">
        <f t="shared" si="721"/>
        <v>-</v>
      </c>
    </row>
    <row r="1999" spans="1:47" s="170" customFormat="1" hidden="1" x14ac:dyDescent="0.2">
      <c r="A1999" s="643"/>
      <c r="C1999" s="1263" t="s">
        <v>2201</v>
      </c>
      <c r="D1999" s="94"/>
      <c r="E1999" s="364" t="s">
        <v>4619</v>
      </c>
      <c r="F1999" s="364"/>
      <c r="G1999" s="339" t="s">
        <v>2194</v>
      </c>
      <c r="H1999" s="339" t="s">
        <v>2194</v>
      </c>
      <c r="I1999" s="339" t="s">
        <v>108</v>
      </c>
      <c r="J1999" s="339" t="s">
        <v>53</v>
      </c>
      <c r="K1999" s="339" t="s">
        <v>54</v>
      </c>
      <c r="L1999" s="339" t="s">
        <v>55</v>
      </c>
      <c r="M1999" s="1279">
        <v>185</v>
      </c>
      <c r="N1999" s="71"/>
      <c r="O1999" s="339" t="s">
        <v>109</v>
      </c>
      <c r="P1999" s="339">
        <v>22</v>
      </c>
      <c r="Q1999" s="339">
        <v>30</v>
      </c>
      <c r="R1999" s="339">
        <v>22</v>
      </c>
      <c r="S1999" s="1484">
        <v>30</v>
      </c>
      <c r="T1999" s="339">
        <f>P1999</f>
        <v>22</v>
      </c>
      <c r="U1999" s="339">
        <f>Q1999</f>
        <v>30</v>
      </c>
      <c r="V1999" s="1488">
        <f>IF(J1999="Canvas",P1999+BorderGW,P1999)</f>
        <v>30</v>
      </c>
      <c r="W1999" s="1488">
        <f>IF(J1999="Canvas",Q1999+BorderGW,Q1999)</f>
        <v>38</v>
      </c>
      <c r="X1999" s="1245">
        <v>40</v>
      </c>
      <c r="Y1999" s="339"/>
      <c r="Z1999" s="339"/>
      <c r="AA1999" s="845">
        <f t="shared" si="730"/>
        <v>7.916666666666667</v>
      </c>
      <c r="AB1999" s="730">
        <f t="shared" si="732"/>
        <v>35.625</v>
      </c>
      <c r="AC1999" s="914">
        <f t="shared" si="731"/>
        <v>5.2250000000000005</v>
      </c>
      <c r="AD1999" s="914">
        <f>Table1[[#This Row],[Ink g/mL]]*EPSONC</f>
        <v>7.8375000000000004</v>
      </c>
      <c r="AE1999" s="104">
        <f>IF(Table1[[#This Row],[Work Center]]="SwissQ",Materials!G$37,IF(Table1[[#This Row],[Work Center]]="Inca",Materials!G$29,IF(Table1[[#This Row],[Work Center]]="Canon",Materials!G$49,Materials!G$45)))</f>
        <v>5</v>
      </c>
      <c r="AF1999" s="909">
        <f>'Cali FPS'!C29</f>
        <v>73.412500000000009</v>
      </c>
      <c r="AG1999" s="914"/>
      <c r="AH1999" s="498">
        <f t="shared" si="733"/>
        <v>9.25</v>
      </c>
      <c r="AI1999" s="498"/>
      <c r="AJ1999" s="914">
        <f t="shared" si="734"/>
        <v>100.72500000000001</v>
      </c>
      <c r="AK1999" s="650">
        <f t="shared" si="735"/>
        <v>0.4555405405405405</v>
      </c>
      <c r="AL1999" s="225">
        <f>Table1[[#This Row],[WSP/Dealer]]/Table1[[#This Row],[OD Sq Inch]]</f>
        <v>0.28030303030303028</v>
      </c>
      <c r="AM1999" s="339">
        <f>Table1[[#This Row],[OD Wdth]]*Table1[[#This Row],[OD Hgt]]</f>
        <v>660</v>
      </c>
      <c r="AN1999" s="364"/>
      <c r="AO1999" s="364"/>
      <c r="AP1999" s="1229"/>
      <c r="AQ1999" s="1229"/>
      <c r="AR1999" s="1229"/>
      <c r="AS1999" s="1229"/>
      <c r="AT1999" s="1252"/>
      <c r="AU1999" s="1491" t="str">
        <f t="shared" si="721"/>
        <v>-</v>
      </c>
    </row>
    <row r="2000" spans="1:47" s="170" customFormat="1" hidden="1" x14ac:dyDescent="0.2">
      <c r="A2000" s="334"/>
      <c r="B2000" s="1061"/>
      <c r="C2000" s="1253" t="s">
        <v>4621</v>
      </c>
      <c r="D2000" s="94"/>
      <c r="E2000" s="365" t="s">
        <v>4619</v>
      </c>
      <c r="F2000" s="366"/>
      <c r="G2000" s="333" t="s">
        <v>1069</v>
      </c>
      <c r="H2000" s="333" t="s">
        <v>1069</v>
      </c>
      <c r="I2000" s="532" t="s">
        <v>108</v>
      </c>
      <c r="J2000" s="532" t="s">
        <v>53</v>
      </c>
      <c r="K2000" s="532" t="s">
        <v>54</v>
      </c>
      <c r="L2000" s="532" t="s">
        <v>55</v>
      </c>
      <c r="M2000" s="1272">
        <v>175</v>
      </c>
      <c r="N2000" s="71">
        <v>320</v>
      </c>
      <c r="O2000" s="334" t="s">
        <v>109</v>
      </c>
      <c r="P2000" s="334">
        <v>24</v>
      </c>
      <c r="Q2000" s="334">
        <v>24</v>
      </c>
      <c r="R2000" s="334">
        <v>24</v>
      </c>
      <c r="S2000" s="330">
        <v>24</v>
      </c>
      <c r="T2000" s="1539">
        <f>Table1[[#This Row],[VO Wdth]]</f>
        <v>24</v>
      </c>
      <c r="U2000" s="1539">
        <f>Table1[[#This Row],[VO Hgt]]</f>
        <v>24</v>
      </c>
      <c r="V2000" s="1458">
        <f>IF(J2000="Canvas",P2000+Border,P2000)</f>
        <v>32</v>
      </c>
      <c r="W2000" s="1458">
        <f>IF(J2000="Canvas",Q2000+Border,Q2000)</f>
        <v>32</v>
      </c>
      <c r="X2000" s="950"/>
      <c r="Y2000" s="334">
        <v>32</v>
      </c>
      <c r="Z2000" s="334">
        <v>96</v>
      </c>
      <c r="AA2000" s="816">
        <f t="shared" si="730"/>
        <v>7.1111111111111107</v>
      </c>
      <c r="AB2000" s="730">
        <f t="shared" si="732"/>
        <v>32</v>
      </c>
      <c r="AC2000" s="338">
        <f t="shared" si="731"/>
        <v>4.6933333333333334</v>
      </c>
      <c r="AD2000" s="332">
        <f>Table1[[#This Row],[Ink g/mL]]*EPSONC</f>
        <v>7.04</v>
      </c>
      <c r="AE2000" s="104">
        <f>IF(Table1[[#This Row],[Work Center]]="SwissQ",Materials!G$37,IF(Table1[[#This Row],[Work Center]]="Inca",Materials!G$29,IF(Table1[[#This Row],[Work Center]]="Canon",Materials!G$49,Materials!G$45)))</f>
        <v>5</v>
      </c>
      <c r="AF2000" s="338">
        <f>'Cali FPS'!C$32</f>
        <v>63.47</v>
      </c>
      <c r="AG2000" s="366"/>
      <c r="AH2000" s="498">
        <f t="shared" si="733"/>
        <v>8.75</v>
      </c>
      <c r="AI2000" s="498"/>
      <c r="AJ2000" s="338">
        <f t="shared" si="734"/>
        <v>88.953333333333333</v>
      </c>
      <c r="AK2000" s="650">
        <f t="shared" si="735"/>
        <v>0.49169523809523807</v>
      </c>
      <c r="AL2000" s="225" t="e">
        <f>Table1[[#This Row],[WSP/Dealer]]/Table1[[#This Row],[OD Sq Inch]]</f>
        <v>#DIV/0!</v>
      </c>
      <c r="AM2000" s="337"/>
      <c r="AN2000" s="366"/>
      <c r="AO2000" s="337"/>
      <c r="AP2000" s="366"/>
      <c r="AQ2000" s="707"/>
      <c r="AR2000" s="707"/>
      <c r="AS2000" s="707"/>
      <c r="AT2000" s="338"/>
      <c r="AU2000" s="1382" t="str">
        <f t="shared" si="721"/>
        <v>-</v>
      </c>
    </row>
    <row r="2001" spans="1:47" s="170" customFormat="1" hidden="1" x14ac:dyDescent="0.2">
      <c r="A2001" s="334"/>
      <c r="B2001" s="1061"/>
      <c r="C2001" s="1254" t="s">
        <v>3071</v>
      </c>
      <c r="D2001" s="94"/>
      <c r="E2001" s="365" t="s">
        <v>4619</v>
      </c>
      <c r="F2001" s="366"/>
      <c r="G2001" s="333" t="s">
        <v>1073</v>
      </c>
      <c r="H2001" s="333" t="s">
        <v>1073</v>
      </c>
      <c r="I2001" s="333" t="s">
        <v>108</v>
      </c>
      <c r="J2001" s="333" t="s">
        <v>53</v>
      </c>
      <c r="K2001" s="333" t="s">
        <v>54</v>
      </c>
      <c r="L2001" s="333" t="s">
        <v>55</v>
      </c>
      <c r="M2001" s="1272">
        <v>210</v>
      </c>
      <c r="N2001" s="71">
        <v>460</v>
      </c>
      <c r="O2001" s="334" t="s">
        <v>109</v>
      </c>
      <c r="P2001" s="334">
        <v>24</v>
      </c>
      <c r="Q2001" s="334">
        <v>36</v>
      </c>
      <c r="R2001" s="334">
        <v>24</v>
      </c>
      <c r="S2001" s="334">
        <v>36</v>
      </c>
      <c r="T2001" s="1218">
        <f>Table1[[#This Row],[VO Wdth]]</f>
        <v>24</v>
      </c>
      <c r="U2001" s="1218">
        <f>Table1[[#This Row],[VO Hgt]]</f>
        <v>36</v>
      </c>
      <c r="V2001" s="335">
        <f>IF(J2001="Canvas",P2001+Border,P2001)</f>
        <v>32</v>
      </c>
      <c r="W2001" s="335">
        <f>IF(J2001="Canvas",Q2001+Border,Q2001)</f>
        <v>44</v>
      </c>
      <c r="X2001" s="950"/>
      <c r="Y2001" s="334">
        <v>32</v>
      </c>
      <c r="Z2001" s="334">
        <v>88</v>
      </c>
      <c r="AA2001" s="816">
        <f t="shared" si="730"/>
        <v>9.7777777777777786</v>
      </c>
      <c r="AB2001" s="730">
        <f t="shared" si="732"/>
        <v>44</v>
      </c>
      <c r="AC2001" s="338">
        <f t="shared" si="731"/>
        <v>6.453333333333334</v>
      </c>
      <c r="AD2001" s="332">
        <f>Table1[[#This Row],[Ink g/mL]]*EPSONC</f>
        <v>9.68</v>
      </c>
      <c r="AE2001" s="104">
        <f>IF(Table1[[#This Row],[Work Center]]="SwissQ",Materials!G$37,IF(Table1[[#This Row],[Work Center]]="Inca",Materials!G$29,IF(Table1[[#This Row],[Work Center]]="Canon",Materials!G$49,Materials!G$45)))</f>
        <v>5</v>
      </c>
      <c r="AF2001" s="338">
        <f>'Cali FPS'!C$37</f>
        <v>75.162500000000009</v>
      </c>
      <c r="AG2001" s="366"/>
      <c r="AH2001" s="498">
        <f t="shared" si="733"/>
        <v>10.5</v>
      </c>
      <c r="AI2001" s="498"/>
      <c r="AJ2001" s="338">
        <f t="shared" si="734"/>
        <v>106.79583333333335</v>
      </c>
      <c r="AK2001" s="650">
        <f t="shared" si="735"/>
        <v>0.49144841269841261</v>
      </c>
      <c r="AL2001" s="225">
        <f>Table1[[#This Row],[WSP/Dealer]]/Table1[[#This Row],[OD Sq Inch]]</f>
        <v>0.24305555555555555</v>
      </c>
      <c r="AM2001" s="330">
        <f>Table1[[#This Row],[OD Wdth]]*Table1[[#This Row],[OD Hgt]]</f>
        <v>864</v>
      </c>
      <c r="AN2001" s="366"/>
      <c r="AO2001" s="366"/>
      <c r="AP2001" s="366"/>
      <c r="AQ2001" s="707"/>
      <c r="AR2001" s="707"/>
      <c r="AS2001" s="707"/>
      <c r="AT2001" s="338"/>
      <c r="AU2001" s="1382" t="str">
        <f t="shared" si="721"/>
        <v>-</v>
      </c>
    </row>
    <row r="2002" spans="1:47" s="170" customFormat="1" hidden="1" x14ac:dyDescent="0.2">
      <c r="A2002" s="334"/>
      <c r="C2002" s="1260" t="s">
        <v>2367</v>
      </c>
      <c r="D2002" s="94"/>
      <c r="E2002" s="366" t="s">
        <v>4619</v>
      </c>
      <c r="F2002" s="366"/>
      <c r="G2002" s="334" t="s">
        <v>51</v>
      </c>
      <c r="H2002" s="334" t="s">
        <v>51</v>
      </c>
      <c r="I2002" s="334" t="s">
        <v>108</v>
      </c>
      <c r="J2002" s="334" t="s">
        <v>53</v>
      </c>
      <c r="K2002" s="334" t="s">
        <v>54</v>
      </c>
      <c r="L2002" s="334" t="s">
        <v>55</v>
      </c>
      <c r="M2002" s="1272">
        <v>225</v>
      </c>
      <c r="N2002" s="71"/>
      <c r="O2002" s="334" t="s">
        <v>109</v>
      </c>
      <c r="P2002" s="334">
        <v>30</v>
      </c>
      <c r="Q2002" s="334">
        <v>40</v>
      </c>
      <c r="R2002" s="334">
        <v>30</v>
      </c>
      <c r="S2002" s="1218">
        <v>40</v>
      </c>
      <c r="T2002" s="334">
        <f>P2002</f>
        <v>30</v>
      </c>
      <c r="U2002" s="334">
        <f>Q2002</f>
        <v>40</v>
      </c>
      <c r="V2002" s="335">
        <f>IF(J2002="Canvas",P2002+BorderGW,P2002)</f>
        <v>38</v>
      </c>
      <c r="W2002" s="335">
        <f>IF(J2002="Canvas",Q2002+BorderGW,Q2002)</f>
        <v>48</v>
      </c>
      <c r="X2002" s="950">
        <v>40</v>
      </c>
      <c r="Y2002" s="334"/>
      <c r="Z2002" s="334"/>
      <c r="AA2002" s="816">
        <f t="shared" si="730"/>
        <v>12.666666666666666</v>
      </c>
      <c r="AB2002" s="731">
        <f t="shared" si="732"/>
        <v>57</v>
      </c>
      <c r="AC2002" s="338">
        <f t="shared" si="731"/>
        <v>8.36</v>
      </c>
      <c r="AD2002" s="336">
        <f>Table1[[#This Row],[Ink g/mL]]*EPSONC</f>
        <v>12.540000000000001</v>
      </c>
      <c r="AE2002" s="104">
        <f>IF(Table1[[#This Row],[Work Center]]="SwissQ",Materials!G$37,IF(Table1[[#This Row],[Work Center]]="Inca",Materials!G$29,IF(Table1[[#This Row],[Work Center]]="Canon",Materials!G$49,Materials!G$45)))</f>
        <v>5</v>
      </c>
      <c r="AF2002" s="338">
        <f>'Cali FPS'!C48</f>
        <v>76.3</v>
      </c>
      <c r="AG2002" s="366"/>
      <c r="AH2002" s="498">
        <f t="shared" si="733"/>
        <v>11.25</v>
      </c>
      <c r="AI2002" s="498"/>
      <c r="AJ2002" s="336">
        <f t="shared" si="734"/>
        <v>113.44999999999999</v>
      </c>
      <c r="AK2002" s="650">
        <f t="shared" si="735"/>
        <v>0.49577777777777782</v>
      </c>
      <c r="AL2002" s="225">
        <f>Table1[[#This Row],[WSP/Dealer]]/Table1[[#This Row],[OD Sq Inch]]</f>
        <v>0.1875</v>
      </c>
      <c r="AM2002" s="330">
        <f>Table1[[#This Row],[OD Wdth]]*Table1[[#This Row],[OD Hgt]]</f>
        <v>1200</v>
      </c>
      <c r="AN2002" s="366"/>
      <c r="AO2002" s="366"/>
      <c r="AP2002" s="1118"/>
      <c r="AQ2002" s="1118"/>
      <c r="AR2002" s="1118"/>
      <c r="AS2002" s="1118"/>
      <c r="AT2002" s="706"/>
      <c r="AU2002" s="1382" t="str">
        <f t="shared" si="721"/>
        <v>-</v>
      </c>
    </row>
    <row r="2003" spans="1:47" s="170" customFormat="1" hidden="1" x14ac:dyDescent="0.2">
      <c r="A2003" s="334"/>
      <c r="C2003" s="1254" t="s">
        <v>1717</v>
      </c>
      <c r="D2003" s="94"/>
      <c r="E2003" s="366" t="s">
        <v>4619</v>
      </c>
      <c r="F2003" s="365"/>
      <c r="G2003" s="334" t="s">
        <v>925</v>
      </c>
      <c r="H2003" s="334" t="s">
        <v>925</v>
      </c>
      <c r="I2003" s="1270" t="s">
        <v>108</v>
      </c>
      <c r="J2003" s="334" t="s">
        <v>53</v>
      </c>
      <c r="K2003" s="334" t="s">
        <v>54</v>
      </c>
      <c r="L2003" s="334" t="s">
        <v>55</v>
      </c>
      <c r="M2003" s="1272">
        <v>260</v>
      </c>
      <c r="N2003" s="71"/>
      <c r="O2003" s="334" t="s">
        <v>109</v>
      </c>
      <c r="P2003" s="334">
        <v>36</v>
      </c>
      <c r="Q2003" s="334">
        <v>36</v>
      </c>
      <c r="R2003" s="334">
        <v>36</v>
      </c>
      <c r="S2003" s="334">
        <v>36</v>
      </c>
      <c r="T2003" s="334">
        <v>36</v>
      </c>
      <c r="U2003" s="334">
        <v>36</v>
      </c>
      <c r="V2003" s="335">
        <f>IF(J2003="Canvas",P2003+Border,P2003)</f>
        <v>44</v>
      </c>
      <c r="W2003" s="335">
        <f>IF(J2003="Canvas",Q2003+Border,Q2003)</f>
        <v>44</v>
      </c>
      <c r="X2003" s="950">
        <v>53</v>
      </c>
      <c r="Y2003" s="334"/>
      <c r="Z2003" s="334"/>
      <c r="AA2003" s="816">
        <f t="shared" si="730"/>
        <v>13.444444444444445</v>
      </c>
      <c r="AB2003" s="731">
        <f t="shared" si="732"/>
        <v>60.5</v>
      </c>
      <c r="AC2003" s="338">
        <f t="shared" si="731"/>
        <v>8.8733333333333331</v>
      </c>
      <c r="AD2003" s="336">
        <f>Table1[[#This Row],[Ink g/mL]]*EPSONC</f>
        <v>13.31</v>
      </c>
      <c r="AE2003" s="104">
        <f>IF(Table1[[#This Row],[Work Center]]="SwissQ",Materials!G$37,IF(Table1[[#This Row],[Work Center]]="Inca",Materials!G$29,IF(Table1[[#This Row],[Work Center]]="Canon",Materials!G$49,Materials!G$45)))</f>
        <v>5</v>
      </c>
      <c r="AF2003" s="338" t="e">
        <f>'Cali FPS'!#REF!</f>
        <v>#REF!</v>
      </c>
      <c r="AG2003" s="910"/>
      <c r="AH2003" s="498">
        <f t="shared" si="733"/>
        <v>13</v>
      </c>
      <c r="AI2003" s="498"/>
      <c r="AJ2003" s="338" t="e">
        <f t="shared" si="734"/>
        <v>#REF!</v>
      </c>
      <c r="AK2003" s="650" t="e">
        <f t="shared" si="735"/>
        <v>#REF!</v>
      </c>
      <c r="AL2003" s="225">
        <f>Table1[[#This Row],[WSP/Dealer]]/Table1[[#This Row],[OD Sq Inch]]</f>
        <v>0.20061728395061729</v>
      </c>
      <c r="AM2003" s="330">
        <f>Table1[[#This Row],[OD Wdth]]*Table1[[#This Row],[OD Hgt]]</f>
        <v>1296</v>
      </c>
      <c r="AN2003" s="366"/>
      <c r="AO2003" s="366"/>
      <c r="AP2003" s="1118"/>
      <c r="AQ2003" s="1118"/>
      <c r="AR2003" s="1118"/>
      <c r="AS2003" s="1118"/>
      <c r="AT2003" s="706"/>
      <c r="AU2003" s="1551" t="str">
        <f t="shared" si="721"/>
        <v>-</v>
      </c>
    </row>
    <row r="2004" spans="1:47" s="170" customFormat="1" hidden="1" x14ac:dyDescent="0.2">
      <c r="A2004" s="334"/>
      <c r="B2004" s="1061"/>
      <c r="C2004" s="1254" t="s">
        <v>4622</v>
      </c>
      <c r="D2004" s="94"/>
      <c r="E2004" s="366" t="s">
        <v>4619</v>
      </c>
      <c r="F2004" s="366"/>
      <c r="G2004" s="334" t="s">
        <v>132</v>
      </c>
      <c r="H2004" s="334" t="s">
        <v>132</v>
      </c>
      <c r="I2004" s="334" t="s">
        <v>108</v>
      </c>
      <c r="J2004" s="334" t="s">
        <v>53</v>
      </c>
      <c r="K2004" s="334" t="s">
        <v>54</v>
      </c>
      <c r="L2004" s="334" t="s">
        <v>55</v>
      </c>
      <c r="M2004" s="1272">
        <v>300</v>
      </c>
      <c r="N2004" s="71"/>
      <c r="O2004" s="334" t="s">
        <v>109</v>
      </c>
      <c r="P2004" s="1352">
        <v>36</v>
      </c>
      <c r="Q2004" s="1352">
        <v>48</v>
      </c>
      <c r="R2004" s="334">
        <v>36</v>
      </c>
      <c r="S2004" s="1218">
        <v>48</v>
      </c>
      <c r="T2004" s="1218">
        <f>Table1[[#This Row],[VO Wdth]]</f>
        <v>36</v>
      </c>
      <c r="U2004" s="1218">
        <f>Table1[[#This Row],[VO Hgt]]</f>
        <v>48</v>
      </c>
      <c r="V2004" s="335">
        <f>IF(J2004="Canvas",P2004+BorderGW,P2004)</f>
        <v>44</v>
      </c>
      <c r="W2004" s="335">
        <f>IF(J2004="Canvas",Q2004+BorderGW,Q2004)</f>
        <v>56</v>
      </c>
      <c r="X2004" s="1219">
        <v>59</v>
      </c>
      <c r="Y2004" s="334"/>
      <c r="Z2004" s="334"/>
      <c r="AA2004" s="816">
        <f t="shared" si="730"/>
        <v>17.111111111111111</v>
      </c>
      <c r="AB2004" s="731">
        <f t="shared" si="732"/>
        <v>77</v>
      </c>
      <c r="AC2004" s="338">
        <f t="shared" si="731"/>
        <v>11.293333333333333</v>
      </c>
      <c r="AD2004" s="336">
        <f>Table1[[#This Row],[Ink g/mL]]*EPSONC</f>
        <v>16.940000000000001</v>
      </c>
      <c r="AE2004" s="104">
        <f>IF(Table1[[#This Row],[Work Center]]="SwissQ",Materials!G$37,IF(Table1[[#This Row],[Work Center]]="Inca",Materials!G$29,IF(Table1[[#This Row],[Work Center]]="Canon",Materials!G$49,Materials!G$45)))</f>
        <v>5</v>
      </c>
      <c r="AF2004" s="706">
        <f>'Cali FPS'!C71</f>
        <v>114.31</v>
      </c>
      <c r="AG2004" s="366"/>
      <c r="AH2004" s="498">
        <f t="shared" si="733"/>
        <v>15</v>
      </c>
      <c r="AI2004" s="498"/>
      <c r="AJ2004" s="338">
        <f t="shared" si="734"/>
        <v>162.54333333333335</v>
      </c>
      <c r="AK2004" s="650">
        <f t="shared" si="735"/>
        <v>0.45818888888888881</v>
      </c>
      <c r="AL2004" s="225">
        <f>Table1[[#This Row],[WSP/Dealer]]/Table1[[#This Row],[OD Sq Inch]]</f>
        <v>0.1736111111111111</v>
      </c>
      <c r="AM2004" s="330">
        <f>Table1[[#This Row],[OD Wdth]]*Table1[[#This Row],[OD Hgt]]</f>
        <v>1728</v>
      </c>
      <c r="AN2004" s="366"/>
      <c r="AO2004" s="366"/>
      <c r="AP2004" s="366"/>
      <c r="AQ2004" s="707"/>
      <c r="AR2004" s="707"/>
      <c r="AS2004" s="707"/>
      <c r="AT2004" s="338"/>
      <c r="AU2004" s="1382" t="str">
        <f t="shared" si="721"/>
        <v>-</v>
      </c>
    </row>
    <row r="2005" spans="1:47" s="170" customFormat="1" hidden="1" x14ac:dyDescent="0.2">
      <c r="A2005" s="334"/>
      <c r="C2005" s="1260" t="s">
        <v>681</v>
      </c>
      <c r="D2005" s="94"/>
      <c r="E2005" s="366" t="s">
        <v>4619</v>
      </c>
      <c r="F2005" s="366"/>
      <c r="G2005" s="334" t="s">
        <v>483</v>
      </c>
      <c r="H2005" s="334" t="s">
        <v>483</v>
      </c>
      <c r="I2005" s="334" t="s">
        <v>108</v>
      </c>
      <c r="J2005" s="334" t="s">
        <v>53</v>
      </c>
      <c r="K2005" s="334" t="s">
        <v>54</v>
      </c>
      <c r="L2005" s="334" t="s">
        <v>55</v>
      </c>
      <c r="M2005" s="1272">
        <v>320</v>
      </c>
      <c r="N2005" s="71"/>
      <c r="O2005" s="334" t="s">
        <v>109</v>
      </c>
      <c r="P2005" s="339">
        <v>40</v>
      </c>
      <c r="Q2005" s="339">
        <v>60</v>
      </c>
      <c r="R2005" s="339">
        <v>40</v>
      </c>
      <c r="S2005" s="339">
        <v>60</v>
      </c>
      <c r="T2005" s="339">
        <v>40</v>
      </c>
      <c r="U2005" s="339">
        <v>60</v>
      </c>
      <c r="V2005" s="1784">
        <f>IF(J2005="Canvas",P2005+BorderGW,P2005)</f>
        <v>48</v>
      </c>
      <c r="W2005" s="1784">
        <f>IF(J2005="Canvas",Q2005+BorderGW,Q2005)</f>
        <v>68</v>
      </c>
      <c r="X2005" s="1245">
        <v>54</v>
      </c>
      <c r="Y2005" s="334"/>
      <c r="Z2005" s="334"/>
      <c r="AA2005" s="845">
        <f t="shared" si="730"/>
        <v>22.666666666666668</v>
      </c>
      <c r="AB2005" s="730">
        <f t="shared" si="732"/>
        <v>102</v>
      </c>
      <c r="AC2005" s="914">
        <f t="shared" si="731"/>
        <v>14.96</v>
      </c>
      <c r="AD2005" s="332">
        <f>Table1[[#This Row],[Ink g/mL]]*EPSONC</f>
        <v>22.44</v>
      </c>
      <c r="AE2005" s="104">
        <f>IF(Table1[[#This Row],[Work Center]]="SwissQ",Materials!G$37,IF(Table1[[#This Row],[Work Center]]="Inca",Materials!G$29,IF(Table1[[#This Row],[Work Center]]="Canon",Materials!G$49,Materials!G$45)))</f>
        <v>5</v>
      </c>
      <c r="AF2005" s="914">
        <f>'Cali FPS'!C89</f>
        <v>112.01750000000001</v>
      </c>
      <c r="AG2005" s="364"/>
      <c r="AH2005" s="498">
        <f t="shared" si="733"/>
        <v>16</v>
      </c>
      <c r="AI2005" s="498"/>
      <c r="AJ2005" s="914">
        <f t="shared" si="734"/>
        <v>170.41750000000002</v>
      </c>
      <c r="AK2005" s="650">
        <f t="shared" si="735"/>
        <v>0.46744531249999993</v>
      </c>
      <c r="AL2005" s="225">
        <f>Table1[[#This Row],[WSP/Dealer]]/Table1[[#This Row],[OD Sq Inch]]</f>
        <v>0.13333333333333333</v>
      </c>
      <c r="AM2005" s="331">
        <f>Table1[[#This Row],[OD Wdth]]*Table1[[#This Row],[OD Hgt]]</f>
        <v>2400</v>
      </c>
      <c r="AN2005" s="366"/>
      <c r="AO2005" s="366"/>
      <c r="AP2005" s="1118"/>
      <c r="AQ2005" s="1118"/>
      <c r="AR2005" s="1118"/>
      <c r="AS2005" s="1118"/>
      <c r="AT2005" s="706"/>
      <c r="AU2005" s="1382" t="str">
        <f t="shared" si="721"/>
        <v>-</v>
      </c>
    </row>
    <row r="2006" spans="1:47" s="170" customFormat="1" hidden="1" x14ac:dyDescent="0.2">
      <c r="A2006" s="334"/>
      <c r="C2006" s="1260" t="s">
        <v>1555</v>
      </c>
      <c r="D2006" s="94"/>
      <c r="E2006" s="366" t="s">
        <v>4619</v>
      </c>
      <c r="F2006" s="366"/>
      <c r="G2006" s="334" t="s">
        <v>405</v>
      </c>
      <c r="H2006" s="334" t="s">
        <v>405</v>
      </c>
      <c r="I2006" s="334" t="s">
        <v>108</v>
      </c>
      <c r="J2006" s="334" t="s">
        <v>53</v>
      </c>
      <c r="K2006" s="334" t="s">
        <v>54</v>
      </c>
      <c r="L2006" s="334" t="s">
        <v>55</v>
      </c>
      <c r="M2006" s="1272">
        <v>350</v>
      </c>
      <c r="N2006" s="71"/>
      <c r="O2006" s="334" t="s">
        <v>109</v>
      </c>
      <c r="P2006" s="334">
        <v>48</v>
      </c>
      <c r="Q2006" s="334">
        <v>48</v>
      </c>
      <c r="R2006" s="334">
        <v>48</v>
      </c>
      <c r="S2006" s="334">
        <v>48</v>
      </c>
      <c r="T2006" s="334">
        <v>48</v>
      </c>
      <c r="U2006" s="334">
        <v>48</v>
      </c>
      <c r="V2006" s="1458">
        <f>IF(J2006="Canvas",P2006+BorderGW,P2006)</f>
        <v>56</v>
      </c>
      <c r="W2006" s="1458">
        <f>IF(J2006="Canvas",Q2006+BorderGW,Q2006)</f>
        <v>56</v>
      </c>
      <c r="X2006" s="950">
        <v>59</v>
      </c>
      <c r="Y2006" s="334"/>
      <c r="Z2006" s="334"/>
      <c r="AA2006" s="816">
        <f t="shared" si="730"/>
        <v>21.777777777777779</v>
      </c>
      <c r="AB2006" s="731">
        <f t="shared" si="732"/>
        <v>98</v>
      </c>
      <c r="AC2006" s="338">
        <f t="shared" si="731"/>
        <v>14.373333333333335</v>
      </c>
      <c r="AD2006" s="338">
        <f>Table1[[#This Row],[Ink g/mL]]*EPSONC</f>
        <v>21.56</v>
      </c>
      <c r="AE2006" s="104">
        <f>IF(Table1[[#This Row],[Work Center]]="SwissQ",Materials!G$37,IF(Table1[[#This Row],[Work Center]]="Inca",Materials!G$29,IF(Table1[[#This Row],[Work Center]]="Canon",Materials!G$49,Materials!G$45)))</f>
        <v>5</v>
      </c>
      <c r="AF2006" s="338">
        <f>'Cali FPS'!C117</f>
        <v>119.7</v>
      </c>
      <c r="AG2006" s="366"/>
      <c r="AH2006" s="498">
        <f t="shared" si="733"/>
        <v>17.5</v>
      </c>
      <c r="AI2006" s="498"/>
      <c r="AJ2006" s="338">
        <f t="shared" si="734"/>
        <v>178.13333333333333</v>
      </c>
      <c r="AK2006" s="650">
        <f t="shared" si="735"/>
        <v>0.49104761904761907</v>
      </c>
      <c r="AL2006" s="225">
        <f>Table1[[#This Row],[WSP/Dealer]]/Table1[[#This Row],[OD Sq Inch]]</f>
        <v>0.15190972222222221</v>
      </c>
      <c r="AM2006" s="334">
        <f>Table1[[#This Row],[OD Wdth]]*Table1[[#This Row],[OD Hgt]]</f>
        <v>2304</v>
      </c>
      <c r="AN2006" s="366"/>
      <c r="AO2006" s="366"/>
      <c r="AP2006" s="1118"/>
      <c r="AQ2006" s="1118"/>
      <c r="AR2006" s="1118"/>
      <c r="AS2006" s="1118"/>
      <c r="AT2006" s="706"/>
      <c r="AU2006" s="1382" t="str">
        <f t="shared" si="721"/>
        <v>-</v>
      </c>
    </row>
    <row r="2007" spans="1:47" s="399" customFormat="1" hidden="1" x14ac:dyDescent="0.2">
      <c r="A2007" s="334"/>
      <c r="B2007" s="1061"/>
      <c r="C2007" s="1254" t="s">
        <v>1049</v>
      </c>
      <c r="D2007" s="94"/>
      <c r="E2007" s="365" t="s">
        <v>4619</v>
      </c>
      <c r="F2007" s="365"/>
      <c r="G2007" s="334" t="s">
        <v>1048</v>
      </c>
      <c r="H2007" s="334" t="s">
        <v>1048</v>
      </c>
      <c r="I2007" s="334" t="s">
        <v>108</v>
      </c>
      <c r="J2007" s="334" t="s">
        <v>53</v>
      </c>
      <c r="K2007" s="334" t="s">
        <v>54</v>
      </c>
      <c r="L2007" s="334" t="s">
        <v>55</v>
      </c>
      <c r="M2007" s="1272">
        <v>450</v>
      </c>
      <c r="N2007" s="71">
        <v>950</v>
      </c>
      <c r="O2007" s="334" t="s">
        <v>109</v>
      </c>
      <c r="P2007" s="334">
        <v>48</v>
      </c>
      <c r="Q2007" s="334">
        <v>60</v>
      </c>
      <c r="R2007" s="334">
        <v>48</v>
      </c>
      <c r="S2007" s="334">
        <v>60</v>
      </c>
      <c r="T2007" s="1218">
        <f>Table1[[#This Row],[VO Wdth]]</f>
        <v>48</v>
      </c>
      <c r="U2007" s="1218">
        <f>Table1[[#This Row],[VO Hgt]]</f>
        <v>60</v>
      </c>
      <c r="V2007" s="1458">
        <f>IF(J2007="Canvas",P2007+Border,P2007)</f>
        <v>56</v>
      </c>
      <c r="W2007" s="1458">
        <f>IF(J2007="Canvas",Q2007+Border,Q2007)</f>
        <v>68</v>
      </c>
      <c r="X2007" s="950">
        <v>63</v>
      </c>
      <c r="Y2007" s="334"/>
      <c r="Z2007" s="334"/>
      <c r="AA2007" s="816">
        <f t="shared" si="730"/>
        <v>26.444444444444443</v>
      </c>
      <c r="AB2007" s="731">
        <f t="shared" si="732"/>
        <v>119</v>
      </c>
      <c r="AC2007" s="338">
        <f t="shared" si="731"/>
        <v>17.453333333333333</v>
      </c>
      <c r="AD2007" s="336">
        <f>Table1[[#This Row],[Ink g/mL]]*EPSONC</f>
        <v>26.18</v>
      </c>
      <c r="AE2007" s="104">
        <f>IF(Table1[[#This Row],[Work Center]]="SwissQ",Materials!G$37,IF(Table1[[#This Row],[Work Center]]="Inca",Materials!G$29,IF(Table1[[#This Row],[Work Center]]="Canon",Materials!G$49,Materials!G$45)))</f>
        <v>5</v>
      </c>
      <c r="AF2007" s="338">
        <f>'Cali FPS'!C121</f>
        <v>188.18</v>
      </c>
      <c r="AG2007" s="366"/>
      <c r="AH2007" s="498">
        <f t="shared" si="733"/>
        <v>22.5</v>
      </c>
      <c r="AI2007" s="498"/>
      <c r="AJ2007" s="338">
        <f t="shared" si="734"/>
        <v>259.31333333333333</v>
      </c>
      <c r="AK2007" s="650">
        <f t="shared" si="735"/>
        <v>0.42374814814814815</v>
      </c>
      <c r="AL2007" s="225">
        <f>Table1[[#This Row],[WSP/Dealer]]/Table1[[#This Row],[OD Sq Inch]]</f>
        <v>0.15625</v>
      </c>
      <c r="AM2007" s="330">
        <f>Table1[[#This Row],[OD Wdth]]*Table1[[#This Row],[OD Hgt]]</f>
        <v>2880</v>
      </c>
      <c r="AN2007" s="366"/>
      <c r="AO2007" s="366"/>
      <c r="AP2007" s="366"/>
      <c r="AQ2007" s="707"/>
      <c r="AR2007" s="707"/>
      <c r="AS2007" s="707"/>
      <c r="AT2007" s="338"/>
      <c r="AU2007" s="1382" t="str">
        <f t="shared" si="721"/>
        <v>-</v>
      </c>
    </row>
    <row r="2008" spans="1:47" s="170" customFormat="1" x14ac:dyDescent="0.2">
      <c r="A2008" s="145" t="s">
        <v>58</v>
      </c>
      <c r="B2008" s="1061" t="s">
        <v>533</v>
      </c>
      <c r="C2008" s="146" t="s">
        <v>4623</v>
      </c>
      <c r="D2008" s="94" t="s">
        <v>4624</v>
      </c>
      <c r="E2008" s="146" t="s">
        <v>4625</v>
      </c>
      <c r="F2008" s="147" t="s">
        <v>1738</v>
      </c>
      <c r="G2008" s="156" t="s">
        <v>4626</v>
      </c>
      <c r="H2008" s="156" t="s">
        <v>4626</v>
      </c>
      <c r="I2008" s="156" t="s">
        <v>52</v>
      </c>
      <c r="J2008" s="156" t="s">
        <v>53</v>
      </c>
      <c r="K2008" s="156" t="s">
        <v>54</v>
      </c>
      <c r="L2008" s="156" t="s">
        <v>55</v>
      </c>
      <c r="M2008" s="151">
        <v>900</v>
      </c>
      <c r="N2008" s="639">
        <v>890</v>
      </c>
      <c r="O2008" s="145" t="s">
        <v>56</v>
      </c>
      <c r="P2008" s="145">
        <v>45</v>
      </c>
      <c r="Q2008" s="145">
        <v>57</v>
      </c>
      <c r="R2008" s="145">
        <v>45</v>
      </c>
      <c r="S2008" s="145">
        <v>57</v>
      </c>
      <c r="T2008" s="698">
        <f>Table1[[#This Row],[VO Wdth]]</f>
        <v>45</v>
      </c>
      <c r="U2008" s="698">
        <f>Table1[[#This Row],[VO Hgt]]</f>
        <v>57</v>
      </c>
      <c r="V2008" s="913">
        <f>IF(J2008="Canvas",P2008+Border,P2008)</f>
        <v>53</v>
      </c>
      <c r="W2008" s="913">
        <f>IF(J2008="Canvas",Q2008+Border,Q2008)</f>
        <v>65</v>
      </c>
      <c r="X2008" s="157">
        <v>69</v>
      </c>
      <c r="Y2008" s="145"/>
      <c r="Z2008" s="145"/>
      <c r="AA2008" s="722">
        <f t="shared" si="730"/>
        <v>23.923611111111111</v>
      </c>
      <c r="AB2008" s="389">
        <f>AA2008*IncaG</f>
        <v>503.35277777777776</v>
      </c>
      <c r="AC2008" s="143">
        <f>Table1[[#This Row],[Substrate SF]]*Paper</f>
        <v>32.368645833333332</v>
      </c>
      <c r="AD2008" s="150">
        <f>AA2008*IncaC</f>
        <v>40.268222222222221</v>
      </c>
      <c r="AE2008" s="104">
        <f>IF(Table1[[#This Row],[Work Center]]="SwissQ",Materials!G$37,IF(Table1[[#This Row],[Work Center]]="Inca",Materials!G$29,IF(Table1[[#This Row],[Work Center]]="Canon",Materials!G$49,Materials!G$45)))</f>
        <v>8</v>
      </c>
      <c r="AF2008" s="143">
        <f>'Cali FPS'!C$106</f>
        <v>175</v>
      </c>
      <c r="AG2008" s="115"/>
      <c r="AH2008" s="498">
        <f t="shared" si="733"/>
        <v>45</v>
      </c>
      <c r="AI2008" s="498"/>
      <c r="AJ2008" s="143">
        <f t="shared" si="734"/>
        <v>300.63686805555557</v>
      </c>
      <c r="AK2008" s="650">
        <f t="shared" si="735"/>
        <v>0.66595903549382707</v>
      </c>
      <c r="AL2008" s="225">
        <f>Table1[[#This Row],[WSP/Dealer]]/Table1[[#This Row],[OD Sq Inch]]</f>
        <v>0.35087719298245612</v>
      </c>
      <c r="AM2008" s="218">
        <f>Table1[[#This Row],[OD Wdth]]*Table1[[#This Row],[OD Hgt]]</f>
        <v>2565</v>
      </c>
      <c r="AN2008" s="216">
        <f>Table1[[#This Row],[Min VO]]+Table1[[#This Row],[Max VO]]</f>
        <v>102</v>
      </c>
      <c r="AO2008" s="145"/>
      <c r="AP2008" s="145"/>
      <c r="AQ2008" s="143"/>
      <c r="AR2008" s="143"/>
      <c r="AS2008" s="143"/>
      <c r="AT2008" s="143"/>
      <c r="AU2008" s="1371" t="str">
        <f t="shared" si="721"/>
        <v>-</v>
      </c>
    </row>
    <row r="2009" spans="1:47" s="170" customFormat="1" hidden="1" x14ac:dyDescent="0.2">
      <c r="A2009" s="68" t="s">
        <v>101</v>
      </c>
      <c r="B2009" s="1152" t="s">
        <v>486</v>
      </c>
      <c r="C2009" s="94" t="s">
        <v>4627</v>
      </c>
      <c r="D2009" s="94"/>
      <c r="E2009" s="172" t="s">
        <v>4628</v>
      </c>
      <c r="F2009" s="84" t="s">
        <v>105</v>
      </c>
      <c r="G2009" s="363" t="s">
        <v>2170</v>
      </c>
      <c r="H2009" s="363" t="s">
        <v>2170</v>
      </c>
      <c r="I2009" s="363" t="s">
        <v>108</v>
      </c>
      <c r="J2009" s="646" t="s">
        <v>53</v>
      </c>
      <c r="K2009" s="363" t="s">
        <v>119</v>
      </c>
      <c r="L2009" s="363" t="s">
        <v>120</v>
      </c>
      <c r="M2009" s="141">
        <v>172</v>
      </c>
      <c r="N2009" s="93"/>
      <c r="O2009" s="68" t="s">
        <v>109</v>
      </c>
      <c r="P2009" s="68">
        <v>11</v>
      </c>
      <c r="Q2009" s="68">
        <v>13</v>
      </c>
      <c r="R2009" s="68">
        <v>11</v>
      </c>
      <c r="S2009" s="68">
        <v>13</v>
      </c>
      <c r="T2009" s="623">
        <v>11</v>
      </c>
      <c r="U2009" s="623">
        <v>13</v>
      </c>
      <c r="V2009" s="66">
        <f>IF(J2009="Canvas",P2009+Border,P2009)</f>
        <v>19</v>
      </c>
      <c r="W2009" s="66">
        <f>IF(J2009="Canvas",Q2009+Border,Q2009)</f>
        <v>21</v>
      </c>
      <c r="X2009" s="68">
        <v>40</v>
      </c>
      <c r="Y2009" s="686">
        <f>Table1[[#This Row],[Print Wth]]</f>
        <v>19</v>
      </c>
      <c r="Z2009" s="686">
        <f>Table1[[#This Row],[Print Ht]]</f>
        <v>21</v>
      </c>
      <c r="AA2009" s="727">
        <f>Table1[[#This Row],[Cut Width]]*Table1[[#This Row],[Cut Height]]/144</f>
        <v>2.7708333333333335</v>
      </c>
      <c r="AB2009" s="341">
        <f>Table1[[#This Row],[Print Wth]]*Table1[[#This Row],[Print Ht]]/144*EPSONM</f>
        <v>12.46875</v>
      </c>
      <c r="AC2009" s="278">
        <f>Table1[[#This Row],[Substrate SF]]*Canvas</f>
        <v>1.8287500000000001</v>
      </c>
      <c r="AD2009" s="263">
        <f>Table1[[#This Row],[Ink g/mL]]*EPSONC</f>
        <v>2.743125</v>
      </c>
      <c r="AE2009" s="74">
        <f>IF(Table1[[#This Row],[Work Center]]="SwissQ",Materials!G$37,IF(Table1[[#This Row],[Work Center]]="Inca",Materials!G$29,IF(Table1[[#This Row],[Work Center]]="Canon",Materials!G$49,Materials!G$45)))</f>
        <v>5</v>
      </c>
      <c r="AF2009" s="73">
        <f>'Cali FPS'!C178</f>
        <v>76.41</v>
      </c>
      <c r="AG2009" s="84"/>
      <c r="AH2009" s="263">
        <v>0</v>
      </c>
      <c r="AI2009" s="263"/>
      <c r="AJ2009" s="278">
        <f t="shared" si="734"/>
        <v>85.981875000000002</v>
      </c>
      <c r="AK2009" s="688">
        <f t="shared" si="735"/>
        <v>0.50010537790697673</v>
      </c>
      <c r="AL2009" s="278">
        <f>Table1[[#This Row],[WSP/Dealer]]/Table1[[#This Row],[OD Sq Inch]]</f>
        <v>1.2027972027972027</v>
      </c>
      <c r="AM2009" s="274">
        <f>Table1[[#This Row],[OD Wdth]]*Table1[[#This Row],[OD Hgt]]</f>
        <v>143</v>
      </c>
      <c r="AN2009" s="274">
        <f>Table1[[#This Row],[Min VO]]+Table1[[#This Row],[Max VO]]</f>
        <v>24</v>
      </c>
      <c r="AO2009" s="84"/>
      <c r="AP2009" s="84"/>
      <c r="AQ2009" s="74">
        <f>(Table1[[#This Row],[Desgnr/Retail P]]*0.05)</f>
        <v>0</v>
      </c>
      <c r="AR2009" s="74" t="b">
        <f>IF(A2009="Codarus",(AP2009*0.13))</f>
        <v>0</v>
      </c>
      <c r="AS2009" s="74" t="e" cm="1">
        <f t="array" ref="AS2009">SUM(AC2009:AG2009+AQ+AR)</f>
        <v>#NAME?</v>
      </c>
      <c r="AT2009" s="74" t="e">
        <f>(AP2009-AS2009)/AP2009</f>
        <v>#NAME?</v>
      </c>
      <c r="AU2009" s="1357" t="str">
        <f t="shared" si="721"/>
        <v>-</v>
      </c>
    </row>
    <row r="2010" spans="1:47" s="170" customFormat="1" hidden="1" x14ac:dyDescent="0.2">
      <c r="A2010" s="101" t="s">
        <v>110</v>
      </c>
      <c r="B2010" s="1064" t="s">
        <v>250</v>
      </c>
      <c r="C2010" s="168" t="s">
        <v>4629</v>
      </c>
      <c r="D2010" s="168"/>
      <c r="E2010" s="169" t="s">
        <v>4630</v>
      </c>
      <c r="F2010" s="115" t="s">
        <v>105</v>
      </c>
      <c r="G2010" s="407" t="s">
        <v>2353</v>
      </c>
      <c r="H2010" s="407" t="s">
        <v>2354</v>
      </c>
      <c r="I2010" s="407" t="s">
        <v>574</v>
      </c>
      <c r="J2010" s="658" t="s">
        <v>53</v>
      </c>
      <c r="K2010" s="407" t="s">
        <v>69</v>
      </c>
      <c r="L2010" s="407" t="s">
        <v>70</v>
      </c>
      <c r="M2010" s="114">
        <v>300</v>
      </c>
      <c r="N2010" s="114"/>
      <c r="O2010" s="101" t="s">
        <v>575</v>
      </c>
      <c r="P2010" s="101">
        <v>16</v>
      </c>
      <c r="Q2010" s="101">
        <v>12</v>
      </c>
      <c r="R2010" s="101">
        <v>12</v>
      </c>
      <c r="S2010" s="101">
        <v>16</v>
      </c>
      <c r="T2010" s="697">
        <v>13</v>
      </c>
      <c r="U2010" s="697">
        <v>17</v>
      </c>
      <c r="V2010" s="608">
        <f>IF(J2010="Canvas",P2010+Border,P2010)</f>
        <v>24</v>
      </c>
      <c r="W2010" s="608">
        <f>IF(J2010="Canvas",Q2010+Border,Q2010)</f>
        <v>20</v>
      </c>
      <c r="X2010" s="101">
        <v>40</v>
      </c>
      <c r="Y2010" s="608">
        <v>24</v>
      </c>
      <c r="Z2010" s="608">
        <v>20</v>
      </c>
      <c r="AA2010" s="649">
        <f>Table1[[#This Row],[Cut Width]]*Table1[[#This Row],[Cut Height]]/144</f>
        <v>3.3333333333333335</v>
      </c>
      <c r="AB2010" s="1015">
        <f>(Table1[[#This Row],[Print Wth]]*Table1[[#This Row],[Print Ht]])/144*SWISSMLR</f>
        <v>6.666666666666667</v>
      </c>
      <c r="AC2010" s="104">
        <f>(Table1[[#This Row],[Cut Width]]*Table1[[#This Row],[Cut Height]])/144*Canvas</f>
        <v>2.2000000000000002</v>
      </c>
      <c r="AD2010" s="405">
        <f>(Table1[[#This Row],[Print Wth]]*Table1[[#This Row],[Print Ht]])/144*Materials!$C$42</f>
        <v>1.0666666666666667</v>
      </c>
      <c r="AE2010" s="104">
        <v>10</v>
      </c>
      <c r="AF2010" s="102">
        <f>'Cali Frames'!D260</f>
        <v>73</v>
      </c>
      <c r="AG2010" s="115"/>
      <c r="AH2010" s="104">
        <f>(M2010*0.05)</f>
        <v>15</v>
      </c>
      <c r="AI2010" s="406">
        <f>IF(A2010="Codarus",(M2010*0.13))</f>
        <v>39</v>
      </c>
      <c r="AJ2010" s="104">
        <f>SUM(AC2010:AI2010)</f>
        <v>140.26666666666665</v>
      </c>
      <c r="AK2010" s="830">
        <f t="shared" si="735"/>
        <v>0.5324444444444445</v>
      </c>
      <c r="AL2010" s="660">
        <f>Table1[[#This Row],[WSP/Dealer]]/Table1[[#This Row],[OD Sq Inch]]</f>
        <v>1.3574660633484164</v>
      </c>
      <c r="AM2010" s="229">
        <f>Table1[[#This Row],[OD Wdth]]*Table1[[#This Row],[OD Hgt]]</f>
        <v>221</v>
      </c>
      <c r="AN2010" s="115"/>
      <c r="AO2010" s="115"/>
      <c r="AP2010" s="1394">
        <v>600</v>
      </c>
      <c r="AQ2010" s="121">
        <f>(Table1[[#This Row],[Desgnr/Retail P]]*0.05)</f>
        <v>30</v>
      </c>
      <c r="AR2010" s="121">
        <f>IF(A2010="Codarus",(AP2010*0.13))</f>
        <v>78</v>
      </c>
      <c r="AS2010" s="121">
        <f>SUM(Table1[[#This Row],[Substrate $]:[GP FINISH]])+Table1[[#This Row],[Retail Royalty]]+Table1[[#This Row],[Retail$Comm]]</f>
        <v>194.26666666666665</v>
      </c>
      <c r="AT2010" s="830">
        <f>IF(AP2010=0,"-",(AP2010-AS2010)/AP2010)</f>
        <v>0.67622222222222228</v>
      </c>
      <c r="AU2010" s="1359">
        <f t="shared" si="721"/>
        <v>0.97745925925925925</v>
      </c>
    </row>
    <row r="2011" spans="1:47" s="170" customFormat="1" hidden="1" x14ac:dyDescent="0.2">
      <c r="A2011" s="68" t="s">
        <v>101</v>
      </c>
      <c r="B2011" s="1152" t="s">
        <v>102</v>
      </c>
      <c r="C2011" s="94" t="s">
        <v>4631</v>
      </c>
      <c r="D2011" s="94"/>
      <c r="E2011" s="172" t="s">
        <v>4630</v>
      </c>
      <c r="F2011" s="84" t="s">
        <v>105</v>
      </c>
      <c r="G2011" s="363" t="s">
        <v>2353</v>
      </c>
      <c r="H2011" s="363" t="s">
        <v>2698</v>
      </c>
      <c r="I2011" s="363" t="s">
        <v>574</v>
      </c>
      <c r="J2011" s="646" t="s">
        <v>53</v>
      </c>
      <c r="K2011" s="363" t="s">
        <v>814</v>
      </c>
      <c r="L2011" s="363" t="s">
        <v>815</v>
      </c>
      <c r="M2011" s="141">
        <v>255</v>
      </c>
      <c r="N2011" s="93"/>
      <c r="O2011" s="68" t="s">
        <v>575</v>
      </c>
      <c r="P2011" s="68">
        <v>16</v>
      </c>
      <c r="Q2011" s="68">
        <v>12</v>
      </c>
      <c r="R2011" s="68">
        <v>12</v>
      </c>
      <c r="S2011" s="63">
        <v>16</v>
      </c>
      <c r="T2011" s="65">
        <v>19</v>
      </c>
      <c r="U2011" s="65">
        <v>15</v>
      </c>
      <c r="V2011" s="66">
        <f>IF(J2011="Canvas",P2011+Border,P2011)</f>
        <v>24</v>
      </c>
      <c r="W2011" s="66">
        <f>IF(J2011="Canvas",Q2011+Border,Q2011)</f>
        <v>20</v>
      </c>
      <c r="X2011" s="68">
        <v>40</v>
      </c>
      <c r="Y2011" s="917">
        <f>Table1[[#This Row],[Print Wth]]</f>
        <v>24</v>
      </c>
      <c r="Z2011" s="917">
        <f>Table1[[#This Row],[Print Ht]]</f>
        <v>20</v>
      </c>
      <c r="AA2011" s="699">
        <f>Table1[[#This Row],[Cut Width]]*Table1[[#This Row],[Cut Height]]/144</f>
        <v>3.3333333333333335</v>
      </c>
      <c r="AB2011" s="1130">
        <f>(Table1[[#This Row],[Print Wth]]*Table1[[#This Row],[Print Ht]])/144*SWISSMLR</f>
        <v>6.666666666666667</v>
      </c>
      <c r="AC2011" s="74">
        <f>(Table1[[#This Row],[Cut Width]]*Table1[[#This Row],[Cut Height]])/144*Canvas</f>
        <v>2.2000000000000002</v>
      </c>
      <c r="AD2011" s="263">
        <f>(Table1[[#This Row],[Print Wth]]*Table1[[#This Row],[Print Ht]])/144*Materials!$C$42</f>
        <v>1.0666666666666667</v>
      </c>
      <c r="AE2011" s="74">
        <v>10</v>
      </c>
      <c r="AF2011" s="73">
        <f>'Cali Frames'!D185</f>
        <v>114.19</v>
      </c>
      <c r="AG2011" s="84"/>
      <c r="AH2011" s="278">
        <v>0</v>
      </c>
      <c r="AI2011" s="278"/>
      <c r="AJ2011" s="278">
        <f>SUM(AC2011:AH2011)</f>
        <v>127.45666666666666</v>
      </c>
      <c r="AK2011" s="1192">
        <f t="shared" si="735"/>
        <v>0.50016993464052284</v>
      </c>
      <c r="AL2011" s="278">
        <f>Table1[[#This Row],[WSP/Dealer]]/Table1[[#This Row],[OD Sq Inch]]</f>
        <v>0.89473684210526316</v>
      </c>
      <c r="AM2011" s="170">
        <f>Table1[[#This Row],[OD Wdth]]*Table1[[#This Row],[OD Hgt]]</f>
        <v>285</v>
      </c>
      <c r="AN2011" s="274">
        <f>Table1[[#This Row],[Min VO]]+Table1[[#This Row],[Max VO]]</f>
        <v>28</v>
      </c>
      <c r="AO2011" s="119"/>
      <c r="AP2011" s="84"/>
      <c r="AQ2011" s="74"/>
      <c r="AR2011" s="74"/>
      <c r="AS2011" s="74"/>
      <c r="AT2011" s="74"/>
      <c r="AU2011" s="1356" t="str">
        <f t="shared" si="721"/>
        <v>-</v>
      </c>
    </row>
    <row r="2012" spans="1:47" s="170" customFormat="1" hidden="1" x14ac:dyDescent="0.2">
      <c r="A2012" s="68" t="s">
        <v>101</v>
      </c>
      <c r="B2012" s="1072" t="s">
        <v>65</v>
      </c>
      <c r="C2012" s="94"/>
      <c r="D2012" s="94"/>
      <c r="E2012" s="172" t="s">
        <v>4632</v>
      </c>
      <c r="F2012" s="84" t="s">
        <v>105</v>
      </c>
      <c r="G2012" s="363" t="s">
        <v>731</v>
      </c>
      <c r="H2012" s="363" t="s">
        <v>732</v>
      </c>
      <c r="I2012" s="363" t="s">
        <v>108</v>
      </c>
      <c r="J2012" s="646" t="s">
        <v>53</v>
      </c>
      <c r="K2012" s="363" t="s">
        <v>69</v>
      </c>
      <c r="L2012" s="363" t="s">
        <v>315</v>
      </c>
      <c r="M2012" s="141">
        <f>2*Table1[[#This Row],[Total Cost]]</f>
        <v>0</v>
      </c>
      <c r="N2012" s="93"/>
      <c r="O2012" s="68"/>
      <c r="P2012" s="68"/>
      <c r="Q2012" s="68"/>
      <c r="R2012" s="68"/>
      <c r="S2012" s="68"/>
      <c r="T2012" s="623"/>
      <c r="U2012" s="623"/>
      <c r="V2012" s="917"/>
      <c r="W2012" s="917"/>
      <c r="X2012" s="68"/>
      <c r="Y2012" s="68"/>
      <c r="Z2012" s="68"/>
      <c r="AA2012" s="699"/>
      <c r="AB2012" s="297"/>
      <c r="AC2012" s="74"/>
      <c r="AD2012" s="118"/>
      <c r="AE2012" s="126"/>
      <c r="AF2012" s="73"/>
      <c r="AG2012" s="84"/>
      <c r="AH2012" s="126"/>
      <c r="AI2012" s="126"/>
      <c r="AJ2012" s="126"/>
      <c r="AK2012" s="1001"/>
      <c r="AL2012" s="126"/>
      <c r="AM2012" s="119"/>
      <c r="AN2012" s="84"/>
      <c r="AO2012" s="84"/>
      <c r="AP2012" s="84"/>
      <c r="AQ2012" s="74"/>
      <c r="AR2012" s="74"/>
      <c r="AS2012" s="74"/>
      <c r="AT2012" s="74"/>
      <c r="AU2012" s="1357" t="str">
        <f t="shared" si="721"/>
        <v>-</v>
      </c>
    </row>
    <row r="2013" spans="1:47" s="170" customFormat="1" ht="16" x14ac:dyDescent="0.2">
      <c r="A2013" s="60" t="s">
        <v>58</v>
      </c>
      <c r="B2013" s="1061" t="s">
        <v>587</v>
      </c>
      <c r="C2013" s="293" t="s">
        <v>4633</v>
      </c>
      <c r="D2013" s="94" t="s">
        <v>4634</v>
      </c>
      <c r="E2013" s="294" t="s">
        <v>4635</v>
      </c>
      <c r="F2013" s="294" t="s">
        <v>124</v>
      </c>
      <c r="G2013" s="295" t="s">
        <v>4636</v>
      </c>
      <c r="H2013" s="295" t="s">
        <v>4636</v>
      </c>
      <c r="I2013" s="181" t="s">
        <v>52</v>
      </c>
      <c r="J2013" s="181" t="s">
        <v>53</v>
      </c>
      <c r="K2013" s="295" t="s">
        <v>54</v>
      </c>
      <c r="L2013" s="181" t="s">
        <v>55</v>
      </c>
      <c r="M2013" s="292">
        <v>320</v>
      </c>
      <c r="N2013" s="639">
        <v>320</v>
      </c>
      <c r="O2013" s="180" t="s">
        <v>56</v>
      </c>
      <c r="P2013" s="180">
        <v>20</v>
      </c>
      <c r="Q2013" s="180">
        <v>26</v>
      </c>
      <c r="R2013" s="60">
        <v>20</v>
      </c>
      <c r="S2013" s="60">
        <v>26</v>
      </c>
      <c r="T2013" s="698">
        <f>Table1[[#This Row],[VO Wdth]]</f>
        <v>20</v>
      </c>
      <c r="U2013" s="698">
        <f>Table1[[#This Row],[VO Hgt]]</f>
        <v>26</v>
      </c>
      <c r="V2013" s="149">
        <f>IF(J2013="Canvas",P2013+Border,P2013)</f>
        <v>28</v>
      </c>
      <c r="W2013" s="149">
        <f>IF(J2013="Canvas",Q2013+Border,Q2013)</f>
        <v>34</v>
      </c>
      <c r="X2013" s="289" t="s">
        <v>3810</v>
      </c>
      <c r="Y2013" s="180"/>
      <c r="Z2013" s="180"/>
      <c r="AA2013" s="722">
        <f t="shared" ref="AA2013:AA2033" si="736">V2013*W2013/144</f>
        <v>6.6111111111111107</v>
      </c>
      <c r="AB2013" s="125">
        <f>AA2013*IncaG</f>
        <v>139.09777777777776</v>
      </c>
      <c r="AC2013" s="69">
        <f t="shared" ref="AC2013:AC2018" si="737">AA2013*Canvas</f>
        <v>4.3633333333333333</v>
      </c>
      <c r="AD2013" s="48">
        <f>AA2013*IncaC</f>
        <v>11.127822222222221</v>
      </c>
      <c r="AE2013" s="104">
        <f>IF(Table1[[#This Row],[Work Center]]="SwissQ",Materials!G$37,IF(Table1[[#This Row],[Work Center]]="Inca",Materials!G$29,IF(Table1[[#This Row],[Work Center]]="Canon",Materials!G$49,Materials!G$45)))</f>
        <v>8</v>
      </c>
      <c r="AF2013" s="296">
        <f>'Cali FPS'!C27</f>
        <v>58.800000000000004</v>
      </c>
      <c r="AG2013" s="83"/>
      <c r="AH2013" s="112">
        <f t="shared" ref="AH2013:AH2033" si="738">(M2013*0.05)</f>
        <v>16</v>
      </c>
      <c r="AI2013" s="112"/>
      <c r="AJ2013" s="48">
        <f t="shared" ref="AJ2013:AJ2029" si="739">SUM(AC2013:AH2013)</f>
        <v>98.291155555555562</v>
      </c>
      <c r="AK2013" s="62">
        <f t="shared" ref="AK2013:AK2034" si="740">(M2013-AJ2013)/M2013</f>
        <v>0.69284013888888885</v>
      </c>
      <c r="AL2013" s="225">
        <f>Table1[[#This Row],[WSP/Dealer]]/Table1[[#This Row],[OD Sq Inch]]</f>
        <v>0.61538461538461542</v>
      </c>
      <c r="AM2013" s="46">
        <f>Table1[[#This Row],[OD Wdth]]*Table1[[#This Row],[OD Hgt]]</f>
        <v>520</v>
      </c>
      <c r="AN2013" s="216">
        <f>Table1[[#This Row],[Min VO]]+Table1[[#This Row],[Max VO]]</f>
        <v>46</v>
      </c>
      <c r="AO2013" s="284"/>
      <c r="AP2013" s="284"/>
      <c r="AQ2013" s="296"/>
      <c r="AR2013" s="296"/>
      <c r="AS2013" s="296"/>
      <c r="AT2013" s="176"/>
      <c r="AU2013" s="1358" t="str">
        <f t="shared" si="721"/>
        <v>-</v>
      </c>
    </row>
    <row r="2014" spans="1:47" s="170" customFormat="1" ht="16" x14ac:dyDescent="0.2">
      <c r="A2014" s="101" t="s">
        <v>581</v>
      </c>
      <c r="B2014" s="1061" t="s">
        <v>292</v>
      </c>
      <c r="C2014" s="625" t="s">
        <v>4637</v>
      </c>
      <c r="D2014" s="94" t="s">
        <v>4638</v>
      </c>
      <c r="E2014" s="788" t="s">
        <v>4635</v>
      </c>
      <c r="F2014" s="788" t="s">
        <v>124</v>
      </c>
      <c r="G2014" s="400" t="s">
        <v>4636</v>
      </c>
      <c r="H2014" s="400" t="s">
        <v>4639</v>
      </c>
      <c r="I2014" s="789" t="s">
        <v>52</v>
      </c>
      <c r="J2014" s="789" t="s">
        <v>53</v>
      </c>
      <c r="K2014" s="809" t="s">
        <v>82</v>
      </c>
      <c r="L2014" s="789" t="s">
        <v>298</v>
      </c>
      <c r="M2014" s="114">
        <v>345</v>
      </c>
      <c r="N2014" s="114">
        <v>345</v>
      </c>
      <c r="O2014" s="101" t="s">
        <v>56</v>
      </c>
      <c r="P2014" s="103">
        <v>20</v>
      </c>
      <c r="Q2014" s="103">
        <v>26</v>
      </c>
      <c r="R2014" s="101">
        <v>20</v>
      </c>
      <c r="S2014" s="103">
        <v>26</v>
      </c>
      <c r="T2014" s="116">
        <v>21</v>
      </c>
      <c r="U2014" s="116">
        <v>27</v>
      </c>
      <c r="V2014" s="1178">
        <f>IF(J2014="Canvas",P2014+Border,P2014)</f>
        <v>28</v>
      </c>
      <c r="W2014" s="1178">
        <f>IF(J2014="Canvas",Q2014+Border,Q2014)</f>
        <v>34</v>
      </c>
      <c r="X2014" s="101">
        <v>40</v>
      </c>
      <c r="Y2014" s="101">
        <v>28</v>
      </c>
      <c r="Z2014" s="101">
        <v>34</v>
      </c>
      <c r="AA2014" s="724">
        <f t="shared" si="736"/>
        <v>6.6111111111111107</v>
      </c>
      <c r="AB2014" s="633">
        <f>AA2014*IncaG</f>
        <v>139.09777777777776</v>
      </c>
      <c r="AC2014" s="406">
        <f t="shared" si="737"/>
        <v>4.3633333333333333</v>
      </c>
      <c r="AD2014" s="405">
        <f>AA2014*IncaC</f>
        <v>11.127822222222221</v>
      </c>
      <c r="AE2014" s="406">
        <f>IF(Table1[[#This Row],[Work Center]]="SwissQ",Materials!G$37,IF(Table1[[#This Row],[Work Center]]="Inca",Materials!G$29,IF(Table1[[#This Row],[Work Center]]="Canon",Materials!G$49,Materials!G$45)))</f>
        <v>8</v>
      </c>
      <c r="AF2014" s="408">
        <f>'Cali Frames'!D224</f>
        <v>91.28</v>
      </c>
      <c r="AG2014" s="540"/>
      <c r="AH2014" s="104">
        <f t="shared" si="738"/>
        <v>17.25</v>
      </c>
      <c r="AI2014" s="104"/>
      <c r="AJ2014" s="406">
        <f t="shared" si="739"/>
        <v>132.02115555555554</v>
      </c>
      <c r="AK2014" s="830">
        <f t="shared" si="740"/>
        <v>0.61732998389694049</v>
      </c>
      <c r="AL2014" s="660">
        <f>Table1[[#This Row],[WSP/Dealer]]/Table1[[#This Row],[OD Sq Inch]]</f>
        <v>0.60846560846560849</v>
      </c>
      <c r="AM2014" s="399">
        <f>Table1[[#This Row],[OD Wdth]]*Table1[[#This Row],[OD Hgt]]</f>
        <v>567</v>
      </c>
      <c r="AN2014" s="400">
        <f>Table1[[#This Row],[Min VO]]+Table1[[#This Row],[Max VO]]</f>
        <v>46</v>
      </c>
      <c r="AO2014" s="115"/>
      <c r="AP2014" s="115"/>
      <c r="AQ2014" s="121"/>
      <c r="AR2014" s="121"/>
      <c r="AS2014" s="121"/>
      <c r="AT2014" s="104"/>
      <c r="AU2014" s="1359" t="str">
        <f t="shared" si="721"/>
        <v>-</v>
      </c>
    </row>
    <row r="2015" spans="1:47" s="170" customFormat="1" ht="16" x14ac:dyDescent="0.2">
      <c r="A2015" s="60" t="s">
        <v>58</v>
      </c>
      <c r="B2015" s="1061" t="s">
        <v>587</v>
      </c>
      <c r="C2015" s="293" t="s">
        <v>4640</v>
      </c>
      <c r="D2015" s="94"/>
      <c r="E2015" s="294" t="s">
        <v>4641</v>
      </c>
      <c r="F2015" s="294" t="s">
        <v>124</v>
      </c>
      <c r="G2015" s="295" t="s">
        <v>2802</v>
      </c>
      <c r="H2015" s="295" t="s">
        <v>2802</v>
      </c>
      <c r="I2015" s="181" t="s">
        <v>52</v>
      </c>
      <c r="J2015" s="181" t="s">
        <v>53</v>
      </c>
      <c r="K2015" s="295" t="s">
        <v>54</v>
      </c>
      <c r="L2015" s="181" t="s">
        <v>55</v>
      </c>
      <c r="M2015" s="292">
        <v>825</v>
      </c>
      <c r="N2015" s="639">
        <v>825</v>
      </c>
      <c r="O2015" s="180" t="s">
        <v>56</v>
      </c>
      <c r="P2015" s="180">
        <v>40</v>
      </c>
      <c r="Q2015" s="180">
        <v>52</v>
      </c>
      <c r="R2015" s="60">
        <v>40</v>
      </c>
      <c r="S2015" s="60">
        <v>52</v>
      </c>
      <c r="T2015" s="698">
        <f>Table1[[#This Row],[VO Wdth]]</f>
        <v>40</v>
      </c>
      <c r="U2015" s="698">
        <f>Table1[[#This Row],[VO Hgt]]</f>
        <v>52</v>
      </c>
      <c r="V2015" s="149">
        <f>IF(J2015="Canvas",P2015+Border,P2015)</f>
        <v>48</v>
      </c>
      <c r="W2015" s="149">
        <f>IF(J2015="Canvas",Q2015+Border,Q2015)</f>
        <v>60</v>
      </c>
      <c r="X2015" s="289">
        <v>53</v>
      </c>
      <c r="Y2015" s="180"/>
      <c r="Z2015" s="180"/>
      <c r="AA2015" s="722">
        <f t="shared" si="736"/>
        <v>20</v>
      </c>
      <c r="AB2015" s="125">
        <f>AA2015*IncaG</f>
        <v>420.79999999999995</v>
      </c>
      <c r="AC2015" s="69">
        <f t="shared" si="737"/>
        <v>13.200000000000001</v>
      </c>
      <c r="AD2015" s="48">
        <f>AA2015*IncaC</f>
        <v>33.664000000000001</v>
      </c>
      <c r="AE2015" s="104">
        <f>IF(Table1[[#This Row],[Work Center]]="SwissQ",Materials!G$37,IF(Table1[[#This Row],[Work Center]]="Inca",Materials!G$29,IF(Table1[[#This Row],[Work Center]]="Canon",Materials!G$49,Materials!G$45)))</f>
        <v>8</v>
      </c>
      <c r="AF2015" s="296">
        <f>'Cali FPS'!C86</f>
        <v>107.53750000000001</v>
      </c>
      <c r="AG2015" s="83"/>
      <c r="AH2015" s="112">
        <f t="shared" si="738"/>
        <v>41.25</v>
      </c>
      <c r="AI2015" s="498"/>
      <c r="AJ2015" s="69">
        <f t="shared" si="739"/>
        <v>203.6515</v>
      </c>
      <c r="AK2015" s="62">
        <f t="shared" si="740"/>
        <v>0.75314969696969702</v>
      </c>
      <c r="AL2015" s="225">
        <f>Table1[[#This Row],[WSP/Dealer]]/Table1[[#This Row],[OD Sq Inch]]</f>
        <v>0.39663461538461536</v>
      </c>
      <c r="AM2015" s="46">
        <f>Table1[[#This Row],[OD Wdth]]*Table1[[#This Row],[OD Hgt]]</f>
        <v>2080</v>
      </c>
      <c r="AN2015" s="216">
        <f>Table1[[#This Row],[Min VO]]+Table1[[#This Row],[Max VO]]</f>
        <v>92</v>
      </c>
      <c r="AO2015" s="284"/>
      <c r="AP2015" s="284"/>
      <c r="AQ2015" s="296"/>
      <c r="AR2015" s="296"/>
      <c r="AS2015" s="296"/>
      <c r="AT2015" s="176"/>
      <c r="AU2015" s="1358" t="str">
        <f t="shared" si="721"/>
        <v>-</v>
      </c>
    </row>
    <row r="2016" spans="1:47" s="170" customFormat="1" x14ac:dyDescent="0.2">
      <c r="A2016" s="86" t="s">
        <v>58</v>
      </c>
      <c r="B2016" s="1061" t="s">
        <v>366</v>
      </c>
      <c r="C2016" s="100" t="s">
        <v>4642</v>
      </c>
      <c r="D2016" s="94" t="s">
        <v>4643</v>
      </c>
      <c r="E2016" s="85" t="s">
        <v>4644</v>
      </c>
      <c r="F2016" s="85" t="s">
        <v>897</v>
      </c>
      <c r="G2016" s="86" t="s">
        <v>191</v>
      </c>
      <c r="H2016" s="86" t="s">
        <v>607</v>
      </c>
      <c r="I2016" s="86" t="s">
        <v>52</v>
      </c>
      <c r="J2016" s="86" t="s">
        <v>53</v>
      </c>
      <c r="K2016" s="86" t="s">
        <v>82</v>
      </c>
      <c r="L2016" s="86" t="s">
        <v>83</v>
      </c>
      <c r="M2016" s="87">
        <v>968</v>
      </c>
      <c r="N2016" s="639">
        <v>1250</v>
      </c>
      <c r="O2016" s="551" t="s">
        <v>56</v>
      </c>
      <c r="P2016" s="103">
        <v>48</v>
      </c>
      <c r="Q2016" s="103">
        <v>60</v>
      </c>
      <c r="R2016" s="60">
        <v>48</v>
      </c>
      <c r="S2016" s="61">
        <v>60</v>
      </c>
      <c r="T2016" s="103">
        <v>50</v>
      </c>
      <c r="U2016" s="103" t="str">
        <f>RIGHT(H2016,2)</f>
        <v>62</v>
      </c>
      <c r="V2016" s="608">
        <f>IF(J2016="Canvas",P2016+Border,P2016)</f>
        <v>56</v>
      </c>
      <c r="W2016" s="608">
        <f>IF(J2016="Canvas",Q2016+Border,Q2016)</f>
        <v>68</v>
      </c>
      <c r="X2016" s="311">
        <v>122</v>
      </c>
      <c r="Y2016" s="551"/>
      <c r="Z2016" s="551"/>
      <c r="AA2016" s="649">
        <f t="shared" si="736"/>
        <v>26.444444444444443</v>
      </c>
      <c r="AB2016" s="184">
        <f>AA2016*IncaG</f>
        <v>556.39111111111106</v>
      </c>
      <c r="AC2016" s="104">
        <f t="shared" si="737"/>
        <v>17.453333333333333</v>
      </c>
      <c r="AD2016" s="107">
        <f>AA2016*IncaC</f>
        <v>44.511288888888885</v>
      </c>
      <c r="AE2016" s="104">
        <f>IF(Table1[[#This Row],[Work Center]]="SwissQ",Materials!G$37,IF(Table1[[#This Row],[Work Center]]="Inca",Materials!G$29,IF(Table1[[#This Row],[Work Center]]="Canon",Materials!G$49,Materials!G$45)))</f>
        <v>8</v>
      </c>
      <c r="AF2016" s="104">
        <f>'Cali Frames'!D$155</f>
        <v>265.04000000000002</v>
      </c>
      <c r="AG2016" s="115"/>
      <c r="AH2016" s="112">
        <f t="shared" si="738"/>
        <v>48.400000000000006</v>
      </c>
      <c r="AI2016" s="112"/>
      <c r="AJ2016" s="107">
        <f t="shared" si="739"/>
        <v>383.4046222222222</v>
      </c>
      <c r="AK2016" s="62">
        <f t="shared" si="740"/>
        <v>0.6039208448117539</v>
      </c>
      <c r="AL2016" s="225">
        <f>Table1[[#This Row],[WSP/Dealer]]/Table1[[#This Row],[OD Sq Inch]]</f>
        <v>0.31225806451612903</v>
      </c>
      <c r="AM2016" s="103">
        <f>Table1[[#This Row],[OD Wdth]]*Table1[[#This Row],[OD Hgt]]</f>
        <v>3100</v>
      </c>
      <c r="AN2016" s="216">
        <f>Table1[[#This Row],[Min VO]]+Table1[[#This Row],[Max VO]]</f>
        <v>108</v>
      </c>
      <c r="AO2016" s="101"/>
      <c r="AP2016" s="101"/>
      <c r="AQ2016" s="104"/>
      <c r="AR2016" s="104"/>
      <c r="AS2016" s="104"/>
      <c r="AT2016" s="104"/>
      <c r="AU2016" s="830" t="str">
        <f t="shared" si="721"/>
        <v>-</v>
      </c>
    </row>
    <row r="2017" spans="1:47" s="170" customFormat="1" hidden="1" x14ac:dyDescent="0.2">
      <c r="A2017" s="485" t="s">
        <v>318</v>
      </c>
      <c r="B2017" s="1061" t="s">
        <v>96</v>
      </c>
      <c r="C2017" s="100" t="s">
        <v>4645</v>
      </c>
      <c r="D2017" s="94">
        <v>177646</v>
      </c>
      <c r="E2017" s="115" t="s">
        <v>4646</v>
      </c>
      <c r="F2017" s="115" t="s">
        <v>448</v>
      </c>
      <c r="G2017" s="101" t="s">
        <v>1290</v>
      </c>
      <c r="H2017" s="101" t="s">
        <v>3143</v>
      </c>
      <c r="I2017" s="101" t="s">
        <v>52</v>
      </c>
      <c r="J2017" s="487" t="s">
        <v>53</v>
      </c>
      <c r="K2017" s="101" t="s">
        <v>69</v>
      </c>
      <c r="L2017" s="101" t="s">
        <v>70</v>
      </c>
      <c r="M2017" s="544">
        <v>275</v>
      </c>
      <c r="N2017" s="786">
        <v>700</v>
      </c>
      <c r="O2017" s="101" t="s">
        <v>56</v>
      </c>
      <c r="P2017" s="101">
        <v>20</v>
      </c>
      <c r="Q2017" s="101">
        <v>30</v>
      </c>
      <c r="R2017" s="101">
        <v>20</v>
      </c>
      <c r="S2017" s="697">
        <v>40</v>
      </c>
      <c r="T2017" s="101">
        <v>21</v>
      </c>
      <c r="U2017" s="101">
        <v>31</v>
      </c>
      <c r="V2017" s="918">
        <f>IF(J2017="Canvas",P2017+Border,P2017)</f>
        <v>28</v>
      </c>
      <c r="W2017" s="918">
        <f>IF(J2017="Canvas",Q2017+Border,Q2017)</f>
        <v>38</v>
      </c>
      <c r="X2017" s="137">
        <v>40</v>
      </c>
      <c r="Y2017" s="101">
        <v>28</v>
      </c>
      <c r="Z2017" s="101">
        <v>38</v>
      </c>
      <c r="AA2017" s="724">
        <f t="shared" si="736"/>
        <v>7.3888888888888893</v>
      </c>
      <c r="AB2017" s="184">
        <f>AA2017*IncaG</f>
        <v>155.46222222222224</v>
      </c>
      <c r="AC2017" s="104">
        <f t="shared" si="737"/>
        <v>4.8766666666666669</v>
      </c>
      <c r="AD2017" s="406">
        <f>Table1[[#This Row],[Substrate SF]]*IncaC</f>
        <v>12.436977777777779</v>
      </c>
      <c r="AE2017" s="104">
        <f>IF(Table1[[#This Row],[Work Center]]="SwissQ",Materials!G$37,IF(Table1[[#This Row],[Work Center]]="Inca",Materials!G$29,IF(Table1[[#This Row],[Work Center]]="Canon",Materials!G$49,Materials!G$45)))</f>
        <v>8</v>
      </c>
      <c r="AF2017" s="406">
        <f>'Cali Frames'!D274</f>
        <v>89.16</v>
      </c>
      <c r="AG2017" s="121"/>
      <c r="AH2017" s="498">
        <f t="shared" si="738"/>
        <v>13.75</v>
      </c>
      <c r="AI2017" s="498"/>
      <c r="AJ2017" s="406">
        <f t="shared" si="739"/>
        <v>128.22364444444446</v>
      </c>
      <c r="AK2017" s="650">
        <f t="shared" si="740"/>
        <v>0.533732202020202</v>
      </c>
      <c r="AL2017" s="225">
        <f>Table1[[#This Row],[WSP/Dealer]]/Table1[[#This Row],[OD Sq Inch]]</f>
        <v>0.42242703533026116</v>
      </c>
      <c r="AM2017" s="400">
        <f>Table1[[#This Row],[OD Wdth]]*Table1[[#This Row],[OD Hgt]]</f>
        <v>651</v>
      </c>
      <c r="AN2017" s="400" t="str">
        <f>Table1[[#This Row],[Color]]</f>
        <v>BF</v>
      </c>
      <c r="AO2017" s="115" t="str">
        <f>Table1[[#This Row],[Print Type]]</f>
        <v>Synograph</v>
      </c>
      <c r="AP2017" s="121"/>
      <c r="AQ2017" s="121"/>
      <c r="AR2017" s="121"/>
      <c r="AS2017" s="121"/>
      <c r="AT2017" s="104"/>
      <c r="AU2017" s="1359" t="str">
        <f t="shared" si="721"/>
        <v>-</v>
      </c>
    </row>
    <row r="2018" spans="1:47" s="399" customFormat="1" hidden="1" x14ac:dyDescent="0.2">
      <c r="A2018" s="68" t="s">
        <v>1287</v>
      </c>
      <c r="B2018" s="1072" t="s">
        <v>3859</v>
      </c>
      <c r="C2018" s="78" t="s">
        <v>4647</v>
      </c>
      <c r="D2018" s="94"/>
      <c r="E2018" s="84" t="s">
        <v>4648</v>
      </c>
      <c r="F2018" s="84" t="s">
        <v>448</v>
      </c>
      <c r="G2018" s="68" t="s">
        <v>482</v>
      </c>
      <c r="H2018" s="68" t="s">
        <v>482</v>
      </c>
      <c r="I2018" s="68" t="s">
        <v>108</v>
      </c>
      <c r="J2018" s="140" t="s">
        <v>53</v>
      </c>
      <c r="K2018" s="68" t="s">
        <v>54</v>
      </c>
      <c r="L2018" s="68" t="s">
        <v>55</v>
      </c>
      <c r="M2018" s="141">
        <v>500</v>
      </c>
      <c r="N2018" s="93"/>
      <c r="O2018" s="68" t="s">
        <v>56</v>
      </c>
      <c r="P2018" s="68">
        <v>40</v>
      </c>
      <c r="Q2018" s="68">
        <v>60</v>
      </c>
      <c r="R2018" s="68">
        <v>40</v>
      </c>
      <c r="S2018" s="623">
        <v>60</v>
      </c>
      <c r="T2018" s="68">
        <v>40</v>
      </c>
      <c r="U2018" s="68">
        <v>60</v>
      </c>
      <c r="V2018" s="917">
        <f>Table1[[#This Row],[VO Wdth]]+Materials!$C$50</f>
        <v>42</v>
      </c>
      <c r="W2018" s="917">
        <f>Table1[[#This Row],[VO Hgt]]+Materials!$C$50</f>
        <v>62</v>
      </c>
      <c r="X2018" s="68">
        <v>62</v>
      </c>
      <c r="Y2018" s="68">
        <v>42</v>
      </c>
      <c r="Z2018" s="68">
        <v>62</v>
      </c>
      <c r="AA2018" s="727">
        <f t="shared" si="736"/>
        <v>18.083333333333332</v>
      </c>
      <c r="AB2018" s="297">
        <f>AA2018*IncaGR</f>
        <v>18.445</v>
      </c>
      <c r="AC2018" s="74">
        <f t="shared" si="737"/>
        <v>11.935</v>
      </c>
      <c r="AD2018" s="278">
        <f>Table1[[#This Row],[Substrate SF]]*IncaCR</f>
        <v>1.4466666666666665</v>
      </c>
      <c r="AE2018" s="74">
        <f>IF(Table1[[#This Row],[Work Center]]="SwissQ",Materials!G$37,IF(Table1[[#This Row],[Work Center]]="Inca",Materials!G$29,IF(Table1[[#This Row],[Work Center]]="Canon",Materials!G$49,Materials!G$45)))</f>
        <v>8</v>
      </c>
      <c r="AF2018" s="73">
        <f>'Cali FPS'!C89</f>
        <v>112.01750000000001</v>
      </c>
      <c r="AG2018" s="126"/>
      <c r="AH2018" s="74">
        <f t="shared" si="738"/>
        <v>25</v>
      </c>
      <c r="AI2018" s="74"/>
      <c r="AJ2018" s="278">
        <f t="shared" si="739"/>
        <v>158.39916666666667</v>
      </c>
      <c r="AK2018" s="1001">
        <f t="shared" si="740"/>
        <v>0.6832016666666666</v>
      </c>
      <c r="AL2018" s="240">
        <f>Table1[[#This Row],[WSP/Dealer]]/Table1[[#This Row],[OD Sq Inch]]</f>
        <v>0.20833333333333334</v>
      </c>
      <c r="AM2018" s="274">
        <f>Table1[[#This Row],[OD Wdth]]*Table1[[#This Row],[OD Hgt]]</f>
        <v>2400</v>
      </c>
      <c r="AN2018" s="274" t="str">
        <f>Table1[[#This Row],[Color]]</f>
        <v>GW</v>
      </c>
      <c r="AO2018" s="84"/>
      <c r="AP2018" s="126"/>
      <c r="AQ2018" s="126"/>
      <c r="AR2018" s="126"/>
      <c r="AS2018" s="126"/>
      <c r="AT2018" s="74"/>
      <c r="AU2018" s="1357" t="str">
        <f t="shared" si="721"/>
        <v>-</v>
      </c>
    </row>
    <row r="2019" spans="1:47" s="170" customFormat="1" hidden="1" x14ac:dyDescent="0.2">
      <c r="A2019" s="68" t="s">
        <v>187</v>
      </c>
      <c r="B2019" s="1061" t="s">
        <v>261</v>
      </c>
      <c r="C2019" s="94" t="s">
        <v>4649</v>
      </c>
      <c r="D2019" s="94"/>
      <c r="E2019" s="172" t="s">
        <v>4650</v>
      </c>
      <c r="F2019" s="172" t="s">
        <v>1496</v>
      </c>
      <c r="G2019" s="68" t="s">
        <v>1497</v>
      </c>
      <c r="H2019" s="68" t="s">
        <v>810</v>
      </c>
      <c r="I2019" s="68" t="s">
        <v>108</v>
      </c>
      <c r="J2019" s="140" t="s">
        <v>257</v>
      </c>
      <c r="K2019" s="68" t="s">
        <v>198</v>
      </c>
      <c r="L2019" s="68" t="s">
        <v>259</v>
      </c>
      <c r="M2019" s="141"/>
      <c r="N2019" s="71"/>
      <c r="O2019" s="68" t="s">
        <v>260</v>
      </c>
      <c r="P2019" s="68">
        <v>20</v>
      </c>
      <c r="Q2019" s="68">
        <v>16</v>
      </c>
      <c r="R2019" s="68">
        <v>16</v>
      </c>
      <c r="S2019" s="68">
        <v>20</v>
      </c>
      <c r="T2019" s="68">
        <v>22</v>
      </c>
      <c r="U2019" s="68">
        <v>18</v>
      </c>
      <c r="V2019" s="917">
        <f>Table1[[#This Row],[VO Wdth]]+Materials!$C$50</f>
        <v>22</v>
      </c>
      <c r="W2019" s="917">
        <f>Table1[[#This Row],[VO Hgt]]+Materials!$C$50</f>
        <v>18</v>
      </c>
      <c r="X2019" s="138">
        <v>24</v>
      </c>
      <c r="Y2019" s="68"/>
      <c r="Z2019" s="68"/>
      <c r="AA2019" s="699">
        <f t="shared" si="736"/>
        <v>2.75</v>
      </c>
      <c r="AB2019" s="297">
        <f>AA2019*canonML</f>
        <v>13.2</v>
      </c>
      <c r="AC2019" s="74">
        <f>Table1[[#This Row],[Print Ht]]*paper60</f>
        <v>6.12</v>
      </c>
      <c r="AD2019" s="74">
        <f>Table1[[#This Row],[Ink g/mL]]*CanonC</f>
        <v>3.5640000000000001</v>
      </c>
      <c r="AE2019" s="104">
        <f>IF(Table1[[#This Row],[Work Center]]="SwissQ",Materials!G$37,IF(Table1[[#This Row],[Work Center]]="Inca",Materials!G$29,IF(Table1[[#This Row],[Work Center]]="Canon",Materials!G$49,Materials!G$45)))</f>
        <v>7</v>
      </c>
      <c r="AF2019" s="260"/>
      <c r="AG2019" s="126">
        <f>Materials!D$76</f>
        <v>10.82</v>
      </c>
      <c r="AH2019" s="498">
        <f t="shared" si="738"/>
        <v>0</v>
      </c>
      <c r="AI2019" s="498"/>
      <c r="AJ2019" s="278">
        <f t="shared" si="739"/>
        <v>27.504000000000001</v>
      </c>
      <c r="AK2019" s="650" t="e">
        <f t="shared" si="740"/>
        <v>#DIV/0!</v>
      </c>
      <c r="AL2019" s="225">
        <f>Table1[[#This Row],[WSP/Dealer]]/Table1[[#This Row],[OD Sq Inch]]</f>
        <v>0</v>
      </c>
      <c r="AM2019" s="274">
        <f>Table1[[#This Row],[OD Wdth]]*Table1[[#This Row],[OD Hgt]]</f>
        <v>396</v>
      </c>
      <c r="AN2019" s="216">
        <f>Table1[[#This Row],[Min VO]]+Table1[[#This Row],[Max VO]]</f>
        <v>36</v>
      </c>
      <c r="AO2019" s="84"/>
      <c r="AP2019" s="84"/>
      <c r="AQ2019" s="126"/>
      <c r="AR2019" s="126"/>
      <c r="AS2019" s="126"/>
      <c r="AT2019" s="74"/>
      <c r="AU2019" s="1357" t="str">
        <f t="shared" si="721"/>
        <v>-</v>
      </c>
    </row>
    <row r="2020" spans="1:47" s="399" customFormat="1" hidden="1" x14ac:dyDescent="0.2">
      <c r="A2020" s="68" t="s">
        <v>187</v>
      </c>
      <c r="B2020" s="1061" t="s">
        <v>261</v>
      </c>
      <c r="C2020" s="94" t="s">
        <v>4651</v>
      </c>
      <c r="D2020" s="94"/>
      <c r="E2020" s="172" t="s">
        <v>4650</v>
      </c>
      <c r="F2020" s="172" t="s">
        <v>1496</v>
      </c>
      <c r="G2020" s="68" t="s">
        <v>1497</v>
      </c>
      <c r="H2020" s="68" t="s">
        <v>810</v>
      </c>
      <c r="I2020" s="68" t="s">
        <v>108</v>
      </c>
      <c r="J2020" s="140" t="s">
        <v>257</v>
      </c>
      <c r="K2020" s="68" t="s">
        <v>198</v>
      </c>
      <c r="L2020" s="68" t="s">
        <v>269</v>
      </c>
      <c r="M2020" s="141"/>
      <c r="N2020" s="71"/>
      <c r="O2020" s="68" t="s">
        <v>260</v>
      </c>
      <c r="P2020" s="68">
        <v>20</v>
      </c>
      <c r="Q2020" s="68">
        <v>16</v>
      </c>
      <c r="R2020" s="68">
        <v>16</v>
      </c>
      <c r="S2020" s="68">
        <v>20</v>
      </c>
      <c r="T2020" s="68">
        <v>22</v>
      </c>
      <c r="U2020" s="68">
        <v>18</v>
      </c>
      <c r="V2020" s="917">
        <f>Table1[[#This Row],[VO Wdth]]+Materials!$C$50</f>
        <v>22</v>
      </c>
      <c r="W2020" s="917">
        <f>Table1[[#This Row],[VO Hgt]]+Materials!$C$50</f>
        <v>18</v>
      </c>
      <c r="X2020" s="138">
        <v>24</v>
      </c>
      <c r="Y2020" s="68"/>
      <c r="Z2020" s="68"/>
      <c r="AA2020" s="699">
        <f t="shared" si="736"/>
        <v>2.75</v>
      </c>
      <c r="AB2020" s="297">
        <f>AA2020*canonML</f>
        <v>13.2</v>
      </c>
      <c r="AC2020" s="74">
        <f>Table1[[#This Row],[Print Ht]]*paper60</f>
        <v>6.12</v>
      </c>
      <c r="AD2020" s="74">
        <f>Table1[[#This Row],[Ink g/mL]]*CanonC</f>
        <v>3.5640000000000001</v>
      </c>
      <c r="AE2020" s="104">
        <f>IF(Table1[[#This Row],[Work Center]]="SwissQ",Materials!G$37,IF(Table1[[#This Row],[Work Center]]="Inca",Materials!G$29,IF(Table1[[#This Row],[Work Center]]="Canon",Materials!G$49,Materials!G$45)))</f>
        <v>7</v>
      </c>
      <c r="AF2020" s="260"/>
      <c r="AG2020" s="126">
        <f>Materials!D$76</f>
        <v>10.82</v>
      </c>
      <c r="AH2020" s="498">
        <f t="shared" si="738"/>
        <v>0</v>
      </c>
      <c r="AI2020" s="498"/>
      <c r="AJ2020" s="278">
        <f t="shared" si="739"/>
        <v>27.504000000000001</v>
      </c>
      <c r="AK2020" s="650" t="e">
        <f t="shared" si="740"/>
        <v>#DIV/0!</v>
      </c>
      <c r="AL2020" s="225">
        <f>Table1[[#This Row],[WSP/Dealer]]/Table1[[#This Row],[OD Sq Inch]]</f>
        <v>0</v>
      </c>
      <c r="AM2020" s="274">
        <f>Table1[[#This Row],[OD Wdth]]*Table1[[#This Row],[OD Hgt]]</f>
        <v>396</v>
      </c>
      <c r="AN2020" s="216">
        <f>Table1[[#This Row],[Min VO]]+Table1[[#This Row],[Max VO]]</f>
        <v>36</v>
      </c>
      <c r="AO2020" s="84"/>
      <c r="AP2020" s="84"/>
      <c r="AQ2020" s="126"/>
      <c r="AR2020" s="126"/>
      <c r="AS2020" s="126"/>
      <c r="AT2020" s="74"/>
      <c r="AU2020" s="1357" t="str">
        <f t="shared" si="721"/>
        <v>-</v>
      </c>
    </row>
    <row r="2021" spans="1:47" s="170" customFormat="1" hidden="1" x14ac:dyDescent="0.2">
      <c r="A2021" s="68" t="s">
        <v>187</v>
      </c>
      <c r="B2021" s="279" t="s">
        <v>261</v>
      </c>
      <c r="C2021" s="94" t="s">
        <v>4652</v>
      </c>
      <c r="D2021" s="94"/>
      <c r="E2021" s="172" t="s">
        <v>4650</v>
      </c>
      <c r="F2021" s="172" t="s">
        <v>1496</v>
      </c>
      <c r="G2021" s="68" t="s">
        <v>1497</v>
      </c>
      <c r="H2021" s="68" t="s">
        <v>643</v>
      </c>
      <c r="I2021" s="68" t="s">
        <v>108</v>
      </c>
      <c r="J2021" s="140" t="s">
        <v>257</v>
      </c>
      <c r="K2021" s="68" t="s">
        <v>198</v>
      </c>
      <c r="L2021" s="68" t="s">
        <v>199</v>
      </c>
      <c r="M2021" s="141"/>
      <c r="N2021" s="71"/>
      <c r="O2021" s="68" t="s">
        <v>260</v>
      </c>
      <c r="P2021" s="68">
        <v>20</v>
      </c>
      <c r="Q2021" s="68">
        <v>16</v>
      </c>
      <c r="R2021" s="68">
        <v>16</v>
      </c>
      <c r="S2021" s="68">
        <v>20</v>
      </c>
      <c r="T2021" s="68">
        <v>22</v>
      </c>
      <c r="U2021" s="68">
        <v>18</v>
      </c>
      <c r="V2021" s="917">
        <f>Table1[[#This Row],[VO Wdth]]+Materials!$C$50</f>
        <v>22</v>
      </c>
      <c r="W2021" s="917">
        <f>Table1[[#This Row],[VO Hgt]]+Materials!$C$50</f>
        <v>18</v>
      </c>
      <c r="X2021" s="138">
        <v>24</v>
      </c>
      <c r="Y2021" s="68"/>
      <c r="Z2021" s="68"/>
      <c r="AA2021" s="699">
        <f t="shared" si="736"/>
        <v>2.75</v>
      </c>
      <c r="AB2021" s="297">
        <f>AA2021*canonML</f>
        <v>13.2</v>
      </c>
      <c r="AC2021" s="74">
        <f>Table1[[#This Row],[Print Ht]]*paper60</f>
        <v>6.12</v>
      </c>
      <c r="AD2021" s="67">
        <f>Table1[[#This Row],[Ink g/mL]]*CanonC</f>
        <v>3.5640000000000001</v>
      </c>
      <c r="AE2021" s="104">
        <f>IF(Table1[[#This Row],[Work Center]]="SwissQ",Materials!G$37,IF(Table1[[#This Row],[Work Center]]="Inca",Materials!G$29,IF(Table1[[#This Row],[Work Center]]="Canon",Materials!G$49,Materials!G$45)))</f>
        <v>7</v>
      </c>
      <c r="AF2021" s="260"/>
      <c r="AG2021" s="126">
        <f>Materials!D$76</f>
        <v>10.82</v>
      </c>
      <c r="AH2021" s="498">
        <f t="shared" si="738"/>
        <v>0</v>
      </c>
      <c r="AI2021" s="498"/>
      <c r="AJ2021" s="278">
        <f t="shared" si="739"/>
        <v>27.504000000000001</v>
      </c>
      <c r="AK2021" s="650" t="e">
        <f t="shared" si="740"/>
        <v>#DIV/0!</v>
      </c>
      <c r="AL2021" s="225">
        <f>Table1[[#This Row],[WSP/Dealer]]/Table1[[#This Row],[OD Sq Inch]]</f>
        <v>0</v>
      </c>
      <c r="AM2021" s="170">
        <f>Table1[[#This Row],[OD Wdth]]*Table1[[#This Row],[OD Hgt]]</f>
        <v>396</v>
      </c>
      <c r="AN2021" s="216">
        <f>Table1[[#This Row],[Min VO]]+Table1[[#This Row],[Max VO]]</f>
        <v>36</v>
      </c>
      <c r="AO2021" s="84"/>
      <c r="AP2021" s="84"/>
      <c r="AQ2021" s="126"/>
      <c r="AR2021" s="126"/>
      <c r="AS2021" s="126"/>
      <c r="AT2021" s="74"/>
      <c r="AU2021" s="1357" t="str">
        <f t="shared" si="721"/>
        <v>-</v>
      </c>
    </row>
    <row r="2022" spans="1:47" s="170" customFormat="1" hidden="1" x14ac:dyDescent="0.2">
      <c r="A2022" s="68" t="s">
        <v>187</v>
      </c>
      <c r="B2022" s="279" t="s">
        <v>261</v>
      </c>
      <c r="C2022" s="94" t="s">
        <v>4653</v>
      </c>
      <c r="D2022" s="94"/>
      <c r="E2022" s="172" t="s">
        <v>4654</v>
      </c>
      <c r="F2022" s="172" t="s">
        <v>1496</v>
      </c>
      <c r="G2022" s="68" t="s">
        <v>1497</v>
      </c>
      <c r="H2022" s="68" t="s">
        <v>643</v>
      </c>
      <c r="I2022" s="274" t="s">
        <v>108</v>
      </c>
      <c r="J2022" s="68" t="s">
        <v>197</v>
      </c>
      <c r="K2022" s="274" t="s">
        <v>198</v>
      </c>
      <c r="L2022" s="274" t="s">
        <v>199</v>
      </c>
      <c r="M2022" s="141">
        <v>60</v>
      </c>
      <c r="N2022" s="71"/>
      <c r="O2022" s="68" t="s">
        <v>260</v>
      </c>
      <c r="P2022" s="68">
        <v>20</v>
      </c>
      <c r="Q2022" s="68">
        <v>16</v>
      </c>
      <c r="R2022" s="68">
        <v>16</v>
      </c>
      <c r="S2022" s="68">
        <v>20</v>
      </c>
      <c r="T2022" s="68">
        <v>22</v>
      </c>
      <c r="U2022" s="68">
        <v>18</v>
      </c>
      <c r="V2022" s="686">
        <f>Table1[[#This Row],[VO Wdth]]+Materials!$C$7</f>
        <v>22</v>
      </c>
      <c r="W2022" s="686">
        <f>Table1[[#This Row],[VO Hgt]]+Materials!$C$7</f>
        <v>18</v>
      </c>
      <c r="X2022" s="343" t="s">
        <v>197</v>
      </c>
      <c r="Y2022" s="68"/>
      <c r="Z2022" s="68"/>
      <c r="AA2022" s="699">
        <f t="shared" si="736"/>
        <v>2.75</v>
      </c>
      <c r="AB2022" s="297">
        <f>AA2022*canonML</f>
        <v>13.2</v>
      </c>
      <c r="AC2022" s="74">
        <f>Table1[[#This Row],[Substrate SF]]*POster</f>
        <v>2.0459999999999998</v>
      </c>
      <c r="AD2022" s="67">
        <f>Table1[[#This Row],[Ink g/mL]]*CanonC</f>
        <v>3.5640000000000001</v>
      </c>
      <c r="AE2022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022" s="73">
        <v>0</v>
      </c>
      <c r="AG2022" s="126">
        <f>Materials!D$76</f>
        <v>10.82</v>
      </c>
      <c r="AH2022" s="498">
        <f t="shared" si="738"/>
        <v>3</v>
      </c>
      <c r="AI2022" s="498"/>
      <c r="AJ2022" s="278">
        <f t="shared" si="739"/>
        <v>29.43</v>
      </c>
      <c r="AK2022" s="650">
        <f t="shared" si="740"/>
        <v>0.50949999999999995</v>
      </c>
      <c r="AL2022" s="225">
        <f>Table1[[#This Row],[WSP/Dealer]]/Table1[[#This Row],[OD Sq Inch]]</f>
        <v>0.15151515151515152</v>
      </c>
      <c r="AM2022" s="170">
        <f>Table1[[#This Row],[OD Wdth]]*Table1[[#This Row],[OD Hgt]]</f>
        <v>396</v>
      </c>
      <c r="AN2022" s="216">
        <f>Table1[[#This Row],[Min VO]]+Table1[[#This Row],[Max VO]]</f>
        <v>36</v>
      </c>
      <c r="AO2022" s="84"/>
      <c r="AP2022" s="84"/>
      <c r="AQ2022" s="126"/>
      <c r="AR2022" s="126"/>
      <c r="AS2022" s="126"/>
      <c r="AT2022" s="74"/>
      <c r="AU2022" s="1357" t="str">
        <f t="shared" si="721"/>
        <v>-</v>
      </c>
    </row>
    <row r="2023" spans="1:47" s="170" customFormat="1" x14ac:dyDescent="0.2">
      <c r="A2023" s="145" t="s">
        <v>58</v>
      </c>
      <c r="B2023" s="279" t="s">
        <v>533</v>
      </c>
      <c r="C2023" s="146" t="s">
        <v>4621</v>
      </c>
      <c r="D2023" s="94" t="s">
        <v>4655</v>
      </c>
      <c r="E2023" s="146" t="s">
        <v>4656</v>
      </c>
      <c r="F2023" s="147" t="s">
        <v>1738</v>
      </c>
      <c r="G2023" s="156" t="s">
        <v>1069</v>
      </c>
      <c r="H2023" s="156" t="s">
        <v>1069</v>
      </c>
      <c r="I2023" s="644" t="s">
        <v>52</v>
      </c>
      <c r="J2023" s="644" t="s">
        <v>53</v>
      </c>
      <c r="K2023" s="644" t="s">
        <v>54</v>
      </c>
      <c r="L2023" s="644" t="s">
        <v>55</v>
      </c>
      <c r="M2023" s="151">
        <v>310</v>
      </c>
      <c r="N2023" s="639">
        <v>320</v>
      </c>
      <c r="O2023" s="145" t="s">
        <v>56</v>
      </c>
      <c r="P2023" s="145">
        <v>24</v>
      </c>
      <c r="Q2023" s="145">
        <v>24</v>
      </c>
      <c r="R2023" s="145">
        <v>24</v>
      </c>
      <c r="S2023" s="145">
        <v>24</v>
      </c>
      <c r="T2023" s="698">
        <f>Table1[[#This Row],[VO Wdth]]</f>
        <v>24</v>
      </c>
      <c r="U2023" s="698">
        <f>Table1[[#This Row],[VO Hgt]]</f>
        <v>24</v>
      </c>
      <c r="V2023" s="913">
        <f>IF(J2023="Canvas",P2023+Border,P2023)</f>
        <v>32</v>
      </c>
      <c r="W2023" s="913">
        <f>IF(J2023="Canvas",Q2023+Border,Q2023)</f>
        <v>32</v>
      </c>
      <c r="X2023" s="157" t="s">
        <v>1070</v>
      </c>
      <c r="Y2023" s="145">
        <v>32</v>
      </c>
      <c r="Z2023" s="145">
        <v>96</v>
      </c>
      <c r="AA2023" s="722">
        <f t="shared" si="736"/>
        <v>7.1111111111111107</v>
      </c>
      <c r="AB2023" s="389">
        <f t="shared" ref="AB2023:AB2029" si="741">AA2023*IncaG</f>
        <v>149.61777777777777</v>
      </c>
      <c r="AC2023" s="69">
        <f t="shared" ref="AC2023:AC2033" si="742">AA2023*Canvas</f>
        <v>4.6933333333333334</v>
      </c>
      <c r="AD2023" s="143">
        <f t="shared" ref="AD2023:AD2029" si="743">AA2023*IncaC</f>
        <v>11.969422222222223</v>
      </c>
      <c r="AE2023" s="104">
        <f>IF(Table1[[#This Row],[Work Center]]="SwissQ",Materials!G$37,IF(Table1[[#This Row],[Work Center]]="Inca",Materials!G$29,IF(Table1[[#This Row],[Work Center]]="Canon",Materials!G$49,Materials!G$45)))</f>
        <v>8</v>
      </c>
      <c r="AF2023" s="143">
        <f>'Cali FPS'!C$32</f>
        <v>63.47</v>
      </c>
      <c r="AG2023" s="115"/>
      <c r="AH2023" s="498">
        <f t="shared" si="738"/>
        <v>15.5</v>
      </c>
      <c r="AI2023" s="498"/>
      <c r="AJ2023" s="143">
        <f t="shared" si="739"/>
        <v>103.63275555555555</v>
      </c>
      <c r="AK2023" s="650">
        <f t="shared" si="740"/>
        <v>0.66570078853046599</v>
      </c>
      <c r="AL2023" s="225">
        <f>Table1[[#This Row],[WSP/Dealer]]/Table1[[#This Row],[OD Sq Inch]]</f>
        <v>0.53819444444444442</v>
      </c>
      <c r="AM2023" s="216">
        <f>Table1[[#This Row],[OD Wdth]]*Table1[[#This Row],[OD Hgt]]</f>
        <v>576</v>
      </c>
      <c r="AN2023" s="216">
        <f>Table1[[#This Row],[Min VO]]+Table1[[#This Row],[Max VO]]</f>
        <v>48</v>
      </c>
      <c r="AO2023" s="145"/>
      <c r="AP2023" s="145"/>
      <c r="AQ2023" s="143"/>
      <c r="AR2023" s="143"/>
      <c r="AS2023" s="143"/>
      <c r="AT2023" s="143"/>
      <c r="AU2023" s="1371" t="str">
        <f t="shared" si="721"/>
        <v>-</v>
      </c>
    </row>
    <row r="2024" spans="1:47" s="399" customFormat="1" x14ac:dyDescent="0.2">
      <c r="A2024" s="86" t="s">
        <v>58</v>
      </c>
      <c r="B2024" s="279" t="s">
        <v>146</v>
      </c>
      <c r="C2024" s="75" t="s">
        <v>4657</v>
      </c>
      <c r="D2024" s="94" t="s">
        <v>4658</v>
      </c>
      <c r="E2024" s="85" t="s">
        <v>4659</v>
      </c>
      <c r="F2024" s="85" t="s">
        <v>1738</v>
      </c>
      <c r="G2024" s="86" t="s">
        <v>1342</v>
      </c>
      <c r="H2024" s="86" t="s">
        <v>1342</v>
      </c>
      <c r="I2024" s="86" t="s">
        <v>52</v>
      </c>
      <c r="J2024" s="86" t="s">
        <v>53</v>
      </c>
      <c r="K2024" s="86" t="s">
        <v>54</v>
      </c>
      <c r="L2024" s="86" t="s">
        <v>55</v>
      </c>
      <c r="M2024" s="87">
        <v>650</v>
      </c>
      <c r="N2024" s="639">
        <v>720</v>
      </c>
      <c r="O2024" s="60" t="s">
        <v>56</v>
      </c>
      <c r="P2024" s="273">
        <v>48</v>
      </c>
      <c r="Q2024" s="273">
        <v>36</v>
      </c>
      <c r="R2024" s="60">
        <v>36</v>
      </c>
      <c r="S2024" s="273">
        <v>48</v>
      </c>
      <c r="T2024" s="273">
        <f>Table1[[#This Row],[VO Wdth]]</f>
        <v>48</v>
      </c>
      <c r="U2024" s="273">
        <f>Table1[[#This Row],[VO Hgt]]</f>
        <v>36</v>
      </c>
      <c r="V2024" s="946">
        <f t="shared" ref="V2024:V2029" si="744">IF(J2024="Canvas",P2024+BorderGW,P2024)</f>
        <v>56</v>
      </c>
      <c r="W2024" s="946">
        <f t="shared" ref="W2024:W2029" si="745">IF(J2024="Canvas",Q2024+BorderGW,Q2024)</f>
        <v>44</v>
      </c>
      <c r="X2024" s="138">
        <v>59</v>
      </c>
      <c r="Y2024" s="60"/>
      <c r="Z2024" s="60"/>
      <c r="AA2024" s="717">
        <f t="shared" si="736"/>
        <v>17.111111111111111</v>
      </c>
      <c r="AB2024" s="125">
        <f t="shared" si="741"/>
        <v>360.01777777777778</v>
      </c>
      <c r="AC2024" s="69">
        <f t="shared" si="742"/>
        <v>11.293333333333333</v>
      </c>
      <c r="AD2024" s="69">
        <f t="shared" si="743"/>
        <v>28.801422222222222</v>
      </c>
      <c r="AE2024" s="104">
        <f>IF(Table1[[#This Row],[Work Center]]="SwissQ",Materials!G$37,IF(Table1[[#This Row],[Work Center]]="Inca",Materials!G$29,IF(Table1[[#This Row],[Work Center]]="Canon",Materials!G$49,Materials!G$45)))</f>
        <v>8</v>
      </c>
      <c r="AF2024" s="72">
        <f>'Cali FPS'!C71</f>
        <v>114.31</v>
      </c>
      <c r="AG2024" s="115"/>
      <c r="AH2024" s="498">
        <f t="shared" si="738"/>
        <v>32.5</v>
      </c>
      <c r="AI2024" s="498"/>
      <c r="AJ2024" s="69">
        <f t="shared" si="739"/>
        <v>194.90475555555554</v>
      </c>
      <c r="AK2024" s="650">
        <f t="shared" si="740"/>
        <v>0.70014652991452997</v>
      </c>
      <c r="AL2024" s="225">
        <f>Table1[[#This Row],[WSP/Dealer]]/Table1[[#This Row],[OD Sq Inch]]</f>
        <v>0.37615740740740738</v>
      </c>
      <c r="AM2024" s="101">
        <f>Table1[[#This Row],[OD Wdth]]*Table1[[#This Row],[OD Hgt]]</f>
        <v>1728</v>
      </c>
      <c r="AN2024" s="216">
        <f>Table1[[#This Row],[Min VO]]+Table1[[#This Row],[Max VO]]</f>
        <v>84</v>
      </c>
      <c r="AO2024" s="101"/>
      <c r="AP2024" s="101"/>
      <c r="AQ2024" s="104"/>
      <c r="AR2024" s="104"/>
      <c r="AS2024" s="104"/>
      <c r="AT2024" s="104"/>
      <c r="AU2024" s="830" t="str">
        <f t="shared" si="721"/>
        <v>-</v>
      </c>
    </row>
    <row r="2025" spans="1:47" s="173" customFormat="1" x14ac:dyDescent="0.2">
      <c r="A2025" s="86" t="s">
        <v>58</v>
      </c>
      <c r="B2025" s="279" t="s">
        <v>146</v>
      </c>
      <c r="C2025" s="76" t="s">
        <v>4660</v>
      </c>
      <c r="D2025" s="94" t="s">
        <v>4661</v>
      </c>
      <c r="E2025" s="85" t="s">
        <v>4659</v>
      </c>
      <c r="F2025" s="85" t="s">
        <v>1738</v>
      </c>
      <c r="G2025" s="86" t="s">
        <v>1342</v>
      </c>
      <c r="H2025" s="86" t="s">
        <v>1343</v>
      </c>
      <c r="I2025" s="86" t="s">
        <v>52</v>
      </c>
      <c r="J2025" s="86" t="s">
        <v>53</v>
      </c>
      <c r="K2025" s="86" t="s">
        <v>69</v>
      </c>
      <c r="L2025" s="86" t="s">
        <v>70</v>
      </c>
      <c r="M2025" s="87">
        <f>650+75</f>
        <v>725</v>
      </c>
      <c r="N2025" s="639">
        <v>825</v>
      </c>
      <c r="O2025" s="60" t="s">
        <v>56</v>
      </c>
      <c r="P2025" s="273">
        <v>48</v>
      </c>
      <c r="Q2025" s="273">
        <v>36</v>
      </c>
      <c r="R2025" s="60">
        <v>36</v>
      </c>
      <c r="S2025" s="273">
        <v>48</v>
      </c>
      <c r="T2025" s="60">
        <v>49</v>
      </c>
      <c r="U2025" s="273" t="str">
        <f>RIGHT(Table1[[#This Row],[OD]],2)</f>
        <v>37</v>
      </c>
      <c r="V2025" s="47">
        <f t="shared" si="744"/>
        <v>56</v>
      </c>
      <c r="W2025" s="47">
        <f t="shared" si="745"/>
        <v>44</v>
      </c>
      <c r="X2025" s="138">
        <v>59</v>
      </c>
      <c r="Y2025" s="60"/>
      <c r="Z2025" s="60"/>
      <c r="AA2025" s="717">
        <f t="shared" si="736"/>
        <v>17.111111111111111</v>
      </c>
      <c r="AB2025" s="125">
        <f t="shared" si="741"/>
        <v>360.01777777777778</v>
      </c>
      <c r="AC2025" s="48">
        <f t="shared" si="742"/>
        <v>11.293333333333333</v>
      </c>
      <c r="AD2025" s="48">
        <f t="shared" si="743"/>
        <v>28.801422222222222</v>
      </c>
      <c r="AE2025" s="104">
        <f>IF(Table1[[#This Row],[Work Center]]="SwissQ",Materials!G$37,IF(Table1[[#This Row],[Work Center]]="Inca",Materials!G$29,IF(Table1[[#This Row],[Work Center]]="Canon",Materials!G$49,Materials!G$45)))</f>
        <v>8</v>
      </c>
      <c r="AF2025" s="69"/>
      <c r="AG2025" s="115"/>
      <c r="AH2025" s="112">
        <f t="shared" si="738"/>
        <v>36.25</v>
      </c>
      <c r="AI2025" s="112"/>
      <c r="AJ2025" s="69">
        <f t="shared" si="739"/>
        <v>84.344755555555551</v>
      </c>
      <c r="AK2025" s="62">
        <f t="shared" si="740"/>
        <v>0.88366240613026814</v>
      </c>
      <c r="AL2025" s="225">
        <f>Table1[[#This Row],[WSP/Dealer]]/Table1[[#This Row],[OD Sq Inch]]</f>
        <v>0.39988968560397131</v>
      </c>
      <c r="AM2025" s="46">
        <f>Table1[[#This Row],[OD Wdth]]*Table1[[#This Row],[OD Hgt]]</f>
        <v>1813</v>
      </c>
      <c r="AN2025" s="216">
        <f>Table1[[#This Row],[Min VO]]+Table1[[#This Row],[Max VO]]</f>
        <v>84</v>
      </c>
      <c r="AO2025" s="101"/>
      <c r="AP2025" s="101"/>
      <c r="AQ2025" s="104"/>
      <c r="AR2025" s="104"/>
      <c r="AS2025" s="104"/>
      <c r="AT2025" s="104"/>
      <c r="AU2025" s="830" t="str">
        <f t="shared" si="721"/>
        <v>-</v>
      </c>
    </row>
    <row r="2026" spans="1:47" s="399" customFormat="1" x14ac:dyDescent="0.2">
      <c r="A2026" s="86" t="s">
        <v>58</v>
      </c>
      <c r="B2026" s="1061" t="s">
        <v>146</v>
      </c>
      <c r="C2026" s="75" t="s">
        <v>4662</v>
      </c>
      <c r="D2026" s="94" t="s">
        <v>4663</v>
      </c>
      <c r="E2026" s="85" t="s">
        <v>4659</v>
      </c>
      <c r="F2026" s="85" t="s">
        <v>1738</v>
      </c>
      <c r="G2026" s="86" t="s">
        <v>1342</v>
      </c>
      <c r="H2026" s="86" t="s">
        <v>1343</v>
      </c>
      <c r="I2026" s="86" t="s">
        <v>52</v>
      </c>
      <c r="J2026" s="86" t="s">
        <v>53</v>
      </c>
      <c r="K2026" s="86" t="s">
        <v>69</v>
      </c>
      <c r="L2026" s="86" t="s">
        <v>73</v>
      </c>
      <c r="M2026" s="87">
        <f>650+130</f>
        <v>780</v>
      </c>
      <c r="N2026" s="639">
        <v>825</v>
      </c>
      <c r="O2026" s="60" t="s">
        <v>56</v>
      </c>
      <c r="P2026" s="273">
        <v>48</v>
      </c>
      <c r="Q2026" s="273">
        <v>36</v>
      </c>
      <c r="R2026" s="60">
        <v>36</v>
      </c>
      <c r="S2026" s="273">
        <v>48</v>
      </c>
      <c r="T2026" s="60">
        <v>49</v>
      </c>
      <c r="U2026" s="273" t="str">
        <f>RIGHT(Table1[[#This Row],[OD]],2)</f>
        <v>37</v>
      </c>
      <c r="V2026" s="47">
        <f t="shared" si="744"/>
        <v>56</v>
      </c>
      <c r="W2026" s="47">
        <f t="shared" si="745"/>
        <v>44</v>
      </c>
      <c r="X2026" s="138">
        <v>59</v>
      </c>
      <c r="Y2026" s="60"/>
      <c r="Z2026" s="60"/>
      <c r="AA2026" s="717">
        <f t="shared" si="736"/>
        <v>17.111111111111111</v>
      </c>
      <c r="AB2026" s="125">
        <f t="shared" si="741"/>
        <v>360.01777777777778</v>
      </c>
      <c r="AC2026" s="69">
        <f t="shared" si="742"/>
        <v>11.293333333333333</v>
      </c>
      <c r="AD2026" s="48">
        <f t="shared" si="743"/>
        <v>28.801422222222222</v>
      </c>
      <c r="AE2026" s="104">
        <f>IF(Table1[[#This Row],[Work Center]]="SwissQ",Materials!G$37,IF(Table1[[#This Row],[Work Center]]="Inca",Materials!G$29,IF(Table1[[#This Row],[Work Center]]="Canon",Materials!G$49,Materials!G$45)))</f>
        <v>8</v>
      </c>
      <c r="AF2026" s="69"/>
      <c r="AG2026" s="115"/>
      <c r="AH2026" s="112">
        <f t="shared" si="738"/>
        <v>39</v>
      </c>
      <c r="AI2026" s="112"/>
      <c r="AJ2026" s="69">
        <f t="shared" si="739"/>
        <v>87.094755555555551</v>
      </c>
      <c r="AK2026" s="62">
        <f t="shared" si="740"/>
        <v>0.88834005698005691</v>
      </c>
      <c r="AL2026" s="225">
        <f>Table1[[#This Row],[WSP/Dealer]]/Table1[[#This Row],[OD Sq Inch]]</f>
        <v>0.43022614451185881</v>
      </c>
      <c r="AM2026" s="1384">
        <f>Table1[[#This Row],[OD Wdth]]*Table1[[#This Row],[OD Hgt]]</f>
        <v>1813</v>
      </c>
      <c r="AN2026" s="216">
        <f>Table1[[#This Row],[Min VO]]+Table1[[#This Row],[Max VO]]</f>
        <v>84</v>
      </c>
      <c r="AO2026" s="101"/>
      <c r="AP2026" s="101"/>
      <c r="AQ2026" s="104"/>
      <c r="AR2026" s="104"/>
      <c r="AS2026" s="104"/>
      <c r="AT2026" s="104"/>
      <c r="AU2026" s="830" t="str">
        <f t="shared" ref="AU2026:AU2089" si="746">IF(AQ2026=0,"-",(AQ2026-AT2026)/AQ2026)</f>
        <v>-</v>
      </c>
    </row>
    <row r="2027" spans="1:47" s="170" customFormat="1" x14ac:dyDescent="0.2">
      <c r="A2027" s="86" t="s">
        <v>58</v>
      </c>
      <c r="B2027" s="279" t="s">
        <v>450</v>
      </c>
      <c r="C2027" s="75" t="s">
        <v>4664</v>
      </c>
      <c r="D2027" s="94" t="s">
        <v>4665</v>
      </c>
      <c r="E2027" s="85" t="s">
        <v>4666</v>
      </c>
      <c r="F2027" s="85" t="s">
        <v>1738</v>
      </c>
      <c r="G2027" s="86" t="s">
        <v>4667</v>
      </c>
      <c r="H2027" s="86" t="s">
        <v>4667</v>
      </c>
      <c r="I2027" s="86" t="s">
        <v>52</v>
      </c>
      <c r="J2027" s="86" t="s">
        <v>53</v>
      </c>
      <c r="K2027" s="86" t="s">
        <v>54</v>
      </c>
      <c r="L2027" s="86" t="s">
        <v>55</v>
      </c>
      <c r="M2027" s="87">
        <v>1200</v>
      </c>
      <c r="N2027" s="639">
        <v>1250</v>
      </c>
      <c r="O2027" s="101" t="s">
        <v>56</v>
      </c>
      <c r="P2027" s="273">
        <v>72</v>
      </c>
      <c r="Q2027" s="273">
        <v>54</v>
      </c>
      <c r="R2027" s="60">
        <v>54</v>
      </c>
      <c r="S2027" s="273">
        <v>72</v>
      </c>
      <c r="T2027" s="273">
        <f>Table1[[#This Row],[VO Wdth]]</f>
        <v>72</v>
      </c>
      <c r="U2027" s="273">
        <f>Table1[[#This Row],[VO Hgt]]</f>
        <v>54</v>
      </c>
      <c r="V2027" s="608">
        <f t="shared" si="744"/>
        <v>80</v>
      </c>
      <c r="W2027" s="608">
        <f t="shared" si="745"/>
        <v>62</v>
      </c>
      <c r="X2027" s="137">
        <v>80</v>
      </c>
      <c r="Y2027" s="101"/>
      <c r="Z2027" s="101"/>
      <c r="AA2027" s="649">
        <f t="shared" si="736"/>
        <v>34.444444444444443</v>
      </c>
      <c r="AB2027" s="184">
        <f t="shared" si="741"/>
        <v>724.71111111111099</v>
      </c>
      <c r="AC2027" s="104">
        <f t="shared" si="742"/>
        <v>22.733333333333334</v>
      </c>
      <c r="AD2027" s="107">
        <f t="shared" si="743"/>
        <v>57.976888888888887</v>
      </c>
      <c r="AE2027" s="104">
        <f>IF(Table1[[#This Row],[Work Center]]="SwissQ",Materials!G$37,IF(Table1[[#This Row],[Work Center]]="Inca",Materials!G$29,IF(Table1[[#This Row],[Work Center]]="Canon",Materials!G$49,Materials!G$45)))</f>
        <v>8</v>
      </c>
      <c r="AF2027" s="69">
        <f>'Cali FPS'!C144</f>
        <v>177.92250000000001</v>
      </c>
      <c r="AG2027" s="115"/>
      <c r="AH2027" s="112">
        <f t="shared" si="738"/>
        <v>60</v>
      </c>
      <c r="AI2027" s="112"/>
      <c r="AJ2027" s="104">
        <f t="shared" si="739"/>
        <v>326.63272222222224</v>
      </c>
      <c r="AK2027" s="62">
        <f t="shared" si="740"/>
        <v>0.7278060648148148</v>
      </c>
      <c r="AL2027" s="225">
        <f>Table1[[#This Row],[WSP/Dealer]]/Table1[[#This Row],[OD Sq Inch]]</f>
        <v>0.30864197530864196</v>
      </c>
      <c r="AM2027" s="103">
        <f>Table1[[#This Row],[OD Wdth]]*Table1[[#This Row],[OD Hgt]]</f>
        <v>3888</v>
      </c>
      <c r="AN2027" s="216">
        <f>Table1[[#This Row],[Min VO]]+Table1[[#This Row],[Max VO]]</f>
        <v>126</v>
      </c>
      <c r="AO2027" s="101"/>
      <c r="AP2027" s="101"/>
      <c r="AQ2027" s="104"/>
      <c r="AR2027" s="104"/>
      <c r="AS2027" s="104"/>
      <c r="AT2027" s="104"/>
      <c r="AU2027" s="830" t="str">
        <f t="shared" si="746"/>
        <v>-</v>
      </c>
    </row>
    <row r="2028" spans="1:47" s="399" customFormat="1" x14ac:dyDescent="0.2">
      <c r="A2028" s="86" t="s">
        <v>58</v>
      </c>
      <c r="B2028" s="1061" t="s">
        <v>159</v>
      </c>
      <c r="C2028" s="75" t="s">
        <v>4668</v>
      </c>
      <c r="D2028" s="94" t="s">
        <v>4669</v>
      </c>
      <c r="E2028" s="85" t="s">
        <v>4666</v>
      </c>
      <c r="F2028" s="85" t="s">
        <v>1738</v>
      </c>
      <c r="G2028" s="86" t="s">
        <v>4667</v>
      </c>
      <c r="H2028" s="86" t="s">
        <v>4670</v>
      </c>
      <c r="I2028" s="86" t="s">
        <v>52</v>
      </c>
      <c r="J2028" s="86" t="s">
        <v>53</v>
      </c>
      <c r="K2028" s="86" t="s">
        <v>69</v>
      </c>
      <c r="L2028" s="86" t="s">
        <v>70</v>
      </c>
      <c r="M2028" s="87">
        <f>1200+130</f>
        <v>1330</v>
      </c>
      <c r="N2028" s="639">
        <v>1400</v>
      </c>
      <c r="O2028" s="60" t="s">
        <v>56</v>
      </c>
      <c r="P2028" s="273">
        <v>72</v>
      </c>
      <c r="Q2028" s="273">
        <v>54</v>
      </c>
      <c r="R2028" s="60">
        <v>54</v>
      </c>
      <c r="S2028" s="273">
        <v>72</v>
      </c>
      <c r="T2028" s="60">
        <v>73</v>
      </c>
      <c r="U2028" s="273" t="str">
        <f>RIGHT(Table1[[#This Row],[OD]],2)</f>
        <v>55</v>
      </c>
      <c r="V2028" s="946">
        <f t="shared" si="744"/>
        <v>80</v>
      </c>
      <c r="W2028" s="946">
        <f t="shared" si="745"/>
        <v>62</v>
      </c>
      <c r="X2028" s="138">
        <v>122</v>
      </c>
      <c r="Y2028" s="60"/>
      <c r="Z2028" s="60"/>
      <c r="AA2028" s="717">
        <f t="shared" si="736"/>
        <v>34.444444444444443</v>
      </c>
      <c r="AB2028" s="125">
        <f t="shared" si="741"/>
        <v>724.71111111111099</v>
      </c>
      <c r="AC2028" s="69">
        <f t="shared" si="742"/>
        <v>22.733333333333334</v>
      </c>
      <c r="AD2028" s="48">
        <f t="shared" si="743"/>
        <v>57.976888888888887</v>
      </c>
      <c r="AE2028" s="104">
        <f>IF(Table1[[#This Row],[Work Center]]="SwissQ",Materials!G$37,IF(Table1[[#This Row],[Work Center]]="Inca",Materials!G$29,IF(Table1[[#This Row],[Work Center]]="Canon",Materials!G$49,Materials!G$45)))</f>
        <v>8</v>
      </c>
      <c r="AF2028" s="69"/>
      <c r="AG2028" s="115"/>
      <c r="AH2028" s="112">
        <f t="shared" si="738"/>
        <v>66.5</v>
      </c>
      <c r="AI2028" s="112"/>
      <c r="AJ2028" s="69">
        <f t="shared" si="739"/>
        <v>155.21022222222223</v>
      </c>
      <c r="AK2028" s="62">
        <f t="shared" si="740"/>
        <v>0.88330058479532159</v>
      </c>
      <c r="AL2028" s="225">
        <f>Table1[[#This Row],[WSP/Dealer]]/Table1[[#This Row],[OD Sq Inch]]</f>
        <v>0.33125778331257782</v>
      </c>
      <c r="AM2028" s="103">
        <f>Table1[[#This Row],[OD Wdth]]*Table1[[#This Row],[OD Hgt]]</f>
        <v>4015</v>
      </c>
      <c r="AN2028" s="216">
        <f>Table1[[#This Row],[Min VO]]+Table1[[#This Row],[Max VO]]</f>
        <v>126</v>
      </c>
      <c r="AO2028" s="101"/>
      <c r="AP2028" s="101"/>
      <c r="AQ2028" s="104"/>
      <c r="AR2028" s="104"/>
      <c r="AS2028" s="104"/>
      <c r="AT2028" s="104"/>
      <c r="AU2028" s="830" t="str">
        <f t="shared" si="746"/>
        <v>-</v>
      </c>
    </row>
    <row r="2029" spans="1:47" s="170" customFormat="1" x14ac:dyDescent="0.2">
      <c r="A2029" s="86" t="s">
        <v>58</v>
      </c>
      <c r="B2029" s="1061" t="s">
        <v>159</v>
      </c>
      <c r="C2029" s="75" t="s">
        <v>4671</v>
      </c>
      <c r="D2029" s="94" t="s">
        <v>4672</v>
      </c>
      <c r="E2029" s="85" t="s">
        <v>4666</v>
      </c>
      <c r="F2029" s="85" t="s">
        <v>1738</v>
      </c>
      <c r="G2029" s="86" t="s">
        <v>4667</v>
      </c>
      <c r="H2029" s="86" t="s">
        <v>4670</v>
      </c>
      <c r="I2029" s="86" t="s">
        <v>52</v>
      </c>
      <c r="J2029" s="86" t="s">
        <v>53</v>
      </c>
      <c r="K2029" s="86" t="s">
        <v>69</v>
      </c>
      <c r="L2029" s="86" t="s">
        <v>73</v>
      </c>
      <c r="M2029" s="87">
        <f>1200+210</f>
        <v>1410</v>
      </c>
      <c r="N2029" s="639">
        <v>1400</v>
      </c>
      <c r="O2029" s="60" t="s">
        <v>56</v>
      </c>
      <c r="P2029" s="273">
        <v>72</v>
      </c>
      <c r="Q2029" s="273">
        <v>54</v>
      </c>
      <c r="R2029" s="60">
        <v>54</v>
      </c>
      <c r="S2029" s="273">
        <v>72</v>
      </c>
      <c r="T2029" s="60">
        <v>73</v>
      </c>
      <c r="U2029" s="273" t="str">
        <f>RIGHT(Table1[[#This Row],[OD]],2)</f>
        <v>55</v>
      </c>
      <c r="V2029" s="47">
        <f t="shared" si="744"/>
        <v>80</v>
      </c>
      <c r="W2029" s="47">
        <f t="shared" si="745"/>
        <v>62</v>
      </c>
      <c r="X2029" s="138">
        <v>122</v>
      </c>
      <c r="Y2029" s="60"/>
      <c r="Z2029" s="60"/>
      <c r="AA2029" s="717">
        <f t="shared" si="736"/>
        <v>34.444444444444443</v>
      </c>
      <c r="AB2029" s="125">
        <f t="shared" si="741"/>
        <v>724.71111111111099</v>
      </c>
      <c r="AC2029" s="69">
        <f t="shared" si="742"/>
        <v>22.733333333333334</v>
      </c>
      <c r="AD2029" s="48">
        <f t="shared" si="743"/>
        <v>57.976888888888887</v>
      </c>
      <c r="AE2029" s="104">
        <f>IF(Table1[[#This Row],[Work Center]]="SwissQ",Materials!G$37,IF(Table1[[#This Row],[Work Center]]="Inca",Materials!G$29,IF(Table1[[#This Row],[Work Center]]="Canon",Materials!G$49,Materials!G$45)))</f>
        <v>8</v>
      </c>
      <c r="AF2029" s="69"/>
      <c r="AG2029" s="115"/>
      <c r="AH2029" s="112">
        <f t="shared" si="738"/>
        <v>70.5</v>
      </c>
      <c r="AI2029" s="112"/>
      <c r="AJ2029" s="69">
        <f t="shared" si="739"/>
        <v>159.21022222222223</v>
      </c>
      <c r="AK2029" s="62">
        <f t="shared" si="740"/>
        <v>0.88708494877856581</v>
      </c>
      <c r="AL2029" s="225">
        <f>Table1[[#This Row],[WSP/Dealer]]/Table1[[#This Row],[OD Sq Inch]]</f>
        <v>0.35118306351183065</v>
      </c>
      <c r="AM2029" s="103">
        <f>Table1[[#This Row],[OD Wdth]]*Table1[[#This Row],[OD Hgt]]</f>
        <v>4015</v>
      </c>
      <c r="AN2029" s="216">
        <f>Table1[[#This Row],[Min VO]]+Table1[[#This Row],[Max VO]]</f>
        <v>126</v>
      </c>
      <c r="AO2029" s="101"/>
      <c r="AP2029" s="101"/>
      <c r="AQ2029" s="104"/>
      <c r="AR2029" s="104"/>
      <c r="AS2029" s="104"/>
      <c r="AT2029" s="104"/>
      <c r="AU2029" s="830" t="str">
        <f t="shared" si="746"/>
        <v>-</v>
      </c>
    </row>
    <row r="2030" spans="1:47" s="170" customFormat="1" hidden="1" x14ac:dyDescent="0.2">
      <c r="A2030" s="101" t="s">
        <v>110</v>
      </c>
      <c r="B2030" s="1064" t="s">
        <v>250</v>
      </c>
      <c r="C2030" s="719" t="s">
        <v>4673</v>
      </c>
      <c r="D2030" s="168"/>
      <c r="E2030" s="115" t="s">
        <v>4674</v>
      </c>
      <c r="F2030" s="115" t="s">
        <v>3945</v>
      </c>
      <c r="G2030" s="101" t="s">
        <v>693</v>
      </c>
      <c r="H2030" s="101" t="s">
        <v>4537</v>
      </c>
      <c r="I2030" s="101" t="s">
        <v>52</v>
      </c>
      <c r="J2030" s="487" t="s">
        <v>53</v>
      </c>
      <c r="K2030" s="101" t="s">
        <v>69</v>
      </c>
      <c r="L2030" s="101" t="s">
        <v>70</v>
      </c>
      <c r="M2030" s="299">
        <v>360</v>
      </c>
      <c r="N2030" s="114"/>
      <c r="O2030" s="101" t="s">
        <v>64</v>
      </c>
      <c r="P2030" s="697">
        <v>12</v>
      </c>
      <c r="Q2030" s="697">
        <v>12</v>
      </c>
      <c r="R2030" s="101">
        <v>12</v>
      </c>
      <c r="S2030" s="697">
        <v>12</v>
      </c>
      <c r="T2030" s="101">
        <v>3</v>
      </c>
      <c r="U2030" s="697">
        <v>13</v>
      </c>
      <c r="V2030" s="608">
        <f>IF(J2030="Canvas",P2030+Border,P2030)</f>
        <v>20</v>
      </c>
      <c r="W2030" s="608">
        <f>IF(J2030="Canvas",Q2030+Border,Q2030)</f>
        <v>20</v>
      </c>
      <c r="X2030" s="101">
        <v>40</v>
      </c>
      <c r="Y2030" s="101">
        <v>20</v>
      </c>
      <c r="Z2030" s="101">
        <v>20</v>
      </c>
      <c r="AA2030" s="649">
        <f t="shared" si="736"/>
        <v>2.7777777777777777</v>
      </c>
      <c r="AB2030" s="184">
        <f>AA2030*Swiss1</f>
        <v>78.611111111111114</v>
      </c>
      <c r="AC2030" s="104">
        <f t="shared" si="742"/>
        <v>1.8333333333333333</v>
      </c>
      <c r="AD2030" s="104">
        <f>Table1[[#This Row],[Substrate SF]]*Materials!C$37</f>
        <v>7.7777777777777768</v>
      </c>
      <c r="AE2030" s="104">
        <f>IF(Table1[[#This Row],[Work Center]]="SwissQ",Materials!G$37,IF(Table1[[#This Row],[Work Center]]="Inca",Materials!G$29,IF(Table1[[#This Row],[Work Center]]="Canon",Materials!G$49,Materials!G$45)))</f>
        <v>20</v>
      </c>
      <c r="AF2030" s="102">
        <f>'Cali Frames'!D259</f>
        <v>78</v>
      </c>
      <c r="AG2030" s="115"/>
      <c r="AH2030" s="406">
        <f t="shared" si="738"/>
        <v>18</v>
      </c>
      <c r="AI2030" s="406">
        <f>IF(A2030="Codarus",(M2030*0.13))</f>
        <v>46.800000000000004</v>
      </c>
      <c r="AJ2030" s="104">
        <f>SUM(AC2030:AI2030)</f>
        <v>172.41111111111113</v>
      </c>
      <c r="AK2030" s="1065">
        <f t="shared" si="740"/>
        <v>0.52108024691358024</v>
      </c>
      <c r="AL2030" s="406">
        <f>Table1[[#This Row],[WSP/Dealer]]/Table1[[#This Row],[OD Sq Inch]]</f>
        <v>9.2307692307692299</v>
      </c>
      <c r="AM2030" s="400">
        <f>Table1[[#This Row],[OD Wdth]]*Table1[[#This Row],[OD Hgt]]</f>
        <v>39</v>
      </c>
      <c r="AN2030" s="400">
        <f>Table1[[#This Row],[Min VO]]+Table1[[#This Row],[Max VO]]</f>
        <v>24</v>
      </c>
      <c r="AO2030" s="115"/>
      <c r="AP2030" s="1383">
        <v>600</v>
      </c>
      <c r="AQ2030" s="121">
        <f>(Table1[[#This Row],[Desgnr/Retail P]]*0.05)</f>
        <v>30</v>
      </c>
      <c r="AR2030" s="121">
        <f>IF(A2030="Codarus",(AP2030*0.13))</f>
        <v>78</v>
      </c>
      <c r="AS2030" s="121">
        <f>SUM(Table1[[#This Row],[Substrate $]:[GP FINISH]])+Table1[[#This Row],[Retail Royalty]]+Table1[[#This Row],[Retail$Comm]]</f>
        <v>215.61111111111111</v>
      </c>
      <c r="AT2030" s="830">
        <f>IF(AP2030=0,"-",(AP2030-AS2030)/AP2030)</f>
        <v>0.64064814814814819</v>
      </c>
      <c r="AU2030" s="1359">
        <f t="shared" si="746"/>
        <v>0.97864506172839505</v>
      </c>
    </row>
    <row r="2031" spans="1:47" s="170" customFormat="1" hidden="1" x14ac:dyDescent="0.2">
      <c r="A2031" s="60" t="s">
        <v>95</v>
      </c>
      <c r="B2031" s="279" t="s">
        <v>96</v>
      </c>
      <c r="C2031" s="75" t="s">
        <v>4675</v>
      </c>
      <c r="D2031" s="94"/>
      <c r="E2031" s="83" t="s">
        <v>4676</v>
      </c>
      <c r="F2031" s="83" t="s">
        <v>3945</v>
      </c>
      <c r="G2031" s="60" t="s">
        <v>276</v>
      </c>
      <c r="H2031" s="60" t="s">
        <v>4677</v>
      </c>
      <c r="I2031" s="60" t="s">
        <v>52</v>
      </c>
      <c r="J2031" s="59" t="s">
        <v>53</v>
      </c>
      <c r="K2031" s="60" t="s">
        <v>69</v>
      </c>
      <c r="L2031" s="60" t="s">
        <v>315</v>
      </c>
      <c r="M2031" s="179">
        <v>340</v>
      </c>
      <c r="N2031" s="72"/>
      <c r="O2031" s="60" t="s">
        <v>64</v>
      </c>
      <c r="P2031" s="273">
        <v>16</v>
      </c>
      <c r="Q2031" s="273">
        <v>16</v>
      </c>
      <c r="R2031" s="60">
        <v>16</v>
      </c>
      <c r="S2031" s="273">
        <v>16</v>
      </c>
      <c r="T2031" s="60">
        <v>17</v>
      </c>
      <c r="U2031" s="273">
        <v>17</v>
      </c>
      <c r="V2031" s="946">
        <f>IF(J2031="Canvas",P2031+Border,P2031)</f>
        <v>24</v>
      </c>
      <c r="W2031" s="946">
        <f>IF(J2031="Canvas",Q2031+Border,Q2031)</f>
        <v>24</v>
      </c>
      <c r="X2031" s="138">
        <v>40</v>
      </c>
      <c r="Y2031" s="60">
        <v>24</v>
      </c>
      <c r="Z2031" s="60">
        <v>24</v>
      </c>
      <c r="AA2031" s="717">
        <f t="shared" si="736"/>
        <v>4</v>
      </c>
      <c r="AB2031" s="125">
        <f>AA2031*Swiss1</f>
        <v>113.2</v>
      </c>
      <c r="AC2031" s="69">
        <f t="shared" si="742"/>
        <v>2.64</v>
      </c>
      <c r="AD2031" s="48">
        <f>Table1[[#This Row],[Substrate SF]]*Materials!C$37</f>
        <v>11.2</v>
      </c>
      <c r="AE2031" s="69">
        <f>IF(Table1[[#This Row],[Work Center]]="SwissQ",Materials!G$37,IF(Table1[[#This Row],[Work Center]]="Inca",Materials!G$29,IF(Table1[[#This Row],[Work Center]]="Canon",Materials!G$49,Materials!G$45)))</f>
        <v>20</v>
      </c>
      <c r="AF2031" s="72">
        <f>'Cali Frames'!D503</f>
        <v>79.73</v>
      </c>
      <c r="AG2031" s="83"/>
      <c r="AH2031" s="69">
        <f t="shared" si="738"/>
        <v>17</v>
      </c>
      <c r="AI2031" s="69"/>
      <c r="AJ2031" s="69">
        <f>SUM(AC2031:AH2031)</f>
        <v>130.57</v>
      </c>
      <c r="AK2031" s="650">
        <f t="shared" si="740"/>
        <v>0.61597058823529416</v>
      </c>
      <c r="AL2031" s="225">
        <f>Table1[[#This Row],[WSP/Dealer]]/Table1[[#This Row],[OD Sq Inch]]</f>
        <v>1.1764705882352942</v>
      </c>
      <c r="AM2031" s="216">
        <f>Table1[[#This Row],[OD Wdth]]*Table1[[#This Row],[OD Hgt]]</f>
        <v>289</v>
      </c>
      <c r="AN2031" s="216">
        <f>Table1[[#This Row],[Min VO]]+Table1[[#This Row],[Max VO]]</f>
        <v>32</v>
      </c>
      <c r="AO2031" s="83"/>
      <c r="AP2031" s="83"/>
      <c r="AQ2031" s="540"/>
      <c r="AR2031" s="540"/>
      <c r="AS2031" s="540"/>
      <c r="AT2031" s="69"/>
      <c r="AU2031" s="1361" t="str">
        <f t="shared" si="746"/>
        <v>-</v>
      </c>
    </row>
    <row r="2032" spans="1:47" s="173" customFormat="1" hidden="1" x14ac:dyDescent="0.2">
      <c r="A2032" s="101" t="s">
        <v>110</v>
      </c>
      <c r="B2032" s="1062" t="s">
        <v>102</v>
      </c>
      <c r="C2032" s="719" t="s">
        <v>4678</v>
      </c>
      <c r="D2032" s="168"/>
      <c r="E2032" s="115" t="s">
        <v>4676</v>
      </c>
      <c r="F2032" s="115" t="s">
        <v>3945</v>
      </c>
      <c r="G2032" s="101" t="s">
        <v>276</v>
      </c>
      <c r="H2032" s="101" t="s">
        <v>1937</v>
      </c>
      <c r="I2032" s="101" t="s">
        <v>52</v>
      </c>
      <c r="J2032" s="487" t="s">
        <v>53</v>
      </c>
      <c r="K2032" s="101" t="s">
        <v>54</v>
      </c>
      <c r="L2032" s="101" t="s">
        <v>55</v>
      </c>
      <c r="M2032" s="299">
        <v>300</v>
      </c>
      <c r="N2032" s="102"/>
      <c r="O2032" s="101" t="s">
        <v>64</v>
      </c>
      <c r="P2032" s="697">
        <v>16</v>
      </c>
      <c r="Q2032" s="697">
        <v>16</v>
      </c>
      <c r="R2032" s="101">
        <v>16</v>
      </c>
      <c r="S2032" s="697">
        <v>16</v>
      </c>
      <c r="T2032" s="101">
        <v>16</v>
      </c>
      <c r="U2032" s="697">
        <v>17</v>
      </c>
      <c r="V2032" s="106">
        <f>IF(J2032="Canvas",P2032+Border,P2032)</f>
        <v>24</v>
      </c>
      <c r="W2032" s="106">
        <f>IF(J2032="Canvas",Q2032+Border,Q2032)</f>
        <v>24</v>
      </c>
      <c r="X2032" s="137">
        <v>40</v>
      </c>
      <c r="Y2032" s="101">
        <v>24</v>
      </c>
      <c r="Z2032" s="101">
        <v>24</v>
      </c>
      <c r="AA2032" s="649">
        <f t="shared" si="736"/>
        <v>4</v>
      </c>
      <c r="AB2032" s="184">
        <f>AA2032*Swiss1</f>
        <v>113.2</v>
      </c>
      <c r="AC2032" s="104">
        <f t="shared" si="742"/>
        <v>2.64</v>
      </c>
      <c r="AD2032" s="107">
        <f>Table1[[#This Row],[Substrate SF]]*Materials!C$37</f>
        <v>11.2</v>
      </c>
      <c r="AE2032" s="104">
        <f>IF(Table1[[#This Row],[Work Center]]="SwissQ",Materials!G$37,IF(Table1[[#This Row],[Work Center]]="Inca",Materials!G$29,IF(Table1[[#This Row],[Work Center]]="Canon",Materials!G$49,Materials!G$45)))</f>
        <v>20</v>
      </c>
      <c r="AF2032" s="102">
        <f>'Cali FPS'!C16</f>
        <v>56.350000000000009</v>
      </c>
      <c r="AG2032" s="115"/>
      <c r="AH2032" s="104">
        <f t="shared" si="738"/>
        <v>15</v>
      </c>
      <c r="AI2032" s="406">
        <f>IF(A2032="Codarus",(M2032*0.13))</f>
        <v>39</v>
      </c>
      <c r="AJ2032" s="104">
        <f>SUM(AC2032:AI2032)</f>
        <v>144.19</v>
      </c>
      <c r="AK2032" s="830">
        <f t="shared" si="740"/>
        <v>0.51936666666666664</v>
      </c>
      <c r="AL2032" s="660">
        <f>Table1[[#This Row],[WSP/Dealer]]/Table1[[#This Row],[OD Sq Inch]]</f>
        <v>1.1029411764705883</v>
      </c>
      <c r="AM2032" s="229">
        <f>Table1[[#This Row],[OD Wdth]]*Table1[[#This Row],[OD Hgt]]</f>
        <v>272</v>
      </c>
      <c r="AN2032" s="266">
        <f>Table1[[#This Row],[Min VO]]+Table1[[#This Row],[Max VO]]</f>
        <v>32</v>
      </c>
      <c r="AO2032" s="115"/>
      <c r="AP2032" s="1383">
        <v>600</v>
      </c>
      <c r="AQ2032" s="121">
        <f>(Table1[[#This Row],[Desgnr/Retail P]]*0.05)</f>
        <v>30</v>
      </c>
      <c r="AR2032" s="121">
        <f>IF(A2032="Codarus",(AP2032*0.13))</f>
        <v>78</v>
      </c>
      <c r="AS2032" s="121">
        <f>SUM(Table1[[#This Row],[Substrate $]:[GP FINISH]])+Table1[[#This Row],[Retail Royalty]]+Table1[[#This Row],[Retail$Comm]]</f>
        <v>198.19</v>
      </c>
      <c r="AT2032" s="830">
        <f>IF(AP2032=0,"-",(AP2032-AS2032)/AP2032)</f>
        <v>0.6696833333333333</v>
      </c>
      <c r="AU2032" s="1359">
        <f t="shared" si="746"/>
        <v>0.97767722222222231</v>
      </c>
    </row>
    <row r="2033" spans="1:47" s="170" customFormat="1" hidden="1" x14ac:dyDescent="0.2">
      <c r="A2033" s="101" t="s">
        <v>1287</v>
      </c>
      <c r="B2033" s="1067" t="s">
        <v>801</v>
      </c>
      <c r="C2033" s="719" t="s">
        <v>4679</v>
      </c>
      <c r="D2033" s="94"/>
      <c r="E2033" s="1266" t="s">
        <v>4676</v>
      </c>
      <c r="F2033" s="115" t="s">
        <v>3945</v>
      </c>
      <c r="G2033" s="101" t="s">
        <v>1937</v>
      </c>
      <c r="H2033" s="101" t="s">
        <v>1937</v>
      </c>
      <c r="I2033" s="101" t="s">
        <v>52</v>
      </c>
      <c r="J2033" s="487" t="s">
        <v>280</v>
      </c>
      <c r="K2033" s="101" t="s">
        <v>281</v>
      </c>
      <c r="L2033" s="101" t="s">
        <v>282</v>
      </c>
      <c r="M2033" s="114">
        <v>340</v>
      </c>
      <c r="N2033" s="114"/>
      <c r="O2033" s="101" t="s">
        <v>64</v>
      </c>
      <c r="P2033" s="697">
        <v>16</v>
      </c>
      <c r="Q2033" s="697">
        <v>16</v>
      </c>
      <c r="R2033" s="101">
        <v>16</v>
      </c>
      <c r="S2033" s="116">
        <v>16</v>
      </c>
      <c r="T2033" s="103">
        <v>16</v>
      </c>
      <c r="U2033" s="116">
        <v>16</v>
      </c>
      <c r="V2033" s="106">
        <f>IF(J2033="Canvas",P2033+Border,P2033)</f>
        <v>16</v>
      </c>
      <c r="W2033" s="106">
        <f>IF(J2033="Canvas",Q2033+Border,Q2033)</f>
        <v>16</v>
      </c>
      <c r="X2033" s="101" t="s">
        <v>283</v>
      </c>
      <c r="Y2033" s="101">
        <v>16</v>
      </c>
      <c r="Z2033" s="101">
        <v>16</v>
      </c>
      <c r="AA2033" s="649">
        <f t="shared" si="736"/>
        <v>1.7777777777777777</v>
      </c>
      <c r="AB2033" s="184">
        <f>AA2033*IncaG</f>
        <v>37.404444444444444</v>
      </c>
      <c r="AC2033" s="104">
        <f t="shared" si="742"/>
        <v>1.1733333333333333</v>
      </c>
      <c r="AD2033" s="107">
        <f>AA2033*IncaC</f>
        <v>2.9923555555555557</v>
      </c>
      <c r="AE2033" s="104">
        <f>IF(Table1[[#This Row],[Work Center]]="SwissQ",Materials!G$37,IF(Table1[[#This Row],[Work Center]]="Inca",Materials!G$29,IF(Table1[[#This Row],[Work Center]]="Canon",Materials!G$49,Materials!G$45)))</f>
        <v>20</v>
      </c>
      <c r="AF2033" s="102">
        <f>'Cali Frames'!D535</f>
        <v>87.64</v>
      </c>
      <c r="AG2033" s="115"/>
      <c r="AH2033" s="107">
        <f t="shared" si="738"/>
        <v>17</v>
      </c>
      <c r="AI2033" s="107"/>
      <c r="AJ2033" s="406">
        <f>SUM(AC2033:AH2033)</f>
        <v>128.80568888888888</v>
      </c>
      <c r="AK2033" s="108">
        <f t="shared" si="740"/>
        <v>0.6211597385620915</v>
      </c>
      <c r="AL2033" s="660">
        <f>Table1[[#This Row],[WSP/Dealer]]/Table1[[#This Row],[OD Sq Inch]]</f>
        <v>1.328125</v>
      </c>
      <c r="AM2033" s="399">
        <f>Table1[[#This Row],[OD Wdth]]*Table1[[#This Row],[OD Hgt]]</f>
        <v>256</v>
      </c>
      <c r="AN2033" s="400">
        <f>Table1[[#This Row],[Min VO]]+Table1[[#This Row],[Max VO]]</f>
        <v>32</v>
      </c>
      <c r="AO2033" s="113"/>
      <c r="AP2033" s="115"/>
      <c r="AQ2033" s="121"/>
      <c r="AR2033" s="121"/>
      <c r="AS2033" s="121"/>
      <c r="AT2033" s="104"/>
      <c r="AU2033" s="1367" t="str">
        <f t="shared" si="746"/>
        <v>-</v>
      </c>
    </row>
    <row r="2034" spans="1:47" s="173" customFormat="1" hidden="1" x14ac:dyDescent="0.2">
      <c r="A2034" s="68" t="s">
        <v>101</v>
      </c>
      <c r="B2034" s="1152" t="s">
        <v>102</v>
      </c>
      <c r="C2034" s="257" t="s">
        <v>4680</v>
      </c>
      <c r="D2034" s="94"/>
      <c r="E2034" s="84" t="s">
        <v>4681</v>
      </c>
      <c r="F2034" s="84" t="s">
        <v>105</v>
      </c>
      <c r="G2034" s="68" t="s">
        <v>3678</v>
      </c>
      <c r="H2034" s="68" t="s">
        <v>4682</v>
      </c>
      <c r="I2034" s="68" t="s">
        <v>108</v>
      </c>
      <c r="J2034" s="140" t="s">
        <v>53</v>
      </c>
      <c r="K2034" s="68" t="s">
        <v>814</v>
      </c>
      <c r="L2034" s="68" t="s">
        <v>815</v>
      </c>
      <c r="M2034" s="141">
        <v>276</v>
      </c>
      <c r="N2034" s="93"/>
      <c r="O2034" s="68" t="s">
        <v>109</v>
      </c>
      <c r="P2034" s="623">
        <v>14</v>
      </c>
      <c r="Q2034" s="623">
        <v>16</v>
      </c>
      <c r="R2034" s="68">
        <v>14</v>
      </c>
      <c r="S2034" s="623">
        <v>16</v>
      </c>
      <c r="T2034" s="68">
        <v>17</v>
      </c>
      <c r="U2034" s="623">
        <v>19</v>
      </c>
      <c r="V2034" s="686">
        <f>IF(J2034="Canvas",P2034+BorderL,P2034)</f>
        <v>25</v>
      </c>
      <c r="W2034" s="686">
        <f>IF(J2034="Canvas",Q2034+BorderL,Q2034)</f>
        <v>27</v>
      </c>
      <c r="X2034" s="68">
        <v>40</v>
      </c>
      <c r="Y2034" s="686">
        <f>Table1[[#This Row],[Print Wth]]</f>
        <v>25</v>
      </c>
      <c r="Z2034" s="686">
        <f>Table1[[#This Row],[Print Ht]]</f>
        <v>27</v>
      </c>
      <c r="AA2034" s="727">
        <f>Table1[[#This Row],[Cut Width]]*Table1[[#This Row],[Cut Height]]/144</f>
        <v>4.6875</v>
      </c>
      <c r="AB2034" s="341">
        <f>Table1[[#This Row],[Print Wth]]*Table1[[#This Row],[Print Ht]]/144*EPSONM</f>
        <v>21.09375</v>
      </c>
      <c r="AC2034" s="278">
        <f>Table1[[#This Row],[Substrate SF]]*Canvas</f>
        <v>3.09375</v>
      </c>
      <c r="AD2034" s="263">
        <f>Table1[[#This Row],[Ink g/mL]]*EPSONC</f>
        <v>4.640625</v>
      </c>
      <c r="AE2034" s="278">
        <f>IF(Table1[[#This Row],[Work Center]]="SwissQ",Materials!G$37,IF(Table1[[#This Row],[Work Center]]="Inca",Materials!G$29,IF(Table1[[#This Row],[Work Center]]="Canon",Materials!G$49,Materials!G$45)))</f>
        <v>5</v>
      </c>
      <c r="AF2034" s="73">
        <f>'Cali Frames'!D190</f>
        <v>125</v>
      </c>
      <c r="AG2034" s="84"/>
      <c r="AH2034" s="278">
        <v>0</v>
      </c>
      <c r="AI2034" s="263"/>
      <c r="AJ2034" s="278">
        <f>SUM(AC2034:AH2034)</f>
        <v>137.734375</v>
      </c>
      <c r="AK2034" s="1192">
        <f t="shared" si="740"/>
        <v>0.5009624094202898</v>
      </c>
      <c r="AL2034" s="278">
        <f>Table1[[#This Row],[WSP/Dealer]]/Table1[[#This Row],[OD Sq Inch]]</f>
        <v>0.85448916408668729</v>
      </c>
      <c r="AM2034" s="170">
        <f>Table1[[#This Row],[OD Wdth]]*Table1[[#This Row],[OD Hgt]]</f>
        <v>323</v>
      </c>
      <c r="AN2034" s="274">
        <f>Table1[[#This Row],[Min VO]]+Table1[[#This Row],[Max VO]]</f>
        <v>30</v>
      </c>
      <c r="AO2034" s="84"/>
      <c r="AP2034" s="84"/>
      <c r="AQ2034" s="126"/>
      <c r="AR2034" s="126"/>
      <c r="AS2034" s="126"/>
      <c r="AT2034" s="74"/>
      <c r="AU2034" s="1357" t="str">
        <f t="shared" si="746"/>
        <v>-</v>
      </c>
    </row>
    <row r="2035" spans="1:47" s="170" customFormat="1" x14ac:dyDescent="0.2">
      <c r="A2035" s="68" t="s">
        <v>58</v>
      </c>
      <c r="B2035" s="1072" t="s">
        <v>305</v>
      </c>
      <c r="C2035" s="257" t="s">
        <v>4683</v>
      </c>
      <c r="D2035" s="94"/>
      <c r="E2035" s="84" t="s">
        <v>4684</v>
      </c>
      <c r="F2035" s="84" t="s">
        <v>144</v>
      </c>
      <c r="G2035" s="68" t="s">
        <v>602</v>
      </c>
      <c r="H2035" s="68" t="s">
        <v>2347</v>
      </c>
      <c r="I2035" s="68" t="s">
        <v>52</v>
      </c>
      <c r="J2035" s="140" t="s">
        <v>53</v>
      </c>
      <c r="K2035" s="68" t="s">
        <v>82</v>
      </c>
      <c r="L2035" s="68" t="s">
        <v>298</v>
      </c>
      <c r="M2035" s="93">
        <v>575</v>
      </c>
      <c r="N2035" s="93"/>
      <c r="O2035" s="68"/>
      <c r="P2035" s="68"/>
      <c r="Q2035" s="68"/>
      <c r="R2035" s="68"/>
      <c r="S2035" s="68"/>
      <c r="T2035" s="623"/>
      <c r="U2035" s="623"/>
      <c r="V2035" s="66"/>
      <c r="W2035" s="66"/>
      <c r="X2035" s="68"/>
      <c r="Y2035" s="68"/>
      <c r="Z2035" s="68"/>
      <c r="AA2035" s="699"/>
      <c r="AB2035" s="297"/>
      <c r="AC2035" s="74"/>
      <c r="AD2035" s="118"/>
      <c r="AE2035" s="126"/>
      <c r="AF2035" s="73"/>
      <c r="AG2035" s="84"/>
      <c r="AH2035" s="126"/>
      <c r="AI2035" s="126"/>
      <c r="AJ2035" s="126"/>
      <c r="AK2035" s="1001"/>
      <c r="AL2035" s="126"/>
      <c r="AM2035" s="119"/>
      <c r="AN2035" s="84"/>
      <c r="AO2035" s="84"/>
      <c r="AP2035" s="84"/>
      <c r="AQ2035" s="126">
        <f>(Table1[[#This Row],[Desgnr/Retail P]]*0.05)</f>
        <v>0</v>
      </c>
      <c r="AR2035" s="126" t="b">
        <f>IF(A2035="Codarus",(AP2035*0.13))</f>
        <v>0</v>
      </c>
      <c r="AS2035" s="126" t="e" cm="1">
        <f t="array" ref="AS2035">SUM(AC2035:AG2035+AQ+AR)</f>
        <v>#NAME?</v>
      </c>
      <c r="AT2035" s="74" t="e">
        <f>(AP2035-AS2035)/AP2035</f>
        <v>#NAME?</v>
      </c>
      <c r="AU2035" s="1357" t="str">
        <f t="shared" si="746"/>
        <v>-</v>
      </c>
    </row>
    <row r="2036" spans="1:47" s="170" customFormat="1" x14ac:dyDescent="0.2">
      <c r="A2036" s="68" t="s">
        <v>58</v>
      </c>
      <c r="B2036" s="1072" t="s">
        <v>305</v>
      </c>
      <c r="C2036" s="257" t="s">
        <v>4685</v>
      </c>
      <c r="D2036" s="94"/>
      <c r="E2036" s="84" t="s">
        <v>4684</v>
      </c>
      <c r="F2036" s="84" t="s">
        <v>144</v>
      </c>
      <c r="G2036" s="68" t="s">
        <v>602</v>
      </c>
      <c r="H2036" s="68" t="s">
        <v>2347</v>
      </c>
      <c r="I2036" s="68" t="s">
        <v>52</v>
      </c>
      <c r="J2036" s="140" t="s">
        <v>53</v>
      </c>
      <c r="K2036" s="68" t="s">
        <v>82</v>
      </c>
      <c r="L2036" s="68" t="s">
        <v>83</v>
      </c>
      <c r="M2036" s="93">
        <v>575</v>
      </c>
      <c r="N2036" s="93"/>
      <c r="O2036" s="68"/>
      <c r="P2036" s="68"/>
      <c r="Q2036" s="68"/>
      <c r="R2036" s="68"/>
      <c r="S2036" s="68"/>
      <c r="T2036" s="623"/>
      <c r="U2036" s="623"/>
      <c r="V2036" s="66"/>
      <c r="W2036" s="66"/>
      <c r="X2036" s="68"/>
      <c r="Y2036" s="68"/>
      <c r="Z2036" s="68"/>
      <c r="AA2036" s="699"/>
      <c r="AB2036" s="297"/>
      <c r="AC2036" s="74"/>
      <c r="AD2036" s="118"/>
      <c r="AE2036" s="126"/>
      <c r="AF2036" s="73"/>
      <c r="AG2036" s="84"/>
      <c r="AH2036" s="126"/>
      <c r="AI2036" s="126"/>
      <c r="AJ2036" s="126"/>
      <c r="AK2036" s="1001"/>
      <c r="AL2036" s="126"/>
      <c r="AM2036" s="119"/>
      <c r="AN2036" s="84"/>
      <c r="AO2036" s="84"/>
      <c r="AP2036" s="84"/>
      <c r="AQ2036" s="126">
        <f>(Table1[[#This Row],[Desgnr/Retail P]]*0.05)</f>
        <v>0</v>
      </c>
      <c r="AR2036" s="126" t="b">
        <f>IF(A2036="Codarus",(AP2036*0.13))</f>
        <v>0</v>
      </c>
      <c r="AS2036" s="126" t="e" cm="1">
        <f t="array" ref="AS2036">SUM(AC2036:AG2036+AQ+AR)</f>
        <v>#NAME?</v>
      </c>
      <c r="AT2036" s="74" t="e">
        <f>(AP2036-AS2036)/AP2036</f>
        <v>#NAME?</v>
      </c>
      <c r="AU2036" s="1357" t="str">
        <f t="shared" si="746"/>
        <v>-</v>
      </c>
    </row>
    <row r="2037" spans="1:47" s="170" customFormat="1" x14ac:dyDescent="0.2">
      <c r="A2037" s="60" t="s">
        <v>58</v>
      </c>
      <c r="B2037" s="1071" t="s">
        <v>305</v>
      </c>
      <c r="C2037" s="75" t="s">
        <v>4686</v>
      </c>
      <c r="D2037" s="79"/>
      <c r="E2037" s="83" t="s">
        <v>4684</v>
      </c>
      <c r="F2037" s="83" t="s">
        <v>144</v>
      </c>
      <c r="G2037" s="60" t="s">
        <v>602</v>
      </c>
      <c r="H2037" s="60" t="s">
        <v>602</v>
      </c>
      <c r="I2037" s="60" t="s">
        <v>52</v>
      </c>
      <c r="J2037" s="59" t="s">
        <v>53</v>
      </c>
      <c r="K2037" s="60" t="s">
        <v>54</v>
      </c>
      <c r="L2037" s="60" t="s">
        <v>55</v>
      </c>
      <c r="M2037" s="124">
        <v>400</v>
      </c>
      <c r="N2037" s="124"/>
      <c r="O2037" s="60" t="s">
        <v>56</v>
      </c>
      <c r="P2037" s="60">
        <v>25</v>
      </c>
      <c r="Q2037" s="60">
        <v>31</v>
      </c>
      <c r="R2037" s="60">
        <v>15</v>
      </c>
      <c r="S2037" s="60">
        <v>31</v>
      </c>
      <c r="T2037" s="273">
        <v>15</v>
      </c>
      <c r="U2037" s="273">
        <v>31</v>
      </c>
      <c r="V2037" s="174">
        <f>IF(J2037="Canvas",P2037+BorderL,P2037)</f>
        <v>36</v>
      </c>
      <c r="W2037" s="174">
        <f>IF(J2037="Canvas",Q2037+BorderL,Q2037)</f>
        <v>42</v>
      </c>
      <c r="X2037" s="138">
        <v>40</v>
      </c>
      <c r="Y2037" s="60">
        <v>36</v>
      </c>
      <c r="Z2037" s="60">
        <v>42</v>
      </c>
      <c r="AA2037" s="717">
        <f t="shared" ref="AA2037:AA2043" si="747">V2037*W2037/144</f>
        <v>10.5</v>
      </c>
      <c r="AB2037" s="125">
        <f>AA2037*IncaG</f>
        <v>220.92</v>
      </c>
      <c r="AC2037" s="69">
        <f>AA2037*Canvas</f>
        <v>6.9300000000000006</v>
      </c>
      <c r="AD2037" s="48">
        <f>AA2037*IncaC</f>
        <v>17.6736</v>
      </c>
      <c r="AE2037" s="69">
        <f>IF(Table1[[#This Row],[Work Center]]="SwissQ",Materials!G$37,IF(Table1[[#This Row],[Work Center]]="Inca",Materials!G$29,IF(Table1[[#This Row],[Work Center]]="Canon",Materials!G$49,Materials!G$45)))</f>
        <v>8</v>
      </c>
      <c r="AF2037" s="72">
        <f>'Cali FPS'!C40</f>
        <v>79.239999999999995</v>
      </c>
      <c r="AG2037" s="83"/>
      <c r="AH2037" s="176">
        <f>(M2037*0.05)</f>
        <v>20</v>
      </c>
      <c r="AI2037" s="176"/>
      <c r="AJ2037" s="176">
        <f t="shared" ref="AJ2037:AJ2042" si="748">SUM(AC2037:AH2037)</f>
        <v>131.84359999999998</v>
      </c>
      <c r="AK2037" s="1201">
        <f t="shared" ref="AK2037:AK2069" si="749">(M2037-AJ2037)/M2037</f>
        <v>0.67039100000000007</v>
      </c>
      <c r="AL2037" s="176">
        <f>Table1[[#This Row],[WSP/Dealer]]/Table1[[#This Row],[OD Sq Inch]]</f>
        <v>0.86021505376344087</v>
      </c>
      <c r="AM2037" s="173">
        <f>Table1[[#This Row],[OD Wdth]]*Table1[[#This Row],[OD Hgt]]</f>
        <v>465</v>
      </c>
      <c r="AN2037" s="180">
        <f>Table1[[#This Row],[Min VO]]+Table1[[#This Row],[Max VO]]</f>
        <v>46</v>
      </c>
      <c r="AO2037" s="83"/>
      <c r="AP2037" s="83"/>
      <c r="AQ2037" s="540">
        <f>(Table1[[#This Row],[Desgnr/Retail P]]*0.05)</f>
        <v>0</v>
      </c>
      <c r="AR2037" s="540" t="b">
        <f>IF(A2037="Codarus",(AP2037*0.13))</f>
        <v>0</v>
      </c>
      <c r="AS2037" s="540" t="e" cm="1">
        <f t="array" ref="AS2037">SUM(AC2037:AG2037+AQ+AR)</f>
        <v>#NAME?</v>
      </c>
      <c r="AT2037" s="69" t="e">
        <f>(AP2037-AS2037)/AP2037</f>
        <v>#NAME?</v>
      </c>
      <c r="AU2037" s="1361" t="str">
        <f t="shared" si="746"/>
        <v>-</v>
      </c>
    </row>
    <row r="2038" spans="1:47" s="399" customFormat="1" x14ac:dyDescent="0.2">
      <c r="A2038" s="60" t="s">
        <v>58</v>
      </c>
      <c r="B2038" s="1071" t="s">
        <v>1190</v>
      </c>
      <c r="C2038" s="75" t="s">
        <v>4687</v>
      </c>
      <c r="D2038" s="79"/>
      <c r="E2038" s="83" t="s">
        <v>4688</v>
      </c>
      <c r="F2038" s="83" t="s">
        <v>144</v>
      </c>
      <c r="G2038" s="60" t="s">
        <v>191</v>
      </c>
      <c r="H2038" s="60" t="s">
        <v>191</v>
      </c>
      <c r="I2038" s="60" t="s">
        <v>52</v>
      </c>
      <c r="J2038" s="59" t="s">
        <v>53</v>
      </c>
      <c r="K2038" s="60" t="s">
        <v>54</v>
      </c>
      <c r="L2038" s="60" t="s">
        <v>55</v>
      </c>
      <c r="M2038" s="124">
        <v>950</v>
      </c>
      <c r="N2038" s="124"/>
      <c r="O2038" s="60" t="s">
        <v>56</v>
      </c>
      <c r="P2038" s="60">
        <v>48</v>
      </c>
      <c r="Q2038" s="60">
        <v>60</v>
      </c>
      <c r="R2038" s="60">
        <v>48</v>
      </c>
      <c r="S2038" s="60">
        <v>60</v>
      </c>
      <c r="T2038" s="273">
        <v>48</v>
      </c>
      <c r="U2038" s="273">
        <v>60</v>
      </c>
      <c r="V2038" s="947">
        <f>IF(J2038="Canvas",P2038+BorderL,P2038)</f>
        <v>59</v>
      </c>
      <c r="W2038" s="947">
        <f>IF(J2038="Canvas",Q2038+BorderL,Q2038)</f>
        <v>71</v>
      </c>
      <c r="X2038" s="60">
        <v>59</v>
      </c>
      <c r="Y2038" s="60">
        <v>59</v>
      </c>
      <c r="Z2038" s="60">
        <v>71</v>
      </c>
      <c r="AA2038" s="717">
        <f t="shared" si="747"/>
        <v>29.090277777777779</v>
      </c>
      <c r="AB2038" s="125">
        <f>AA2038*IncaG</f>
        <v>612.05944444444447</v>
      </c>
      <c r="AC2038" s="69">
        <f>AA2038*Canvas</f>
        <v>19.199583333333333</v>
      </c>
      <c r="AD2038" s="69">
        <f>AA2038*IncaC</f>
        <v>48.964755555555556</v>
      </c>
      <c r="AE2038" s="69">
        <f>IF(Table1[[#This Row],[Work Center]]="SwissQ",Materials!G$37,IF(Table1[[#This Row],[Work Center]]="Inca",Materials!G$29,IF(Table1[[#This Row],[Work Center]]="Canon",Materials!G$49,Materials!G$45)))</f>
        <v>8</v>
      </c>
      <c r="AF2038" s="72">
        <f>'Cali FPS'!C121</f>
        <v>188.18</v>
      </c>
      <c r="AG2038" s="83"/>
      <c r="AH2038" s="176">
        <f>(M2038*0.05)</f>
        <v>47.5</v>
      </c>
      <c r="AI2038" s="176"/>
      <c r="AJ2038" s="176">
        <f t="shared" si="748"/>
        <v>311.8443388888889</v>
      </c>
      <c r="AK2038" s="1201">
        <f t="shared" si="749"/>
        <v>0.67174280116959073</v>
      </c>
      <c r="AL2038" s="176">
        <f>Table1[[#This Row],[WSP/Dealer]]/Table1[[#This Row],[OD Sq Inch]]</f>
        <v>0.3298611111111111</v>
      </c>
      <c r="AM2038" s="180">
        <f>Table1[[#This Row],[OD Wdth]]*Table1[[#This Row],[OD Hgt]]</f>
        <v>2880</v>
      </c>
      <c r="AN2038" s="180">
        <f>Table1[[#This Row],[Min VO]]+Table1[[#This Row],[Max VO]]</f>
        <v>108</v>
      </c>
      <c r="AO2038" s="83"/>
      <c r="AP2038" s="83"/>
      <c r="AQ2038" s="540"/>
      <c r="AR2038" s="540"/>
      <c r="AS2038" s="540"/>
      <c r="AT2038" s="69"/>
      <c r="AU2038" s="1361" t="str">
        <f t="shared" si="746"/>
        <v>-</v>
      </c>
    </row>
    <row r="2039" spans="1:47" s="399" customFormat="1" ht="16" x14ac:dyDescent="0.2">
      <c r="A2039" s="60" t="s">
        <v>58</v>
      </c>
      <c r="B2039" s="1061" t="s">
        <v>587</v>
      </c>
      <c r="C2039" s="293" t="s">
        <v>4689</v>
      </c>
      <c r="D2039" s="94" t="s">
        <v>4690</v>
      </c>
      <c r="E2039" s="294" t="s">
        <v>4691</v>
      </c>
      <c r="F2039" s="294" t="s">
        <v>124</v>
      </c>
      <c r="G2039" s="295" t="s">
        <v>4636</v>
      </c>
      <c r="H2039" s="295" t="s">
        <v>4636</v>
      </c>
      <c r="I2039" s="181" t="s">
        <v>52</v>
      </c>
      <c r="J2039" s="181" t="s">
        <v>53</v>
      </c>
      <c r="K2039" s="295" t="s">
        <v>54</v>
      </c>
      <c r="L2039" s="181" t="s">
        <v>55</v>
      </c>
      <c r="M2039" s="292">
        <v>320</v>
      </c>
      <c r="N2039" s="639">
        <v>320</v>
      </c>
      <c r="O2039" s="180" t="s">
        <v>56</v>
      </c>
      <c r="P2039" s="180">
        <v>20</v>
      </c>
      <c r="Q2039" s="180">
        <v>26</v>
      </c>
      <c r="R2039" s="60">
        <v>20</v>
      </c>
      <c r="S2039" s="60">
        <v>26</v>
      </c>
      <c r="T2039" s="698">
        <f>Table1[[#This Row],[VO Wdth]]</f>
        <v>20</v>
      </c>
      <c r="U2039" s="698">
        <f>Table1[[#This Row],[VO Hgt]]</f>
        <v>26</v>
      </c>
      <c r="V2039" s="913">
        <f>IF(J2039="Canvas",P2039+Border,P2039)</f>
        <v>28</v>
      </c>
      <c r="W2039" s="913">
        <f>IF(J2039="Canvas",Q2039+Border,Q2039)</f>
        <v>34</v>
      </c>
      <c r="X2039" s="289" t="s">
        <v>3810</v>
      </c>
      <c r="Y2039" s="180"/>
      <c r="Z2039" s="180"/>
      <c r="AA2039" s="722">
        <f t="shared" si="747"/>
        <v>6.6111111111111107</v>
      </c>
      <c r="AB2039" s="125">
        <f>AA2039*IncaG</f>
        <v>139.09777777777776</v>
      </c>
      <c r="AC2039" s="69">
        <f>AA2039*Canvas</f>
        <v>4.3633333333333333</v>
      </c>
      <c r="AD2039" s="69">
        <f>AA2039*IncaC</f>
        <v>11.127822222222221</v>
      </c>
      <c r="AE2039" s="104">
        <f>IF(Table1[[#This Row],[Work Center]]="SwissQ",Materials!G$37,IF(Table1[[#This Row],[Work Center]]="Inca",Materials!G$29,IF(Table1[[#This Row],[Work Center]]="Canon",Materials!G$49,Materials!G$45)))</f>
        <v>8</v>
      </c>
      <c r="AF2039" s="296">
        <f>'Cali FPS'!C27</f>
        <v>58.800000000000004</v>
      </c>
      <c r="AG2039" s="83"/>
      <c r="AH2039" s="498">
        <f>(M2039*0.05)</f>
        <v>16</v>
      </c>
      <c r="AI2039" s="498"/>
      <c r="AJ2039" s="69">
        <f t="shared" si="748"/>
        <v>98.291155555555562</v>
      </c>
      <c r="AK2039" s="650">
        <f t="shared" si="749"/>
        <v>0.69284013888888885</v>
      </c>
      <c r="AL2039" s="225">
        <f>Table1[[#This Row],[WSP/Dealer]]/Table1[[#This Row],[OD Sq Inch]]</f>
        <v>0.61538461538461542</v>
      </c>
      <c r="AM2039" s="60">
        <f>Table1[[#This Row],[OD Wdth]]*Table1[[#This Row],[OD Hgt]]</f>
        <v>520</v>
      </c>
      <c r="AN2039" s="216">
        <f>Table1[[#This Row],[Min VO]]+Table1[[#This Row],[Max VO]]</f>
        <v>46</v>
      </c>
      <c r="AO2039" s="284"/>
      <c r="AP2039" s="284"/>
      <c r="AQ2039" s="296"/>
      <c r="AR2039" s="296"/>
      <c r="AS2039" s="296"/>
      <c r="AT2039" s="176"/>
      <c r="AU2039" s="1358" t="str">
        <f t="shared" si="746"/>
        <v>-</v>
      </c>
    </row>
    <row r="2040" spans="1:47" s="170" customFormat="1" ht="16" x14ac:dyDescent="0.2">
      <c r="A2040" s="101" t="s">
        <v>581</v>
      </c>
      <c r="B2040" s="1061" t="s">
        <v>292</v>
      </c>
      <c r="C2040" s="625" t="s">
        <v>4692</v>
      </c>
      <c r="D2040" s="94" t="s">
        <v>4693</v>
      </c>
      <c r="E2040" s="788" t="s">
        <v>4691</v>
      </c>
      <c r="F2040" s="788" t="s">
        <v>124</v>
      </c>
      <c r="G2040" s="400" t="s">
        <v>4636</v>
      </c>
      <c r="H2040" s="400" t="s">
        <v>4639</v>
      </c>
      <c r="I2040" s="789" t="s">
        <v>52</v>
      </c>
      <c r="J2040" s="789" t="s">
        <v>53</v>
      </c>
      <c r="K2040" s="809" t="s">
        <v>82</v>
      </c>
      <c r="L2040" s="789" t="s">
        <v>298</v>
      </c>
      <c r="M2040" s="299">
        <v>345</v>
      </c>
      <c r="N2040" s="114">
        <v>345</v>
      </c>
      <c r="O2040" s="101" t="s">
        <v>56</v>
      </c>
      <c r="P2040" s="101">
        <v>20</v>
      </c>
      <c r="Q2040" s="101">
        <v>26</v>
      </c>
      <c r="R2040" s="101">
        <v>20</v>
      </c>
      <c r="S2040" s="101">
        <v>26</v>
      </c>
      <c r="T2040" s="697">
        <v>21</v>
      </c>
      <c r="U2040" s="697">
        <v>27</v>
      </c>
      <c r="V2040" s="1178">
        <f>IF(J2040="Canvas",P2040+Border,P2040)</f>
        <v>28</v>
      </c>
      <c r="W2040" s="1178">
        <f>IF(J2040="Canvas",Q2040+Border,Q2040)</f>
        <v>34</v>
      </c>
      <c r="X2040" s="137">
        <v>40</v>
      </c>
      <c r="Y2040" s="101">
        <v>28</v>
      </c>
      <c r="Z2040" s="101">
        <v>34</v>
      </c>
      <c r="AA2040" s="724">
        <f t="shared" si="747"/>
        <v>6.6111111111111107</v>
      </c>
      <c r="AB2040" s="633">
        <f>AA2040*IncaG</f>
        <v>139.09777777777776</v>
      </c>
      <c r="AC2040" s="406">
        <f>AA2040*Canvas</f>
        <v>4.3633333333333333</v>
      </c>
      <c r="AD2040" s="405">
        <f>AA2040*IncaC</f>
        <v>11.127822222222221</v>
      </c>
      <c r="AE2040" s="406">
        <f>IF(Table1[[#This Row],[Work Center]]="SwissQ",Materials!G$37,IF(Table1[[#This Row],[Work Center]]="Inca",Materials!G$29,IF(Table1[[#This Row],[Work Center]]="Canon",Materials!G$49,Materials!G$45)))</f>
        <v>8</v>
      </c>
      <c r="AF2040" s="408">
        <f>'Cali Frames'!D224</f>
        <v>91.28</v>
      </c>
      <c r="AG2040" s="540"/>
      <c r="AH2040" s="104">
        <f>(M2040*0.05)</f>
        <v>17.25</v>
      </c>
      <c r="AI2040" s="104"/>
      <c r="AJ2040" s="406">
        <f t="shared" si="748"/>
        <v>132.02115555555554</v>
      </c>
      <c r="AK2040" s="830">
        <f t="shared" si="749"/>
        <v>0.61732998389694049</v>
      </c>
      <c r="AL2040" s="660">
        <f>Table1[[#This Row],[WSP/Dealer]]/Table1[[#This Row],[OD Sq Inch]]</f>
        <v>0.60846560846560849</v>
      </c>
      <c r="AM2040" s="399">
        <f>Table1[[#This Row],[OD Wdth]]*Table1[[#This Row],[OD Hgt]]</f>
        <v>567</v>
      </c>
      <c r="AN2040" s="400">
        <f>Table1[[#This Row],[Min VO]]+Table1[[#This Row],[Max VO]]</f>
        <v>46</v>
      </c>
      <c r="AO2040" s="115"/>
      <c r="AP2040" s="115"/>
      <c r="AQ2040" s="121"/>
      <c r="AR2040" s="121"/>
      <c r="AS2040" s="121"/>
      <c r="AT2040" s="104"/>
      <c r="AU2040" s="1359" t="str">
        <f t="shared" si="746"/>
        <v>-</v>
      </c>
    </row>
    <row r="2041" spans="1:47" s="170" customFormat="1" ht="16" x14ac:dyDescent="0.2">
      <c r="A2041" s="60" t="s">
        <v>58</v>
      </c>
      <c r="B2041" s="1061" t="s">
        <v>587</v>
      </c>
      <c r="C2041" s="293" t="s">
        <v>4694</v>
      </c>
      <c r="D2041" s="94" t="s">
        <v>4695</v>
      </c>
      <c r="E2041" s="294" t="s">
        <v>4696</v>
      </c>
      <c r="F2041" s="294" t="s">
        <v>124</v>
      </c>
      <c r="G2041" s="60" t="s">
        <v>2802</v>
      </c>
      <c r="H2041" s="60" t="s">
        <v>2802</v>
      </c>
      <c r="I2041" s="181" t="s">
        <v>52</v>
      </c>
      <c r="J2041" s="181" t="s">
        <v>53</v>
      </c>
      <c r="K2041" s="295" t="s">
        <v>54</v>
      </c>
      <c r="L2041" s="181" t="s">
        <v>55</v>
      </c>
      <c r="M2041" s="292">
        <v>825</v>
      </c>
      <c r="N2041" s="639">
        <v>825</v>
      </c>
      <c r="O2041" s="180" t="s">
        <v>56</v>
      </c>
      <c r="P2041" s="180">
        <v>40</v>
      </c>
      <c r="Q2041" s="180">
        <v>52</v>
      </c>
      <c r="R2041" s="60">
        <v>40</v>
      </c>
      <c r="S2041" s="60">
        <v>52</v>
      </c>
      <c r="T2041" s="698">
        <f>Table1[[#This Row],[VO Wdth]]</f>
        <v>40</v>
      </c>
      <c r="U2041" s="698">
        <f>Table1[[#This Row],[VO Hgt]]</f>
        <v>52</v>
      </c>
      <c r="V2041" s="913">
        <f>IF(J2041="Canvas",P2041+Border,P2041)</f>
        <v>48</v>
      </c>
      <c r="W2041" s="913">
        <f>IF(J2041="Canvas",Q2041+Border,Q2041)</f>
        <v>60</v>
      </c>
      <c r="X2041" s="289">
        <v>53</v>
      </c>
      <c r="Y2041" s="180"/>
      <c r="Z2041" s="180"/>
      <c r="AA2041" s="722">
        <f t="shared" si="747"/>
        <v>20</v>
      </c>
      <c r="AB2041" s="125">
        <f>AA2041*IncaG</f>
        <v>420.79999999999995</v>
      </c>
      <c r="AC2041" s="69">
        <f>AA2041*Canvas</f>
        <v>13.200000000000001</v>
      </c>
      <c r="AD2041" s="48">
        <f>AA2041*IncaC</f>
        <v>33.664000000000001</v>
      </c>
      <c r="AE2041" s="104">
        <f>IF(Table1[[#This Row],[Work Center]]="SwissQ",Materials!G$37,IF(Table1[[#This Row],[Work Center]]="Inca",Materials!G$29,IF(Table1[[#This Row],[Work Center]]="Canon",Materials!G$49,Materials!G$45)))</f>
        <v>8</v>
      </c>
      <c r="AF2041" s="296">
        <f>'Cali FPS'!C86</f>
        <v>107.53750000000001</v>
      </c>
      <c r="AG2041" s="83"/>
      <c r="AH2041" s="498">
        <f>(M2041*0.05)</f>
        <v>41.25</v>
      </c>
      <c r="AI2041" s="498"/>
      <c r="AJ2041" s="69">
        <f t="shared" si="748"/>
        <v>203.6515</v>
      </c>
      <c r="AK2041" s="650">
        <f t="shared" si="749"/>
        <v>0.75314969696969702</v>
      </c>
      <c r="AL2041" s="225">
        <f>Table1[[#This Row],[WSP/Dealer]]/Table1[[#This Row],[OD Sq Inch]]</f>
        <v>0.39663461538461536</v>
      </c>
      <c r="AM2041" s="46">
        <f>Table1[[#This Row],[OD Wdth]]*Table1[[#This Row],[OD Hgt]]</f>
        <v>2080</v>
      </c>
      <c r="AN2041" s="216">
        <f>Table1[[#This Row],[Min VO]]+Table1[[#This Row],[Max VO]]</f>
        <v>92</v>
      </c>
      <c r="AO2041" s="284"/>
      <c r="AP2041" s="284"/>
      <c r="AQ2041" s="296"/>
      <c r="AR2041" s="296"/>
      <c r="AS2041" s="296"/>
      <c r="AT2041" s="176"/>
      <c r="AU2041" s="1358" t="str">
        <f t="shared" si="746"/>
        <v>-</v>
      </c>
    </row>
    <row r="2042" spans="1:47" s="170" customFormat="1" hidden="1" x14ac:dyDescent="0.2">
      <c r="A2042" s="101" t="s">
        <v>996</v>
      </c>
      <c r="B2042" s="1062" t="s">
        <v>484</v>
      </c>
      <c r="C2042" s="625" t="s">
        <v>4697</v>
      </c>
      <c r="D2042" s="168"/>
      <c r="E2042" s="115" t="s">
        <v>4698</v>
      </c>
      <c r="F2042" s="115" t="s">
        <v>105</v>
      </c>
      <c r="G2042" s="101" t="s">
        <v>643</v>
      </c>
      <c r="H2042" s="101" t="s">
        <v>813</v>
      </c>
      <c r="I2042" s="407" t="s">
        <v>108</v>
      </c>
      <c r="J2042" s="658" t="s">
        <v>280</v>
      </c>
      <c r="K2042" s="101" t="s">
        <v>814</v>
      </c>
      <c r="L2042" s="407" t="s">
        <v>815</v>
      </c>
      <c r="M2042" s="114">
        <v>425</v>
      </c>
      <c r="N2042" s="114"/>
      <c r="O2042" s="101" t="s">
        <v>575</v>
      </c>
      <c r="P2042" s="101">
        <v>20</v>
      </c>
      <c r="Q2042" s="101">
        <v>16</v>
      </c>
      <c r="R2042" s="101">
        <v>16</v>
      </c>
      <c r="S2042" s="101">
        <v>20</v>
      </c>
      <c r="T2042" s="697">
        <v>23</v>
      </c>
      <c r="U2042" s="697">
        <v>19</v>
      </c>
      <c r="V2042" s="918">
        <f>IF(J2042="Canvas",P2042+BorderL,P2042)</f>
        <v>20</v>
      </c>
      <c r="W2042" s="918">
        <f>IF(J2042="Canvas",Q2042+BorderL,Q2042)</f>
        <v>16</v>
      </c>
      <c r="X2042" s="1010" t="s">
        <v>283</v>
      </c>
      <c r="Y2042" s="101">
        <v>20</v>
      </c>
      <c r="Z2042" s="101">
        <v>16</v>
      </c>
      <c r="AA2042" s="724">
        <f t="shared" si="747"/>
        <v>2.2222222222222223</v>
      </c>
      <c r="AB2042" s="1015">
        <f>AA2042*SWISSMLR*3</f>
        <v>13.333333333333334</v>
      </c>
      <c r="AC2042" s="406">
        <f>MDFSHEET/10</f>
        <v>2.4350000000000001</v>
      </c>
      <c r="AD2042" s="405">
        <f>Table1[[#This Row],[Substrate SF]]*SWISSCR*3</f>
        <v>1.4666666666666668</v>
      </c>
      <c r="AE2042" s="104">
        <f>IF(Table1[[#This Row],[Work Center]]="SwissQ",Materials!G$37,IF(Table1[[#This Row],[Work Center]]="Inca",Materials!G$29,IF(Table1[[#This Row],[Work Center]]="Canon",Materials!G$49,Materials!G$45)))</f>
        <v>5</v>
      </c>
      <c r="AF2042" s="1018">
        <f>'Cali Frames'!D193</f>
        <v>126.35</v>
      </c>
      <c r="AG2042" s="115"/>
      <c r="AH2042" s="104">
        <v>0</v>
      </c>
      <c r="AI2042" s="104"/>
      <c r="AJ2042" s="406">
        <f t="shared" si="748"/>
        <v>135.25166666666667</v>
      </c>
      <c r="AK2042" s="830">
        <f t="shared" si="749"/>
        <v>0.68176078431372544</v>
      </c>
      <c r="AL2042" s="660">
        <f>Table1[[#This Row],[WSP/Dealer]]/Table1[[#This Row],[OD Sq Inch]]</f>
        <v>0.97254004576659037</v>
      </c>
      <c r="AM2042" s="399">
        <f>Table1[[#This Row],[OD Wdth]]*Table1[[#This Row],[OD Hgt]]</f>
        <v>437</v>
      </c>
      <c r="AN2042" s="400">
        <f>Table1[[#This Row],[Min VO]]+Table1[[#This Row],[Max VO]]</f>
        <v>36</v>
      </c>
      <c r="AO2042" s="115"/>
      <c r="AP2042" s="115"/>
      <c r="AQ2042" s="121"/>
      <c r="AR2042" s="121"/>
      <c r="AS2042" s="121"/>
      <c r="AT2042" s="104"/>
      <c r="AU2042" s="1359" t="str">
        <f t="shared" si="746"/>
        <v>-</v>
      </c>
    </row>
    <row r="2043" spans="1:47" s="170" customFormat="1" hidden="1" x14ac:dyDescent="0.2">
      <c r="A2043" s="101" t="s">
        <v>110</v>
      </c>
      <c r="B2043" s="1067" t="s">
        <v>250</v>
      </c>
      <c r="C2043" s="625" t="s">
        <v>4699</v>
      </c>
      <c r="D2043" s="168"/>
      <c r="E2043" s="115" t="s">
        <v>4698</v>
      </c>
      <c r="F2043" s="115" t="s">
        <v>105</v>
      </c>
      <c r="G2043" s="101" t="s">
        <v>643</v>
      </c>
      <c r="H2043" s="101" t="s">
        <v>806</v>
      </c>
      <c r="I2043" s="407" t="s">
        <v>574</v>
      </c>
      <c r="J2043" s="658" t="s">
        <v>53</v>
      </c>
      <c r="K2043" s="101" t="s">
        <v>69</v>
      </c>
      <c r="L2043" s="407" t="s">
        <v>70</v>
      </c>
      <c r="M2043" s="114">
        <v>390</v>
      </c>
      <c r="N2043" s="114"/>
      <c r="O2043" s="101" t="s">
        <v>575</v>
      </c>
      <c r="P2043" s="101">
        <v>20</v>
      </c>
      <c r="Q2043" s="101">
        <v>16</v>
      </c>
      <c r="R2043" s="101">
        <v>16</v>
      </c>
      <c r="S2043" s="101">
        <v>20</v>
      </c>
      <c r="T2043" s="697">
        <v>21</v>
      </c>
      <c r="U2043" s="697">
        <v>17</v>
      </c>
      <c r="V2043" s="1353">
        <f>IF(J2043="Canvas",P2043+BorderGW,P2043)</f>
        <v>28</v>
      </c>
      <c r="W2043" s="1353">
        <f>IF(J2043="Canvas",Q2043+BorderGW,Q2043)</f>
        <v>24</v>
      </c>
      <c r="X2043" s="101">
        <v>40</v>
      </c>
      <c r="Y2043" s="101">
        <v>28</v>
      </c>
      <c r="Z2043" s="101">
        <v>24</v>
      </c>
      <c r="AA2043" s="1011">
        <f t="shared" si="747"/>
        <v>4.666666666666667</v>
      </c>
      <c r="AB2043" s="1015">
        <f>AA2043*SWISSMLR*3</f>
        <v>28</v>
      </c>
      <c r="AC2043" s="406">
        <f>MDFSHEET/10</f>
        <v>2.4350000000000001</v>
      </c>
      <c r="AD2043" s="405">
        <f>Table1[[#This Row],[Substrate SF]]*SWISSCR*3</f>
        <v>3.0800000000000005</v>
      </c>
      <c r="AE2043" s="104">
        <f>IF(Table1[[#This Row],[Work Center]]="SwissQ",Materials!G$37,IF(Table1[[#This Row],[Work Center]]="Inca",Materials!G$29,IF(Table1[[#This Row],[Work Center]]="Canon",Materials!G$49,Materials!G$45)))</f>
        <v>5</v>
      </c>
      <c r="AF2043" s="1018">
        <f>'Cali Frames'!D267</f>
        <v>82.757499999999993</v>
      </c>
      <c r="AG2043" s="115"/>
      <c r="AH2043" s="406">
        <f>(M2043*0.05)</f>
        <v>19.5</v>
      </c>
      <c r="AI2043" s="406">
        <f>IF(A2043="Codarus",(M2043*0.13))</f>
        <v>50.7</v>
      </c>
      <c r="AJ2043" s="104">
        <f>SUM(AC2043:AI2043)</f>
        <v>163.4725</v>
      </c>
      <c r="AK2043" s="1065">
        <f t="shared" si="749"/>
        <v>0.58083974358974355</v>
      </c>
      <c r="AL2043" s="406">
        <f>Table1[[#This Row],[WSP/Dealer]]/Table1[[#This Row],[OD Sq Inch]]</f>
        <v>1.0924369747899159</v>
      </c>
      <c r="AM2043" s="399">
        <f>Table1[[#This Row],[OD Wdth]]*Table1[[#This Row],[OD Hgt]]</f>
        <v>357</v>
      </c>
      <c r="AN2043" s="400">
        <f>Table1[[#This Row],[Min VO]]+Table1[[#This Row],[Max VO]]</f>
        <v>36</v>
      </c>
      <c r="AO2043" s="115"/>
      <c r="AP2043" s="1383">
        <v>780</v>
      </c>
      <c r="AQ2043" s="121">
        <f>(Table1[[#This Row],[Desgnr/Retail P]]*0.05)</f>
        <v>39</v>
      </c>
      <c r="AR2043" s="121">
        <f>IF(A2043="Codarus",(AP2043*0.13))</f>
        <v>101.4</v>
      </c>
      <c r="AS2043" s="121">
        <f>SUM(Table1[[#This Row],[Substrate $]:[GP FINISH]])+Table1[[#This Row],[Retail Royalty]]+Table1[[#This Row],[Retail$Comm]]</f>
        <v>233.67249999999999</v>
      </c>
      <c r="AT2043" s="830">
        <f>IF(AP2043=0,"-",(AP2043-AS2043)/AP2043)</f>
        <v>0.70041987179487175</v>
      </c>
      <c r="AU2043" s="1359">
        <f t="shared" si="746"/>
        <v>0.98204051610782384</v>
      </c>
    </row>
    <row r="2044" spans="1:47" s="399" customFormat="1" hidden="1" x14ac:dyDescent="0.2">
      <c r="A2044" s="68" t="s">
        <v>101</v>
      </c>
      <c r="B2044" s="1152" t="s">
        <v>102</v>
      </c>
      <c r="C2044" s="627" t="s">
        <v>4700</v>
      </c>
      <c r="D2044" s="94"/>
      <c r="E2044" s="84" t="s">
        <v>4701</v>
      </c>
      <c r="F2044" s="84" t="s">
        <v>105</v>
      </c>
      <c r="G2044" s="68" t="s">
        <v>1087</v>
      </c>
      <c r="H2044" s="68" t="s">
        <v>1087</v>
      </c>
      <c r="I2044" s="363" t="s">
        <v>108</v>
      </c>
      <c r="J2044" s="646" t="s">
        <v>53</v>
      </c>
      <c r="K2044" s="68" t="s">
        <v>119</v>
      </c>
      <c r="L2044" s="363" t="s">
        <v>120</v>
      </c>
      <c r="M2044" s="141">
        <v>180</v>
      </c>
      <c r="N2044" s="93"/>
      <c r="O2044" s="68" t="s">
        <v>109</v>
      </c>
      <c r="P2044" s="68">
        <v>14</v>
      </c>
      <c r="Q2044" s="68">
        <v>18</v>
      </c>
      <c r="R2044" s="68">
        <v>14</v>
      </c>
      <c r="S2044" s="68">
        <v>18</v>
      </c>
      <c r="T2044" s="623">
        <v>14</v>
      </c>
      <c r="U2044" s="623">
        <v>18</v>
      </c>
      <c r="V2044" s="239">
        <f>IF(J2044="Canvas",P2044+BorderGW,P2044)</f>
        <v>22</v>
      </c>
      <c r="W2044" s="239">
        <f>IF(J2044="Canvas",Q2044+BorderGW,Q2044)</f>
        <v>26</v>
      </c>
      <c r="X2044" s="68">
        <v>40</v>
      </c>
      <c r="Y2044" s="686">
        <f>Table1[[#This Row],[Print Wth]]</f>
        <v>22</v>
      </c>
      <c r="Z2044" s="686">
        <f>Table1[[#This Row],[Print Ht]]</f>
        <v>26</v>
      </c>
      <c r="AA2044" s="727">
        <f>Table1[[#This Row],[Cut Width]]*Table1[[#This Row],[Cut Height]]/144</f>
        <v>3.9722222222222223</v>
      </c>
      <c r="AB2044" s="341">
        <f>Table1[[#This Row],[Print Wth]]*Table1[[#This Row],[Print Ht]]/144*EPSONM</f>
        <v>17.875</v>
      </c>
      <c r="AC2044" s="278">
        <f>Table1[[#This Row],[Substrate SF]]*Canvas</f>
        <v>2.621666666666667</v>
      </c>
      <c r="AD2044" s="263">
        <f>Table1[[#This Row],[Ink g/mL]]*EPSONC</f>
        <v>3.9325000000000001</v>
      </c>
      <c r="AE2044" s="278">
        <f>IF(Table1[[#This Row],[Work Center]]="SwissQ",Materials!G$37,IF(Table1[[#This Row],[Work Center]]="Inca",Materials!G$29,IF(Table1[[#This Row],[Work Center]]="Canon",Materials!G$49,Materials!G$45)))</f>
        <v>5</v>
      </c>
      <c r="AF2044" s="1234">
        <f>'Cali FPS'!C182</f>
        <v>78.05</v>
      </c>
      <c r="AG2044" s="84"/>
      <c r="AH2044" s="74">
        <v>0</v>
      </c>
      <c r="AI2044" s="74"/>
      <c r="AJ2044" s="278">
        <f t="shared" ref="AJ2044:AJ2053" si="750">SUM(AC2044:AH2044)</f>
        <v>89.604166666666657</v>
      </c>
      <c r="AK2044" s="1001">
        <f t="shared" si="749"/>
        <v>0.50219907407407416</v>
      </c>
      <c r="AL2044" s="240">
        <f>Table1[[#This Row],[WSP/Dealer]]/Table1[[#This Row],[OD Sq Inch]]</f>
        <v>0.7142857142857143</v>
      </c>
      <c r="AM2044" s="170">
        <f>Table1[[#This Row],[OD Wdth]]*Table1[[#This Row],[OD Hgt]]</f>
        <v>252</v>
      </c>
      <c r="AN2044" s="274">
        <f>Table1[[#This Row],[Min VO]]+Table1[[#This Row],[Max VO]]</f>
        <v>32</v>
      </c>
      <c r="AO2044" s="84"/>
      <c r="AP2044" s="84"/>
      <c r="AQ2044" s="126"/>
      <c r="AR2044" s="126"/>
      <c r="AS2044" s="126"/>
      <c r="AT2044" s="74"/>
      <c r="AU2044" s="1357" t="str">
        <f t="shared" si="746"/>
        <v>-</v>
      </c>
    </row>
    <row r="2045" spans="1:47" s="170" customFormat="1" hidden="1" x14ac:dyDescent="0.2">
      <c r="A2045" s="374" t="s">
        <v>187</v>
      </c>
      <c r="B2045" s="1061" t="s">
        <v>261</v>
      </c>
      <c r="C2045" s="317" t="s">
        <v>4702</v>
      </c>
      <c r="D2045" s="94"/>
      <c r="E2045" s="375" t="s">
        <v>4703</v>
      </c>
      <c r="F2045" s="375" t="s">
        <v>585</v>
      </c>
      <c r="G2045" s="274" t="s">
        <v>1026</v>
      </c>
      <c r="H2045" s="274" t="s">
        <v>1026</v>
      </c>
      <c r="I2045" s="274" t="s">
        <v>52</v>
      </c>
      <c r="J2045" s="344" t="s">
        <v>280</v>
      </c>
      <c r="K2045" s="274" t="s">
        <v>281</v>
      </c>
      <c r="L2045" s="274" t="s">
        <v>282</v>
      </c>
      <c r="M2045" s="318">
        <v>2130</v>
      </c>
      <c r="N2045" s="71"/>
      <c r="O2045" s="274" t="s">
        <v>64</v>
      </c>
      <c r="P2045" s="274">
        <v>30</v>
      </c>
      <c r="Q2045" s="274">
        <v>40</v>
      </c>
      <c r="R2045" s="274">
        <v>30</v>
      </c>
      <c r="S2045" s="274">
        <v>40</v>
      </c>
      <c r="T2045" s="170">
        <v>30</v>
      </c>
      <c r="U2045" s="170">
        <v>40</v>
      </c>
      <c r="V2045" s="686">
        <v>30</v>
      </c>
      <c r="W2045" s="686">
        <v>40</v>
      </c>
      <c r="X2045" s="343" t="s">
        <v>283</v>
      </c>
      <c r="Y2045" s="274"/>
      <c r="Z2045" s="274"/>
      <c r="AA2045" s="727">
        <f t="shared" ref="AA2045:AA2058" si="751">V2045*W2045/144</f>
        <v>8.3333333333333339</v>
      </c>
      <c r="AB2045" s="341">
        <f>AA2045*Swiss1</f>
        <v>235.83333333333334</v>
      </c>
      <c r="AC2045" s="278">
        <f>MDFSHEET*0.5</f>
        <v>12.175000000000001</v>
      </c>
      <c r="AD2045" s="263">
        <f>Table1[[#This Row],[Substrate SF]]*Materials!C$37</f>
        <v>23.333333333333332</v>
      </c>
      <c r="AE2045" s="104">
        <f>IF(Table1[[#This Row],[Work Center]]="SwissQ",Materials!G$37,IF(Table1[[#This Row],[Work Center]]="Inca",Materials!G$29,IF(Table1[[#This Row],[Work Center]]="Canon",Materials!G$49,Materials!G$45)))</f>
        <v>20</v>
      </c>
      <c r="AF2045" s="321">
        <f>'Cali Frames'!D542</f>
        <v>139.35249999999999</v>
      </c>
      <c r="AG2045" s="320"/>
      <c r="AH2045" s="498">
        <f t="shared" ref="AH2045:AH2058" si="752">(M2045*0.05)</f>
        <v>106.5</v>
      </c>
      <c r="AI2045" s="498"/>
      <c r="AJ2045" s="278">
        <f t="shared" si="750"/>
        <v>301.36083333333329</v>
      </c>
      <c r="AK2045" s="650">
        <f t="shared" si="749"/>
        <v>0.85851604068857601</v>
      </c>
      <c r="AL2045" s="225">
        <f>Table1[[#This Row],[WSP/Dealer]]/Table1[[#This Row],[OD Sq Inch]]</f>
        <v>1.7749999999999999</v>
      </c>
      <c r="AM2045" s="170">
        <f>Table1[[#This Row],[OD Wdth]]*Table1[[#This Row],[OD Hgt]]</f>
        <v>1200</v>
      </c>
      <c r="AN2045" s="238">
        <f>Table1[[#This Row],[Min VO]]+Table1[[#This Row],[Max VO]]</f>
        <v>70</v>
      </c>
      <c r="AO2045" s="275"/>
      <c r="AP2045" s="275"/>
      <c r="AQ2045" s="320"/>
      <c r="AR2045" s="320"/>
      <c r="AS2045" s="320"/>
      <c r="AT2045" s="278"/>
      <c r="AU2045" s="1368" t="str">
        <f t="shared" si="746"/>
        <v>-</v>
      </c>
    </row>
    <row r="2046" spans="1:47" s="170" customFormat="1" x14ac:dyDescent="0.2">
      <c r="A2046" s="180" t="s">
        <v>58</v>
      </c>
      <c r="B2046" s="1061" t="s">
        <v>587</v>
      </c>
      <c r="C2046" s="281" t="s">
        <v>4704</v>
      </c>
      <c r="D2046" s="94"/>
      <c r="E2046" s="291" t="s">
        <v>4703</v>
      </c>
      <c r="F2046" s="291" t="s">
        <v>585</v>
      </c>
      <c r="G2046" s="180" t="s">
        <v>1026</v>
      </c>
      <c r="H2046" s="180" t="s">
        <v>1026</v>
      </c>
      <c r="I2046" s="180" t="s">
        <v>52</v>
      </c>
      <c r="J2046" s="310" t="s">
        <v>280</v>
      </c>
      <c r="K2046" s="180" t="s">
        <v>281</v>
      </c>
      <c r="L2046" s="180" t="s">
        <v>282</v>
      </c>
      <c r="M2046" s="292">
        <v>625</v>
      </c>
      <c r="N2046" s="639">
        <v>625</v>
      </c>
      <c r="O2046" s="180" t="s">
        <v>64</v>
      </c>
      <c r="P2046" s="180">
        <v>30</v>
      </c>
      <c r="Q2046" s="180">
        <v>40</v>
      </c>
      <c r="R2046" s="180">
        <v>30</v>
      </c>
      <c r="S2046" s="180">
        <v>40</v>
      </c>
      <c r="T2046" s="180">
        <v>30</v>
      </c>
      <c r="U2046" s="180">
        <v>40</v>
      </c>
      <c r="V2046" s="174">
        <v>30</v>
      </c>
      <c r="W2046" s="174">
        <v>40</v>
      </c>
      <c r="X2046" s="289" t="s">
        <v>283</v>
      </c>
      <c r="Y2046" s="180"/>
      <c r="Z2046" s="180"/>
      <c r="AA2046" s="678">
        <f t="shared" si="751"/>
        <v>8.3333333333333339</v>
      </c>
      <c r="AB2046" s="329">
        <f>AA2046*Swiss1</f>
        <v>235.83333333333334</v>
      </c>
      <c r="AC2046" s="176">
        <f>MDFSHEET*0.5</f>
        <v>12.175000000000001</v>
      </c>
      <c r="AD2046" s="175">
        <f>Table1[[#This Row],[Substrate SF]]*Materials!C$37</f>
        <v>23.333333333333332</v>
      </c>
      <c r="AE2046" s="104">
        <f>IF(Table1[[#This Row],[Work Center]]="SwissQ",Materials!G$37,IF(Table1[[#This Row],[Work Center]]="Inca",Materials!G$29,IF(Table1[[#This Row],[Work Center]]="Canon",Materials!G$49,Materials!G$45)))</f>
        <v>20</v>
      </c>
      <c r="AF2046" s="290">
        <f>'Cali Frames'!D541</f>
        <v>126.02</v>
      </c>
      <c r="AG2046" s="296"/>
      <c r="AH2046" s="498">
        <f t="shared" si="752"/>
        <v>31.25</v>
      </c>
      <c r="AI2046" s="498"/>
      <c r="AJ2046" s="176">
        <f t="shared" si="750"/>
        <v>212.77833333333334</v>
      </c>
      <c r="AK2046" s="650">
        <f t="shared" si="749"/>
        <v>0.65955466666666673</v>
      </c>
      <c r="AL2046" s="225">
        <f>Table1[[#This Row],[WSP/Dealer]]/Table1[[#This Row],[OD Sq Inch]]</f>
        <v>0.52083333333333337</v>
      </c>
      <c r="AM2046" s="173">
        <f>Table1[[#This Row],[OD Wdth]]*Table1[[#This Row],[OD Hgt]]</f>
        <v>1200</v>
      </c>
      <c r="AN2046" s="216">
        <f>Table1[[#This Row],[Min VO]]+Table1[[#This Row],[Max VO]]</f>
        <v>70</v>
      </c>
      <c r="AO2046" s="286"/>
      <c r="AP2046" s="284"/>
      <c r="AQ2046" s="296"/>
      <c r="AR2046" s="296"/>
      <c r="AS2046" s="296"/>
      <c r="AT2046" s="176"/>
      <c r="AU2046" s="1358" t="str">
        <f t="shared" si="746"/>
        <v>-</v>
      </c>
    </row>
    <row r="2047" spans="1:47" s="170" customFormat="1" hidden="1" x14ac:dyDescent="0.2">
      <c r="A2047" s="374" t="s">
        <v>187</v>
      </c>
      <c r="B2047" s="1061" t="s">
        <v>261</v>
      </c>
      <c r="C2047" s="436" t="s">
        <v>4705</v>
      </c>
      <c r="D2047" s="94"/>
      <c r="E2047" s="436" t="s">
        <v>4706</v>
      </c>
      <c r="F2047" s="375" t="s">
        <v>585</v>
      </c>
      <c r="G2047" s="274" t="s">
        <v>1026</v>
      </c>
      <c r="H2047" s="274" t="s">
        <v>1026</v>
      </c>
      <c r="I2047" s="274" t="s">
        <v>108</v>
      </c>
      <c r="J2047" s="68" t="s">
        <v>197</v>
      </c>
      <c r="K2047" s="274" t="s">
        <v>198</v>
      </c>
      <c r="L2047" s="274" t="s">
        <v>199</v>
      </c>
      <c r="M2047" s="455">
        <v>60</v>
      </c>
      <c r="N2047" s="71"/>
      <c r="O2047" s="274" t="s">
        <v>64</v>
      </c>
      <c r="P2047" s="274">
        <v>30</v>
      </c>
      <c r="Q2047" s="274">
        <v>40</v>
      </c>
      <c r="R2047" s="274">
        <v>30</v>
      </c>
      <c r="S2047" s="170">
        <v>40</v>
      </c>
      <c r="T2047" s="170">
        <v>30</v>
      </c>
      <c r="U2047" s="170">
        <v>40</v>
      </c>
      <c r="V2047" s="686">
        <f>Table1[[#This Row],[VO Wdth]]+Materials!$C$7</f>
        <v>32</v>
      </c>
      <c r="W2047" s="686">
        <f>Table1[[#This Row],[VO Hgt]]+Materials!$C$7</f>
        <v>42</v>
      </c>
      <c r="X2047" s="343" t="s">
        <v>197</v>
      </c>
      <c r="Y2047" s="68"/>
      <c r="Z2047" s="68"/>
      <c r="AA2047" s="699">
        <f t="shared" si="751"/>
        <v>9.3333333333333339</v>
      </c>
      <c r="AB2047" s="341">
        <f>AA2047*SWISSRML</f>
        <v>18.666666666666668</v>
      </c>
      <c r="AC2047" s="74">
        <f>Table1[[#This Row],[Substrate SF]]*POster</f>
        <v>6.944</v>
      </c>
      <c r="AD2047" s="263">
        <f>Table1[[#This Row],[Substrate SF]]*SWISSRC</f>
        <v>2.0533333333333337</v>
      </c>
      <c r="AE2047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047" s="73">
        <v>0</v>
      </c>
      <c r="AG2047" s="126">
        <f>Materials!D$76</f>
        <v>10.82</v>
      </c>
      <c r="AH2047" s="112">
        <f t="shared" si="752"/>
        <v>3</v>
      </c>
      <c r="AI2047" s="112"/>
      <c r="AJ2047" s="263">
        <f t="shared" si="750"/>
        <v>32.817333333333337</v>
      </c>
      <c r="AK2047" s="62">
        <f t="shared" si="749"/>
        <v>0.45304444444444436</v>
      </c>
      <c r="AL2047" s="225">
        <f>Table1[[#This Row],[WSP/Dealer]]/Table1[[#This Row],[OD Sq Inch]]</f>
        <v>0.05</v>
      </c>
      <c r="AM2047" s="170">
        <f>Table1[[#This Row],[OD Wdth]]*Table1[[#This Row],[OD Hgt]]</f>
        <v>1200</v>
      </c>
      <c r="AN2047" s="84"/>
      <c r="AO2047" s="84"/>
      <c r="AP2047" s="84"/>
      <c r="AQ2047" s="126"/>
      <c r="AR2047" s="126"/>
      <c r="AS2047" s="126"/>
      <c r="AT2047" s="74"/>
      <c r="AU2047" s="1357" t="str">
        <f t="shared" si="746"/>
        <v>-</v>
      </c>
    </row>
    <row r="2048" spans="1:47" s="170" customFormat="1" hidden="1" x14ac:dyDescent="0.2">
      <c r="A2048" s="216" t="s">
        <v>272</v>
      </c>
      <c r="B2048" s="1061" t="s">
        <v>533</v>
      </c>
      <c r="C2048" s="232" t="s">
        <v>4707</v>
      </c>
      <c r="D2048" s="94" t="s">
        <v>4708</v>
      </c>
      <c r="E2048" s="217" t="s">
        <v>4709</v>
      </c>
      <c r="F2048" s="217" t="s">
        <v>386</v>
      </c>
      <c r="G2048" s="216" t="s">
        <v>4710</v>
      </c>
      <c r="H2048" s="216" t="s">
        <v>4710</v>
      </c>
      <c r="I2048" s="216" t="s">
        <v>108</v>
      </c>
      <c r="J2048" s="555" t="s">
        <v>53</v>
      </c>
      <c r="K2048" s="216" t="s">
        <v>54</v>
      </c>
      <c r="L2048" s="216" t="s">
        <v>55</v>
      </c>
      <c r="M2048" s="219">
        <v>175</v>
      </c>
      <c r="N2048" s="219"/>
      <c r="O2048" s="216" t="s">
        <v>109</v>
      </c>
      <c r="P2048" s="216">
        <v>30</v>
      </c>
      <c r="Q2048" s="216">
        <v>24</v>
      </c>
      <c r="R2048" s="216">
        <v>24</v>
      </c>
      <c r="S2048" s="626">
        <v>30</v>
      </c>
      <c r="T2048" s="221">
        <v>30</v>
      </c>
      <c r="U2048" s="221">
        <v>24</v>
      </c>
      <c r="V2048" s="222">
        <f>IF(J2048="Canvas",P2048+BorderGW,P2048)</f>
        <v>38</v>
      </c>
      <c r="W2048" s="222">
        <f>IF(J2048="Canvas",Q2048+BorderGW,Q2048)</f>
        <v>32</v>
      </c>
      <c r="X2048" s="223">
        <v>40</v>
      </c>
      <c r="Y2048" s="216"/>
      <c r="Z2048" s="216"/>
      <c r="AA2048" s="718">
        <f t="shared" si="751"/>
        <v>8.4444444444444446</v>
      </c>
      <c r="AB2048" s="233">
        <f>AA2048*EPSONM</f>
        <v>38</v>
      </c>
      <c r="AC2048" s="225">
        <f>AA2048*Canvas</f>
        <v>5.5733333333333341</v>
      </c>
      <c r="AD2048" s="206">
        <f>Table1[[#This Row],[Ink g/mL]]*Materials!$B$36/1000</f>
        <v>3.8</v>
      </c>
      <c r="AE2048" s="104">
        <f>IF(Table1[[#This Row],[Work Center]]="SwissQ",Materials!G$37,IF(Table1[[#This Row],[Work Center]]="Inca",Materials!G$29,IF(Table1[[#This Row],[Work Center]]="Canon",Materials!G$49,Materials!G$45)))</f>
        <v>5</v>
      </c>
      <c r="AF2048" s="226">
        <f>'CALI_SONDER '!H$7</f>
        <v>56.23</v>
      </c>
      <c r="AG2048" s="986"/>
      <c r="AH2048" s="112">
        <f t="shared" si="752"/>
        <v>8.75</v>
      </c>
      <c r="AI2048" s="112"/>
      <c r="AJ2048" s="207">
        <f t="shared" si="750"/>
        <v>79.353333333333325</v>
      </c>
      <c r="AK2048" s="62">
        <f t="shared" si="749"/>
        <v>0.54655238095238101</v>
      </c>
      <c r="AL2048" s="225">
        <f>Table1[[#This Row],[WSP/Dealer]]/Table1[[#This Row],[OD Sq Inch]]</f>
        <v>0.24305555555555555</v>
      </c>
      <c r="AM2048" s="103">
        <f>Table1[[#This Row],[OD Wdth]]*Table1[[#This Row],[OD Hgt]]</f>
        <v>720</v>
      </c>
      <c r="AN2048" s="216">
        <f>Table1[[#This Row],[Min VO]]+Table1[[#This Row],[Max VO]]</f>
        <v>54</v>
      </c>
      <c r="AO2048" s="217"/>
      <c r="AP2048" s="217"/>
      <c r="AQ2048" s="986"/>
      <c r="AR2048" s="986"/>
      <c r="AS2048" s="986"/>
      <c r="AT2048" s="225"/>
      <c r="AU2048" s="1365" t="str">
        <f t="shared" si="746"/>
        <v>-</v>
      </c>
    </row>
    <row r="2049" spans="1:47" s="173" customFormat="1" x14ac:dyDescent="0.2">
      <c r="A2049" s="86" t="s">
        <v>58</v>
      </c>
      <c r="B2049" s="1061" t="s">
        <v>406</v>
      </c>
      <c r="C2049" s="100" t="s">
        <v>4711</v>
      </c>
      <c r="D2049" s="94" t="s">
        <v>4712</v>
      </c>
      <c r="E2049" s="85" t="s">
        <v>4713</v>
      </c>
      <c r="F2049" s="85" t="s">
        <v>386</v>
      </c>
      <c r="G2049" s="86" t="s">
        <v>637</v>
      </c>
      <c r="H2049" s="86" t="s">
        <v>637</v>
      </c>
      <c r="I2049" s="86" t="s">
        <v>52</v>
      </c>
      <c r="J2049" s="86" t="s">
        <v>53</v>
      </c>
      <c r="K2049" s="86" t="s">
        <v>54</v>
      </c>
      <c r="L2049" s="86" t="s">
        <v>55</v>
      </c>
      <c r="M2049" s="87">
        <v>825</v>
      </c>
      <c r="N2049" s="639">
        <v>950</v>
      </c>
      <c r="O2049" s="551" t="s">
        <v>56</v>
      </c>
      <c r="P2049" s="101">
        <v>60</v>
      </c>
      <c r="Q2049" s="101">
        <v>48</v>
      </c>
      <c r="R2049" s="60">
        <v>48</v>
      </c>
      <c r="S2049" s="273">
        <v>60</v>
      </c>
      <c r="T2049" s="61">
        <f>Table1[[#This Row],[VO Wdth]]</f>
        <v>60</v>
      </c>
      <c r="U2049" s="61">
        <f>Table1[[#This Row],[VO Hgt]]</f>
        <v>48</v>
      </c>
      <c r="V2049" s="106">
        <f>IF(J2049="Canvas",P2049+BorderGW,P2049)</f>
        <v>68</v>
      </c>
      <c r="W2049" s="106">
        <f>IF(J2049="Canvas",Q2049+BorderGW,Q2049)</f>
        <v>56</v>
      </c>
      <c r="X2049" s="137">
        <v>122</v>
      </c>
      <c r="Y2049" s="101"/>
      <c r="Z2049" s="101"/>
      <c r="AA2049" s="649">
        <f t="shared" si="751"/>
        <v>26.444444444444443</v>
      </c>
      <c r="AB2049" s="184">
        <f>AA2049*IncaG</f>
        <v>556.39111111111106</v>
      </c>
      <c r="AC2049" s="104">
        <f>AA2049*Canvas</f>
        <v>17.453333333333333</v>
      </c>
      <c r="AD2049" s="107">
        <f>AA2049*IncaC</f>
        <v>44.511288888888885</v>
      </c>
      <c r="AE2049" s="104">
        <f>IF(Table1[[#This Row],[Work Center]]="SwissQ",Materials!G$37,IF(Table1[[#This Row],[Work Center]]="Inca",Materials!G$29,IF(Table1[[#This Row],[Work Center]]="Canon",Materials!G$49,Materials!G$45)))</f>
        <v>8</v>
      </c>
      <c r="AF2049" s="104">
        <f>'Cali FPS'!C$121</f>
        <v>188.18</v>
      </c>
      <c r="AG2049" s="115"/>
      <c r="AH2049" s="112">
        <f t="shared" si="752"/>
        <v>41.25</v>
      </c>
      <c r="AI2049" s="112"/>
      <c r="AJ2049" s="104">
        <f t="shared" si="750"/>
        <v>299.39462222222221</v>
      </c>
      <c r="AK2049" s="62">
        <f t="shared" si="749"/>
        <v>0.63709742760942767</v>
      </c>
      <c r="AL2049" s="225">
        <f>Table1[[#This Row],[WSP/Dealer]]/Table1[[#This Row],[OD Sq Inch]]</f>
        <v>0.28645833333333331</v>
      </c>
      <c r="AM2049" s="103">
        <f>Table1[[#This Row],[OD Wdth]]*Table1[[#This Row],[OD Hgt]]</f>
        <v>2880</v>
      </c>
      <c r="AN2049" s="216">
        <f>Table1[[#This Row],[Min VO]]+Table1[[#This Row],[Max VO]]</f>
        <v>108</v>
      </c>
      <c r="AO2049" s="101"/>
      <c r="AP2049" s="101"/>
      <c r="AQ2049" s="104"/>
      <c r="AR2049" s="104"/>
      <c r="AS2049" s="104"/>
      <c r="AT2049" s="104"/>
      <c r="AU2049" s="830" t="str">
        <f t="shared" si="746"/>
        <v>-</v>
      </c>
    </row>
    <row r="2050" spans="1:47" s="399" customFormat="1" hidden="1" x14ac:dyDescent="0.2">
      <c r="A2050" s="373" t="s">
        <v>187</v>
      </c>
      <c r="B2050" s="1061" t="s">
        <v>261</v>
      </c>
      <c r="C2050" s="436" t="s">
        <v>4714</v>
      </c>
      <c r="D2050" s="94"/>
      <c r="E2050" s="436" t="s">
        <v>4715</v>
      </c>
      <c r="F2050" s="84" t="s">
        <v>386</v>
      </c>
      <c r="G2050" s="258" t="s">
        <v>2263</v>
      </c>
      <c r="H2050" s="68" t="s">
        <v>4716</v>
      </c>
      <c r="I2050" s="258" t="s">
        <v>52</v>
      </c>
      <c r="J2050" s="140" t="s">
        <v>53</v>
      </c>
      <c r="K2050" s="258" t="s">
        <v>1410</v>
      </c>
      <c r="L2050" s="68" t="s">
        <v>70</v>
      </c>
      <c r="M2050" s="420">
        <v>1550</v>
      </c>
      <c r="N2050" s="71"/>
      <c r="O2050" s="68" t="s">
        <v>56</v>
      </c>
      <c r="P2050" s="238">
        <v>30</v>
      </c>
      <c r="Q2050" s="238">
        <v>24</v>
      </c>
      <c r="R2050" s="238">
        <v>24</v>
      </c>
      <c r="S2050" s="1339">
        <v>30</v>
      </c>
      <c r="T2050" s="1339">
        <v>30</v>
      </c>
      <c r="U2050" s="1339">
        <v>24</v>
      </c>
      <c r="V2050" s="1489">
        <f>IF(J2050="Canvas",P2050+BorderGW,P2050)</f>
        <v>38</v>
      </c>
      <c r="W2050" s="1489">
        <f>IF(J2050="Canvas",Q2050+BorderGW,Q2050)</f>
        <v>32</v>
      </c>
      <c r="X2050" s="189">
        <v>40</v>
      </c>
      <c r="Y2050" s="68"/>
      <c r="Z2050" s="68"/>
      <c r="AA2050" s="699">
        <f t="shared" si="751"/>
        <v>8.4444444444444446</v>
      </c>
      <c r="AB2050" s="297">
        <f>AA2050*IncaG</f>
        <v>177.67111111111112</v>
      </c>
      <c r="AC2050" s="74">
        <f>AA2050*Canvas</f>
        <v>5.5733333333333341</v>
      </c>
      <c r="AD2050" s="74">
        <f>AA2050*IncaC</f>
        <v>14.213688888888889</v>
      </c>
      <c r="AE2050" s="74">
        <f>IF(Table1[[#This Row],[Work Center]]="SwissQ",Materials!G$37,IF(Table1[[#This Row],[Work Center]]="Inca",Materials!G$29,IF(Table1[[#This Row],[Work Center]]="Canon",Materials!G$49,Materials!G$45)))</f>
        <v>8</v>
      </c>
      <c r="AF2050" s="74">
        <f>'Cali Frames'!D280</f>
        <v>110.0575</v>
      </c>
      <c r="AG2050" s="84"/>
      <c r="AH2050" s="498">
        <f t="shared" si="752"/>
        <v>77.5</v>
      </c>
      <c r="AI2050" s="498"/>
      <c r="AJ2050" s="74">
        <f t="shared" si="750"/>
        <v>215.34452222222222</v>
      </c>
      <c r="AK2050" s="650">
        <f t="shared" si="749"/>
        <v>0.86106805017921151</v>
      </c>
      <c r="AL2050" s="225">
        <f>Table1[[#This Row],[WSP/Dealer]]/Table1[[#This Row],[OD Sq Inch]]</f>
        <v>2.1527777777777777</v>
      </c>
      <c r="AM2050" s="238">
        <f>Table1[[#This Row],[OD Wdth]]*Table1[[#This Row],[OD Hgt]]</f>
        <v>720</v>
      </c>
      <c r="AN2050" s="84"/>
      <c r="AO2050" s="84"/>
      <c r="AP2050" s="84"/>
      <c r="AQ2050" s="126"/>
      <c r="AR2050" s="126"/>
      <c r="AS2050" s="126"/>
      <c r="AT2050" s="74"/>
      <c r="AU2050" s="1357" t="str">
        <f t="shared" si="746"/>
        <v>-</v>
      </c>
    </row>
    <row r="2051" spans="1:47" s="170" customFormat="1" hidden="1" x14ac:dyDescent="0.2">
      <c r="A2051" s="373" t="s">
        <v>187</v>
      </c>
      <c r="B2051" s="1061" t="s">
        <v>261</v>
      </c>
      <c r="C2051" s="430" t="s">
        <v>4717</v>
      </c>
      <c r="D2051" s="94"/>
      <c r="E2051" s="430" t="s">
        <v>4715</v>
      </c>
      <c r="F2051" s="450" t="s">
        <v>386</v>
      </c>
      <c r="G2051" s="431" t="s">
        <v>2263</v>
      </c>
      <c r="H2051" s="431" t="s">
        <v>2263</v>
      </c>
      <c r="I2051" s="431" t="s">
        <v>52</v>
      </c>
      <c r="J2051" s="451" t="s">
        <v>53</v>
      </c>
      <c r="K2051" s="431" t="s">
        <v>281</v>
      </c>
      <c r="L2051" s="421" t="s">
        <v>55</v>
      </c>
      <c r="M2051" s="429">
        <v>1500</v>
      </c>
      <c r="N2051" s="71"/>
      <c r="O2051" s="68" t="s">
        <v>56</v>
      </c>
      <c r="P2051" s="238">
        <v>30</v>
      </c>
      <c r="Q2051" s="238">
        <v>24</v>
      </c>
      <c r="R2051" s="238">
        <v>24</v>
      </c>
      <c r="S2051" s="1339">
        <v>30</v>
      </c>
      <c r="T2051" s="1339">
        <v>30</v>
      </c>
      <c r="U2051" s="1339">
        <v>24</v>
      </c>
      <c r="V2051" s="1489">
        <f>IF(J2051="Canvas",P2051+BorderGW,P2051)</f>
        <v>38</v>
      </c>
      <c r="W2051" s="1489">
        <f>IF(J2051="Canvas",Q2051+BorderGW,Q2051)</f>
        <v>32</v>
      </c>
      <c r="X2051" s="189">
        <v>40</v>
      </c>
      <c r="Y2051" s="68"/>
      <c r="Z2051" s="68"/>
      <c r="AA2051" s="699">
        <f t="shared" si="751"/>
        <v>8.4444444444444446</v>
      </c>
      <c r="AB2051" s="297">
        <f>AA2051*IncaG</f>
        <v>177.67111111111112</v>
      </c>
      <c r="AC2051" s="74">
        <f>AA2051*Canvas</f>
        <v>5.5733333333333341</v>
      </c>
      <c r="AD2051" s="67">
        <f>AA2051*IncaC</f>
        <v>14.213688888888889</v>
      </c>
      <c r="AE2051" s="74">
        <f>IF(Table1[[#This Row],[Work Center]]="SwissQ",Materials!G$37,IF(Table1[[#This Row],[Work Center]]="Inca",Materials!G$29,IF(Table1[[#This Row],[Work Center]]="Canon",Materials!G$49,Materials!G$45)))</f>
        <v>8</v>
      </c>
      <c r="AF2051" s="74">
        <f>'Cali FPS'!C35</f>
        <v>74.2</v>
      </c>
      <c r="AG2051" s="84"/>
      <c r="AH2051" s="112">
        <f t="shared" si="752"/>
        <v>75</v>
      </c>
      <c r="AI2051" s="112"/>
      <c r="AJ2051" s="74">
        <f t="shared" si="750"/>
        <v>176.98702222222221</v>
      </c>
      <c r="AK2051" s="62">
        <f t="shared" si="749"/>
        <v>0.88200865185185195</v>
      </c>
      <c r="AL2051" s="225">
        <f>Table1[[#This Row],[WSP/Dealer]]/Table1[[#This Row],[OD Sq Inch]]</f>
        <v>2.0833333333333335</v>
      </c>
      <c r="AM2051" s="235">
        <f>Table1[[#This Row],[OD Wdth]]*Table1[[#This Row],[OD Hgt]]</f>
        <v>720</v>
      </c>
      <c r="AN2051" s="84"/>
      <c r="AO2051" s="119"/>
      <c r="AP2051" s="84"/>
      <c r="AQ2051" s="126"/>
      <c r="AR2051" s="126"/>
      <c r="AS2051" s="126"/>
      <c r="AT2051" s="74"/>
      <c r="AU2051" s="1357" t="str">
        <f t="shared" si="746"/>
        <v>-</v>
      </c>
    </row>
    <row r="2052" spans="1:47" s="170" customFormat="1" hidden="1" x14ac:dyDescent="0.2">
      <c r="A2052" s="373" t="s">
        <v>187</v>
      </c>
      <c r="B2052" s="1061" t="s">
        <v>261</v>
      </c>
      <c r="C2052" s="436" t="s">
        <v>4718</v>
      </c>
      <c r="D2052" s="94"/>
      <c r="E2052" s="436" t="s">
        <v>4715</v>
      </c>
      <c r="F2052" s="84" t="s">
        <v>386</v>
      </c>
      <c r="G2052" s="258" t="s">
        <v>2263</v>
      </c>
      <c r="H2052" s="68" t="s">
        <v>4716</v>
      </c>
      <c r="I2052" s="258" t="s">
        <v>52</v>
      </c>
      <c r="J2052" s="140" t="s">
        <v>53</v>
      </c>
      <c r="K2052" s="258" t="s">
        <v>1412</v>
      </c>
      <c r="L2052" s="68" t="s">
        <v>73</v>
      </c>
      <c r="M2052" s="420">
        <v>1550</v>
      </c>
      <c r="N2052" s="71"/>
      <c r="O2052" s="68" t="s">
        <v>56</v>
      </c>
      <c r="P2052" s="238">
        <v>30</v>
      </c>
      <c r="Q2052" s="238">
        <v>24</v>
      </c>
      <c r="R2052" s="238">
        <v>24</v>
      </c>
      <c r="S2052" s="1339">
        <v>30</v>
      </c>
      <c r="T2052" s="1339">
        <v>30</v>
      </c>
      <c r="U2052" s="1339">
        <v>24</v>
      </c>
      <c r="V2052" s="239">
        <f>IF(J2052="Canvas",P2052+BorderGW,P2052)</f>
        <v>38</v>
      </c>
      <c r="W2052" s="239">
        <f>IF(J2052="Canvas",Q2052+BorderGW,Q2052)</f>
        <v>32</v>
      </c>
      <c r="X2052" s="189">
        <v>40</v>
      </c>
      <c r="Y2052" s="68"/>
      <c r="Z2052" s="68"/>
      <c r="AA2052" s="699">
        <f t="shared" si="751"/>
        <v>8.4444444444444446</v>
      </c>
      <c r="AB2052" s="297">
        <f>AA2052*IncaG</f>
        <v>177.67111111111112</v>
      </c>
      <c r="AC2052" s="74">
        <f>AA2052*Canvas</f>
        <v>5.5733333333333341</v>
      </c>
      <c r="AD2052" s="67">
        <f>AA2052*IncaC</f>
        <v>14.213688888888889</v>
      </c>
      <c r="AE2052" s="74">
        <f>IF(Table1[[#This Row],[Work Center]]="SwissQ",Materials!G$37,IF(Table1[[#This Row],[Work Center]]="Inca",Materials!G$29,IF(Table1[[#This Row],[Work Center]]="Canon",Materials!G$49,Materials!G$45)))</f>
        <v>8</v>
      </c>
      <c r="AF2052" s="74">
        <f>'Cali Frames'!D423</f>
        <v>103.8275</v>
      </c>
      <c r="AG2052" s="84"/>
      <c r="AH2052" s="498">
        <f t="shared" si="752"/>
        <v>77.5</v>
      </c>
      <c r="AI2052" s="498"/>
      <c r="AJ2052" s="74">
        <f t="shared" si="750"/>
        <v>209.11452222222223</v>
      </c>
      <c r="AK2052" s="650">
        <f t="shared" si="749"/>
        <v>0.86508740501792114</v>
      </c>
      <c r="AL2052" s="225">
        <f>Table1[[#This Row],[WSP/Dealer]]/Table1[[#This Row],[OD Sq Inch]]</f>
        <v>2.1527777777777777</v>
      </c>
      <c r="AM2052" s="235">
        <f>Table1[[#This Row],[OD Wdth]]*Table1[[#This Row],[OD Hgt]]</f>
        <v>720</v>
      </c>
      <c r="AN2052" s="84"/>
      <c r="AO2052" s="84"/>
      <c r="AP2052" s="84"/>
      <c r="AQ2052" s="126"/>
      <c r="AR2052" s="126"/>
      <c r="AS2052" s="126"/>
      <c r="AT2052" s="74"/>
      <c r="AU2052" s="1357" t="str">
        <f t="shared" si="746"/>
        <v>-</v>
      </c>
    </row>
    <row r="2053" spans="1:47" s="170" customFormat="1" hidden="1" x14ac:dyDescent="0.2">
      <c r="A2053" s="373" t="s">
        <v>187</v>
      </c>
      <c r="B2053" s="1061" t="s">
        <v>261</v>
      </c>
      <c r="C2053" s="436" t="s">
        <v>4719</v>
      </c>
      <c r="D2053" s="94"/>
      <c r="E2053" s="436" t="s">
        <v>4720</v>
      </c>
      <c r="F2053" s="84" t="s">
        <v>386</v>
      </c>
      <c r="G2053" s="258" t="s">
        <v>2263</v>
      </c>
      <c r="H2053" s="258" t="s">
        <v>2263</v>
      </c>
      <c r="I2053" s="274" t="s">
        <v>108</v>
      </c>
      <c r="J2053" s="68" t="s">
        <v>197</v>
      </c>
      <c r="K2053" s="274" t="s">
        <v>198</v>
      </c>
      <c r="L2053" s="274" t="s">
        <v>199</v>
      </c>
      <c r="M2053" s="696">
        <v>60</v>
      </c>
      <c r="N2053" s="71"/>
      <c r="O2053" s="68" t="s">
        <v>56</v>
      </c>
      <c r="P2053" s="238">
        <v>30</v>
      </c>
      <c r="Q2053" s="238">
        <v>24</v>
      </c>
      <c r="R2053" s="238">
        <v>24</v>
      </c>
      <c r="S2053" s="1339">
        <v>30</v>
      </c>
      <c r="T2053" s="1339">
        <v>30</v>
      </c>
      <c r="U2053" s="1339">
        <v>24</v>
      </c>
      <c r="V2053" s="277">
        <f>Table1[[#This Row],[VO Wdth]]+Materials!$C$7</f>
        <v>32</v>
      </c>
      <c r="W2053" s="277">
        <f>Table1[[#This Row],[VO Hgt]]+Materials!$C$7</f>
        <v>26</v>
      </c>
      <c r="X2053" s="343" t="s">
        <v>197</v>
      </c>
      <c r="Y2053" s="68"/>
      <c r="Z2053" s="68"/>
      <c r="AA2053" s="699">
        <f t="shared" si="751"/>
        <v>5.7777777777777777</v>
      </c>
      <c r="AB2053" s="297">
        <f>AA2053*IncaGR</f>
        <v>5.8933333333333335</v>
      </c>
      <c r="AC2053" s="74">
        <f>Table1[[#This Row],[Substrate SF]]*POster</f>
        <v>4.2986666666666666</v>
      </c>
      <c r="AD2053" s="208">
        <f>Table1[[#This Row],[Ink g/mL]]*IncaCR</f>
        <v>0.4714666666666667</v>
      </c>
      <c r="AE2053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053" s="73">
        <v>0</v>
      </c>
      <c r="AG2053" s="126">
        <f>Materials!D$76</f>
        <v>10.82</v>
      </c>
      <c r="AH2053" s="112">
        <f t="shared" si="752"/>
        <v>3</v>
      </c>
      <c r="AI2053" s="112"/>
      <c r="AJ2053" s="278">
        <f t="shared" si="750"/>
        <v>28.590133333333334</v>
      </c>
      <c r="AK2053" s="62">
        <f t="shared" si="749"/>
        <v>0.52349777777777773</v>
      </c>
      <c r="AL2053" s="225">
        <f>Table1[[#This Row],[WSP/Dealer]]/Table1[[#This Row],[OD Sq Inch]]</f>
        <v>8.3333333333333329E-2</v>
      </c>
      <c r="AM2053" s="170">
        <f>Table1[[#This Row],[OD Wdth]]*Table1[[#This Row],[OD Hgt]]</f>
        <v>720</v>
      </c>
      <c r="AN2053" s="84"/>
      <c r="AO2053" s="119"/>
      <c r="AP2053" s="84"/>
      <c r="AQ2053" s="126"/>
      <c r="AR2053" s="126"/>
      <c r="AS2053" s="126"/>
      <c r="AT2053" s="74"/>
      <c r="AU2053" s="1356" t="str">
        <f t="shared" si="746"/>
        <v>-</v>
      </c>
    </row>
    <row r="2054" spans="1:47" s="170" customFormat="1" hidden="1" x14ac:dyDescent="0.2">
      <c r="A2054" s="101" t="s">
        <v>110</v>
      </c>
      <c r="B2054" s="1062" t="s">
        <v>134</v>
      </c>
      <c r="C2054" s="1237" t="s">
        <v>4711</v>
      </c>
      <c r="D2054" s="168"/>
      <c r="E2054" s="1237" t="s">
        <v>4721</v>
      </c>
      <c r="F2054" s="115" t="s">
        <v>386</v>
      </c>
      <c r="G2054" s="163" t="s">
        <v>637</v>
      </c>
      <c r="H2054" s="163" t="s">
        <v>637</v>
      </c>
      <c r="I2054" s="163" t="s">
        <v>52</v>
      </c>
      <c r="J2054" s="487" t="s">
        <v>53</v>
      </c>
      <c r="K2054" s="163" t="s">
        <v>281</v>
      </c>
      <c r="L2054" s="101" t="s">
        <v>55</v>
      </c>
      <c r="M2054" s="1412">
        <v>1000</v>
      </c>
      <c r="N2054" s="102"/>
      <c r="O2054" s="101" t="s">
        <v>56</v>
      </c>
      <c r="P2054" s="101">
        <v>60</v>
      </c>
      <c r="Q2054" s="101">
        <v>48</v>
      </c>
      <c r="R2054" s="101">
        <v>48</v>
      </c>
      <c r="S2054" s="697">
        <v>60</v>
      </c>
      <c r="T2054" s="697">
        <f>Table1[[#This Row],[VO Wdth]]</f>
        <v>60</v>
      </c>
      <c r="U2054" s="697">
        <f>Table1[[#This Row],[VO Hgt]]</f>
        <v>48</v>
      </c>
      <c r="V2054" s="608">
        <f>IF(J2054="Canvas",P2054+Border,P2054)</f>
        <v>68</v>
      </c>
      <c r="W2054" s="608">
        <f>IF(J2054="Canvas",Q2054+Border,Q2054)</f>
        <v>56</v>
      </c>
      <c r="X2054" s="101">
        <v>69</v>
      </c>
      <c r="Y2054" s="101">
        <v>68</v>
      </c>
      <c r="Z2054" s="101">
        <v>56</v>
      </c>
      <c r="AA2054" s="649">
        <f t="shared" si="751"/>
        <v>26.444444444444443</v>
      </c>
      <c r="AB2054" s="184">
        <f>AA2054*IncaG</f>
        <v>556.39111111111106</v>
      </c>
      <c r="AC2054" s="104">
        <f>AA2054*Canvas</f>
        <v>17.453333333333333</v>
      </c>
      <c r="AD2054" s="104">
        <f>AA2054*IncaC</f>
        <v>44.511288888888885</v>
      </c>
      <c r="AE2054" s="104">
        <f>IF(Table1[[#This Row],[Work Center]]="SwissQ",Materials!G$37,IF(Table1[[#This Row],[Work Center]]="Inca",Materials!G$29,IF(Table1[[#This Row],[Work Center]]="Canon",Materials!G$49,Materials!G$45)))</f>
        <v>8</v>
      </c>
      <c r="AF2054" s="104">
        <f>'Cali FPS'!C121</f>
        <v>188.18</v>
      </c>
      <c r="AG2054" s="115"/>
      <c r="AH2054" s="104">
        <f t="shared" si="752"/>
        <v>50</v>
      </c>
      <c r="AI2054" s="406">
        <f>IF(A2054="Codarus",(M2054*0.13))</f>
        <v>130</v>
      </c>
      <c r="AJ2054" s="104">
        <f>SUM(AC2054:AI2054)</f>
        <v>438.14462222222221</v>
      </c>
      <c r="AK2054" s="830">
        <f t="shared" si="749"/>
        <v>0.56185537777777783</v>
      </c>
      <c r="AL2054" s="660">
        <f>Table1[[#This Row],[WSP/Dealer]]/Table1[[#This Row],[OD Sq Inch]]</f>
        <v>0.34722222222222221</v>
      </c>
      <c r="AM2054" s="266">
        <f>Table1[[#This Row],[OD Wdth]]*Table1[[#This Row],[OD Hgt]]</f>
        <v>2880</v>
      </c>
      <c r="AN2054" s="115"/>
      <c r="AO2054" s="115"/>
      <c r="AP2054" s="121">
        <v>2000</v>
      </c>
      <c r="AQ2054" s="121">
        <f>(Table1[[#This Row],[Desgnr/Retail P]]*0.05)</f>
        <v>100</v>
      </c>
      <c r="AR2054" s="121">
        <f>IF(A2054="Codarus",(AP2054*0.13))</f>
        <v>260</v>
      </c>
      <c r="AS2054" s="121">
        <f>SUM(Table1[[#This Row],[Substrate $]:[GP FINISH]])+Table1[[#This Row],[Retail Royalty]]+Table1[[#This Row],[Retail$Comm]]</f>
        <v>618.14462222222221</v>
      </c>
      <c r="AT2054" s="830">
        <f>IF(AP2054=0,"-",(AP2054-AS2054)/AP2054)</f>
        <v>0.690927688888889</v>
      </c>
      <c r="AU2054" s="1359">
        <f t="shared" si="746"/>
        <v>0.99309072311111113</v>
      </c>
    </row>
    <row r="2055" spans="1:47" s="399" customFormat="1" hidden="1" x14ac:dyDescent="0.2">
      <c r="A2055" s="373" t="s">
        <v>187</v>
      </c>
      <c r="B2055" s="1061" t="s">
        <v>261</v>
      </c>
      <c r="C2055" s="436" t="s">
        <v>4722</v>
      </c>
      <c r="D2055" s="94"/>
      <c r="E2055" s="436" t="s">
        <v>4721</v>
      </c>
      <c r="F2055" s="84" t="s">
        <v>386</v>
      </c>
      <c r="G2055" s="258" t="s">
        <v>637</v>
      </c>
      <c r="H2055" s="258" t="s">
        <v>1119</v>
      </c>
      <c r="I2055" s="258" t="s">
        <v>52</v>
      </c>
      <c r="J2055" s="140" t="s">
        <v>53</v>
      </c>
      <c r="K2055" s="258" t="s">
        <v>1410</v>
      </c>
      <c r="L2055" s="68" t="s">
        <v>70</v>
      </c>
      <c r="M2055" s="420">
        <v>2950</v>
      </c>
      <c r="N2055" s="71"/>
      <c r="O2055" s="68" t="s">
        <v>56</v>
      </c>
      <c r="P2055" s="68">
        <v>60</v>
      </c>
      <c r="Q2055" s="68">
        <v>48</v>
      </c>
      <c r="R2055" s="68">
        <v>48</v>
      </c>
      <c r="S2055" s="623">
        <v>60</v>
      </c>
      <c r="T2055" s="623">
        <f>Table1[[#This Row],[VO Wdth]]</f>
        <v>60</v>
      </c>
      <c r="U2055" s="623">
        <f>Table1[[#This Row],[VO Hgt]]</f>
        <v>48</v>
      </c>
      <c r="V2055" s="66">
        <f>IF(J2055="Canvas",P2055+BorderGW,P2055)</f>
        <v>68</v>
      </c>
      <c r="W2055" s="66">
        <f>IF(J2055="Canvas",Q2055+BorderGW,Q2055)</f>
        <v>56</v>
      </c>
      <c r="X2055" s="189">
        <v>69</v>
      </c>
      <c r="Y2055" s="68"/>
      <c r="Z2055" s="68"/>
      <c r="AA2055" s="699">
        <f t="shared" si="751"/>
        <v>26.444444444444443</v>
      </c>
      <c r="AB2055" s="297">
        <f>AA2055*IncaG</f>
        <v>556.39111111111106</v>
      </c>
      <c r="AC2055" s="74">
        <f>AA2055*Canvas</f>
        <v>17.453333333333333</v>
      </c>
      <c r="AD2055" s="67">
        <f>AA2055*IncaC</f>
        <v>44.511288888888885</v>
      </c>
      <c r="AE2055" s="74">
        <f>IF(Table1[[#This Row],[Work Center]]="SwissQ",Materials!G$37,IF(Table1[[#This Row],[Work Center]]="Inca",Materials!G$29,IF(Table1[[#This Row],[Work Center]]="Canon",Materials!G$49,Materials!G$45)))</f>
        <v>8</v>
      </c>
      <c r="AF2055" s="74">
        <f>'Cali Frames'!D335</f>
        <v>258.27999999999997</v>
      </c>
      <c r="AG2055" s="84"/>
      <c r="AH2055" s="112">
        <f t="shared" si="752"/>
        <v>147.5</v>
      </c>
      <c r="AI2055" s="112"/>
      <c r="AJ2055" s="74">
        <f t="shared" ref="AJ2055:AJ2064" si="753">SUM(AC2055:AH2055)</f>
        <v>475.74462222222218</v>
      </c>
      <c r="AK2055" s="62">
        <f t="shared" si="749"/>
        <v>0.83873063653484003</v>
      </c>
      <c r="AL2055" s="225">
        <f>Table1[[#This Row],[WSP/Dealer]]/Table1[[#This Row],[OD Sq Inch]]</f>
        <v>1.0243055555555556</v>
      </c>
      <c r="AM2055" s="235">
        <f>Table1[[#This Row],[OD Wdth]]*Table1[[#This Row],[OD Hgt]]</f>
        <v>2880</v>
      </c>
      <c r="AN2055" s="84"/>
      <c r="AO2055" s="84"/>
      <c r="AP2055" s="84"/>
      <c r="AQ2055" s="126"/>
      <c r="AR2055" s="126"/>
      <c r="AS2055" s="126"/>
      <c r="AT2055" s="74"/>
      <c r="AU2055" s="1357" t="str">
        <f t="shared" si="746"/>
        <v>-</v>
      </c>
    </row>
    <row r="2056" spans="1:47" s="422" customFormat="1" hidden="1" x14ac:dyDescent="0.2">
      <c r="A2056" s="373" t="s">
        <v>187</v>
      </c>
      <c r="B2056" s="1061" t="s">
        <v>261</v>
      </c>
      <c r="C2056" s="430" t="s">
        <v>4723</v>
      </c>
      <c r="D2056" s="94"/>
      <c r="E2056" s="430" t="s">
        <v>4721</v>
      </c>
      <c r="F2056" s="450" t="s">
        <v>386</v>
      </c>
      <c r="G2056" s="431" t="s">
        <v>637</v>
      </c>
      <c r="H2056" s="431" t="s">
        <v>637</v>
      </c>
      <c r="I2056" s="431" t="s">
        <v>52</v>
      </c>
      <c r="J2056" s="451" t="s">
        <v>53</v>
      </c>
      <c r="K2056" s="431" t="s">
        <v>281</v>
      </c>
      <c r="L2056" s="421" t="s">
        <v>55</v>
      </c>
      <c r="M2056" s="429">
        <v>2550</v>
      </c>
      <c r="N2056" s="71"/>
      <c r="O2056" s="68" t="s">
        <v>56</v>
      </c>
      <c r="P2056" s="68">
        <v>60</v>
      </c>
      <c r="Q2056" s="68">
        <v>48</v>
      </c>
      <c r="R2056" s="68">
        <v>48</v>
      </c>
      <c r="S2056" s="623">
        <v>60</v>
      </c>
      <c r="T2056" s="623">
        <f>Table1[[#This Row],[VO Wdth]]</f>
        <v>60</v>
      </c>
      <c r="U2056" s="623">
        <f>Table1[[#This Row],[VO Hgt]]</f>
        <v>48</v>
      </c>
      <c r="V2056" s="917">
        <f>IF(J2056="Canvas",P2056+BorderGW,P2056)</f>
        <v>68</v>
      </c>
      <c r="W2056" s="917">
        <f>IF(J2056="Canvas",Q2056+BorderGW,Q2056)</f>
        <v>56</v>
      </c>
      <c r="X2056" s="189">
        <v>69</v>
      </c>
      <c r="Y2056" s="68"/>
      <c r="Z2056" s="68"/>
      <c r="AA2056" s="699">
        <f t="shared" si="751"/>
        <v>26.444444444444443</v>
      </c>
      <c r="AB2056" s="297">
        <f>AA2056*IncaG</f>
        <v>556.39111111111106</v>
      </c>
      <c r="AC2056" s="74">
        <f>AA2056*Canvas</f>
        <v>17.453333333333333</v>
      </c>
      <c r="AD2056" s="74">
        <f>AA2056*IncaC</f>
        <v>44.511288888888885</v>
      </c>
      <c r="AE2056" s="74">
        <f>IF(Table1[[#This Row],[Work Center]]="SwissQ",Materials!G$37,IF(Table1[[#This Row],[Work Center]]="Inca",Materials!G$29,IF(Table1[[#This Row],[Work Center]]="Canon",Materials!G$49,Materials!G$45)))</f>
        <v>8</v>
      </c>
      <c r="AF2056" s="74">
        <f>'Cali FPS'!C121</f>
        <v>188.18</v>
      </c>
      <c r="AG2056" s="84"/>
      <c r="AH2056" s="498">
        <f t="shared" si="752"/>
        <v>127.5</v>
      </c>
      <c r="AI2056" s="498"/>
      <c r="AJ2056" s="74">
        <f t="shared" si="753"/>
        <v>385.64462222222221</v>
      </c>
      <c r="AK2056" s="650">
        <f t="shared" si="749"/>
        <v>0.84876681481481486</v>
      </c>
      <c r="AL2056" s="225">
        <f>Table1[[#This Row],[WSP/Dealer]]/Table1[[#This Row],[OD Sq Inch]]</f>
        <v>0.88541666666666663</v>
      </c>
      <c r="AM2056" s="238">
        <f>Table1[[#This Row],[OD Wdth]]*Table1[[#This Row],[OD Hgt]]</f>
        <v>2880</v>
      </c>
      <c r="AN2056" s="84"/>
      <c r="AO2056" s="84"/>
      <c r="AP2056" s="84"/>
      <c r="AQ2056" s="126"/>
      <c r="AR2056" s="126"/>
      <c r="AS2056" s="126"/>
      <c r="AT2056" s="74"/>
      <c r="AU2056" s="1357" t="str">
        <f t="shared" si="746"/>
        <v>-</v>
      </c>
    </row>
    <row r="2057" spans="1:47" s="422" customFormat="1" hidden="1" x14ac:dyDescent="0.2">
      <c r="A2057" s="373" t="s">
        <v>187</v>
      </c>
      <c r="B2057" s="1061" t="s">
        <v>261</v>
      </c>
      <c r="C2057" s="436" t="s">
        <v>4724</v>
      </c>
      <c r="D2057" s="94"/>
      <c r="E2057" s="436" t="s">
        <v>4721</v>
      </c>
      <c r="F2057" s="84" t="s">
        <v>386</v>
      </c>
      <c r="G2057" s="258" t="s">
        <v>637</v>
      </c>
      <c r="H2057" s="258" t="s">
        <v>1119</v>
      </c>
      <c r="I2057" s="258" t="s">
        <v>52</v>
      </c>
      <c r="J2057" s="140" t="s">
        <v>53</v>
      </c>
      <c r="K2057" s="258" t="s">
        <v>1412</v>
      </c>
      <c r="L2057" s="68" t="s">
        <v>73</v>
      </c>
      <c r="M2057" s="420">
        <v>2950</v>
      </c>
      <c r="N2057" s="71"/>
      <c r="O2057" s="68" t="s">
        <v>56</v>
      </c>
      <c r="P2057" s="68">
        <v>60</v>
      </c>
      <c r="Q2057" s="68">
        <v>48</v>
      </c>
      <c r="R2057" s="68">
        <v>48</v>
      </c>
      <c r="S2057" s="623">
        <v>60</v>
      </c>
      <c r="T2057" s="623">
        <f>Table1[[#This Row],[VO Wdth]]</f>
        <v>60</v>
      </c>
      <c r="U2057" s="623">
        <f>Table1[[#This Row],[VO Hgt]]</f>
        <v>48</v>
      </c>
      <c r="V2057" s="917">
        <f>IF(J2057="Canvas",P2057+BorderGW,P2057)</f>
        <v>68</v>
      </c>
      <c r="W2057" s="917">
        <f>IF(J2057="Canvas",Q2057+BorderGW,Q2057)</f>
        <v>56</v>
      </c>
      <c r="X2057" s="189">
        <v>69</v>
      </c>
      <c r="Y2057" s="68"/>
      <c r="Z2057" s="68"/>
      <c r="AA2057" s="699">
        <f t="shared" si="751"/>
        <v>26.444444444444443</v>
      </c>
      <c r="AB2057" s="297">
        <f>AA2057*IncaG</f>
        <v>556.39111111111106</v>
      </c>
      <c r="AC2057" s="74">
        <f>AA2057*Canvas</f>
        <v>17.453333333333333</v>
      </c>
      <c r="AD2057" s="67">
        <f>AA2057*IncaC</f>
        <v>44.511288888888885</v>
      </c>
      <c r="AE2057" s="74">
        <f>IF(Table1[[#This Row],[Work Center]]="SwissQ",Materials!G$37,IF(Table1[[#This Row],[Work Center]]="Inca",Materials!G$29,IF(Table1[[#This Row],[Work Center]]="Canon",Materials!G$49,Materials!G$45)))</f>
        <v>8</v>
      </c>
      <c r="AF2057" s="74">
        <f>'Cali Frames'!D470</f>
        <v>263.70999999999998</v>
      </c>
      <c r="AG2057" s="84"/>
      <c r="AH2057" s="498">
        <f t="shared" si="752"/>
        <v>147.5</v>
      </c>
      <c r="AI2057" s="498"/>
      <c r="AJ2057" s="74">
        <f t="shared" si="753"/>
        <v>481.17462222222218</v>
      </c>
      <c r="AK2057" s="650">
        <f t="shared" si="749"/>
        <v>0.83688995856873816</v>
      </c>
      <c r="AL2057" s="225">
        <f>Table1[[#This Row],[WSP/Dealer]]/Table1[[#This Row],[OD Sq Inch]]</f>
        <v>1.0243055555555556</v>
      </c>
      <c r="AM2057" s="238">
        <f>Table1[[#This Row],[OD Wdth]]*Table1[[#This Row],[OD Hgt]]</f>
        <v>2880</v>
      </c>
      <c r="AN2057" s="84"/>
      <c r="AO2057" s="84"/>
      <c r="AP2057" s="84"/>
      <c r="AQ2057" s="126"/>
      <c r="AR2057" s="126"/>
      <c r="AS2057" s="126"/>
      <c r="AT2057" s="74"/>
      <c r="AU2057" s="1357" t="str">
        <f t="shared" si="746"/>
        <v>-</v>
      </c>
    </row>
    <row r="2058" spans="1:47" s="422" customFormat="1" hidden="1" x14ac:dyDescent="0.2">
      <c r="A2058" s="373" t="s">
        <v>187</v>
      </c>
      <c r="B2058" s="1061" t="s">
        <v>261</v>
      </c>
      <c r="C2058" s="436" t="s">
        <v>4725</v>
      </c>
      <c r="D2058" s="94"/>
      <c r="E2058" s="436" t="s">
        <v>4726</v>
      </c>
      <c r="F2058" s="84" t="s">
        <v>386</v>
      </c>
      <c r="G2058" s="258" t="s">
        <v>637</v>
      </c>
      <c r="H2058" s="258" t="s">
        <v>637</v>
      </c>
      <c r="I2058" s="274" t="s">
        <v>108</v>
      </c>
      <c r="J2058" s="68" t="s">
        <v>197</v>
      </c>
      <c r="K2058" s="274" t="s">
        <v>198</v>
      </c>
      <c r="L2058" s="274" t="s">
        <v>199</v>
      </c>
      <c r="M2058" s="696">
        <v>120</v>
      </c>
      <c r="N2058" s="71"/>
      <c r="O2058" s="68" t="s">
        <v>56</v>
      </c>
      <c r="P2058" s="68">
        <v>60</v>
      </c>
      <c r="Q2058" s="68">
        <v>48</v>
      </c>
      <c r="R2058" s="68">
        <v>48</v>
      </c>
      <c r="S2058" s="623">
        <v>60</v>
      </c>
      <c r="T2058" s="623">
        <f>Table1[[#This Row],[VO Wdth]]</f>
        <v>60</v>
      </c>
      <c r="U2058" s="623">
        <f>Table1[[#This Row],[VO Hgt]]</f>
        <v>48</v>
      </c>
      <c r="V2058" s="277">
        <f>Table1[[#This Row],[VO Wdth]]+Materials!$C$7</f>
        <v>62</v>
      </c>
      <c r="W2058" s="277">
        <f>Table1[[#This Row],[VO Hgt]]+Materials!$C$7</f>
        <v>50</v>
      </c>
      <c r="X2058" s="343" t="s">
        <v>197</v>
      </c>
      <c r="Y2058" s="68"/>
      <c r="Z2058" s="68"/>
      <c r="AA2058" s="699">
        <f t="shared" si="751"/>
        <v>21.527777777777779</v>
      </c>
      <c r="AB2058" s="297">
        <f>AA2058*IncaGR</f>
        <v>21.958333333333336</v>
      </c>
      <c r="AC2058" s="74">
        <f>Table1[[#This Row],[Substrate SF]]*POster</f>
        <v>16.016666666666666</v>
      </c>
      <c r="AD2058" s="208">
        <f>Table1[[#This Row],[Ink g/mL]]*IncaCR</f>
        <v>1.7566666666666668</v>
      </c>
      <c r="AE205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058" s="73">
        <v>0</v>
      </c>
      <c r="AG2058" s="126">
        <f>Materials!D$76</f>
        <v>10.82</v>
      </c>
      <c r="AH2058" s="112">
        <f t="shared" si="752"/>
        <v>6</v>
      </c>
      <c r="AI2058" s="112"/>
      <c r="AJ2058" s="278">
        <f t="shared" si="753"/>
        <v>44.593333333333334</v>
      </c>
      <c r="AK2058" s="62">
        <f t="shared" si="749"/>
        <v>0.62838888888888889</v>
      </c>
      <c r="AL2058" s="225">
        <f>Table1[[#This Row],[WSP/Dealer]]/Table1[[#This Row],[OD Sq Inch]]</f>
        <v>4.1666666666666664E-2</v>
      </c>
      <c r="AM2058" s="170">
        <f>Table1[[#This Row],[OD Wdth]]*Table1[[#This Row],[OD Hgt]]</f>
        <v>2880</v>
      </c>
      <c r="AN2058" s="84"/>
      <c r="AO2058" s="84"/>
      <c r="AP2058" s="84"/>
      <c r="AQ2058" s="126"/>
      <c r="AR2058" s="126"/>
      <c r="AS2058" s="126"/>
      <c r="AT2058" s="74"/>
      <c r="AU2058" s="1357" t="str">
        <f t="shared" si="746"/>
        <v>-</v>
      </c>
    </row>
    <row r="2059" spans="1:47" s="422" customFormat="1" hidden="1" x14ac:dyDescent="0.2">
      <c r="A2059" s="101" t="s">
        <v>101</v>
      </c>
      <c r="B2059" s="1064" t="s">
        <v>102</v>
      </c>
      <c r="C2059" s="625" t="s">
        <v>4727</v>
      </c>
      <c r="D2059" s="168"/>
      <c r="E2059" s="169" t="s">
        <v>4728</v>
      </c>
      <c r="F2059" s="115" t="s">
        <v>105</v>
      </c>
      <c r="G2059" s="407" t="s">
        <v>4729</v>
      </c>
      <c r="H2059" s="407" t="s">
        <v>4730</v>
      </c>
      <c r="I2059" s="101" t="s">
        <v>108</v>
      </c>
      <c r="J2059" s="487" t="s">
        <v>53</v>
      </c>
      <c r="K2059" s="101" t="s">
        <v>69</v>
      </c>
      <c r="L2059" s="101" t="s">
        <v>315</v>
      </c>
      <c r="M2059" s="299">
        <v>221</v>
      </c>
      <c r="N2059" s="114"/>
      <c r="O2059" s="101" t="s">
        <v>109</v>
      </c>
      <c r="P2059" s="101">
        <v>10</v>
      </c>
      <c r="Q2059" s="101">
        <v>17</v>
      </c>
      <c r="R2059" s="101">
        <v>10</v>
      </c>
      <c r="S2059" s="697">
        <v>17</v>
      </c>
      <c r="T2059" s="697">
        <v>11</v>
      </c>
      <c r="U2059" s="697">
        <v>18</v>
      </c>
      <c r="V2059" s="608">
        <f>IF(J2059="Canvas",P2059+Border,P2059)</f>
        <v>18</v>
      </c>
      <c r="W2059" s="608">
        <f>IF(J2059="Canvas",Q2059+Border,Q2059)</f>
        <v>25</v>
      </c>
      <c r="X2059" s="101">
        <v>40</v>
      </c>
      <c r="Y2059" s="918">
        <f>Table1[[#This Row],[Print Wth]]</f>
        <v>18</v>
      </c>
      <c r="Z2059" s="918">
        <f>Table1[[#This Row],[Print Ht]]</f>
        <v>25</v>
      </c>
      <c r="AA2059" s="724">
        <f>Table1[[#This Row],[Cut Width]]*Table1[[#This Row],[Cut Height]]/144</f>
        <v>3.125</v>
      </c>
      <c r="AB2059" s="633">
        <f>Table1[[#This Row],[Print Wth]]*Table1[[#This Row],[Print Ht]]/144*EPSONM</f>
        <v>14.0625</v>
      </c>
      <c r="AC2059" s="406">
        <f>Table1[[#This Row],[Substrate SF]]*Canvas</f>
        <v>2.0625</v>
      </c>
      <c r="AD2059" s="405">
        <f>Table1[[#This Row],[Ink g/mL]]*EPSONC</f>
        <v>3.09375</v>
      </c>
      <c r="AE2059" s="406">
        <f>IF(Table1[[#This Row],[Work Center]]="SwissQ",Materials!G$37,IF(Table1[[#This Row],[Work Center]]="Inca",Materials!G$29,IF(Table1[[#This Row],[Work Center]]="Canon",Materials!G$49,Materials!G$45)))</f>
        <v>5</v>
      </c>
      <c r="AF2059" s="102">
        <f>'Cali Frames'!D496</f>
        <v>100</v>
      </c>
      <c r="AG2059" s="121"/>
      <c r="AH2059" s="104">
        <v>0</v>
      </c>
      <c r="AI2059" s="104"/>
      <c r="AJ2059" s="104">
        <f t="shared" si="753"/>
        <v>110.15625</v>
      </c>
      <c r="AK2059" s="830">
        <f t="shared" si="749"/>
        <v>0.50155542986425339</v>
      </c>
      <c r="AL2059" s="104">
        <f>Table1[[#This Row],[WSP/Dealer]]/Table1[[#This Row],[OD Sq Inch]]</f>
        <v>1.1161616161616161</v>
      </c>
      <c r="AM2059" s="101">
        <f>Table1[[#This Row],[OD Wdth]]*Table1[[#This Row],[OD Hgt]]</f>
        <v>198</v>
      </c>
      <c r="AN2059" s="101">
        <f>Table1[[#This Row],[Min VO]]+Table1[[#This Row],[Max VO]]</f>
        <v>27</v>
      </c>
      <c r="AO2059" s="115"/>
      <c r="AP2059" s="115"/>
      <c r="AQ2059" s="121"/>
      <c r="AR2059" s="121"/>
      <c r="AS2059" s="121"/>
      <c r="AT2059" s="104"/>
      <c r="AU2059" s="1359" t="str">
        <f t="shared" si="746"/>
        <v>-</v>
      </c>
    </row>
    <row r="2060" spans="1:47" s="422" customFormat="1" x14ac:dyDescent="0.2">
      <c r="A2060" s="101" t="s">
        <v>58</v>
      </c>
      <c r="B2060" s="1067" t="s">
        <v>1190</v>
      </c>
      <c r="C2060" s="625" t="s">
        <v>4731</v>
      </c>
      <c r="D2060" s="168"/>
      <c r="E2060" s="169" t="s">
        <v>4732</v>
      </c>
      <c r="F2060" s="115" t="s">
        <v>144</v>
      </c>
      <c r="G2060" s="407" t="s">
        <v>602</v>
      </c>
      <c r="H2060" s="407" t="s">
        <v>602</v>
      </c>
      <c r="I2060" s="101" t="s">
        <v>52</v>
      </c>
      <c r="J2060" s="487" t="s">
        <v>53</v>
      </c>
      <c r="K2060" s="101" t="s">
        <v>54</v>
      </c>
      <c r="L2060" s="101" t="s">
        <v>55</v>
      </c>
      <c r="M2060" s="299">
        <v>425</v>
      </c>
      <c r="N2060" s="114"/>
      <c r="O2060" s="101" t="s">
        <v>56</v>
      </c>
      <c r="P2060" s="101">
        <v>25</v>
      </c>
      <c r="Q2060" s="101">
        <v>31</v>
      </c>
      <c r="R2060" s="101">
        <v>25</v>
      </c>
      <c r="S2060" s="101">
        <v>31</v>
      </c>
      <c r="T2060" s="697">
        <v>25</v>
      </c>
      <c r="U2060" s="697">
        <v>31</v>
      </c>
      <c r="V2060" s="106">
        <f>IF(J2060="Canvas",P2060+Border,P2060)</f>
        <v>33</v>
      </c>
      <c r="W2060" s="106">
        <f>IF(J2060="Canvas",Q2060+Border,Q2060)</f>
        <v>39</v>
      </c>
      <c r="X2060" s="101">
        <v>40</v>
      </c>
      <c r="Y2060" s="101">
        <v>33</v>
      </c>
      <c r="Z2060" s="101">
        <v>39</v>
      </c>
      <c r="AA2060" s="649">
        <f t="shared" ref="AA2060:AA2067" si="754">V2060*W2060/144</f>
        <v>8.9375</v>
      </c>
      <c r="AB2060" s="184">
        <f>AA2060*IncaG</f>
        <v>188.04499999999999</v>
      </c>
      <c r="AC2060" s="104">
        <f>AA2060*Canvas</f>
        <v>5.8987500000000006</v>
      </c>
      <c r="AD2060" s="107">
        <f>AA2060*IncaC</f>
        <v>15.0436</v>
      </c>
      <c r="AE2060" s="104">
        <f>IF(Table1[[#This Row],[Work Center]]="SwissQ",Materials!G$37,IF(Table1[[#This Row],[Work Center]]="Inca",Materials!G$29,IF(Table1[[#This Row],[Work Center]]="Canon",Materials!G$49,Materials!G$45)))</f>
        <v>8</v>
      </c>
      <c r="AF2060" s="102">
        <f>'Cali FPS'!C40</f>
        <v>79.239999999999995</v>
      </c>
      <c r="AG2060" s="121"/>
      <c r="AH2060" s="107">
        <f t="shared" ref="AH2060:AH2067" si="755">(M2060*0.05)</f>
        <v>21.25</v>
      </c>
      <c r="AI2060" s="107"/>
      <c r="AJ2060" s="107">
        <f t="shared" si="753"/>
        <v>129.43234999999999</v>
      </c>
      <c r="AK2060" s="108">
        <f t="shared" si="749"/>
        <v>0.69545329411764711</v>
      </c>
      <c r="AL2060" s="104">
        <f>Table1[[#This Row],[WSP/Dealer]]/Table1[[#This Row],[OD Sq Inch]]</f>
        <v>0.54838709677419351</v>
      </c>
      <c r="AM2060" s="103">
        <f>Table1[[#This Row],[OD Wdth]]*Table1[[#This Row],[OD Hgt]]</f>
        <v>775</v>
      </c>
      <c r="AN2060" s="101">
        <f>Table1[[#This Row],[Min VO]]+Table1[[#This Row],[Max VO]]</f>
        <v>56</v>
      </c>
      <c r="AO2060" s="115"/>
      <c r="AP2060" s="115"/>
      <c r="AQ2060" s="121"/>
      <c r="AR2060" s="121"/>
      <c r="AS2060" s="121"/>
      <c r="AT2060" s="104"/>
      <c r="AU2060" s="1359" t="str">
        <f t="shared" si="746"/>
        <v>-</v>
      </c>
    </row>
    <row r="2061" spans="1:47" s="486" customFormat="1" x14ac:dyDescent="0.2">
      <c r="A2061" s="68" t="s">
        <v>58</v>
      </c>
      <c r="B2061" s="1072" t="s">
        <v>1190</v>
      </c>
      <c r="C2061" s="627" t="s">
        <v>4733</v>
      </c>
      <c r="D2061" s="94"/>
      <c r="E2061" s="172" t="s">
        <v>4732</v>
      </c>
      <c r="F2061" s="84" t="s">
        <v>144</v>
      </c>
      <c r="G2061" s="363" t="s">
        <v>602</v>
      </c>
      <c r="H2061" s="363" t="s">
        <v>2347</v>
      </c>
      <c r="I2061" s="68" t="s">
        <v>52</v>
      </c>
      <c r="J2061" s="140" t="s">
        <v>53</v>
      </c>
      <c r="K2061" s="68" t="s">
        <v>54</v>
      </c>
      <c r="L2061" s="68" t="s">
        <v>83</v>
      </c>
      <c r="M2061" s="141">
        <v>550</v>
      </c>
      <c r="N2061" s="93"/>
      <c r="O2061" s="68" t="s">
        <v>56</v>
      </c>
      <c r="P2061" s="68">
        <v>25</v>
      </c>
      <c r="Q2061" s="68">
        <v>31</v>
      </c>
      <c r="R2061" s="68">
        <v>25</v>
      </c>
      <c r="S2061" s="68">
        <v>31</v>
      </c>
      <c r="T2061" s="623">
        <v>27</v>
      </c>
      <c r="U2061" s="623">
        <v>33</v>
      </c>
      <c r="V2061" s="66">
        <f>IF(J2061="Canvas",P2061+Border,P2061)</f>
        <v>33</v>
      </c>
      <c r="W2061" s="66">
        <f>IF(J2061="Canvas",Q2061+Border,Q2061)</f>
        <v>39</v>
      </c>
      <c r="X2061" s="68">
        <v>40</v>
      </c>
      <c r="Y2061" s="68">
        <v>33</v>
      </c>
      <c r="Z2061" s="68">
        <v>39</v>
      </c>
      <c r="AA2061" s="699">
        <f t="shared" si="754"/>
        <v>8.9375</v>
      </c>
      <c r="AB2061" s="297">
        <f>AA2061*IncaG</f>
        <v>188.04499999999999</v>
      </c>
      <c r="AC2061" s="74">
        <f>AA2061*Canvas</f>
        <v>5.8987500000000006</v>
      </c>
      <c r="AD2061" s="67">
        <f>AA2061*IncaC</f>
        <v>15.0436</v>
      </c>
      <c r="AE2061" s="74">
        <f>IF(Table1[[#This Row],[Work Center]]="SwissQ",Materials!G$37,IF(Table1[[#This Row],[Work Center]]="Inca",Materials!G$29,IF(Table1[[#This Row],[Work Center]]="Canon",Materials!G$49,Materials!G$45)))</f>
        <v>8</v>
      </c>
      <c r="AF2061" s="73">
        <f>'Cali Frames'!D124</f>
        <v>115.31</v>
      </c>
      <c r="AG2061" s="126"/>
      <c r="AH2061" s="67">
        <f t="shared" si="755"/>
        <v>27.5</v>
      </c>
      <c r="AI2061" s="67"/>
      <c r="AJ2061" s="67">
        <f t="shared" si="753"/>
        <v>171.75235000000001</v>
      </c>
      <c r="AK2061" s="661">
        <f t="shared" si="749"/>
        <v>0.68772300000000008</v>
      </c>
      <c r="AL2061" s="74">
        <f>Table1[[#This Row],[WSP/Dealer]]/Table1[[#This Row],[OD Sq Inch]]</f>
        <v>0.61728395061728392</v>
      </c>
      <c r="AM2061" s="63">
        <f>Table1[[#This Row],[OD Wdth]]*Table1[[#This Row],[OD Hgt]]</f>
        <v>891</v>
      </c>
      <c r="AN2061" s="68">
        <f>Table1[[#This Row],[Min VO]]+Table1[[#This Row],[Max VO]]</f>
        <v>56</v>
      </c>
      <c r="AO2061" s="84"/>
      <c r="AP2061" s="84"/>
      <c r="AQ2061" s="126"/>
      <c r="AR2061" s="126"/>
      <c r="AS2061" s="126"/>
      <c r="AT2061" s="74"/>
      <c r="AU2061" s="1357" t="str">
        <f t="shared" si="746"/>
        <v>-</v>
      </c>
    </row>
    <row r="2062" spans="1:47" s="422" customFormat="1" x14ac:dyDescent="0.2">
      <c r="A2062" s="68" t="s">
        <v>58</v>
      </c>
      <c r="B2062" s="1152" t="s">
        <v>1190</v>
      </c>
      <c r="C2062" s="627" t="s">
        <v>4734</v>
      </c>
      <c r="D2062" s="94"/>
      <c r="E2062" s="172" t="s">
        <v>4732</v>
      </c>
      <c r="F2062" s="84" t="s">
        <v>144</v>
      </c>
      <c r="G2062" s="363" t="s">
        <v>602</v>
      </c>
      <c r="H2062" s="363" t="s">
        <v>2347</v>
      </c>
      <c r="I2062" s="68" t="s">
        <v>52</v>
      </c>
      <c r="J2062" s="140" t="s">
        <v>53</v>
      </c>
      <c r="K2062" s="68" t="s">
        <v>54</v>
      </c>
      <c r="L2062" s="68" t="s">
        <v>298</v>
      </c>
      <c r="M2062" s="141">
        <v>550</v>
      </c>
      <c r="N2062" s="93"/>
      <c r="O2062" s="68" t="s">
        <v>56</v>
      </c>
      <c r="P2062" s="68">
        <v>25</v>
      </c>
      <c r="Q2062" s="68">
        <v>31</v>
      </c>
      <c r="R2062" s="68">
        <v>25</v>
      </c>
      <c r="S2062" s="68">
        <v>31</v>
      </c>
      <c r="T2062" s="623">
        <v>27</v>
      </c>
      <c r="U2062" s="623">
        <v>33</v>
      </c>
      <c r="V2062" s="917">
        <f>IF(J2062="Canvas",P2062+Border,P2062)</f>
        <v>33</v>
      </c>
      <c r="W2062" s="917">
        <f>IF(J2062="Canvas",Q2062+Border,Q2062)</f>
        <v>39</v>
      </c>
      <c r="X2062" s="68">
        <v>40</v>
      </c>
      <c r="Y2062" s="68">
        <v>33</v>
      </c>
      <c r="Z2062" s="68">
        <v>39</v>
      </c>
      <c r="AA2062" s="699">
        <f t="shared" si="754"/>
        <v>8.9375</v>
      </c>
      <c r="AB2062" s="297">
        <f>AA2062*IncaG</f>
        <v>188.04499999999999</v>
      </c>
      <c r="AC2062" s="74">
        <f>AA2062*Canvas</f>
        <v>5.8987500000000006</v>
      </c>
      <c r="AD2062" s="67">
        <f>AA2062*IncaC</f>
        <v>15.0436</v>
      </c>
      <c r="AE2062" s="74">
        <f>IF(Table1[[#This Row],[Work Center]]="SwissQ",Materials!G$37,IF(Table1[[#This Row],[Work Center]]="Inca",Materials!G$29,IF(Table1[[#This Row],[Work Center]]="Canon",Materials!G$49,Materials!G$45)))</f>
        <v>8</v>
      </c>
      <c r="AF2062" s="73">
        <f>'Cali Frames'!D228</f>
        <v>119.63</v>
      </c>
      <c r="AG2062" s="126"/>
      <c r="AH2062" s="74">
        <f t="shared" si="755"/>
        <v>27.5</v>
      </c>
      <c r="AI2062" s="74"/>
      <c r="AJ2062" s="74">
        <f t="shared" si="753"/>
        <v>176.07235</v>
      </c>
      <c r="AK2062" s="1001">
        <f t="shared" si="749"/>
        <v>0.67986845454545453</v>
      </c>
      <c r="AL2062" s="74">
        <f>Table1[[#This Row],[WSP/Dealer]]/Table1[[#This Row],[OD Sq Inch]]</f>
        <v>0.61728395061728392</v>
      </c>
      <c r="AM2062" s="63">
        <f>Table1[[#This Row],[OD Wdth]]*Table1[[#This Row],[OD Hgt]]</f>
        <v>891</v>
      </c>
      <c r="AN2062" s="68">
        <f>Table1[[#This Row],[Min VO]]+Table1[[#This Row],[Max VO]]</f>
        <v>56</v>
      </c>
      <c r="AO2062" s="84"/>
      <c r="AP2062" s="84"/>
      <c r="AQ2062" s="126"/>
      <c r="AR2062" s="126"/>
      <c r="AS2062" s="126"/>
      <c r="AT2062" s="74"/>
      <c r="AU2062" s="1357" t="str">
        <f t="shared" si="746"/>
        <v>-</v>
      </c>
    </row>
    <row r="2063" spans="1:47" s="486" customFormat="1" x14ac:dyDescent="0.2">
      <c r="A2063" s="68" t="s">
        <v>58</v>
      </c>
      <c r="B2063" s="1072" t="s">
        <v>1190</v>
      </c>
      <c r="C2063" s="627" t="s">
        <v>4735</v>
      </c>
      <c r="D2063" s="94"/>
      <c r="E2063" s="172" t="s">
        <v>4732</v>
      </c>
      <c r="F2063" s="84" t="s">
        <v>144</v>
      </c>
      <c r="G2063" s="363" t="s">
        <v>602</v>
      </c>
      <c r="H2063" s="363" t="s">
        <v>2347</v>
      </c>
      <c r="I2063" s="68" t="s">
        <v>52</v>
      </c>
      <c r="J2063" s="140" t="s">
        <v>53</v>
      </c>
      <c r="K2063" s="68" t="s">
        <v>54</v>
      </c>
      <c r="L2063" s="68" t="s">
        <v>334</v>
      </c>
      <c r="M2063" s="141">
        <v>550</v>
      </c>
      <c r="N2063" s="93"/>
      <c r="O2063" s="68" t="s">
        <v>56</v>
      </c>
      <c r="P2063" s="68">
        <v>25</v>
      </c>
      <c r="Q2063" s="68">
        <v>31</v>
      </c>
      <c r="R2063" s="68">
        <v>25</v>
      </c>
      <c r="S2063" s="63">
        <v>31</v>
      </c>
      <c r="T2063" s="623">
        <v>27</v>
      </c>
      <c r="U2063" s="623">
        <v>33</v>
      </c>
      <c r="V2063" s="66">
        <f>IF(J2063="Canvas",P2063+Border,P2063)</f>
        <v>33</v>
      </c>
      <c r="W2063" s="66">
        <f>IF(J2063="Canvas",Q2063+Border,Q2063)</f>
        <v>39</v>
      </c>
      <c r="X2063" s="68">
        <v>40</v>
      </c>
      <c r="Y2063" s="68">
        <v>33</v>
      </c>
      <c r="Z2063" s="68">
        <v>39</v>
      </c>
      <c r="AA2063" s="699">
        <f t="shared" si="754"/>
        <v>8.9375</v>
      </c>
      <c r="AB2063" s="297">
        <f>AA2063*IncaG</f>
        <v>188.04499999999999</v>
      </c>
      <c r="AC2063" s="74">
        <f>AA2063*Canvas</f>
        <v>5.8987500000000006</v>
      </c>
      <c r="AD2063" s="67">
        <f>AA2063*IncaC</f>
        <v>15.0436</v>
      </c>
      <c r="AE2063" s="74">
        <f>IF(Table1[[#This Row],[Work Center]]="SwissQ",Materials!G$37,IF(Table1[[#This Row],[Work Center]]="Inca",Materials!G$29,IF(Table1[[#This Row],[Work Center]]="Canon",Materials!G$49,Materials!G$45)))</f>
        <v>8</v>
      </c>
      <c r="AF2063" s="73">
        <f>'Cali Frames'!D211</f>
        <v>114.56</v>
      </c>
      <c r="AG2063" s="126"/>
      <c r="AH2063" s="67">
        <f t="shared" si="755"/>
        <v>27.5</v>
      </c>
      <c r="AI2063" s="67"/>
      <c r="AJ2063" s="67">
        <f t="shared" si="753"/>
        <v>171.00235000000001</v>
      </c>
      <c r="AK2063" s="661">
        <f t="shared" si="749"/>
        <v>0.68908663636363643</v>
      </c>
      <c r="AL2063" s="74">
        <f>Table1[[#This Row],[WSP/Dealer]]/Table1[[#This Row],[OD Sq Inch]]</f>
        <v>0.61728395061728392</v>
      </c>
      <c r="AM2063" s="63">
        <f>Table1[[#This Row],[OD Wdth]]*Table1[[#This Row],[OD Hgt]]</f>
        <v>891</v>
      </c>
      <c r="AN2063" s="68">
        <f>Table1[[#This Row],[Min VO]]+Table1[[#This Row],[Max VO]]</f>
        <v>56</v>
      </c>
      <c r="AO2063" s="119"/>
      <c r="AP2063" s="84"/>
      <c r="AQ2063" s="126"/>
      <c r="AR2063" s="126"/>
      <c r="AS2063" s="126"/>
      <c r="AT2063" s="74"/>
      <c r="AU2063" s="1356" t="str">
        <f t="shared" si="746"/>
        <v>-</v>
      </c>
    </row>
    <row r="2064" spans="1:47" s="1113" customFormat="1" x14ac:dyDescent="0.2">
      <c r="A2064" s="101" t="s">
        <v>58</v>
      </c>
      <c r="B2064" s="1067" t="s">
        <v>1190</v>
      </c>
      <c r="C2064" s="625" t="s">
        <v>4736</v>
      </c>
      <c r="D2064" s="168"/>
      <c r="E2064" s="169" t="s">
        <v>4737</v>
      </c>
      <c r="F2064" s="115" t="s">
        <v>144</v>
      </c>
      <c r="G2064" s="407" t="s">
        <v>191</v>
      </c>
      <c r="H2064" s="407" t="s">
        <v>191</v>
      </c>
      <c r="I2064" s="101" t="s">
        <v>52</v>
      </c>
      <c r="J2064" s="487" t="s">
        <v>53</v>
      </c>
      <c r="K2064" s="101" t="s">
        <v>54</v>
      </c>
      <c r="L2064" s="101" t="s">
        <v>55</v>
      </c>
      <c r="M2064" s="114">
        <v>950</v>
      </c>
      <c r="N2064" s="114"/>
      <c r="O2064" s="101" t="s">
        <v>56</v>
      </c>
      <c r="P2064" s="101">
        <v>48</v>
      </c>
      <c r="Q2064" s="101">
        <v>60</v>
      </c>
      <c r="R2064" s="101">
        <v>48</v>
      </c>
      <c r="S2064" s="101">
        <v>60</v>
      </c>
      <c r="T2064" s="697">
        <v>48</v>
      </c>
      <c r="U2064" s="697">
        <v>60</v>
      </c>
      <c r="V2064" s="918">
        <f>IF(J2064="Canvas",P2064+BorderL,P2064)</f>
        <v>59</v>
      </c>
      <c r="W2064" s="918">
        <f>IF(J2064="Canvas",Q2064+BorderL,Q2064)</f>
        <v>71</v>
      </c>
      <c r="X2064" s="101">
        <v>59</v>
      </c>
      <c r="Y2064" s="101">
        <v>59</v>
      </c>
      <c r="Z2064" s="101">
        <v>71</v>
      </c>
      <c r="AA2064" s="649">
        <f t="shared" si="754"/>
        <v>29.090277777777779</v>
      </c>
      <c r="AB2064" s="184">
        <f>AA2064*IncaG</f>
        <v>612.05944444444447</v>
      </c>
      <c r="AC2064" s="104">
        <f>AA2064*Canvas</f>
        <v>19.199583333333333</v>
      </c>
      <c r="AD2064" s="107">
        <f>AA2064*IncaC</f>
        <v>48.964755555555556</v>
      </c>
      <c r="AE2064" s="104">
        <f>IF(Table1[[#This Row],[Work Center]]="SwissQ",Materials!G$37,IF(Table1[[#This Row],[Work Center]]="Inca",Materials!G$29,IF(Table1[[#This Row],[Work Center]]="Canon",Materials!G$49,Materials!G$45)))</f>
        <v>8</v>
      </c>
      <c r="AF2064" s="102">
        <f>'Cali FPS'!C121</f>
        <v>188.18</v>
      </c>
      <c r="AG2064" s="121"/>
      <c r="AH2064" s="405">
        <f t="shared" si="755"/>
        <v>47.5</v>
      </c>
      <c r="AI2064" s="405"/>
      <c r="AJ2064" s="406">
        <f t="shared" si="753"/>
        <v>311.8443388888889</v>
      </c>
      <c r="AK2064" s="1068">
        <f t="shared" si="749"/>
        <v>0.67174280116959073</v>
      </c>
      <c r="AL2064" s="406">
        <f>Table1[[#This Row],[WSP/Dealer]]/Table1[[#This Row],[OD Sq Inch]]</f>
        <v>0.3298611111111111</v>
      </c>
      <c r="AM2064" s="400">
        <f>Table1[[#This Row],[OD Wdth]]*Table1[[#This Row],[OD Hgt]]</f>
        <v>2880</v>
      </c>
      <c r="AN2064" s="400">
        <f>Table1[[#This Row],[Min VO]]+Table1[[#This Row],[Max VO]]</f>
        <v>108</v>
      </c>
      <c r="AO2064" s="115"/>
      <c r="AP2064" s="115"/>
      <c r="AQ2064" s="121"/>
      <c r="AR2064" s="121"/>
      <c r="AS2064" s="121"/>
      <c r="AT2064" s="104"/>
      <c r="AU2064" s="1359" t="str">
        <f t="shared" si="746"/>
        <v>-</v>
      </c>
    </row>
    <row r="2065" spans="1:47" s="486" customFormat="1" hidden="1" x14ac:dyDescent="0.2">
      <c r="A2065" s="101" t="s">
        <v>110</v>
      </c>
      <c r="B2065" s="1067" t="s">
        <v>250</v>
      </c>
      <c r="C2065" s="625" t="s">
        <v>4738</v>
      </c>
      <c r="D2065" s="168"/>
      <c r="E2065" s="169" t="s">
        <v>4739</v>
      </c>
      <c r="F2065" s="115" t="s">
        <v>897</v>
      </c>
      <c r="G2065" s="407" t="s">
        <v>519</v>
      </c>
      <c r="H2065" s="407" t="s">
        <v>688</v>
      </c>
      <c r="I2065" s="101" t="s">
        <v>52</v>
      </c>
      <c r="J2065" s="487" t="s">
        <v>53</v>
      </c>
      <c r="K2065" s="101" t="s">
        <v>69</v>
      </c>
      <c r="L2065" s="101" t="s">
        <v>70</v>
      </c>
      <c r="M2065" s="114">
        <v>390</v>
      </c>
      <c r="N2065" s="114"/>
      <c r="O2065" s="101" t="s">
        <v>64</v>
      </c>
      <c r="P2065" s="101">
        <v>16</v>
      </c>
      <c r="Q2065" s="101">
        <v>20</v>
      </c>
      <c r="R2065" s="101">
        <v>16</v>
      </c>
      <c r="S2065" s="101">
        <v>20</v>
      </c>
      <c r="T2065" s="697">
        <v>17</v>
      </c>
      <c r="U2065" s="697">
        <v>21</v>
      </c>
      <c r="V2065" s="165">
        <f>IF(J2065="Canvas",P2065+Border,P2065)</f>
        <v>24</v>
      </c>
      <c r="W2065" s="165">
        <f>IF(J2065="Canvas",Q2065+Border,Q2065)</f>
        <v>28</v>
      </c>
      <c r="X2065" s="101">
        <v>40</v>
      </c>
      <c r="Y2065" s="101">
        <v>24</v>
      </c>
      <c r="Z2065" s="101">
        <v>28</v>
      </c>
      <c r="AA2065" s="1011">
        <f t="shared" si="754"/>
        <v>4.666666666666667</v>
      </c>
      <c r="AB2065" s="1015">
        <f>Table1[[#This Row],[Substrate SF]]*Swiss1</f>
        <v>132.06666666666669</v>
      </c>
      <c r="AC2065" s="406">
        <f>MDFSHEET</f>
        <v>24.35</v>
      </c>
      <c r="AD2065" s="405">
        <f>Table1[[#This Row],[Substrate SF]]*Materials!C$37</f>
        <v>13.066666666666666</v>
      </c>
      <c r="AE2065" s="104">
        <f>IF(Table1[[#This Row],[Work Center]]="SwissQ",Materials!G$37,IF(Table1[[#This Row],[Work Center]]="Inca",Materials!G$29,IF(Table1[[#This Row],[Work Center]]="Canon",Materials!G$49,Materials!G$45)))</f>
        <v>20</v>
      </c>
      <c r="AF2065" s="102">
        <f>'Cali Frames'!D267</f>
        <v>82.757499999999993</v>
      </c>
      <c r="AG2065" s="121"/>
      <c r="AH2065" s="107">
        <f t="shared" si="755"/>
        <v>19.5</v>
      </c>
      <c r="AI2065" s="405">
        <f>IF(A2065="Codarus",(M2065*0.13))</f>
        <v>50.7</v>
      </c>
      <c r="AJ2065" s="104">
        <f>SUM(AC2065:AI2065)</f>
        <v>210.37416666666667</v>
      </c>
      <c r="AK2065" s="108">
        <f t="shared" si="749"/>
        <v>0.46057905982905983</v>
      </c>
      <c r="AL2065" s="660">
        <f>Table1[[#This Row],[WSP/Dealer]]/Table1[[#This Row],[OD Sq Inch]]</f>
        <v>1.0924369747899159</v>
      </c>
      <c r="AM2065" s="229">
        <f>Table1[[#This Row],[OD Wdth]]*Table1[[#This Row],[OD Hgt]]</f>
        <v>357</v>
      </c>
      <c r="AN2065" s="115"/>
      <c r="AO2065" s="113"/>
      <c r="AP2065" s="1307">
        <v>780</v>
      </c>
      <c r="AQ2065" s="121">
        <f>(Table1[[#This Row],[Desgnr/Retail P]]*0.05)</f>
        <v>39</v>
      </c>
      <c r="AR2065" s="121">
        <f>IF(A2065="Codarus",(AP2065*0.13))</f>
        <v>101.4</v>
      </c>
      <c r="AS2065" s="121">
        <f>SUM(Table1[[#This Row],[Substrate $]:[GP FINISH]])+Table1[[#This Row],[Retail Royalty]]+Table1[[#This Row],[Retail$Comm]]</f>
        <v>280.57416666666666</v>
      </c>
      <c r="AT2065" s="830">
        <f>IF(AP2065=0,"-",(AP2065-AS2065)/AP2065)</f>
        <v>0.64028952991452992</v>
      </c>
      <c r="AU2065" s="1367">
        <f t="shared" si="746"/>
        <v>0.98358231974578125</v>
      </c>
    </row>
    <row r="2066" spans="1:47" s="170" customFormat="1" hidden="1" x14ac:dyDescent="0.2">
      <c r="A2066" s="101" t="s">
        <v>110</v>
      </c>
      <c r="B2066" s="1064" t="s">
        <v>250</v>
      </c>
      <c r="C2066" s="625" t="s">
        <v>4740</v>
      </c>
      <c r="D2066" s="168"/>
      <c r="E2066" s="169" t="s">
        <v>4741</v>
      </c>
      <c r="F2066" s="115" t="s">
        <v>105</v>
      </c>
      <c r="G2066" s="407" t="s">
        <v>504</v>
      </c>
      <c r="H2066" s="407" t="s">
        <v>2171</v>
      </c>
      <c r="I2066" s="101" t="s">
        <v>574</v>
      </c>
      <c r="J2066" s="487" t="s">
        <v>53</v>
      </c>
      <c r="K2066" s="101" t="s">
        <v>814</v>
      </c>
      <c r="L2066" s="101" t="s">
        <v>815</v>
      </c>
      <c r="M2066" s="114">
        <v>235</v>
      </c>
      <c r="N2066" s="114"/>
      <c r="O2066" s="101" t="s">
        <v>575</v>
      </c>
      <c r="P2066" s="101">
        <v>10</v>
      </c>
      <c r="Q2066" s="101">
        <v>12</v>
      </c>
      <c r="R2066" s="101">
        <v>10</v>
      </c>
      <c r="S2066" s="697">
        <v>12</v>
      </c>
      <c r="T2066" s="697">
        <v>13</v>
      </c>
      <c r="U2066" s="697">
        <v>15</v>
      </c>
      <c r="V2066" s="1178">
        <f>IF(J2066="Canvas",P2066+Border,P2066)</f>
        <v>18</v>
      </c>
      <c r="W2066" s="1178">
        <f>IF(J2066="Canvas",Q2066+Border,Q2066)</f>
        <v>20</v>
      </c>
      <c r="X2066" s="101">
        <v>40</v>
      </c>
      <c r="Y2066" s="918">
        <f>Table1[[#This Row],[Print Wth]]</f>
        <v>18</v>
      </c>
      <c r="Z2066" s="918">
        <f>Table1[[#This Row],[Print Ht]]</f>
        <v>20</v>
      </c>
      <c r="AA2066" s="1011">
        <f t="shared" si="754"/>
        <v>2.5</v>
      </c>
      <c r="AB2066" s="1015">
        <f>AA2066*SWISSMLR*3</f>
        <v>15</v>
      </c>
      <c r="AC2066" s="104">
        <f>MDFSHEET/24</f>
        <v>1.0145833333333334</v>
      </c>
      <c r="AD2066" s="406">
        <f>Table1[[#This Row],[Substrate SF]]*SWISSCR*3</f>
        <v>1.6500000000000001</v>
      </c>
      <c r="AE2066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2066" s="102">
        <f>'Cali Frames'!D182</f>
        <v>121</v>
      </c>
      <c r="AG2066" s="121"/>
      <c r="AH2066" s="104">
        <f t="shared" si="755"/>
        <v>11.75</v>
      </c>
      <c r="AI2066" s="406">
        <f>IF(A2066="Codarus",(M2066*0.13))</f>
        <v>30.55</v>
      </c>
      <c r="AJ2066" s="104">
        <f>SUM(AC2066:AI2066)</f>
        <v>173.96458333333334</v>
      </c>
      <c r="AK2066" s="830">
        <f t="shared" si="749"/>
        <v>0.25972517730496453</v>
      </c>
      <c r="AL2066" s="660">
        <f>Table1[[#This Row],[WSP/Dealer]]/Table1[[#This Row],[OD Sq Inch]]</f>
        <v>1.2051282051282051</v>
      </c>
      <c r="AM2066" s="229">
        <f>Table1[[#This Row],[OD Wdth]]*Table1[[#This Row],[OD Hgt]]</f>
        <v>195</v>
      </c>
      <c r="AN2066" s="115"/>
      <c r="AO2066" s="113"/>
      <c r="AP2066" s="1307">
        <v>470</v>
      </c>
      <c r="AQ2066" s="121">
        <f>(Table1[[#This Row],[Desgnr/Retail P]]*0.05)</f>
        <v>23.5</v>
      </c>
      <c r="AR2066" s="121">
        <f>IF(A2066="Codarus",(AP2066*0.13))</f>
        <v>61.1</v>
      </c>
      <c r="AS2066" s="121">
        <f>SUM(Table1[[#This Row],[Substrate $]:[GP FINISH]])+Table1[[#This Row],[Retail Royalty]]+Table1[[#This Row],[Retail$Comm]]</f>
        <v>216.26458333333332</v>
      </c>
      <c r="AT2066" s="830">
        <f>IF(AP2066=0,"-",(AP2066-AS2066)/AP2066)</f>
        <v>0.53986258865248227</v>
      </c>
      <c r="AU2066" s="1359">
        <f t="shared" si="746"/>
        <v>0.97702712388712842</v>
      </c>
    </row>
    <row r="2067" spans="1:47" s="170" customFormat="1" hidden="1" x14ac:dyDescent="0.2">
      <c r="A2067" s="60"/>
      <c r="B2067" s="1106" t="s">
        <v>250</v>
      </c>
      <c r="C2067" s="99" t="s">
        <v>4742</v>
      </c>
      <c r="D2067" s="79"/>
      <c r="E2067" s="99" t="s">
        <v>4741</v>
      </c>
      <c r="F2067" s="83" t="s">
        <v>105</v>
      </c>
      <c r="G2067" s="605" t="s">
        <v>504</v>
      </c>
      <c r="H2067" s="605" t="s">
        <v>504</v>
      </c>
      <c r="I2067" s="60" t="s">
        <v>574</v>
      </c>
      <c r="J2067" s="59" t="s">
        <v>53</v>
      </c>
      <c r="K2067" s="60" t="s">
        <v>54</v>
      </c>
      <c r="L2067" s="60" t="s">
        <v>55</v>
      </c>
      <c r="M2067" s="124">
        <v>160</v>
      </c>
      <c r="N2067" s="124"/>
      <c r="O2067" s="60" t="s">
        <v>575</v>
      </c>
      <c r="P2067" s="60">
        <v>10</v>
      </c>
      <c r="Q2067" s="60">
        <v>12</v>
      </c>
      <c r="R2067" s="60">
        <v>10</v>
      </c>
      <c r="S2067" s="273">
        <v>12</v>
      </c>
      <c r="T2067" s="273">
        <v>10</v>
      </c>
      <c r="U2067" s="273">
        <v>12</v>
      </c>
      <c r="V2067" s="946">
        <f>IF(J2067="Canvas",P2067+Border,P2067)</f>
        <v>18</v>
      </c>
      <c r="W2067" s="946">
        <f>IF(J2067="Canvas",Q2067+Border,Q2067)</f>
        <v>20</v>
      </c>
      <c r="X2067" s="60">
        <v>40</v>
      </c>
      <c r="Y2067" s="946">
        <v>18</v>
      </c>
      <c r="Z2067" s="946">
        <v>20</v>
      </c>
      <c r="AA2067" s="1058">
        <f t="shared" si="754"/>
        <v>2.5</v>
      </c>
      <c r="AB2067" s="1120">
        <f>AA2067*SWISSMLR*3</f>
        <v>15</v>
      </c>
      <c r="AC2067" s="69">
        <f>MDFSHEET/24</f>
        <v>1.0145833333333334</v>
      </c>
      <c r="AD2067" s="176">
        <f>Table1[[#This Row],[Substrate SF]]*SWISSCR*3</f>
        <v>1.6500000000000001</v>
      </c>
      <c r="AE2067" s="17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2067" s="72">
        <f>'Cali FPS'!C6</f>
        <v>58.73</v>
      </c>
      <c r="AG2067" s="540"/>
      <c r="AH2067" s="69">
        <f t="shared" si="755"/>
        <v>8</v>
      </c>
      <c r="AI2067" s="176" t="b">
        <f>IF(A2067="Codarus",(M2067*0.13))</f>
        <v>0</v>
      </c>
      <c r="AJ2067" s="69">
        <f>SUM(AC2067:AI2067)</f>
        <v>77.39458333333333</v>
      </c>
      <c r="AK2067" s="650">
        <f t="shared" si="749"/>
        <v>0.51628385416666667</v>
      </c>
      <c r="AL2067" s="225">
        <f>Table1[[#This Row],[WSP/Dealer]]/Table1[[#This Row],[OD Sq Inch]]</f>
        <v>1.3333333333333333</v>
      </c>
      <c r="AM2067" s="218">
        <f>Table1[[#This Row],[OD Wdth]]*Table1[[#This Row],[OD Hgt]]</f>
        <v>120</v>
      </c>
      <c r="AN2067" s="83"/>
      <c r="AO2067" s="83"/>
      <c r="AP2067" s="1449">
        <v>320</v>
      </c>
      <c r="AQ2067" s="540">
        <f>(Table1[[#This Row],[Desgnr/Retail P]]*0.05)</f>
        <v>16</v>
      </c>
      <c r="AR2067" s="540" t="b">
        <f>IF(A2067="Codarus",(AP2067*0.13))</f>
        <v>0</v>
      </c>
      <c r="AS2067" s="540">
        <f>SUM(Table1[[#This Row],[Substrate $]:[GP FINISH]])+Table1[[#This Row],[Retail Royalty]]+Table1[[#This Row],[Retail$Comm]]</f>
        <v>85.39458333333333</v>
      </c>
      <c r="AT2067" s="650">
        <f>IF(AP2067=0,"-",(AP2067-AS2067)/AP2067)</f>
        <v>0.73314192708333326</v>
      </c>
      <c r="AU2067" s="1361">
        <f t="shared" si="746"/>
        <v>0.95417862955729171</v>
      </c>
    </row>
    <row r="2068" spans="1:47" s="170" customFormat="1" hidden="1" x14ac:dyDescent="0.2">
      <c r="A2068" s="68" t="s">
        <v>101</v>
      </c>
      <c r="B2068" s="1152" t="s">
        <v>102</v>
      </c>
      <c r="C2068" s="627" t="s">
        <v>4743</v>
      </c>
      <c r="D2068" s="94"/>
      <c r="E2068" s="172" t="s">
        <v>4741</v>
      </c>
      <c r="F2068" s="84" t="s">
        <v>105</v>
      </c>
      <c r="G2068" s="363" t="s">
        <v>504</v>
      </c>
      <c r="H2068" s="363" t="s">
        <v>2170</v>
      </c>
      <c r="I2068" s="68" t="s">
        <v>108</v>
      </c>
      <c r="J2068" s="140" t="s">
        <v>53</v>
      </c>
      <c r="K2068" s="68" t="s">
        <v>69</v>
      </c>
      <c r="L2068" s="68" t="s">
        <v>315</v>
      </c>
      <c r="M2068" s="141">
        <v>199</v>
      </c>
      <c r="N2068" s="93"/>
      <c r="O2068" s="68" t="s">
        <v>109</v>
      </c>
      <c r="P2068" s="68">
        <v>10</v>
      </c>
      <c r="Q2068" s="68">
        <v>12</v>
      </c>
      <c r="R2068" s="68">
        <v>10</v>
      </c>
      <c r="S2068" s="623">
        <v>12</v>
      </c>
      <c r="T2068" s="623">
        <v>11</v>
      </c>
      <c r="U2068" s="623">
        <v>13</v>
      </c>
      <c r="V2068" s="1198">
        <f>IF(J2068="Canvas",P2068+Border,P2068)</f>
        <v>18</v>
      </c>
      <c r="W2068" s="1198">
        <f>IF(J2068="Canvas",Q2068+Border,Q2068)</f>
        <v>20</v>
      </c>
      <c r="X2068" s="68">
        <v>40</v>
      </c>
      <c r="Y2068" s="686">
        <f>Table1[[#This Row],[Print Wth]]</f>
        <v>18</v>
      </c>
      <c r="Z2068" s="686">
        <f>Table1[[#This Row],[Print Ht]]</f>
        <v>20</v>
      </c>
      <c r="AA2068" s="727">
        <f>Table1[[#This Row],[Cut Width]]*Table1[[#This Row],[Cut Height]]/144</f>
        <v>2.5</v>
      </c>
      <c r="AB2068" s="341">
        <f>Table1[[#This Row],[Print Wth]]*Table1[[#This Row],[Print Ht]]/144*EPSONM</f>
        <v>11.25</v>
      </c>
      <c r="AC2068" s="278">
        <f>Table1[[#This Row],[Substrate SF]]*Canvas</f>
        <v>1.6500000000000001</v>
      </c>
      <c r="AD2068" s="263">
        <f>Table1[[#This Row],[Ink g/mL]]*EPSONC</f>
        <v>2.4750000000000001</v>
      </c>
      <c r="AE2068" s="278">
        <f>IF(Table1[[#This Row],[Work Center]]="SwissQ",Materials!G$37,IF(Table1[[#This Row],[Work Center]]="Inca",Materials!G$29,IF(Table1[[#This Row],[Work Center]]="Canon",Materials!G$49,Materials!G$45)))</f>
        <v>5</v>
      </c>
      <c r="AF2068" s="73">
        <f>'Cali Frames'!D493</f>
        <v>90</v>
      </c>
      <c r="AG2068" s="126"/>
      <c r="AH2068" s="278">
        <v>0</v>
      </c>
      <c r="AI2068" s="263"/>
      <c r="AJ2068" s="278">
        <f>SUM(AC2068:AH2068)</f>
        <v>99.125</v>
      </c>
      <c r="AK2068" s="1192">
        <f t="shared" si="749"/>
        <v>0.50188442211055273</v>
      </c>
      <c r="AL2068" s="278">
        <f>Table1[[#This Row],[WSP/Dealer]]/Table1[[#This Row],[OD Sq Inch]]</f>
        <v>1.3916083916083917</v>
      </c>
      <c r="AM2068" s="274">
        <f>Table1[[#This Row],[OD Wdth]]*Table1[[#This Row],[OD Hgt]]</f>
        <v>143</v>
      </c>
      <c r="AN2068" s="274">
        <f>Table1[[#This Row],[Min VO]]+Table1[[#This Row],[Max VO]]</f>
        <v>22</v>
      </c>
      <c r="AO2068" s="84"/>
      <c r="AP2068" s="84"/>
      <c r="AQ2068" s="126"/>
      <c r="AR2068" s="126"/>
      <c r="AS2068" s="126"/>
      <c r="AT2068" s="74"/>
      <c r="AU2068" s="1357" t="str">
        <f t="shared" si="746"/>
        <v>-</v>
      </c>
    </row>
    <row r="2069" spans="1:47" s="170" customFormat="1" hidden="1" x14ac:dyDescent="0.2">
      <c r="A2069" s="101" t="s">
        <v>4744</v>
      </c>
      <c r="B2069" s="1322" t="s">
        <v>484</v>
      </c>
      <c r="C2069" s="625" t="s">
        <v>4745</v>
      </c>
      <c r="D2069" s="168"/>
      <c r="E2069" s="169" t="s">
        <v>4746</v>
      </c>
      <c r="F2069" s="115" t="s">
        <v>105</v>
      </c>
      <c r="G2069" s="407" t="s">
        <v>350</v>
      </c>
      <c r="H2069" s="407" t="s">
        <v>351</v>
      </c>
      <c r="I2069" s="101" t="s">
        <v>108</v>
      </c>
      <c r="J2069" s="487" t="s">
        <v>280</v>
      </c>
      <c r="K2069" s="101" t="s">
        <v>69</v>
      </c>
      <c r="L2069" s="101" t="s">
        <v>315</v>
      </c>
      <c r="M2069" s="114">
        <v>279</v>
      </c>
      <c r="N2069" s="114"/>
      <c r="O2069" s="101" t="s">
        <v>575</v>
      </c>
      <c r="P2069" s="101">
        <v>12</v>
      </c>
      <c r="Q2069" s="101">
        <v>16</v>
      </c>
      <c r="R2069" s="101">
        <v>12</v>
      </c>
      <c r="S2069" s="697">
        <v>16</v>
      </c>
      <c r="T2069" s="697">
        <v>13</v>
      </c>
      <c r="U2069" s="697">
        <v>17</v>
      </c>
      <c r="V2069" s="918">
        <f>IF(J2069="Canvas",P2069+BorderL,P2069)</f>
        <v>12</v>
      </c>
      <c r="W2069" s="918">
        <f>IF(J2069="Canvas",Q2069+BorderL,Q2069)</f>
        <v>16</v>
      </c>
      <c r="X2069" s="1010" t="s">
        <v>283</v>
      </c>
      <c r="Y2069" s="101">
        <v>12</v>
      </c>
      <c r="Z2069" s="101">
        <v>16</v>
      </c>
      <c r="AA2069" s="724">
        <f>V2069*W2069/144</f>
        <v>1.3333333333333333</v>
      </c>
      <c r="AB2069" s="1015">
        <f>AA2069*SWISSMLR*3</f>
        <v>8</v>
      </c>
      <c r="AC2069" s="104">
        <f>MDFSHEET/24</f>
        <v>1.0145833333333334</v>
      </c>
      <c r="AD2069" s="405">
        <f>Table1[[#This Row],[Substrate SF]]*SWISSCR*3</f>
        <v>0.88</v>
      </c>
      <c r="AE2069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2069" s="102">
        <f>'Cali Frames'!D499</f>
        <v>79</v>
      </c>
      <c r="AG2069" s="121"/>
      <c r="AH2069" s="104">
        <v>0</v>
      </c>
      <c r="AI2069" s="104"/>
      <c r="AJ2069" s="406">
        <f>SUM(AC2069:AH2069)</f>
        <v>88.89458333333333</v>
      </c>
      <c r="AK2069" s="830">
        <f t="shared" si="749"/>
        <v>0.68138142174432492</v>
      </c>
      <c r="AL2069" s="660">
        <f>Table1[[#This Row],[WSP/Dealer]]/Table1[[#This Row],[OD Sq Inch]]</f>
        <v>1.2624434389140271</v>
      </c>
      <c r="AM2069" s="400">
        <f>Table1[[#This Row],[OD Wdth]]*Table1[[#This Row],[OD Hgt]]</f>
        <v>221</v>
      </c>
      <c r="AN2069" s="400">
        <f>Table1[[#This Row],[Min VO]]+Table1[[#This Row],[Max VO]]</f>
        <v>28</v>
      </c>
      <c r="AO2069" s="115"/>
      <c r="AP2069" s="115"/>
      <c r="AQ2069" s="121"/>
      <c r="AR2069" s="121"/>
      <c r="AS2069" s="121"/>
      <c r="AT2069" s="104"/>
      <c r="AU2069" s="1359" t="str">
        <f t="shared" si="746"/>
        <v>-</v>
      </c>
    </row>
    <row r="2070" spans="1:47" s="173" customFormat="1" x14ac:dyDescent="0.2">
      <c r="A2070" s="68" t="s">
        <v>58</v>
      </c>
      <c r="B2070" s="1072"/>
      <c r="C2070" s="627"/>
      <c r="D2070" s="94"/>
      <c r="E2070" s="172" t="s">
        <v>4747</v>
      </c>
      <c r="F2070" s="84"/>
      <c r="G2070" s="363"/>
      <c r="H2070" s="363"/>
      <c r="I2070" s="68"/>
      <c r="J2070" s="140"/>
      <c r="K2070" s="68"/>
      <c r="L2070" s="68"/>
      <c r="M2070" s="93"/>
      <c r="N2070" s="93"/>
      <c r="O2070" s="68"/>
      <c r="P2070" s="68"/>
      <c r="Q2070" s="68"/>
      <c r="R2070" s="68"/>
      <c r="S2070" s="623"/>
      <c r="T2070" s="623"/>
      <c r="U2070" s="623"/>
      <c r="V2070" s="66"/>
      <c r="W2070" s="66"/>
      <c r="X2070" s="68"/>
      <c r="Y2070" s="68"/>
      <c r="Z2070" s="68"/>
      <c r="AA2070" s="699"/>
      <c r="AB2070" s="297"/>
      <c r="AC2070" s="74"/>
      <c r="AD2070" s="118"/>
      <c r="AE2070" s="126"/>
      <c r="AF2070" s="73"/>
      <c r="AG2070" s="126"/>
      <c r="AH2070" s="118"/>
      <c r="AI2070" s="118"/>
      <c r="AJ2070" s="126"/>
      <c r="AK2070" s="661"/>
      <c r="AL2070" s="126"/>
      <c r="AM2070" s="119"/>
      <c r="AN2070" s="84"/>
      <c r="AO2070" s="84"/>
      <c r="AP2070" s="84"/>
      <c r="AQ2070" s="126"/>
      <c r="AR2070" s="126"/>
      <c r="AS2070" s="126"/>
      <c r="AT2070" s="74"/>
      <c r="AU2070" s="1357" t="str">
        <f t="shared" si="746"/>
        <v>-</v>
      </c>
    </row>
    <row r="2071" spans="1:47" s="173" customFormat="1" x14ac:dyDescent="0.2">
      <c r="A2071" s="145" t="s">
        <v>58</v>
      </c>
      <c r="B2071" s="1061" t="s">
        <v>533</v>
      </c>
      <c r="C2071" s="146" t="s">
        <v>4748</v>
      </c>
      <c r="D2071" s="94" t="s">
        <v>4749</v>
      </c>
      <c r="E2071" s="146" t="s">
        <v>4750</v>
      </c>
      <c r="F2071" s="154" t="s">
        <v>386</v>
      </c>
      <c r="G2071" s="145" t="s">
        <v>2148</v>
      </c>
      <c r="H2071" s="145" t="s">
        <v>2148</v>
      </c>
      <c r="I2071" s="145" t="s">
        <v>52</v>
      </c>
      <c r="J2071" s="145" t="s">
        <v>53</v>
      </c>
      <c r="K2071" s="145" t="s">
        <v>54</v>
      </c>
      <c r="L2071" s="145" t="s">
        <v>55</v>
      </c>
      <c r="M2071" s="151">
        <v>650</v>
      </c>
      <c r="N2071" s="639">
        <v>720</v>
      </c>
      <c r="O2071" s="145" t="s">
        <v>56</v>
      </c>
      <c r="P2071" s="145">
        <v>36</v>
      </c>
      <c r="Q2071" s="145">
        <v>48</v>
      </c>
      <c r="R2071" s="145">
        <v>36</v>
      </c>
      <c r="S2071" s="145">
        <v>48</v>
      </c>
      <c r="T2071" s="698">
        <f>Table1[[#This Row],[VO Wdth]]</f>
        <v>36</v>
      </c>
      <c r="U2071" s="698">
        <f>Table1[[#This Row],[VO Hgt]]</f>
        <v>48</v>
      </c>
      <c r="V2071" s="913">
        <f>IF(J2071="Canvas",P2071+Border,P2071)</f>
        <v>44</v>
      </c>
      <c r="W2071" s="913">
        <f>IF(J2071="Canvas",Q2071+Border,Q2071)</f>
        <v>56</v>
      </c>
      <c r="X2071" s="157">
        <v>59</v>
      </c>
      <c r="Y2071" s="145"/>
      <c r="Z2071" s="145"/>
      <c r="AA2071" s="722">
        <f t="shared" ref="AA2071:AA2081" si="756">V2071*W2071/144</f>
        <v>17.111111111111111</v>
      </c>
      <c r="AB2071" s="389">
        <f>AA2071*IncaG</f>
        <v>360.01777777777778</v>
      </c>
      <c r="AC2071" s="143">
        <f>Table1[[#This Row],[Substrate SF]]*Paper</f>
        <v>23.151333333333334</v>
      </c>
      <c r="AD2071" s="150">
        <f>AA2071*IncaC</f>
        <v>28.801422222222222</v>
      </c>
      <c r="AE2071" s="104">
        <f>IF(Table1[[#This Row],[Work Center]]="SwissQ",Materials!G$37,IF(Table1[[#This Row],[Work Center]]="Inca",Materials!G$29,IF(Table1[[#This Row],[Work Center]]="Canon",Materials!G$49,Materials!G$45)))</f>
        <v>8</v>
      </c>
      <c r="AF2071" s="143">
        <f>'Cali FPS'!C$71</f>
        <v>114.31</v>
      </c>
      <c r="AG2071" s="115"/>
      <c r="AH2071" s="498">
        <f t="shared" ref="AH2071:AH2102" si="757">(M2071*0.05)</f>
        <v>32.5</v>
      </c>
      <c r="AI2071" s="498"/>
      <c r="AJ2071" s="143">
        <f t="shared" ref="AJ2071:AJ2081" si="758">SUM(AC2071:AH2071)</f>
        <v>206.76275555555554</v>
      </c>
      <c r="AK2071" s="650">
        <f t="shared" ref="AK2071:AK2102" si="759">(M2071-AJ2071)/M2071</f>
        <v>0.68190345299145305</v>
      </c>
      <c r="AL2071" s="225">
        <f>Table1[[#This Row],[WSP/Dealer]]/Table1[[#This Row],[OD Sq Inch]]</f>
        <v>0.37615740740740738</v>
      </c>
      <c r="AM2071" s="103">
        <f>Table1[[#This Row],[OD Wdth]]*Table1[[#This Row],[OD Hgt]]</f>
        <v>1728</v>
      </c>
      <c r="AN2071" s="216">
        <f>Table1[[#This Row],[Min VO]]+Table1[[#This Row],[Max VO]]</f>
        <v>84</v>
      </c>
      <c r="AO2071" s="145"/>
      <c r="AP2071" s="145"/>
      <c r="AQ2071" s="143"/>
      <c r="AR2071" s="143"/>
      <c r="AS2071" s="143"/>
      <c r="AT2071" s="143"/>
      <c r="AU2071" s="1371" t="str">
        <f t="shared" si="746"/>
        <v>-</v>
      </c>
    </row>
    <row r="2072" spans="1:47" s="170" customFormat="1" hidden="1" x14ac:dyDescent="0.2">
      <c r="A2072" s="166" t="s">
        <v>187</v>
      </c>
      <c r="B2072" s="1061" t="s">
        <v>261</v>
      </c>
      <c r="C2072" s="436" t="s">
        <v>4751</v>
      </c>
      <c r="D2072" s="94"/>
      <c r="E2072" s="436" t="s">
        <v>4752</v>
      </c>
      <c r="F2072" s="167" t="s">
        <v>386</v>
      </c>
      <c r="G2072" s="258" t="s">
        <v>132</v>
      </c>
      <c r="H2072" s="258" t="s">
        <v>133</v>
      </c>
      <c r="I2072" s="258" t="s">
        <v>52</v>
      </c>
      <c r="J2072" s="140" t="s">
        <v>53</v>
      </c>
      <c r="K2072" s="258" t="s">
        <v>1410</v>
      </c>
      <c r="L2072" s="68" t="s">
        <v>70</v>
      </c>
      <c r="M2072" s="420">
        <v>2450</v>
      </c>
      <c r="N2072" s="71"/>
      <c r="O2072" s="166" t="s">
        <v>56</v>
      </c>
      <c r="P2072" s="166">
        <v>36</v>
      </c>
      <c r="Q2072" s="166">
        <v>48</v>
      </c>
      <c r="R2072" s="166">
        <v>36</v>
      </c>
      <c r="S2072" s="159">
        <v>48</v>
      </c>
      <c r="T2072" s="1776">
        <f>Table1[[#This Row],[VO Wdth]]</f>
        <v>36</v>
      </c>
      <c r="U2072" s="1776">
        <f>Table1[[#This Row],[VO Hgt]]</f>
        <v>48</v>
      </c>
      <c r="V2072" s="160">
        <f>IF(J2072="Canvas",P2072+Border,P2072)</f>
        <v>44</v>
      </c>
      <c r="W2072" s="160">
        <f>IF(J2072="Canvas",Q2072+Border,Q2072)</f>
        <v>56</v>
      </c>
      <c r="X2072" s="68">
        <v>59</v>
      </c>
      <c r="Y2072" s="68"/>
      <c r="Z2072" s="68"/>
      <c r="AA2072" s="766">
        <f t="shared" si="756"/>
        <v>17.111111111111111</v>
      </c>
      <c r="AB2072" s="382">
        <f>AA2072*IncaG</f>
        <v>360.01777777777778</v>
      </c>
      <c r="AC2072" s="162">
        <f>Table1[[#This Row],[Substrate SF]]*Paper</f>
        <v>23.151333333333334</v>
      </c>
      <c r="AD2072" s="161">
        <f>AA2072*IncaC</f>
        <v>28.801422222222222</v>
      </c>
      <c r="AE2072" s="74">
        <f>IF(Table1[[#This Row],[Work Center]]="SwissQ",Materials!G$37,IF(Table1[[#This Row],[Work Center]]="Inca",Materials!G$29,IF(Table1[[#This Row],[Work Center]]="Canon",Materials!G$49,Materials!G$45)))</f>
        <v>8</v>
      </c>
      <c r="AF2072" s="162">
        <f>'Cali Frames'!D300</f>
        <v>164.8</v>
      </c>
      <c r="AG2072" s="84"/>
      <c r="AH2072" s="112">
        <f t="shared" si="757"/>
        <v>122.5</v>
      </c>
      <c r="AI2072" s="112"/>
      <c r="AJ2072" s="162">
        <f t="shared" si="758"/>
        <v>347.25275555555555</v>
      </c>
      <c r="AK2072" s="650">
        <f t="shared" si="759"/>
        <v>0.85826418140589567</v>
      </c>
      <c r="AL2072" s="225">
        <f>Table1[[#This Row],[WSP/Dealer]]/Table1[[#This Row],[OD Sq Inch]]</f>
        <v>1.4178240740740742</v>
      </c>
      <c r="AM2072" s="63">
        <f>Table1[[#This Row],[OD Wdth]]*Table1[[#This Row],[OD Hgt]]</f>
        <v>1728</v>
      </c>
      <c r="AN2072" s="84"/>
      <c r="AO2072" s="84"/>
      <c r="AP2072" s="84"/>
      <c r="AQ2072" s="126"/>
      <c r="AR2072" s="126"/>
      <c r="AS2072" s="126"/>
      <c r="AT2072" s="74"/>
      <c r="AU2072" s="1357" t="str">
        <f t="shared" si="746"/>
        <v>-</v>
      </c>
    </row>
    <row r="2073" spans="1:47" s="170" customFormat="1" hidden="1" x14ac:dyDescent="0.2">
      <c r="A2073" s="1124" t="s">
        <v>187</v>
      </c>
      <c r="B2073" s="1720" t="s">
        <v>261</v>
      </c>
      <c r="C2073" s="430" t="s">
        <v>4753</v>
      </c>
      <c r="D2073" s="94"/>
      <c r="E2073" s="430" t="s">
        <v>4752</v>
      </c>
      <c r="F2073" s="732" t="s">
        <v>386</v>
      </c>
      <c r="G2073" s="431" t="s">
        <v>132</v>
      </c>
      <c r="H2073" s="431" t="s">
        <v>132</v>
      </c>
      <c r="I2073" s="431" t="s">
        <v>52</v>
      </c>
      <c r="J2073" s="451" t="s">
        <v>53</v>
      </c>
      <c r="K2073" s="431" t="s">
        <v>281</v>
      </c>
      <c r="L2073" s="421" t="s">
        <v>55</v>
      </c>
      <c r="M2073" s="429">
        <v>2095</v>
      </c>
      <c r="N2073" s="1125"/>
      <c r="O2073" s="1124" t="s">
        <v>56</v>
      </c>
      <c r="P2073" s="1124">
        <v>36</v>
      </c>
      <c r="Q2073" s="1124">
        <v>48</v>
      </c>
      <c r="R2073" s="1124">
        <v>36</v>
      </c>
      <c r="S2073" s="446">
        <v>48</v>
      </c>
      <c r="T2073" s="1778">
        <f>Table1[[#This Row],[VO Wdth]]</f>
        <v>36</v>
      </c>
      <c r="U2073" s="1778">
        <f>Table1[[#This Row],[VO Hgt]]</f>
        <v>48</v>
      </c>
      <c r="V2073" s="1714">
        <f>IF(J2073="Canvas",P2073+Border,P2073)</f>
        <v>44</v>
      </c>
      <c r="W2073" s="1714">
        <f>IF(J2073="Canvas",Q2073+Border,Q2073)</f>
        <v>56</v>
      </c>
      <c r="X2073" s="421">
        <v>59</v>
      </c>
      <c r="Y2073" s="421"/>
      <c r="Z2073" s="421"/>
      <c r="AA2073" s="1126">
        <f t="shared" si="756"/>
        <v>17.111111111111111</v>
      </c>
      <c r="AB2073" s="1127">
        <f>AA2073*IncaG</f>
        <v>360.01777777777778</v>
      </c>
      <c r="AC2073" s="1128">
        <f>Table1[[#This Row],[Substrate SF]]*Paper</f>
        <v>23.151333333333334</v>
      </c>
      <c r="AD2073" s="1290">
        <f>AA2073*IncaC</f>
        <v>28.801422222222222</v>
      </c>
      <c r="AE2073" s="426">
        <f>IF(Table1[[#This Row],[Work Center]]="SwissQ",Materials!G$37,IF(Table1[[#This Row],[Work Center]]="Inca",Materials!G$29,IF(Table1[[#This Row],[Work Center]]="Canon",Materials!G$49,Materials!G$45)))</f>
        <v>8</v>
      </c>
      <c r="AF2073" s="1128">
        <f>'Cali FPS'!C78</f>
        <v>114.31</v>
      </c>
      <c r="AG2073" s="450"/>
      <c r="AH2073" s="1799">
        <f t="shared" si="757"/>
        <v>104.75</v>
      </c>
      <c r="AI2073" s="1799"/>
      <c r="AJ2073" s="1128">
        <f t="shared" si="758"/>
        <v>279.01275555555554</v>
      </c>
      <c r="AK2073" s="1806">
        <f t="shared" si="759"/>
        <v>0.86681968708565371</v>
      </c>
      <c r="AL2073" s="1129">
        <f>Table1[[#This Row],[WSP/Dealer]]/Table1[[#This Row],[OD Sq Inch]]</f>
        <v>1.2123842592592593</v>
      </c>
      <c r="AM2073" s="423">
        <f>Table1[[#This Row],[OD Wdth]]*Table1[[#This Row],[OD Hgt]]</f>
        <v>1728</v>
      </c>
      <c r="AN2073" s="450"/>
      <c r="AO2073" s="450"/>
      <c r="AP2073" s="450"/>
      <c r="AQ2073" s="956"/>
      <c r="AR2073" s="956"/>
      <c r="AS2073" s="956"/>
      <c r="AT2073" s="426"/>
      <c r="AU2073" s="1374" t="str">
        <f t="shared" si="746"/>
        <v>-</v>
      </c>
    </row>
    <row r="2074" spans="1:47" s="170" customFormat="1" hidden="1" x14ac:dyDescent="0.2">
      <c r="A2074" s="166" t="s">
        <v>187</v>
      </c>
      <c r="B2074" s="1061" t="s">
        <v>261</v>
      </c>
      <c r="C2074" s="436" t="s">
        <v>4754</v>
      </c>
      <c r="D2074" s="94"/>
      <c r="E2074" s="436" t="s">
        <v>4752</v>
      </c>
      <c r="F2074" s="167" t="s">
        <v>386</v>
      </c>
      <c r="G2074" s="258" t="s">
        <v>132</v>
      </c>
      <c r="H2074" s="258" t="s">
        <v>133</v>
      </c>
      <c r="I2074" s="258" t="s">
        <v>52</v>
      </c>
      <c r="J2074" s="140" t="s">
        <v>53</v>
      </c>
      <c r="K2074" s="258" t="s">
        <v>1412</v>
      </c>
      <c r="L2074" s="68" t="s">
        <v>73</v>
      </c>
      <c r="M2074" s="420">
        <v>2450</v>
      </c>
      <c r="N2074" s="71"/>
      <c r="O2074" s="166" t="s">
        <v>56</v>
      </c>
      <c r="P2074" s="166">
        <v>36</v>
      </c>
      <c r="Q2074" s="166">
        <v>48</v>
      </c>
      <c r="R2074" s="166">
        <v>36</v>
      </c>
      <c r="S2074" s="159">
        <v>48</v>
      </c>
      <c r="T2074" s="1776">
        <f>Table1[[#This Row],[VO Wdth]]</f>
        <v>36</v>
      </c>
      <c r="U2074" s="1776">
        <f>Table1[[#This Row],[VO Hgt]]</f>
        <v>48</v>
      </c>
      <c r="V2074" s="160">
        <f>IF(J2074="Canvas",P2074+Border,P2074)</f>
        <v>44</v>
      </c>
      <c r="W2074" s="160">
        <f>IF(J2074="Canvas",Q2074+Border,Q2074)</f>
        <v>56</v>
      </c>
      <c r="X2074" s="68">
        <v>59</v>
      </c>
      <c r="Y2074" s="68"/>
      <c r="Z2074" s="68"/>
      <c r="AA2074" s="766">
        <f t="shared" si="756"/>
        <v>17.111111111111111</v>
      </c>
      <c r="AB2074" s="382">
        <f>AA2074*IncaG</f>
        <v>360.01777777777778</v>
      </c>
      <c r="AC2074" s="162">
        <f>Table1[[#This Row],[Substrate SF]]*Paper</f>
        <v>23.151333333333334</v>
      </c>
      <c r="AD2074" s="161">
        <f>AA2074*IncaC</f>
        <v>28.801422222222222</v>
      </c>
      <c r="AE2074" s="74">
        <f>IF(Table1[[#This Row],[Work Center]]="SwissQ",Materials!G$37,IF(Table1[[#This Row],[Work Center]]="Inca",Materials!G$29,IF(Table1[[#This Row],[Work Center]]="Canon",Materials!G$49,Materials!G$45)))</f>
        <v>8</v>
      </c>
      <c r="AF2074" s="162">
        <f>'Cali Frames'!D436</f>
        <v>145.70500000000001</v>
      </c>
      <c r="AG2074" s="84"/>
      <c r="AH2074" s="498">
        <f t="shared" si="757"/>
        <v>122.5</v>
      </c>
      <c r="AI2074" s="498"/>
      <c r="AJ2074" s="162">
        <f t="shared" si="758"/>
        <v>328.15775555555558</v>
      </c>
      <c r="AK2074" s="650">
        <f t="shared" si="759"/>
        <v>0.86605805895691612</v>
      </c>
      <c r="AL2074" s="225">
        <f>Table1[[#This Row],[WSP/Dealer]]/Table1[[#This Row],[OD Sq Inch]]</f>
        <v>1.4178240740740742</v>
      </c>
      <c r="AM2074" s="63">
        <f>Table1[[#This Row],[OD Wdth]]*Table1[[#This Row],[OD Hgt]]</f>
        <v>1728</v>
      </c>
      <c r="AN2074" s="84"/>
      <c r="AO2074" s="119"/>
      <c r="AP2074" s="84"/>
      <c r="AQ2074" s="126"/>
      <c r="AR2074" s="126"/>
      <c r="AS2074" s="126"/>
      <c r="AT2074" s="74"/>
      <c r="AU2074" s="1356" t="str">
        <f t="shared" si="746"/>
        <v>-</v>
      </c>
    </row>
    <row r="2075" spans="1:47" s="173" customFormat="1" hidden="1" x14ac:dyDescent="0.2">
      <c r="A2075" s="376" t="s">
        <v>187</v>
      </c>
      <c r="B2075" s="1061" t="s">
        <v>261</v>
      </c>
      <c r="C2075" s="1237" t="s">
        <v>4755</v>
      </c>
      <c r="D2075" s="94"/>
      <c r="E2075" s="1038" t="s">
        <v>4756</v>
      </c>
      <c r="F2075" s="167" t="s">
        <v>386</v>
      </c>
      <c r="G2075" s="258" t="s">
        <v>132</v>
      </c>
      <c r="H2075" s="258" t="s">
        <v>132</v>
      </c>
      <c r="I2075" s="274" t="s">
        <v>108</v>
      </c>
      <c r="J2075" s="68" t="s">
        <v>197</v>
      </c>
      <c r="K2075" s="274" t="s">
        <v>198</v>
      </c>
      <c r="L2075" s="274" t="s">
        <v>199</v>
      </c>
      <c r="M2075" s="455">
        <v>90</v>
      </c>
      <c r="N2075" s="71"/>
      <c r="O2075" s="166" t="s">
        <v>56</v>
      </c>
      <c r="P2075" s="166">
        <v>36</v>
      </c>
      <c r="Q2075" s="166">
        <v>48</v>
      </c>
      <c r="R2075" s="166">
        <v>36</v>
      </c>
      <c r="S2075" s="159">
        <v>48</v>
      </c>
      <c r="T2075" s="916">
        <f>Table1[[#This Row],[VO Wdth]]</f>
        <v>36</v>
      </c>
      <c r="U2075" s="1776">
        <f>Table1[[#This Row],[VO Hgt]]</f>
        <v>48</v>
      </c>
      <c r="V2075" s="686">
        <f>Table1[[#This Row],[VO Wdth]]+Materials!$C$7</f>
        <v>38</v>
      </c>
      <c r="W2075" s="686">
        <f>Table1[[#This Row],[VO Hgt]]+Materials!$C$7</f>
        <v>50</v>
      </c>
      <c r="X2075" s="343" t="s">
        <v>197</v>
      </c>
      <c r="Y2075" s="68"/>
      <c r="Z2075" s="68"/>
      <c r="AA2075" s="699">
        <f t="shared" si="756"/>
        <v>13.194444444444445</v>
      </c>
      <c r="AB2075" s="297">
        <f>AA2075*IncaGR</f>
        <v>13.458333333333334</v>
      </c>
      <c r="AC2075" s="74">
        <f>Table1[[#This Row],[Substrate SF]]*POster</f>
        <v>9.8166666666666664</v>
      </c>
      <c r="AD2075" s="208">
        <f>Table1[[#This Row],[Ink g/mL]]*IncaCR</f>
        <v>1.0766666666666667</v>
      </c>
      <c r="AE2075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075" s="73">
        <v>0</v>
      </c>
      <c r="AG2075" s="126">
        <f>Materials!D$76</f>
        <v>10.82</v>
      </c>
      <c r="AH2075" s="498">
        <f t="shared" si="757"/>
        <v>4.5</v>
      </c>
      <c r="AI2075" s="498"/>
      <c r="AJ2075" s="278">
        <f t="shared" si="758"/>
        <v>36.213333333333331</v>
      </c>
      <c r="AK2075" s="650">
        <f t="shared" si="759"/>
        <v>0.59762962962962962</v>
      </c>
      <c r="AL2075" s="225">
        <f>Table1[[#This Row],[WSP/Dealer]]/Table1[[#This Row],[OD Sq Inch]]</f>
        <v>5.2083333333333336E-2</v>
      </c>
      <c r="AM2075" s="170">
        <f>Table1[[#This Row],[OD Wdth]]*Table1[[#This Row],[OD Hgt]]</f>
        <v>1728</v>
      </c>
      <c r="AN2075" s="84"/>
      <c r="AO2075" s="84"/>
      <c r="AP2075" s="84"/>
      <c r="AQ2075" s="126"/>
      <c r="AR2075" s="126"/>
      <c r="AS2075" s="126"/>
      <c r="AT2075" s="74"/>
      <c r="AU2075" s="1357" t="str">
        <f t="shared" si="746"/>
        <v>-</v>
      </c>
    </row>
    <row r="2076" spans="1:47" s="170" customFormat="1" x14ac:dyDescent="0.2">
      <c r="A2076" s="86" t="s">
        <v>58</v>
      </c>
      <c r="B2076" s="1061" t="s">
        <v>146</v>
      </c>
      <c r="C2076" s="76" t="s">
        <v>4757</v>
      </c>
      <c r="D2076" s="94" t="s">
        <v>4758</v>
      </c>
      <c r="E2076" s="85" t="s">
        <v>4759</v>
      </c>
      <c r="F2076" s="85" t="s">
        <v>114</v>
      </c>
      <c r="G2076" s="86" t="s">
        <v>738</v>
      </c>
      <c r="H2076" s="86" t="s">
        <v>738</v>
      </c>
      <c r="I2076" s="86" t="s">
        <v>52</v>
      </c>
      <c r="J2076" s="86" t="s">
        <v>283</v>
      </c>
      <c r="K2076" s="86" t="s">
        <v>281</v>
      </c>
      <c r="L2076" s="86" t="s">
        <v>282</v>
      </c>
      <c r="M2076" s="87">
        <v>750</v>
      </c>
      <c r="N2076" s="639">
        <v>800</v>
      </c>
      <c r="O2076" s="101" t="s">
        <v>64</v>
      </c>
      <c r="P2076" s="60">
        <v>36</v>
      </c>
      <c r="Q2076" s="60">
        <v>45</v>
      </c>
      <c r="R2076" s="60">
        <v>36</v>
      </c>
      <c r="S2076" s="273">
        <v>45</v>
      </c>
      <c r="T2076" s="60">
        <f>P2076</f>
        <v>36</v>
      </c>
      <c r="U2076" s="273" t="str">
        <f>RIGHT(Table1[[#This Row],[OD]],2)</f>
        <v>45</v>
      </c>
      <c r="V2076" s="608">
        <f t="shared" ref="V2076:V2081" si="760">IF(J2076="Canvas",P2076+Border,P2076)</f>
        <v>36</v>
      </c>
      <c r="W2076" s="608">
        <f t="shared" ref="W2076:W2081" si="761">IF(J2076="Canvas",Q2076+Border,Q2076)</f>
        <v>45</v>
      </c>
      <c r="X2076" s="137" t="str">
        <f t="shared" ref="X2076:X2081" si="762">J2076</f>
        <v>MDF</v>
      </c>
      <c r="Y2076" s="60"/>
      <c r="Z2076" s="60"/>
      <c r="AA2076" s="717">
        <f t="shared" si="756"/>
        <v>11.25</v>
      </c>
      <c r="AB2076" s="184">
        <v>0.44</v>
      </c>
      <c r="AC2076" s="104">
        <f>MDFSHEET/2</f>
        <v>12.175000000000001</v>
      </c>
      <c r="AD2076" s="104">
        <f>Table1[[#This Row],[Substrate SF]]*Materials!C$37</f>
        <v>31.499999999999996</v>
      </c>
      <c r="AE2076" s="104">
        <f>IF(Table1[[#This Row],[Work Center]]="SwissQ",Materials!G$37,IF(Table1[[#This Row],[Work Center]]="Inca",Materials!G$29,IF(Table1[[#This Row],[Work Center]]="Canon",Materials!G$49,Materials!G$45)))</f>
        <v>20</v>
      </c>
      <c r="AF2076" s="69">
        <f>'Cali Frames'!D546</f>
        <v>142.065</v>
      </c>
      <c r="AG2076" s="115"/>
      <c r="AH2076" s="498">
        <f t="shared" si="757"/>
        <v>37.5</v>
      </c>
      <c r="AI2076" s="498"/>
      <c r="AJ2076" s="69">
        <f t="shared" si="758"/>
        <v>243.24</v>
      </c>
      <c r="AK2076" s="650">
        <f t="shared" si="759"/>
        <v>0.67567999999999995</v>
      </c>
      <c r="AL2076" s="225">
        <f>Table1[[#This Row],[WSP/Dealer]]/Table1[[#This Row],[OD Sq Inch]]</f>
        <v>0.46296296296296297</v>
      </c>
      <c r="AM2076" s="101">
        <f>Table1[[#This Row],[OD Wdth]]*Table1[[#This Row],[OD Hgt]]</f>
        <v>1620</v>
      </c>
      <c r="AN2076" s="216">
        <f>Table1[[#This Row],[Min VO]]+Table1[[#This Row],[Max VO]]</f>
        <v>81</v>
      </c>
      <c r="AO2076" s="101"/>
      <c r="AP2076" s="101"/>
      <c r="AQ2076" s="104"/>
      <c r="AR2076" s="104"/>
      <c r="AS2076" s="104"/>
      <c r="AT2076" s="104"/>
      <c r="AU2076" s="830" t="str">
        <f t="shared" si="746"/>
        <v>-</v>
      </c>
    </row>
    <row r="2077" spans="1:47" s="170" customFormat="1" x14ac:dyDescent="0.2">
      <c r="A2077" s="86" t="s">
        <v>58</v>
      </c>
      <c r="B2077" s="1061" t="s">
        <v>146</v>
      </c>
      <c r="C2077" s="76" t="s">
        <v>4760</v>
      </c>
      <c r="D2077" s="94" t="s">
        <v>4761</v>
      </c>
      <c r="E2077" s="85" t="s">
        <v>4759</v>
      </c>
      <c r="F2077" s="85" t="s">
        <v>114</v>
      </c>
      <c r="G2077" s="86" t="s">
        <v>738</v>
      </c>
      <c r="H2077" s="86" t="s">
        <v>739</v>
      </c>
      <c r="I2077" s="86" t="s">
        <v>52</v>
      </c>
      <c r="J2077" s="86" t="s">
        <v>283</v>
      </c>
      <c r="K2077" s="86" t="s">
        <v>69</v>
      </c>
      <c r="L2077" s="86" t="s">
        <v>70</v>
      </c>
      <c r="M2077" s="87">
        <v>780</v>
      </c>
      <c r="N2077" s="639">
        <v>800</v>
      </c>
      <c r="O2077" s="101" t="s">
        <v>64</v>
      </c>
      <c r="P2077" s="60">
        <v>36</v>
      </c>
      <c r="Q2077" s="60">
        <v>45</v>
      </c>
      <c r="R2077" s="60">
        <v>36</v>
      </c>
      <c r="S2077" s="273">
        <v>45</v>
      </c>
      <c r="T2077" s="60">
        <v>37</v>
      </c>
      <c r="U2077" s="273">
        <v>46</v>
      </c>
      <c r="V2077" s="608">
        <f t="shared" si="760"/>
        <v>36</v>
      </c>
      <c r="W2077" s="608">
        <f t="shared" si="761"/>
        <v>45</v>
      </c>
      <c r="X2077" s="137" t="str">
        <f t="shared" si="762"/>
        <v>MDF</v>
      </c>
      <c r="Y2077" s="60"/>
      <c r="Z2077" s="60"/>
      <c r="AA2077" s="717">
        <f t="shared" si="756"/>
        <v>11.25</v>
      </c>
      <c r="AB2077" s="184">
        <f>Table1[[#This Row],[Substrate SF]]*Swiss1</f>
        <v>318.375</v>
      </c>
      <c r="AC2077" s="104">
        <f>MDFSHEET/2</f>
        <v>12.175000000000001</v>
      </c>
      <c r="AD2077" s="107">
        <f>Table1[[#This Row],[Substrate SF]]*Materials!C$37</f>
        <v>31.499999999999996</v>
      </c>
      <c r="AE2077" s="104">
        <f>IF(Table1[[#This Row],[Work Center]]="SwissQ",Materials!G$37,IF(Table1[[#This Row],[Work Center]]="Inca",Materials!G$29,IF(Table1[[#This Row],[Work Center]]="Canon",Materials!G$49,Materials!G$45)))</f>
        <v>20</v>
      </c>
      <c r="AF2077" s="69">
        <f>'Cali Frames'!D299</f>
        <v>152.3725</v>
      </c>
      <c r="AG2077" s="115"/>
      <c r="AH2077" s="112">
        <f t="shared" si="757"/>
        <v>39</v>
      </c>
      <c r="AI2077" s="112"/>
      <c r="AJ2077" s="48">
        <f t="shared" si="758"/>
        <v>255.04750000000001</v>
      </c>
      <c r="AK2077" s="62">
        <f t="shared" si="759"/>
        <v>0.67301602564102558</v>
      </c>
      <c r="AL2077" s="225">
        <f>Table1[[#This Row],[WSP/Dealer]]/Table1[[#This Row],[OD Sq Inch]]</f>
        <v>0.4582843713278496</v>
      </c>
      <c r="AM2077" s="46">
        <f>Table1[[#This Row],[OD Wdth]]*Table1[[#This Row],[OD Hgt]]</f>
        <v>1702</v>
      </c>
      <c r="AN2077" s="216">
        <f>Table1[[#This Row],[Min VO]]+Table1[[#This Row],[Max VO]]</f>
        <v>81</v>
      </c>
      <c r="AO2077" s="101"/>
      <c r="AP2077" s="101"/>
      <c r="AQ2077" s="104"/>
      <c r="AR2077" s="104"/>
      <c r="AS2077" s="104"/>
      <c r="AT2077" s="104"/>
      <c r="AU2077" s="830" t="str">
        <f t="shared" si="746"/>
        <v>-</v>
      </c>
    </row>
    <row r="2078" spans="1:47" s="170" customFormat="1" x14ac:dyDescent="0.2">
      <c r="A2078" s="86" t="s">
        <v>58</v>
      </c>
      <c r="B2078" s="1061" t="s">
        <v>146</v>
      </c>
      <c r="C2078" s="76" t="s">
        <v>4762</v>
      </c>
      <c r="D2078" s="94" t="s">
        <v>4763</v>
      </c>
      <c r="E2078" s="85" t="s">
        <v>4759</v>
      </c>
      <c r="F2078" s="85" t="s">
        <v>114</v>
      </c>
      <c r="G2078" s="86" t="s">
        <v>738</v>
      </c>
      <c r="H2078" s="86" t="s">
        <v>739</v>
      </c>
      <c r="I2078" s="86" t="s">
        <v>52</v>
      </c>
      <c r="J2078" s="86" t="s">
        <v>283</v>
      </c>
      <c r="K2078" s="86" t="s">
        <v>69</v>
      </c>
      <c r="L2078" s="86" t="s">
        <v>73</v>
      </c>
      <c r="M2078" s="87">
        <v>850</v>
      </c>
      <c r="N2078" s="639">
        <v>850</v>
      </c>
      <c r="O2078" s="101" t="s">
        <v>64</v>
      </c>
      <c r="P2078" s="60">
        <v>36</v>
      </c>
      <c r="Q2078" s="60">
        <v>45</v>
      </c>
      <c r="R2078" s="60">
        <v>36</v>
      </c>
      <c r="S2078" s="273">
        <v>45</v>
      </c>
      <c r="T2078" s="60">
        <v>37</v>
      </c>
      <c r="U2078" s="273">
        <v>46</v>
      </c>
      <c r="V2078" s="106">
        <f t="shared" si="760"/>
        <v>36</v>
      </c>
      <c r="W2078" s="106">
        <f t="shared" si="761"/>
        <v>45</v>
      </c>
      <c r="X2078" s="137" t="str">
        <f t="shared" si="762"/>
        <v>MDF</v>
      </c>
      <c r="Y2078" s="60"/>
      <c r="Z2078" s="60"/>
      <c r="AA2078" s="717">
        <f t="shared" si="756"/>
        <v>11.25</v>
      </c>
      <c r="AB2078" s="184">
        <f>Table1[[#This Row],[Substrate SF]]*Swiss1</f>
        <v>318.375</v>
      </c>
      <c r="AC2078" s="104">
        <f>MDFSHEET/2</f>
        <v>12.175000000000001</v>
      </c>
      <c r="AD2078" s="107">
        <f>Table1[[#This Row],[Substrate SF]]*Materials!C$37</f>
        <v>31.499999999999996</v>
      </c>
      <c r="AE2078" s="104">
        <f>IF(Table1[[#This Row],[Work Center]]="SwissQ",Materials!G$37,IF(Table1[[#This Row],[Work Center]]="Inca",Materials!G$29,IF(Table1[[#This Row],[Work Center]]="Canon",Materials!G$49,Materials!G$45)))</f>
        <v>20</v>
      </c>
      <c r="AF2078" s="69">
        <f>'Cali Frames'!D526</f>
        <v>133.49</v>
      </c>
      <c r="AG2078" s="115"/>
      <c r="AH2078" s="112">
        <f t="shared" si="757"/>
        <v>42.5</v>
      </c>
      <c r="AI2078" s="112"/>
      <c r="AJ2078" s="48">
        <f t="shared" si="758"/>
        <v>239.66500000000002</v>
      </c>
      <c r="AK2078" s="62">
        <f t="shared" si="759"/>
        <v>0.71804117647058829</v>
      </c>
      <c r="AL2078" s="225">
        <f>Table1[[#This Row],[WSP/Dealer]]/Table1[[#This Row],[OD Sq Inch]]</f>
        <v>0.49941245593419509</v>
      </c>
      <c r="AM2078" s="218">
        <f>Table1[[#This Row],[OD Wdth]]*Table1[[#This Row],[OD Hgt]]</f>
        <v>1702</v>
      </c>
      <c r="AN2078" s="216">
        <f>Table1[[#This Row],[Min VO]]+Table1[[#This Row],[Max VO]]</f>
        <v>81</v>
      </c>
      <c r="AO2078" s="101"/>
      <c r="AP2078" s="101"/>
      <c r="AQ2078" s="104"/>
      <c r="AR2078" s="104"/>
      <c r="AS2078" s="104"/>
      <c r="AT2078" s="104"/>
      <c r="AU2078" s="830" t="str">
        <f t="shared" si="746"/>
        <v>-</v>
      </c>
    </row>
    <row r="2079" spans="1:47" s="170" customFormat="1" x14ac:dyDescent="0.2">
      <c r="A2079" s="86" t="s">
        <v>58</v>
      </c>
      <c r="B2079" s="279" t="s">
        <v>366</v>
      </c>
      <c r="C2079" s="76" t="s">
        <v>4764</v>
      </c>
      <c r="D2079" s="94" t="s">
        <v>4765</v>
      </c>
      <c r="E2079" s="85" t="s">
        <v>4766</v>
      </c>
      <c r="F2079" s="85" t="s">
        <v>114</v>
      </c>
      <c r="G2079" s="86" t="s">
        <v>191</v>
      </c>
      <c r="H2079" s="86" t="s">
        <v>191</v>
      </c>
      <c r="I2079" s="86" t="s">
        <v>52</v>
      </c>
      <c r="J2079" s="86" t="s">
        <v>283</v>
      </c>
      <c r="K2079" s="86" t="s">
        <v>281</v>
      </c>
      <c r="L2079" s="86" t="s">
        <v>282</v>
      </c>
      <c r="M2079" s="87">
        <v>935</v>
      </c>
      <c r="N2079" s="639">
        <v>1100</v>
      </c>
      <c r="O2079" s="101" t="s">
        <v>64</v>
      </c>
      <c r="P2079" s="101">
        <v>48</v>
      </c>
      <c r="Q2079" s="101">
        <v>60</v>
      </c>
      <c r="R2079" s="60">
        <v>48</v>
      </c>
      <c r="S2079" s="273">
        <v>60</v>
      </c>
      <c r="T2079" s="101">
        <v>48</v>
      </c>
      <c r="U2079" s="101" t="str">
        <f>RIGHT(H2079,2)</f>
        <v>60</v>
      </c>
      <c r="V2079" s="608">
        <f t="shared" si="760"/>
        <v>48</v>
      </c>
      <c r="W2079" s="608">
        <f t="shared" si="761"/>
        <v>60</v>
      </c>
      <c r="X2079" s="137" t="str">
        <f t="shared" si="762"/>
        <v>MDF</v>
      </c>
      <c r="Y2079" s="101"/>
      <c r="Z2079" s="101"/>
      <c r="AA2079" s="649">
        <f t="shared" si="756"/>
        <v>20</v>
      </c>
      <c r="AB2079" s="184">
        <f>Table1[[#This Row],[Substrate SF]]*Swiss1</f>
        <v>566</v>
      </c>
      <c r="AC2079" s="104">
        <f>MDFSHEET</f>
        <v>24.35</v>
      </c>
      <c r="AD2079" s="104">
        <f>Table1[[#This Row],[Substrate SF]]*Materials!C$37</f>
        <v>56</v>
      </c>
      <c r="AE2079" s="104">
        <f>IF(Table1[[#This Row],[Work Center]]="SwissQ",Materials!G$37,IF(Table1[[#This Row],[Work Center]]="Inca",Materials!G$29,IF(Table1[[#This Row],[Work Center]]="Canon",Materials!G$49,Materials!G$45)))</f>
        <v>20</v>
      </c>
      <c r="AF2079" s="104">
        <f>'Cali Frames'!D$552</f>
        <v>182.89</v>
      </c>
      <c r="AG2079" s="115"/>
      <c r="AH2079" s="112">
        <f t="shared" si="757"/>
        <v>46.75</v>
      </c>
      <c r="AI2079" s="112"/>
      <c r="AJ2079" s="104">
        <f t="shared" si="758"/>
        <v>329.99</v>
      </c>
      <c r="AK2079" s="62">
        <f t="shared" si="759"/>
        <v>0.64706951871657759</v>
      </c>
      <c r="AL2079" s="225">
        <f>Table1[[#This Row],[WSP/Dealer]]/Table1[[#This Row],[OD Sq Inch]]</f>
        <v>0.32465277777777779</v>
      </c>
      <c r="AM2079" s="60">
        <f>Table1[[#This Row],[OD Wdth]]*Table1[[#This Row],[OD Hgt]]</f>
        <v>2880</v>
      </c>
      <c r="AN2079" s="216">
        <f>Table1[[#This Row],[Min VO]]+Table1[[#This Row],[Max VO]]</f>
        <v>108</v>
      </c>
      <c r="AO2079" s="101"/>
      <c r="AP2079" s="101"/>
      <c r="AQ2079" s="104"/>
      <c r="AR2079" s="104"/>
      <c r="AS2079" s="104"/>
      <c r="AT2079" s="104"/>
      <c r="AU2079" s="830" t="str">
        <f t="shared" si="746"/>
        <v>-</v>
      </c>
    </row>
    <row r="2080" spans="1:47" s="170" customFormat="1" x14ac:dyDescent="0.2">
      <c r="A2080" s="180" t="s">
        <v>58</v>
      </c>
      <c r="B2080" s="279" t="s">
        <v>159</v>
      </c>
      <c r="C2080" s="302" t="s">
        <v>4767</v>
      </c>
      <c r="D2080" s="94" t="s">
        <v>4768</v>
      </c>
      <c r="E2080" s="284" t="s">
        <v>4766</v>
      </c>
      <c r="F2080" s="284" t="s">
        <v>114</v>
      </c>
      <c r="G2080" s="180" t="s">
        <v>191</v>
      </c>
      <c r="H2080" s="180" t="s">
        <v>193</v>
      </c>
      <c r="I2080" s="180" t="s">
        <v>52</v>
      </c>
      <c r="J2080" s="180" t="s">
        <v>283</v>
      </c>
      <c r="K2080" s="180" t="s">
        <v>69</v>
      </c>
      <c r="L2080" s="180" t="s">
        <v>70</v>
      </c>
      <c r="M2080" s="285">
        <v>1200</v>
      </c>
      <c r="N2080" s="639">
        <v>1250</v>
      </c>
      <c r="O2080" s="180" t="s">
        <v>64</v>
      </c>
      <c r="P2080" s="180">
        <v>48</v>
      </c>
      <c r="Q2080" s="180">
        <v>60</v>
      </c>
      <c r="R2080" s="180">
        <v>48</v>
      </c>
      <c r="S2080" s="813">
        <v>60</v>
      </c>
      <c r="T2080" s="180">
        <v>49</v>
      </c>
      <c r="U2080" s="813" t="str">
        <f>RIGHT(Table1[[#This Row],[OD]],2)</f>
        <v>61</v>
      </c>
      <c r="V2080" s="947">
        <f t="shared" si="760"/>
        <v>48</v>
      </c>
      <c r="W2080" s="947">
        <f t="shared" si="761"/>
        <v>60</v>
      </c>
      <c r="X2080" s="289" t="str">
        <f t="shared" si="762"/>
        <v>MDF</v>
      </c>
      <c r="Y2080" s="180"/>
      <c r="Z2080" s="180"/>
      <c r="AA2080" s="678">
        <f t="shared" si="756"/>
        <v>20</v>
      </c>
      <c r="AB2080" s="329">
        <f>Table1[[#This Row],[Substrate SF]]*Swiss1</f>
        <v>566</v>
      </c>
      <c r="AC2080" s="176">
        <f>MDFSHEET</f>
        <v>24.35</v>
      </c>
      <c r="AD2080" s="175">
        <f>Table1[[#This Row],[Substrate SF]]*Materials!C$37</f>
        <v>56</v>
      </c>
      <c r="AE2080" s="69">
        <f>IF(Table1[[#This Row],[Work Center]]="SwissQ",Materials!G$37,IF(Table1[[#This Row],[Work Center]]="Inca",Materials!G$29,IF(Table1[[#This Row],[Work Center]]="Canon",Materials!G$49,Materials!G$45)))</f>
        <v>20</v>
      </c>
      <c r="AF2080" s="176">
        <f>'Cali Frames'!D528</f>
        <v>130.12</v>
      </c>
      <c r="AG2080" s="284"/>
      <c r="AH2080" s="112">
        <f t="shared" si="757"/>
        <v>60</v>
      </c>
      <c r="AI2080" s="112"/>
      <c r="AJ2080" s="175">
        <f t="shared" si="758"/>
        <v>290.47000000000003</v>
      </c>
      <c r="AK2080" s="62">
        <f t="shared" si="759"/>
        <v>0.75794166666666662</v>
      </c>
      <c r="AL2080" s="225">
        <f>Table1[[#This Row],[WSP/Dealer]]/Table1[[#This Row],[OD Sq Inch]]</f>
        <v>0.40147206423553028</v>
      </c>
      <c r="AM2080" s="173">
        <f>Table1[[#This Row],[OD Wdth]]*Table1[[#This Row],[OD Hgt]]</f>
        <v>2989</v>
      </c>
      <c r="AN2080" s="180">
        <f>Table1[[#This Row],[Min VO]]+Table1[[#This Row],[Max VO]]</f>
        <v>108</v>
      </c>
      <c r="AO2080" s="180"/>
      <c r="AP2080" s="180"/>
      <c r="AQ2080" s="176"/>
      <c r="AR2080" s="176"/>
      <c r="AS2080" s="176"/>
      <c r="AT2080" s="176"/>
      <c r="AU2080" s="1201" t="str">
        <f t="shared" si="746"/>
        <v>-</v>
      </c>
    </row>
    <row r="2081" spans="1:47" s="173" customFormat="1" x14ac:dyDescent="0.2">
      <c r="A2081" s="60" t="s">
        <v>58</v>
      </c>
      <c r="B2081" s="279" t="s">
        <v>159</v>
      </c>
      <c r="C2081" s="76" t="s">
        <v>4769</v>
      </c>
      <c r="D2081" s="94" t="s">
        <v>4770</v>
      </c>
      <c r="E2081" s="83" t="s">
        <v>4771</v>
      </c>
      <c r="F2081" s="83" t="s">
        <v>114</v>
      </c>
      <c r="G2081" s="60" t="s">
        <v>191</v>
      </c>
      <c r="H2081" s="60" t="s">
        <v>193</v>
      </c>
      <c r="I2081" s="60" t="s">
        <v>52</v>
      </c>
      <c r="J2081" s="60" t="s">
        <v>283</v>
      </c>
      <c r="K2081" s="60" t="s">
        <v>69</v>
      </c>
      <c r="L2081" s="60" t="s">
        <v>73</v>
      </c>
      <c r="M2081" s="124">
        <v>1210</v>
      </c>
      <c r="N2081" s="639">
        <v>1250</v>
      </c>
      <c r="O2081" s="60" t="s">
        <v>64</v>
      </c>
      <c r="P2081" s="60">
        <v>48</v>
      </c>
      <c r="Q2081" s="60">
        <v>60</v>
      </c>
      <c r="R2081" s="60">
        <v>48</v>
      </c>
      <c r="S2081" s="61">
        <v>60</v>
      </c>
      <c r="T2081" s="60">
        <v>49</v>
      </c>
      <c r="U2081" s="61" t="str">
        <f>RIGHT(Table1[[#This Row],[OD]],2)</f>
        <v>61</v>
      </c>
      <c r="V2081" s="946">
        <f t="shared" si="760"/>
        <v>48</v>
      </c>
      <c r="W2081" s="946">
        <f t="shared" si="761"/>
        <v>60</v>
      </c>
      <c r="X2081" s="138" t="str">
        <f t="shared" si="762"/>
        <v>MDF</v>
      </c>
      <c r="Y2081" s="60"/>
      <c r="Z2081" s="60"/>
      <c r="AA2081" s="717">
        <f t="shared" si="756"/>
        <v>20</v>
      </c>
      <c r="AB2081" s="125">
        <f>Table1[[#This Row],[Substrate SF]]*Swiss1</f>
        <v>566</v>
      </c>
      <c r="AC2081" s="69">
        <f>MDFSHEET</f>
        <v>24.35</v>
      </c>
      <c r="AD2081" s="48">
        <f>Table1[[#This Row],[Substrate SF]]*Materials!C$37</f>
        <v>56</v>
      </c>
      <c r="AE2081" s="69">
        <f>IF(Table1[[#This Row],[Work Center]]="SwissQ",Materials!G$37,IF(Table1[[#This Row],[Work Center]]="Inca",Materials!G$29,IF(Table1[[#This Row],[Work Center]]="Canon",Materials!G$49,Materials!G$45)))</f>
        <v>20</v>
      </c>
      <c r="AF2081" s="69">
        <f>'Cali Frames'!D529</f>
        <v>185.62</v>
      </c>
      <c r="AG2081" s="83"/>
      <c r="AH2081" s="498">
        <f t="shared" si="757"/>
        <v>60.5</v>
      </c>
      <c r="AI2081" s="498"/>
      <c r="AJ2081" s="69">
        <f t="shared" si="758"/>
        <v>346.47</v>
      </c>
      <c r="AK2081" s="650">
        <f t="shared" si="759"/>
        <v>0.71366115702479338</v>
      </c>
      <c r="AL2081" s="225">
        <f>Table1[[#This Row],[WSP/Dealer]]/Table1[[#This Row],[OD Sq Inch]]</f>
        <v>0.40481766477082637</v>
      </c>
      <c r="AM2081" s="218">
        <f>Table1[[#This Row],[OD Wdth]]*Table1[[#This Row],[OD Hgt]]</f>
        <v>2989</v>
      </c>
      <c r="AN2081" s="216">
        <f>Table1[[#This Row],[Min VO]]+Table1[[#This Row],[Max VO]]</f>
        <v>108</v>
      </c>
      <c r="AO2081" s="46"/>
      <c r="AP2081" s="60"/>
      <c r="AQ2081" s="69"/>
      <c r="AR2081" s="69"/>
      <c r="AS2081" s="69"/>
      <c r="AT2081" s="69"/>
      <c r="AU2081" s="650" t="str">
        <f t="shared" si="746"/>
        <v>-</v>
      </c>
    </row>
    <row r="2082" spans="1:47" s="170" customFormat="1" hidden="1" x14ac:dyDescent="0.2">
      <c r="A2082" s="373" t="s">
        <v>187</v>
      </c>
      <c r="B2082" s="1061" t="s">
        <v>188</v>
      </c>
      <c r="C2082" s="298" t="s">
        <v>4772</v>
      </c>
      <c r="D2082" s="94"/>
      <c r="E2082" s="84" t="s">
        <v>4773</v>
      </c>
      <c r="F2082" s="84" t="s">
        <v>114</v>
      </c>
      <c r="G2082" s="431" t="s">
        <v>191</v>
      </c>
      <c r="H2082" s="431" t="s">
        <v>193</v>
      </c>
      <c r="I2082" s="68" t="s">
        <v>52</v>
      </c>
      <c r="J2082" s="140" t="s">
        <v>53</v>
      </c>
      <c r="K2082" s="68" t="s">
        <v>69</v>
      </c>
      <c r="L2082" s="68" t="s">
        <v>70</v>
      </c>
      <c r="M2082" s="93">
        <v>2950</v>
      </c>
      <c r="N2082" s="71"/>
      <c r="O2082" s="68" t="s">
        <v>64</v>
      </c>
      <c r="P2082" s="68"/>
      <c r="Q2082" s="68"/>
      <c r="R2082" s="68"/>
      <c r="S2082" s="623"/>
      <c r="T2082" s="68"/>
      <c r="U2082" s="623"/>
      <c r="V2082" s="917"/>
      <c r="W2082" s="917"/>
      <c r="X2082" s="189"/>
      <c r="Y2082" s="68"/>
      <c r="Z2082" s="68"/>
      <c r="AA2082" s="699"/>
      <c r="AB2082" s="297"/>
      <c r="AC2082" s="74"/>
      <c r="AD2082" s="118"/>
      <c r="AE2082" s="126"/>
      <c r="AF2082" s="73"/>
      <c r="AG2082" s="84"/>
      <c r="AH2082" s="498">
        <f t="shared" si="757"/>
        <v>147.5</v>
      </c>
      <c r="AI2082" s="498"/>
      <c r="AJ2082" s="126"/>
      <c r="AK2082" s="650">
        <f t="shared" si="759"/>
        <v>1</v>
      </c>
      <c r="AL2082" s="225" t="e">
        <f>Table1[[#This Row],[WSP/Dealer]]/Table1[[#This Row],[OD Sq Inch]]</f>
        <v>#DIV/0!</v>
      </c>
      <c r="AM2082" s="119"/>
      <c r="AN2082" s="84"/>
      <c r="AO2082" s="84"/>
      <c r="AP2082" s="84"/>
      <c r="AQ2082" s="126"/>
      <c r="AR2082" s="126"/>
      <c r="AS2082" s="126"/>
      <c r="AT2082" s="74"/>
      <c r="AU2082" s="1357" t="str">
        <f t="shared" si="746"/>
        <v>-</v>
      </c>
    </row>
    <row r="2083" spans="1:47" s="170" customFormat="1" hidden="1" x14ac:dyDescent="0.2">
      <c r="A2083" s="373" t="s">
        <v>187</v>
      </c>
      <c r="B2083" s="1061" t="s">
        <v>188</v>
      </c>
      <c r="C2083" s="298" t="s">
        <v>4774</v>
      </c>
      <c r="D2083" s="94"/>
      <c r="E2083" s="84" t="s">
        <v>4773</v>
      </c>
      <c r="F2083" s="84" t="s">
        <v>114</v>
      </c>
      <c r="G2083" s="439" t="s">
        <v>191</v>
      </c>
      <c r="H2083" s="439" t="s">
        <v>191</v>
      </c>
      <c r="I2083" s="68" t="s">
        <v>52</v>
      </c>
      <c r="J2083" s="140" t="s">
        <v>53</v>
      </c>
      <c r="K2083" s="68" t="s">
        <v>54</v>
      </c>
      <c r="L2083" s="68" t="s">
        <v>55</v>
      </c>
      <c r="M2083" s="93">
        <v>1550</v>
      </c>
      <c r="N2083" s="71"/>
      <c r="O2083" s="68" t="s">
        <v>64</v>
      </c>
      <c r="P2083" s="68"/>
      <c r="Q2083" s="68"/>
      <c r="R2083" s="68"/>
      <c r="S2083" s="623"/>
      <c r="T2083" s="68"/>
      <c r="U2083" s="623"/>
      <c r="V2083" s="917"/>
      <c r="W2083" s="917"/>
      <c r="X2083" s="189"/>
      <c r="Y2083" s="68"/>
      <c r="Z2083" s="68"/>
      <c r="AA2083" s="699"/>
      <c r="AB2083" s="297"/>
      <c r="AC2083" s="74"/>
      <c r="AD2083" s="126"/>
      <c r="AE2083" s="126"/>
      <c r="AF2083" s="73"/>
      <c r="AG2083" s="84"/>
      <c r="AH2083" s="112">
        <f t="shared" si="757"/>
        <v>77.5</v>
      </c>
      <c r="AI2083" s="112"/>
      <c r="AJ2083" s="126"/>
      <c r="AK2083" s="62">
        <f t="shared" si="759"/>
        <v>1</v>
      </c>
      <c r="AL2083" s="225" t="e">
        <f>Table1[[#This Row],[WSP/Dealer]]/Table1[[#This Row],[OD Sq Inch]]</f>
        <v>#DIV/0!</v>
      </c>
      <c r="AM2083" s="84"/>
      <c r="AN2083" s="84"/>
      <c r="AO2083" s="84"/>
      <c r="AP2083" s="84"/>
      <c r="AQ2083" s="126"/>
      <c r="AR2083" s="126"/>
      <c r="AS2083" s="126"/>
      <c r="AT2083" s="74"/>
      <c r="AU2083" s="1357" t="str">
        <f t="shared" si="746"/>
        <v>-</v>
      </c>
    </row>
    <row r="2084" spans="1:47" s="170" customFormat="1" hidden="1" x14ac:dyDescent="0.2">
      <c r="A2084" s="373" t="s">
        <v>187</v>
      </c>
      <c r="B2084" s="1061" t="s">
        <v>188</v>
      </c>
      <c r="C2084" s="298" t="s">
        <v>4775</v>
      </c>
      <c r="D2084" s="94"/>
      <c r="E2084" s="84" t="s">
        <v>4776</v>
      </c>
      <c r="F2084" s="84" t="s">
        <v>114</v>
      </c>
      <c r="G2084" s="431" t="s">
        <v>191</v>
      </c>
      <c r="H2084" s="431" t="s">
        <v>193</v>
      </c>
      <c r="I2084" s="68" t="s">
        <v>52</v>
      </c>
      <c r="J2084" s="140" t="s">
        <v>53</v>
      </c>
      <c r="K2084" s="68" t="s">
        <v>69</v>
      </c>
      <c r="L2084" s="68" t="s">
        <v>73</v>
      </c>
      <c r="M2084" s="93">
        <v>2950</v>
      </c>
      <c r="N2084" s="71"/>
      <c r="O2084" s="68" t="s">
        <v>64</v>
      </c>
      <c r="P2084" s="68"/>
      <c r="Q2084" s="68"/>
      <c r="R2084" s="68"/>
      <c r="S2084" s="623"/>
      <c r="T2084" s="68"/>
      <c r="U2084" s="623"/>
      <c r="V2084" s="917"/>
      <c r="W2084" s="917"/>
      <c r="X2084" s="189"/>
      <c r="Y2084" s="68"/>
      <c r="Z2084" s="68"/>
      <c r="AA2084" s="699"/>
      <c r="AB2084" s="297"/>
      <c r="AC2084" s="74"/>
      <c r="AD2084" s="126"/>
      <c r="AE2084" s="126"/>
      <c r="AF2084" s="73"/>
      <c r="AG2084" s="84"/>
      <c r="AH2084" s="498">
        <f t="shared" si="757"/>
        <v>147.5</v>
      </c>
      <c r="AI2084" s="498"/>
      <c r="AJ2084" s="126"/>
      <c r="AK2084" s="650">
        <f t="shared" si="759"/>
        <v>1</v>
      </c>
      <c r="AL2084" s="225" t="e">
        <f>Table1[[#This Row],[WSP/Dealer]]/Table1[[#This Row],[OD Sq Inch]]</f>
        <v>#DIV/0!</v>
      </c>
      <c r="AM2084" s="119"/>
      <c r="AN2084" s="84"/>
      <c r="AO2084" s="84"/>
      <c r="AP2084" s="84"/>
      <c r="AQ2084" s="126"/>
      <c r="AR2084" s="126"/>
      <c r="AS2084" s="126"/>
      <c r="AT2084" s="74"/>
      <c r="AU2084" s="1357" t="str">
        <f t="shared" si="746"/>
        <v>-</v>
      </c>
    </row>
    <row r="2085" spans="1:47" s="170" customFormat="1" hidden="1" x14ac:dyDescent="0.2">
      <c r="A2085" s="458" t="s">
        <v>187</v>
      </c>
      <c r="B2085" s="1061" t="s">
        <v>188</v>
      </c>
      <c r="C2085" s="78" t="s">
        <v>4777</v>
      </c>
      <c r="D2085" s="94"/>
      <c r="E2085" s="83" t="s">
        <v>4778</v>
      </c>
      <c r="F2085" s="83" t="s">
        <v>114</v>
      </c>
      <c r="G2085" s="156" t="s">
        <v>191</v>
      </c>
      <c r="H2085" s="156" t="s">
        <v>191</v>
      </c>
      <c r="I2085" s="60" t="s">
        <v>108</v>
      </c>
      <c r="J2085" s="59" t="s">
        <v>197</v>
      </c>
      <c r="K2085" s="60" t="s">
        <v>198</v>
      </c>
      <c r="L2085" s="60" t="s">
        <v>199</v>
      </c>
      <c r="M2085" s="124">
        <v>120</v>
      </c>
      <c r="N2085" s="72"/>
      <c r="O2085" s="60" t="s">
        <v>64</v>
      </c>
      <c r="P2085" s="60">
        <v>48</v>
      </c>
      <c r="Q2085" s="60">
        <v>60</v>
      </c>
      <c r="R2085" s="60">
        <v>48</v>
      </c>
      <c r="S2085" s="60">
        <v>60</v>
      </c>
      <c r="T2085" s="60">
        <v>48</v>
      </c>
      <c r="U2085" s="60">
        <v>60</v>
      </c>
      <c r="V2085" s="947">
        <f>Table1[[#This Row],[VO Wdth]]+Materials!$C$7</f>
        <v>50</v>
      </c>
      <c r="W2085" s="947">
        <f>Table1[[#This Row],[VO Hgt]]+Materials!$C$7</f>
        <v>62</v>
      </c>
      <c r="X2085" s="289" t="s">
        <v>197</v>
      </c>
      <c r="Y2085" s="60"/>
      <c r="Z2085" s="60"/>
      <c r="AA2085" s="717">
        <f t="shared" ref="AA2085:AA2124" si="763">V2085*W2085/144</f>
        <v>21.527777777777779</v>
      </c>
      <c r="AB2085" s="329">
        <f>AA2085*SWISSRML</f>
        <v>43.055555555555557</v>
      </c>
      <c r="AC2085" s="69">
        <f>Table1[[#This Row],[Substrate SF]]*POster</f>
        <v>16.016666666666666</v>
      </c>
      <c r="AD2085" s="176">
        <f>Table1[[#This Row],[Substrate SF]]*SWISSRC</f>
        <v>4.7361111111111116</v>
      </c>
      <c r="AE2085" s="69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085" s="72">
        <v>0</v>
      </c>
      <c r="AG2085" s="540">
        <f>Materials!D$76</f>
        <v>10.82</v>
      </c>
      <c r="AH2085" s="48">
        <f t="shared" si="757"/>
        <v>6</v>
      </c>
      <c r="AI2085" s="69"/>
      <c r="AJ2085" s="176">
        <f t="shared" ref="AJ2085:AJ2103" si="764">SUM(AC2085:AH2085)</f>
        <v>47.572777777777773</v>
      </c>
      <c r="AK2085" s="62">
        <f t="shared" si="759"/>
        <v>0.60356018518518517</v>
      </c>
      <c r="AL2085" s="225">
        <f>Table1[[#This Row],[WSP/Dealer]]/Table1[[#This Row],[OD Sq Inch]]</f>
        <v>4.1666666666666664E-2</v>
      </c>
      <c r="AM2085" s="180">
        <f>Table1[[#This Row],[OD Wdth]]*Table1[[#This Row],[OD Hgt]]</f>
        <v>2880</v>
      </c>
      <c r="AN2085" s="83"/>
      <c r="AO2085" s="83"/>
      <c r="AP2085" s="83"/>
      <c r="AQ2085" s="540"/>
      <c r="AR2085" s="540"/>
      <c r="AS2085" s="540"/>
      <c r="AT2085" s="69"/>
      <c r="AU2085" s="1361" t="str">
        <f t="shared" si="746"/>
        <v>-</v>
      </c>
    </row>
    <row r="2086" spans="1:47" s="170" customFormat="1" hidden="1" x14ac:dyDescent="0.2">
      <c r="A2086" s="685" t="s">
        <v>318</v>
      </c>
      <c r="B2086" s="1672" t="s">
        <v>305</v>
      </c>
      <c r="C2086" s="1534" t="s">
        <v>4779</v>
      </c>
      <c r="D2086" s="1522"/>
      <c r="E2086" s="1478" t="s">
        <v>4780</v>
      </c>
      <c r="F2086" s="1478" t="s">
        <v>571</v>
      </c>
      <c r="G2086" s="685" t="s">
        <v>4781</v>
      </c>
      <c r="H2086" s="685" t="s">
        <v>4782</v>
      </c>
      <c r="I2086" s="1535" t="s">
        <v>52</v>
      </c>
      <c r="J2086" s="1523" t="s">
        <v>53</v>
      </c>
      <c r="K2086" s="685" t="s">
        <v>69</v>
      </c>
      <c r="L2086" s="685" t="s">
        <v>70</v>
      </c>
      <c r="M2086" s="179">
        <v>275</v>
      </c>
      <c r="N2086" s="179"/>
      <c r="O2086" s="685" t="s">
        <v>64</v>
      </c>
      <c r="P2086" s="685">
        <v>30</v>
      </c>
      <c r="Q2086" s="685">
        <v>12</v>
      </c>
      <c r="R2086" s="685">
        <v>12</v>
      </c>
      <c r="S2086" s="685">
        <v>30</v>
      </c>
      <c r="T2086" s="1506">
        <v>31</v>
      </c>
      <c r="U2086" s="1506">
        <v>13</v>
      </c>
      <c r="V2086" s="1505">
        <f>IF(J2086="Canvas",P2086+BorderGW,P2086)</f>
        <v>38</v>
      </c>
      <c r="W2086" s="1505">
        <f>IF(J2086="Canvas",Q2086+BorderGW,Q2086)</f>
        <v>20</v>
      </c>
      <c r="X2086" s="685">
        <v>40</v>
      </c>
      <c r="Y2086" s="685">
        <v>38</v>
      </c>
      <c r="Z2086" s="685">
        <v>20</v>
      </c>
      <c r="AA2086" s="1524">
        <f t="shared" si="763"/>
        <v>5.2777777777777777</v>
      </c>
      <c r="AB2086" s="1525">
        <f>AA2086*Swiss1</f>
        <v>149.36111111111111</v>
      </c>
      <c r="AC2086" s="1509">
        <f t="shared" ref="AC2086:AC2093" si="765">AA2086*Canvas</f>
        <v>3.4833333333333334</v>
      </c>
      <c r="AD2086" s="1509">
        <f>Table1[[#This Row],[Substrate SF]]*Materials!C$37</f>
        <v>14.777777777777777</v>
      </c>
      <c r="AE2086" s="1509">
        <f>IF(Table1[[#This Row],[Work Center]]="SwissQ",Materials!G$37,IF(Table1[[#This Row],[Work Center]]="Inca",Materials!G$29,IF(Table1[[#This Row],[Work Center]]="Canon",Materials!G$49,Materials!G$45)))</f>
        <v>20</v>
      </c>
      <c r="AF2086" s="1510">
        <f>'Cali Frames'!D262</f>
        <v>89.69</v>
      </c>
      <c r="AG2086" s="1478"/>
      <c r="AH2086" s="1333">
        <f t="shared" si="757"/>
        <v>13.75</v>
      </c>
      <c r="AI2086" s="1333"/>
      <c r="AJ2086" s="1333">
        <f t="shared" si="764"/>
        <v>141.70111111111112</v>
      </c>
      <c r="AK2086" s="1803">
        <f t="shared" si="759"/>
        <v>0.48472323232323228</v>
      </c>
      <c r="AL2086" s="1333">
        <f>Table1[[#This Row],[WSP/Dealer]]/Table1[[#This Row],[OD Sq Inch]]</f>
        <v>0.68238213399503722</v>
      </c>
      <c r="AM2086" s="1511">
        <f>Table1[[#This Row],[OD Wdth]]*Table1[[#This Row],[OD Hgt]]</f>
        <v>403</v>
      </c>
      <c r="AN2086" s="1511">
        <f>Table1[[#This Row],[Min VO]]+Table1[[#This Row],[Max VO]]</f>
        <v>42</v>
      </c>
      <c r="AO2086" s="1478"/>
      <c r="AP2086" s="1478"/>
      <c r="AQ2086" s="1449">
        <f>(Table1[[#This Row],[Desgnr/Retail P]]*0.05)</f>
        <v>0</v>
      </c>
      <c r="AR2086" s="1449" t="b">
        <f>IF(A2086="Codarus",(AP2086*0.13))</f>
        <v>0</v>
      </c>
      <c r="AS2086" s="1449" t="e" cm="1">
        <f t="array" ref="AS2086">SUM(AC2086:AG2086+AQ+AR)</f>
        <v>#NAME?</v>
      </c>
      <c r="AT2086" s="1509" t="e">
        <f>(AP2086-AS2086)/AP2086</f>
        <v>#NAME?</v>
      </c>
      <c r="AU2086" s="1512" t="str">
        <f t="shared" si="746"/>
        <v>-</v>
      </c>
    </row>
    <row r="2087" spans="1:47" s="399" customFormat="1" hidden="1" x14ac:dyDescent="0.2">
      <c r="A2087" s="974" t="s">
        <v>318</v>
      </c>
      <c r="B2087" s="1528" t="s">
        <v>305</v>
      </c>
      <c r="C2087" s="1534" t="s">
        <v>4779</v>
      </c>
      <c r="D2087" s="1529"/>
      <c r="E2087" s="1515" t="s">
        <v>4780</v>
      </c>
      <c r="F2087" s="1515" t="s">
        <v>571</v>
      </c>
      <c r="G2087" s="974" t="s">
        <v>4781</v>
      </c>
      <c r="H2087" s="974" t="s">
        <v>4782</v>
      </c>
      <c r="I2087" s="1536" t="s">
        <v>52</v>
      </c>
      <c r="J2087" s="1530" t="s">
        <v>53</v>
      </c>
      <c r="K2087" s="974" t="s">
        <v>69</v>
      </c>
      <c r="L2087" s="974" t="s">
        <v>70</v>
      </c>
      <c r="M2087" s="141">
        <v>400</v>
      </c>
      <c r="N2087" s="141"/>
      <c r="O2087" s="974" t="s">
        <v>64</v>
      </c>
      <c r="P2087" s="974">
        <v>30</v>
      </c>
      <c r="Q2087" s="974">
        <v>12</v>
      </c>
      <c r="R2087" s="974">
        <v>12</v>
      </c>
      <c r="S2087" s="974">
        <v>30</v>
      </c>
      <c r="T2087" s="1518">
        <v>31</v>
      </c>
      <c r="U2087" s="1518">
        <v>13</v>
      </c>
      <c r="V2087" s="1504">
        <f>IF(J2087="Canvas",P2087+BorderGW,P2087)</f>
        <v>38</v>
      </c>
      <c r="W2087" s="1504">
        <f>IF(J2087="Canvas",Q2087+BorderGW,Q2087)</f>
        <v>20</v>
      </c>
      <c r="X2087" s="974">
        <v>40</v>
      </c>
      <c r="Y2087" s="974">
        <v>38</v>
      </c>
      <c r="Z2087" s="974">
        <v>20</v>
      </c>
      <c r="AA2087" s="1531">
        <f t="shared" si="763"/>
        <v>5.2777777777777777</v>
      </c>
      <c r="AB2087" s="1532">
        <f>AA2087*Swiss1</f>
        <v>149.36111111111111</v>
      </c>
      <c r="AC2087" s="819">
        <f t="shared" si="765"/>
        <v>3.4833333333333334</v>
      </c>
      <c r="AD2087" s="1521">
        <f>Table1[[#This Row],[Substrate SF]]*Materials!C$37</f>
        <v>14.777777777777777</v>
      </c>
      <c r="AE2087" s="819">
        <f>IF(Table1[[#This Row],[Work Center]]="SwissQ",Materials!G$37,IF(Table1[[#This Row],[Work Center]]="Inca",Materials!G$29,IF(Table1[[#This Row],[Work Center]]="Canon",Materials!G$49,Materials!G$45)))</f>
        <v>20</v>
      </c>
      <c r="AF2087" s="1277">
        <f>'Cali Frames'!D262</f>
        <v>89.69</v>
      </c>
      <c r="AG2087" s="1515"/>
      <c r="AH2087" s="1425">
        <f t="shared" si="757"/>
        <v>20</v>
      </c>
      <c r="AI2087" s="1425"/>
      <c r="AJ2087" s="1425">
        <f t="shared" si="764"/>
        <v>147.95111111111112</v>
      </c>
      <c r="AK2087" s="1804">
        <f t="shared" si="759"/>
        <v>0.63012222222222225</v>
      </c>
      <c r="AL2087" s="1425">
        <f>Table1[[#This Row],[WSP/Dealer]]/Table1[[#This Row],[OD Sq Inch]]</f>
        <v>0.99255583126550873</v>
      </c>
      <c r="AM2087" s="1533">
        <f>Table1[[#This Row],[OD Wdth]]*Table1[[#This Row],[OD Hgt]]</f>
        <v>403</v>
      </c>
      <c r="AN2087" s="1533">
        <f>Table1[[#This Row],[Min VO]]+Table1[[#This Row],[Max VO]]</f>
        <v>42</v>
      </c>
      <c r="AO2087" s="84"/>
      <c r="AP2087" s="84"/>
      <c r="AQ2087" s="1029">
        <f>(Table1[[#This Row],[Desgnr/Retail P]]*0.05)</f>
        <v>0</v>
      </c>
      <c r="AR2087" s="1029" t="b">
        <f>IF(A2087="Codarus",(AP2087*0.13))</f>
        <v>0</v>
      </c>
      <c r="AS2087" s="1029" t="e" cm="1">
        <f t="array" ref="AS2087">SUM(AC2087:AG2087+AQ+AR)</f>
        <v>#NAME?</v>
      </c>
      <c r="AT2087" s="819" t="e">
        <f>(AP2087-AS2087)/AP2087</f>
        <v>#NAME?</v>
      </c>
      <c r="AU2087" s="1357" t="str">
        <f t="shared" si="746"/>
        <v>-</v>
      </c>
    </row>
    <row r="2088" spans="1:47" s="170" customFormat="1" hidden="1" x14ac:dyDescent="0.2">
      <c r="A2088" s="685" t="s">
        <v>318</v>
      </c>
      <c r="B2088" s="1672" t="s">
        <v>310</v>
      </c>
      <c r="C2088" s="1534" t="s">
        <v>4783</v>
      </c>
      <c r="D2088" s="1522"/>
      <c r="E2088" s="1478" t="s">
        <v>4784</v>
      </c>
      <c r="F2088" s="1478" t="s">
        <v>571</v>
      </c>
      <c r="G2088" s="685" t="s">
        <v>4785</v>
      </c>
      <c r="H2088" s="685" t="s">
        <v>4786</v>
      </c>
      <c r="I2088" s="1535" t="s">
        <v>52</v>
      </c>
      <c r="J2088" s="1523" t="s">
        <v>53</v>
      </c>
      <c r="K2088" s="685" t="s">
        <v>69</v>
      </c>
      <c r="L2088" s="685" t="s">
        <v>70</v>
      </c>
      <c r="M2088" s="179">
        <v>400</v>
      </c>
      <c r="N2088" s="179"/>
      <c r="O2088" s="685" t="s">
        <v>64</v>
      </c>
      <c r="P2088" s="685">
        <v>50</v>
      </c>
      <c r="Q2088" s="685">
        <v>20</v>
      </c>
      <c r="R2088" s="685">
        <v>20</v>
      </c>
      <c r="S2088" s="1384">
        <v>50</v>
      </c>
      <c r="T2088" s="1506">
        <v>51</v>
      </c>
      <c r="U2088" s="1781">
        <v>21</v>
      </c>
      <c r="V2088" s="1505">
        <f>IF(J2088="Canvas",P2088+BorderGW,P2088)</f>
        <v>58</v>
      </c>
      <c r="W2088" s="1505">
        <f>IF(J2088="Canvas",Q2088+BorderGW,Q2088)</f>
        <v>28</v>
      </c>
      <c r="X2088" s="685">
        <v>122</v>
      </c>
      <c r="Y2088" s="685">
        <v>58</v>
      </c>
      <c r="Z2088" s="685">
        <v>28</v>
      </c>
      <c r="AA2088" s="1524">
        <f t="shared" si="763"/>
        <v>11.277777777777779</v>
      </c>
      <c r="AB2088" s="1525">
        <f>AA2088*Swiss1</f>
        <v>319.16111111111115</v>
      </c>
      <c r="AC2088" s="1526">
        <f t="shared" si="765"/>
        <v>7.4433333333333342</v>
      </c>
      <c r="AD2088" s="1526">
        <f>Table1[[#This Row],[Substrate SF]]*Materials!C$37</f>
        <v>31.577777777777779</v>
      </c>
      <c r="AE2088" s="1509">
        <f>IF(Table1[[#This Row],[Work Center]]="SwissQ",Materials!G$37,IF(Table1[[#This Row],[Work Center]]="Inca",Materials!G$29,IF(Table1[[#This Row],[Work Center]]="Canon",Materials!G$49,Materials!G$45)))</f>
        <v>20</v>
      </c>
      <c r="AF2088" s="1510">
        <f>'Cali Frames'!D275</f>
        <v>122.71</v>
      </c>
      <c r="AG2088" s="1478"/>
      <c r="AH2088" s="1526">
        <f t="shared" si="757"/>
        <v>20</v>
      </c>
      <c r="AI2088" s="1526"/>
      <c r="AJ2088" s="1526">
        <f t="shared" si="764"/>
        <v>201.73111111111109</v>
      </c>
      <c r="AK2088" s="1652">
        <f t="shared" si="759"/>
        <v>0.49567222222222229</v>
      </c>
      <c r="AL2088" s="1509">
        <f>Table1[[#This Row],[WSP/Dealer]]/Table1[[#This Row],[OD Sq Inch]]</f>
        <v>0.3734827264239029</v>
      </c>
      <c r="AM2088" s="1384">
        <f>Table1[[#This Row],[OD Wdth]]*Table1[[#This Row],[OD Hgt]]</f>
        <v>1071</v>
      </c>
      <c r="AN2088" s="685">
        <f>Table1[[#This Row],[Min VO]]+Table1[[#This Row],[Max VO]]</f>
        <v>70</v>
      </c>
      <c r="AO2088" s="1811"/>
      <c r="AP2088" s="1478"/>
      <c r="AQ2088" s="1449">
        <f>(Table1[[#This Row],[Desgnr/Retail P]]*0.05)</f>
        <v>0</v>
      </c>
      <c r="AR2088" s="1449" t="b">
        <f>IF(A2088="Codarus",(AP2088*0.13))</f>
        <v>0</v>
      </c>
      <c r="AS2088" s="1449" t="e" cm="1">
        <f t="array" ref="AS2088">SUM(AC2088:AG2088+AQ+AR)</f>
        <v>#NAME?</v>
      </c>
      <c r="AT2088" s="1509" t="e">
        <f>(AP2088-AS2088)/AP2088</f>
        <v>#NAME?</v>
      </c>
      <c r="AU2088" s="1824" t="str">
        <f t="shared" si="746"/>
        <v>-</v>
      </c>
    </row>
    <row r="2089" spans="1:47" s="399" customFormat="1" x14ac:dyDescent="0.2">
      <c r="A2089" s="60" t="s">
        <v>58</v>
      </c>
      <c r="B2089" s="1071" t="s">
        <v>1190</v>
      </c>
      <c r="C2089" s="76" t="s">
        <v>4787</v>
      </c>
      <c r="D2089" s="79"/>
      <c r="E2089" s="83" t="s">
        <v>4788</v>
      </c>
      <c r="F2089" s="83" t="s">
        <v>144</v>
      </c>
      <c r="G2089" s="605" t="s">
        <v>602</v>
      </c>
      <c r="H2089" s="605" t="s">
        <v>602</v>
      </c>
      <c r="I2089" s="60" t="s">
        <v>52</v>
      </c>
      <c r="J2089" s="59" t="s">
        <v>53</v>
      </c>
      <c r="K2089" s="60" t="s">
        <v>54</v>
      </c>
      <c r="L2089" s="60" t="s">
        <v>55</v>
      </c>
      <c r="M2089" s="179">
        <v>425</v>
      </c>
      <c r="N2089" s="124"/>
      <c r="O2089" s="60" t="s">
        <v>56</v>
      </c>
      <c r="P2089" s="60">
        <v>25</v>
      </c>
      <c r="Q2089" s="60">
        <v>31</v>
      </c>
      <c r="R2089" s="60">
        <v>25</v>
      </c>
      <c r="S2089" s="46">
        <v>31</v>
      </c>
      <c r="T2089" s="61">
        <v>25</v>
      </c>
      <c r="U2089" s="61">
        <v>31</v>
      </c>
      <c r="V2089" s="913">
        <f>IF(J2089="Canvas",P2089+Border,P2089)</f>
        <v>33</v>
      </c>
      <c r="W2089" s="913">
        <f>IF(J2089="Canvas",Q2089+Border,Q2089)</f>
        <v>39</v>
      </c>
      <c r="X2089" s="60">
        <v>40</v>
      </c>
      <c r="Y2089" s="60">
        <v>33</v>
      </c>
      <c r="Z2089" s="60">
        <v>39</v>
      </c>
      <c r="AA2089" s="717">
        <f t="shared" si="763"/>
        <v>8.9375</v>
      </c>
      <c r="AB2089" s="125">
        <f>AA2089*IncaG</f>
        <v>188.04499999999999</v>
      </c>
      <c r="AC2089" s="48">
        <f t="shared" si="765"/>
        <v>5.8987500000000006</v>
      </c>
      <c r="AD2089" s="48">
        <f>AA2089*IncaC</f>
        <v>15.0436</v>
      </c>
      <c r="AE2089" s="69">
        <f>IF(Table1[[#This Row],[Work Center]]="SwissQ",Materials!G$37,IF(Table1[[#This Row],[Work Center]]="Inca",Materials!G$29,IF(Table1[[#This Row],[Work Center]]="Canon",Materials!G$49,Materials!G$45)))</f>
        <v>8</v>
      </c>
      <c r="AF2089" s="72">
        <f>'Cali FPS'!C40</f>
        <v>79.239999999999995</v>
      </c>
      <c r="AG2089" s="540"/>
      <c r="AH2089" s="48">
        <f t="shared" si="757"/>
        <v>21.25</v>
      </c>
      <c r="AI2089" s="48"/>
      <c r="AJ2089" s="48">
        <f t="shared" si="764"/>
        <v>129.43234999999999</v>
      </c>
      <c r="AK2089" s="62">
        <f t="shared" si="759"/>
        <v>0.69545329411764711</v>
      </c>
      <c r="AL2089" s="69">
        <f>Table1[[#This Row],[WSP/Dealer]]/Table1[[#This Row],[OD Sq Inch]]</f>
        <v>0.54838709677419351</v>
      </c>
      <c r="AM2089" s="46">
        <f>Table1[[#This Row],[OD Wdth]]*Table1[[#This Row],[OD Hgt]]</f>
        <v>775</v>
      </c>
      <c r="AN2089" s="60">
        <f>Table1[[#This Row],[Min VO]]+Table1[[#This Row],[Max VO]]</f>
        <v>56</v>
      </c>
      <c r="AO2089" s="95"/>
      <c r="AP2089" s="83"/>
      <c r="AQ2089" s="540"/>
      <c r="AR2089" s="540"/>
      <c r="AS2089" s="540"/>
      <c r="AT2089" s="69"/>
      <c r="AU2089" s="1355" t="str">
        <f t="shared" si="746"/>
        <v>-</v>
      </c>
    </row>
    <row r="2090" spans="1:47" s="170" customFormat="1" x14ac:dyDescent="0.2">
      <c r="A2090" s="68" t="s">
        <v>58</v>
      </c>
      <c r="B2090" s="1072" t="s">
        <v>1190</v>
      </c>
      <c r="C2090" s="78" t="s">
        <v>4789</v>
      </c>
      <c r="D2090" s="94"/>
      <c r="E2090" s="84" t="s">
        <v>4788</v>
      </c>
      <c r="F2090" s="84" t="s">
        <v>144</v>
      </c>
      <c r="G2090" s="363" t="s">
        <v>602</v>
      </c>
      <c r="H2090" s="363" t="s">
        <v>2347</v>
      </c>
      <c r="I2090" s="68" t="s">
        <v>52</v>
      </c>
      <c r="J2090" s="140" t="s">
        <v>53</v>
      </c>
      <c r="K2090" s="68" t="s">
        <v>82</v>
      </c>
      <c r="L2090" s="68" t="s">
        <v>83</v>
      </c>
      <c r="M2090" s="141">
        <v>550</v>
      </c>
      <c r="N2090" s="93"/>
      <c r="O2090" s="68" t="s">
        <v>56</v>
      </c>
      <c r="P2090" s="68">
        <v>25</v>
      </c>
      <c r="Q2090" s="68">
        <v>31</v>
      </c>
      <c r="R2090" s="68">
        <v>25</v>
      </c>
      <c r="S2090" s="68">
        <v>31</v>
      </c>
      <c r="T2090" s="623">
        <v>27</v>
      </c>
      <c r="U2090" s="623">
        <v>33</v>
      </c>
      <c r="V2090" s="1198">
        <f>IF(J2090="Canvas",P2090+Border,P2090)</f>
        <v>33</v>
      </c>
      <c r="W2090" s="1198">
        <f>IF(J2090="Canvas",Q2090+Border,Q2090)</f>
        <v>39</v>
      </c>
      <c r="X2090" s="68">
        <v>40</v>
      </c>
      <c r="Y2090" s="68">
        <v>33</v>
      </c>
      <c r="Z2090" s="68">
        <v>39</v>
      </c>
      <c r="AA2090" s="699">
        <f t="shared" si="763"/>
        <v>8.9375</v>
      </c>
      <c r="AB2090" s="297">
        <f>AA2090*IncaG</f>
        <v>188.04499999999999</v>
      </c>
      <c r="AC2090" s="74">
        <f t="shared" si="765"/>
        <v>5.8987500000000006</v>
      </c>
      <c r="AD2090" s="67">
        <f>AA2090*IncaC</f>
        <v>15.0436</v>
      </c>
      <c r="AE2090" s="74">
        <f>IF(Table1[[#This Row],[Work Center]]="SwissQ",Materials!G$37,IF(Table1[[#This Row],[Work Center]]="Inca",Materials!G$29,IF(Table1[[#This Row],[Work Center]]="Canon",Materials!G$49,Materials!G$45)))</f>
        <v>8</v>
      </c>
      <c r="AF2090" s="73">
        <f>'Cali Frames'!D124</f>
        <v>115.31</v>
      </c>
      <c r="AG2090" s="126"/>
      <c r="AH2090" s="74">
        <f t="shared" si="757"/>
        <v>27.5</v>
      </c>
      <c r="AI2090" s="74"/>
      <c r="AJ2090" s="74">
        <f t="shared" si="764"/>
        <v>171.75235000000001</v>
      </c>
      <c r="AK2090" s="1001">
        <f t="shared" si="759"/>
        <v>0.68772300000000008</v>
      </c>
      <c r="AL2090" s="74">
        <f>Table1[[#This Row],[WSP/Dealer]]/Table1[[#This Row],[OD Sq Inch]]</f>
        <v>0.61728395061728392</v>
      </c>
      <c r="AM2090" s="68">
        <f>Table1[[#This Row],[OD Wdth]]*Table1[[#This Row],[OD Hgt]]</f>
        <v>891</v>
      </c>
      <c r="AN2090" s="68">
        <f>Table1[[#This Row],[Min VO]]+Table1[[#This Row],[Max VO]]</f>
        <v>56</v>
      </c>
      <c r="AO2090" s="84"/>
      <c r="AP2090" s="84"/>
      <c r="AQ2090" s="126"/>
      <c r="AR2090" s="126"/>
      <c r="AS2090" s="126"/>
      <c r="AT2090" s="74"/>
      <c r="AU2090" s="1357" t="str">
        <f t="shared" ref="AU2090:AU2153" si="766">IF(AQ2090=0,"-",(AQ2090-AT2090)/AQ2090)</f>
        <v>-</v>
      </c>
    </row>
    <row r="2091" spans="1:47" s="170" customFormat="1" x14ac:dyDescent="0.2">
      <c r="A2091" s="68" t="s">
        <v>58</v>
      </c>
      <c r="B2091" s="1152" t="s">
        <v>1190</v>
      </c>
      <c r="C2091" s="78" t="s">
        <v>4790</v>
      </c>
      <c r="D2091" s="94"/>
      <c r="E2091" s="84" t="s">
        <v>4788</v>
      </c>
      <c r="F2091" s="84" t="s">
        <v>144</v>
      </c>
      <c r="G2091" s="363" t="s">
        <v>602</v>
      </c>
      <c r="H2091" s="363" t="s">
        <v>2347</v>
      </c>
      <c r="I2091" s="68" t="s">
        <v>52</v>
      </c>
      <c r="J2091" s="140" t="s">
        <v>53</v>
      </c>
      <c r="K2091" s="68" t="s">
        <v>82</v>
      </c>
      <c r="L2091" s="68" t="s">
        <v>298</v>
      </c>
      <c r="M2091" s="141">
        <v>550</v>
      </c>
      <c r="N2091" s="93"/>
      <c r="O2091" s="68" t="s">
        <v>56</v>
      </c>
      <c r="P2091" s="68">
        <v>25</v>
      </c>
      <c r="Q2091" s="68">
        <v>31</v>
      </c>
      <c r="R2091" s="68">
        <v>25</v>
      </c>
      <c r="S2091" s="68">
        <v>31</v>
      </c>
      <c r="T2091" s="623">
        <v>27</v>
      </c>
      <c r="U2091" s="623">
        <v>33</v>
      </c>
      <c r="V2091" s="1198">
        <f>IF(J2091="Canvas",P2091+Border,P2091)</f>
        <v>33</v>
      </c>
      <c r="W2091" s="1198">
        <f>IF(J2091="Canvas",Q2091+Border,Q2091)</f>
        <v>39</v>
      </c>
      <c r="X2091" s="68">
        <v>40</v>
      </c>
      <c r="Y2091" s="68">
        <v>33</v>
      </c>
      <c r="Z2091" s="68">
        <v>39</v>
      </c>
      <c r="AA2091" s="699">
        <f t="shared" si="763"/>
        <v>8.9375</v>
      </c>
      <c r="AB2091" s="297">
        <f>AA2091*IncaG</f>
        <v>188.04499999999999</v>
      </c>
      <c r="AC2091" s="74">
        <f t="shared" si="765"/>
        <v>5.8987500000000006</v>
      </c>
      <c r="AD2091" s="67">
        <f>AA2091*IncaC</f>
        <v>15.0436</v>
      </c>
      <c r="AE2091" s="74">
        <f>IF(Table1[[#This Row],[Work Center]]="SwissQ",Materials!G$37,IF(Table1[[#This Row],[Work Center]]="Inca",Materials!G$29,IF(Table1[[#This Row],[Work Center]]="Canon",Materials!G$49,Materials!G$45)))</f>
        <v>8</v>
      </c>
      <c r="AF2091" s="73">
        <f>'Cali Frames'!D228</f>
        <v>119.63</v>
      </c>
      <c r="AG2091" s="126"/>
      <c r="AH2091" s="74">
        <f t="shared" si="757"/>
        <v>27.5</v>
      </c>
      <c r="AI2091" s="74"/>
      <c r="AJ2091" s="74">
        <f t="shared" si="764"/>
        <v>176.07235</v>
      </c>
      <c r="AK2091" s="1001">
        <f t="shared" si="759"/>
        <v>0.67986845454545453</v>
      </c>
      <c r="AL2091" s="74">
        <f>Table1[[#This Row],[WSP/Dealer]]/Table1[[#This Row],[OD Sq Inch]]</f>
        <v>0.61728395061728392</v>
      </c>
      <c r="AM2091" s="63">
        <f>Table1[[#This Row],[OD Wdth]]*Table1[[#This Row],[OD Hgt]]</f>
        <v>891</v>
      </c>
      <c r="AN2091" s="68">
        <f>Table1[[#This Row],[Min VO]]+Table1[[#This Row],[Max VO]]</f>
        <v>56</v>
      </c>
      <c r="AO2091" s="84"/>
      <c r="AP2091" s="84"/>
      <c r="AQ2091" s="126"/>
      <c r="AR2091" s="126"/>
      <c r="AS2091" s="126"/>
      <c r="AT2091" s="74"/>
      <c r="AU2091" s="1357" t="str">
        <f t="shared" si="766"/>
        <v>-</v>
      </c>
    </row>
    <row r="2092" spans="1:47" s="170" customFormat="1" x14ac:dyDescent="0.2">
      <c r="A2092" s="68" t="s">
        <v>58</v>
      </c>
      <c r="B2092" s="1072" t="s">
        <v>1190</v>
      </c>
      <c r="C2092" s="78" t="s">
        <v>4791</v>
      </c>
      <c r="D2092" s="94"/>
      <c r="E2092" s="84" t="s">
        <v>4788</v>
      </c>
      <c r="F2092" s="84" t="s">
        <v>144</v>
      </c>
      <c r="G2092" s="363" t="s">
        <v>602</v>
      </c>
      <c r="H2092" s="363" t="s">
        <v>2347</v>
      </c>
      <c r="I2092" s="68" t="s">
        <v>52</v>
      </c>
      <c r="J2092" s="140" t="s">
        <v>53</v>
      </c>
      <c r="K2092" s="68" t="s">
        <v>82</v>
      </c>
      <c r="L2092" s="68" t="s">
        <v>334</v>
      </c>
      <c r="M2092" s="141">
        <v>550</v>
      </c>
      <c r="N2092" s="93"/>
      <c r="O2092" s="68" t="s">
        <v>56</v>
      </c>
      <c r="P2092" s="68">
        <v>25</v>
      </c>
      <c r="Q2092" s="68">
        <v>31</v>
      </c>
      <c r="R2092" s="68">
        <v>25</v>
      </c>
      <c r="S2092" s="68">
        <v>31</v>
      </c>
      <c r="T2092" s="623">
        <v>27</v>
      </c>
      <c r="U2092" s="623">
        <v>33</v>
      </c>
      <c r="V2092" s="1198">
        <f>IF(J2092="Canvas",P2092+Border,P2092)</f>
        <v>33</v>
      </c>
      <c r="W2092" s="1198">
        <f>IF(J2092="Canvas",Q2092+Border,Q2092)</f>
        <v>39</v>
      </c>
      <c r="X2092" s="68">
        <v>40</v>
      </c>
      <c r="Y2092" s="68">
        <v>33</v>
      </c>
      <c r="Z2092" s="68">
        <v>39</v>
      </c>
      <c r="AA2092" s="699">
        <f t="shared" si="763"/>
        <v>8.9375</v>
      </c>
      <c r="AB2092" s="297">
        <f>AA2092*IncaG</f>
        <v>188.04499999999999</v>
      </c>
      <c r="AC2092" s="74">
        <f t="shared" si="765"/>
        <v>5.8987500000000006</v>
      </c>
      <c r="AD2092" s="74">
        <f>AA2092*IncaC</f>
        <v>15.0436</v>
      </c>
      <c r="AE2092" s="74">
        <f>IF(Table1[[#This Row],[Work Center]]="SwissQ",Materials!G$37,IF(Table1[[#This Row],[Work Center]]="Inca",Materials!G$29,IF(Table1[[#This Row],[Work Center]]="Canon",Materials!G$49,Materials!G$45)))</f>
        <v>8</v>
      </c>
      <c r="AF2092" s="73">
        <f>'Cali Frames'!D211</f>
        <v>114.56</v>
      </c>
      <c r="AG2092" s="126"/>
      <c r="AH2092" s="74">
        <f t="shared" si="757"/>
        <v>27.5</v>
      </c>
      <c r="AI2092" s="74"/>
      <c r="AJ2092" s="74">
        <f t="shared" si="764"/>
        <v>171.00235000000001</v>
      </c>
      <c r="AK2092" s="1001">
        <f t="shared" si="759"/>
        <v>0.68908663636363643</v>
      </c>
      <c r="AL2092" s="74">
        <f>Table1[[#This Row],[WSP/Dealer]]/Table1[[#This Row],[OD Sq Inch]]</f>
        <v>0.61728395061728392</v>
      </c>
      <c r="AM2092" s="63">
        <f>Table1[[#This Row],[OD Wdth]]*Table1[[#This Row],[OD Hgt]]</f>
        <v>891</v>
      </c>
      <c r="AN2092" s="68">
        <f>Table1[[#This Row],[Min VO]]+Table1[[#This Row],[Max VO]]</f>
        <v>56</v>
      </c>
      <c r="AO2092" s="84"/>
      <c r="AP2092" s="84"/>
      <c r="AQ2092" s="126"/>
      <c r="AR2092" s="126"/>
      <c r="AS2092" s="126"/>
      <c r="AT2092" s="74"/>
      <c r="AU2092" s="1357" t="str">
        <f t="shared" si="766"/>
        <v>-</v>
      </c>
    </row>
    <row r="2093" spans="1:47" s="170" customFormat="1" x14ac:dyDescent="0.2">
      <c r="A2093" s="101" t="s">
        <v>58</v>
      </c>
      <c r="B2093" s="1067" t="s">
        <v>1190</v>
      </c>
      <c r="C2093" s="100" t="s">
        <v>4792</v>
      </c>
      <c r="D2093" s="168"/>
      <c r="E2093" s="115" t="s">
        <v>4793</v>
      </c>
      <c r="F2093" s="115" t="s">
        <v>144</v>
      </c>
      <c r="G2093" s="407" t="s">
        <v>191</v>
      </c>
      <c r="H2093" s="407" t="s">
        <v>191</v>
      </c>
      <c r="I2093" s="101" t="s">
        <v>52</v>
      </c>
      <c r="J2093" s="487" t="s">
        <v>53</v>
      </c>
      <c r="K2093" s="101" t="s">
        <v>54</v>
      </c>
      <c r="L2093" s="101" t="s">
        <v>55</v>
      </c>
      <c r="M2093" s="114">
        <v>950</v>
      </c>
      <c r="N2093" s="114"/>
      <c r="O2093" s="101" t="s">
        <v>56</v>
      </c>
      <c r="P2093" s="101">
        <v>48</v>
      </c>
      <c r="Q2093" s="101">
        <v>60</v>
      </c>
      <c r="R2093" s="101">
        <v>48</v>
      </c>
      <c r="S2093" s="101">
        <v>60</v>
      </c>
      <c r="T2093" s="697">
        <v>48</v>
      </c>
      <c r="U2093" s="697">
        <v>60</v>
      </c>
      <c r="V2093" s="918">
        <f>IF(J2093="Canvas",P2093+BorderL,P2093)</f>
        <v>59</v>
      </c>
      <c r="W2093" s="918">
        <f>IF(J2093="Canvas",Q2093+BorderL,Q2093)</f>
        <v>71</v>
      </c>
      <c r="X2093" s="101">
        <v>59</v>
      </c>
      <c r="Y2093" s="101">
        <v>59</v>
      </c>
      <c r="Z2093" s="101">
        <v>71</v>
      </c>
      <c r="AA2093" s="649">
        <f t="shared" si="763"/>
        <v>29.090277777777779</v>
      </c>
      <c r="AB2093" s="184">
        <f>AA2093*IncaG</f>
        <v>612.05944444444447</v>
      </c>
      <c r="AC2093" s="104">
        <f t="shared" si="765"/>
        <v>19.199583333333333</v>
      </c>
      <c r="AD2093" s="104">
        <f>AA2093*IncaC</f>
        <v>48.964755555555556</v>
      </c>
      <c r="AE2093" s="104">
        <f>IF(Table1[[#This Row],[Work Center]]="SwissQ",Materials!G$37,IF(Table1[[#This Row],[Work Center]]="Inca",Materials!G$29,IF(Table1[[#This Row],[Work Center]]="Canon",Materials!G$49,Materials!G$45)))</f>
        <v>8</v>
      </c>
      <c r="AF2093" s="102">
        <f>'Cali FPS'!C121</f>
        <v>188.18</v>
      </c>
      <c r="AG2093" s="121"/>
      <c r="AH2093" s="406">
        <f t="shared" si="757"/>
        <v>47.5</v>
      </c>
      <c r="AI2093" s="406"/>
      <c r="AJ2093" s="406">
        <f t="shared" si="764"/>
        <v>311.8443388888889</v>
      </c>
      <c r="AK2093" s="1065">
        <f t="shared" si="759"/>
        <v>0.67174280116959073</v>
      </c>
      <c r="AL2093" s="406">
        <f>Table1[[#This Row],[WSP/Dealer]]/Table1[[#This Row],[OD Sq Inch]]</f>
        <v>0.3298611111111111</v>
      </c>
      <c r="AM2093" s="399">
        <f>Table1[[#This Row],[OD Wdth]]*Table1[[#This Row],[OD Hgt]]</f>
        <v>2880</v>
      </c>
      <c r="AN2093" s="400">
        <f>Table1[[#This Row],[Min VO]]+Table1[[#This Row],[Max VO]]</f>
        <v>108</v>
      </c>
      <c r="AO2093" s="115"/>
      <c r="AP2093" s="115"/>
      <c r="AQ2093" s="121"/>
      <c r="AR2093" s="121"/>
      <c r="AS2093" s="121"/>
      <c r="AT2093" s="104"/>
      <c r="AU2093" s="1359" t="str">
        <f t="shared" si="766"/>
        <v>-</v>
      </c>
    </row>
    <row r="2094" spans="1:47" s="170" customFormat="1" x14ac:dyDescent="0.2">
      <c r="A2094" s="60" t="s">
        <v>58</v>
      </c>
      <c r="B2094" s="1061" t="s">
        <v>4794</v>
      </c>
      <c r="C2094" s="123" t="s">
        <v>4795</v>
      </c>
      <c r="D2094" s="94" t="s">
        <v>4796</v>
      </c>
      <c r="E2094" s="83" t="s">
        <v>4797</v>
      </c>
      <c r="F2094" s="83" t="s">
        <v>1834</v>
      </c>
      <c r="G2094" s="60" t="s">
        <v>4798</v>
      </c>
      <c r="H2094" s="60" t="s">
        <v>4799</v>
      </c>
      <c r="I2094" s="238" t="s">
        <v>2028</v>
      </c>
      <c r="J2094" s="60" t="s">
        <v>257</v>
      </c>
      <c r="K2094" s="68" t="s">
        <v>2159</v>
      </c>
      <c r="L2094" s="68" t="s">
        <v>4800</v>
      </c>
      <c r="M2094" s="124">
        <v>1400</v>
      </c>
      <c r="N2094" s="639">
        <v>1500</v>
      </c>
      <c r="O2094" s="68" t="s">
        <v>260</v>
      </c>
      <c r="P2094" s="60">
        <v>80</v>
      </c>
      <c r="Q2094" s="60">
        <v>48</v>
      </c>
      <c r="R2094" s="60">
        <v>48</v>
      </c>
      <c r="S2094" s="273">
        <v>80</v>
      </c>
      <c r="T2094" s="60" t="str">
        <f>LEFT(Table1[[#This Row],[OD]],2)</f>
        <v>84</v>
      </c>
      <c r="U2094" s="60" t="str">
        <f>RIGHT(Table1[[#This Row],[OD]],2)</f>
        <v>52</v>
      </c>
      <c r="V2094" s="946">
        <f>Table1[[#This Row],[VO Wdth]]+Materials!$C$50</f>
        <v>82</v>
      </c>
      <c r="W2094" s="946">
        <f>Table1[[#This Row],[VO Hgt]]+Materials!$C$50</f>
        <v>50</v>
      </c>
      <c r="X2094" s="138">
        <v>60</v>
      </c>
      <c r="Y2094" s="60"/>
      <c r="Z2094" s="60"/>
      <c r="AA2094" s="717">
        <f t="shared" si="763"/>
        <v>28.472222222222221</v>
      </c>
      <c r="AB2094" s="125">
        <f t="shared" ref="AB2094:AB2103" si="767">AA2094*canonML</f>
        <v>136.66666666666666</v>
      </c>
      <c r="AC2094" s="69">
        <f>Table1[[#This Row],[Print Wth]]*paper60</f>
        <v>27.880000000000003</v>
      </c>
      <c r="AD2094" s="48">
        <f>Table1[[#This Row],[Ink g/mL]]*CanonC</f>
        <v>36.9</v>
      </c>
      <c r="AE2094" s="104">
        <f>IF(Table1[[#This Row],[Work Center]]="SwissQ",Materials!G$37,IF(Table1[[#This Row],[Work Center]]="Inca",Materials!G$29,IF(Table1[[#This Row],[Work Center]]="Canon",Materials!G$49,Materials!G$45)))</f>
        <v>7</v>
      </c>
      <c r="AF2094" s="69">
        <f>'Cali Frames'!D605</f>
        <v>545.87750000000005</v>
      </c>
      <c r="AG2094" s="115"/>
      <c r="AH2094" s="498">
        <f t="shared" si="757"/>
        <v>70</v>
      </c>
      <c r="AI2094" s="498"/>
      <c r="AJ2094" s="69">
        <f t="shared" si="764"/>
        <v>687.65750000000003</v>
      </c>
      <c r="AK2094" s="650">
        <f t="shared" si="759"/>
        <v>0.50881607142857144</v>
      </c>
      <c r="AL2094" s="225">
        <f>Table1[[#This Row],[WSP/Dealer]]/Table1[[#This Row],[OD Sq Inch]]</f>
        <v>0.32051282051282054</v>
      </c>
      <c r="AM2094" s="103">
        <f>Table1[[#This Row],[OD Wdth]]*Table1[[#This Row],[OD Hgt]]</f>
        <v>4368</v>
      </c>
      <c r="AN2094" s="216">
        <f>Table1[[#This Row],[Min VO]]+Table1[[#This Row],[Max VO]]</f>
        <v>128</v>
      </c>
      <c r="AO2094" s="60"/>
      <c r="AP2094" s="60"/>
      <c r="AQ2094" s="69"/>
      <c r="AR2094" s="69"/>
      <c r="AS2094" s="69"/>
      <c r="AT2094" s="69"/>
      <c r="AU2094" s="1001" t="str">
        <f t="shared" si="766"/>
        <v>-</v>
      </c>
    </row>
    <row r="2095" spans="1:47" s="1054" customFormat="1" hidden="1" x14ac:dyDescent="0.2">
      <c r="A2095" s="373" t="s">
        <v>187</v>
      </c>
      <c r="B2095" s="279" t="s">
        <v>261</v>
      </c>
      <c r="C2095" s="1036" t="s">
        <v>4801</v>
      </c>
      <c r="D2095" s="94"/>
      <c r="E2095" s="436" t="s">
        <v>4802</v>
      </c>
      <c r="F2095" s="84" t="s">
        <v>1834</v>
      </c>
      <c r="G2095" s="258" t="s">
        <v>115</v>
      </c>
      <c r="H2095" s="68" t="s">
        <v>2461</v>
      </c>
      <c r="I2095" s="258" t="s">
        <v>2028</v>
      </c>
      <c r="J2095" s="68" t="s">
        <v>257</v>
      </c>
      <c r="K2095" s="258" t="s">
        <v>515</v>
      </c>
      <c r="L2095" s="68" t="s">
        <v>4803</v>
      </c>
      <c r="M2095" s="420">
        <v>3000</v>
      </c>
      <c r="N2095" s="71"/>
      <c r="O2095" s="68" t="s">
        <v>260</v>
      </c>
      <c r="P2095" s="63">
        <v>48</v>
      </c>
      <c r="Q2095" s="63">
        <v>48</v>
      </c>
      <c r="R2095" s="68">
        <v>48</v>
      </c>
      <c r="S2095" s="63">
        <v>48</v>
      </c>
      <c r="T2095" s="63" t="str">
        <f>LEFT(Table1[[#This Row],[OD]],2)</f>
        <v>52</v>
      </c>
      <c r="U2095" s="63" t="str">
        <f>RIGHT(Table1[[#This Row],[OD]],2)</f>
        <v>52</v>
      </c>
      <c r="V2095" s="917">
        <f>Table1[[#This Row],[VO Wdth]]+Materials!$C$50</f>
        <v>50</v>
      </c>
      <c r="W2095" s="917">
        <f>Table1[[#This Row],[VO Hgt]]+Materials!$C$50</f>
        <v>50</v>
      </c>
      <c r="X2095" s="189">
        <v>60</v>
      </c>
      <c r="Y2095" s="68"/>
      <c r="Z2095" s="68"/>
      <c r="AA2095" s="699">
        <f t="shared" si="763"/>
        <v>17.361111111111111</v>
      </c>
      <c r="AB2095" s="297">
        <f t="shared" si="767"/>
        <v>83.333333333333329</v>
      </c>
      <c r="AC2095" s="74">
        <f>Table1[[#This Row],[Print Wth]]*paper44</f>
        <v>13.5</v>
      </c>
      <c r="AD2095" s="67">
        <f>Table1[[#This Row],[Ink g/mL]]*CanonC</f>
        <v>22.5</v>
      </c>
      <c r="AE2095" s="74">
        <f>IF(Table1[[#This Row],[Work Center]]="SwissQ",Materials!G$37,IF(Table1[[#This Row],[Work Center]]="Inca",Materials!G$29,IF(Table1[[#This Row],[Work Center]]="Canon",Materials!G$49,Materials!G$45)))</f>
        <v>7</v>
      </c>
      <c r="AF2095" s="819">
        <f>'Cali Frames'!D604</f>
        <v>266.42</v>
      </c>
      <c r="AG2095" s="84"/>
      <c r="AH2095" s="498">
        <f t="shared" si="757"/>
        <v>150</v>
      </c>
      <c r="AI2095" s="498"/>
      <c r="AJ2095" s="74">
        <f t="shared" si="764"/>
        <v>459.42</v>
      </c>
      <c r="AK2095" s="650">
        <f t="shared" si="759"/>
        <v>0.84685999999999995</v>
      </c>
      <c r="AL2095" s="225">
        <f>Table1[[#This Row],[WSP/Dealer]]/Table1[[#This Row],[OD Sq Inch]]</f>
        <v>1.1094674556213018</v>
      </c>
      <c r="AM2095" s="235">
        <f>Table1[[#This Row],[OD Wdth]]*Table1[[#This Row],[OD Hgt]]</f>
        <v>2704</v>
      </c>
      <c r="AN2095" s="84"/>
      <c r="AO2095" s="119"/>
      <c r="AP2095" s="84"/>
      <c r="AQ2095" s="126"/>
      <c r="AR2095" s="126"/>
      <c r="AS2095" s="126"/>
      <c r="AT2095" s="74"/>
      <c r="AU2095" s="1356" t="str">
        <f t="shared" si="766"/>
        <v>-</v>
      </c>
    </row>
    <row r="2096" spans="1:47" s="361" customFormat="1" hidden="1" x14ac:dyDescent="0.2">
      <c r="A2096" s="373" t="s">
        <v>187</v>
      </c>
      <c r="B2096" s="279" t="s">
        <v>261</v>
      </c>
      <c r="C2096" s="430"/>
      <c r="D2096" s="94"/>
      <c r="E2096" s="430" t="s">
        <v>4802</v>
      </c>
      <c r="F2096" s="450" t="s">
        <v>1834</v>
      </c>
      <c r="G2096" s="431" t="s">
        <v>115</v>
      </c>
      <c r="H2096" s="421" t="s">
        <v>2461</v>
      </c>
      <c r="I2096" s="431" t="s">
        <v>2028</v>
      </c>
      <c r="J2096" s="421" t="s">
        <v>257</v>
      </c>
      <c r="K2096" s="431" t="s">
        <v>512</v>
      </c>
      <c r="L2096" s="421" t="s">
        <v>4800</v>
      </c>
      <c r="M2096" s="429">
        <v>3000</v>
      </c>
      <c r="N2096" s="71"/>
      <c r="O2096" s="68" t="s">
        <v>260</v>
      </c>
      <c r="P2096" s="68">
        <v>48</v>
      </c>
      <c r="Q2096" s="68">
        <v>48</v>
      </c>
      <c r="R2096" s="68">
        <v>48</v>
      </c>
      <c r="S2096" s="68">
        <v>48</v>
      </c>
      <c r="T2096" s="63" t="str">
        <f>LEFT(Table1[[#This Row],[OD]],2)</f>
        <v>52</v>
      </c>
      <c r="U2096" s="63" t="str">
        <f>RIGHT(Table1[[#This Row],[OD]],2)</f>
        <v>52</v>
      </c>
      <c r="V2096" s="66">
        <f>Table1[[#This Row],[VO Wdth]]+Materials!$C$50</f>
        <v>50</v>
      </c>
      <c r="W2096" s="66">
        <f>Table1[[#This Row],[VO Hgt]]+Materials!$C$50</f>
        <v>50</v>
      </c>
      <c r="X2096" s="189">
        <v>60</v>
      </c>
      <c r="Y2096" s="68"/>
      <c r="Z2096" s="68"/>
      <c r="AA2096" s="699">
        <f t="shared" si="763"/>
        <v>17.361111111111111</v>
      </c>
      <c r="AB2096" s="297">
        <f t="shared" si="767"/>
        <v>83.333333333333329</v>
      </c>
      <c r="AC2096" s="74">
        <f>Table1[[#This Row],[Print Wth]]*paper44</f>
        <v>13.5</v>
      </c>
      <c r="AD2096" s="67">
        <f>Table1[[#This Row],[Ink g/mL]]*CanonC</f>
        <v>22.5</v>
      </c>
      <c r="AE2096" s="74">
        <f>IF(Table1[[#This Row],[Work Center]]="SwissQ",Materials!G$37,IF(Table1[[#This Row],[Work Center]]="Inca",Materials!G$29,IF(Table1[[#This Row],[Work Center]]="Canon",Materials!G$49,Materials!G$45)))</f>
        <v>7</v>
      </c>
      <c r="AF2096" s="74">
        <f>'Cali Frames'!D604</f>
        <v>266.42</v>
      </c>
      <c r="AG2096" s="84"/>
      <c r="AH2096" s="498">
        <f t="shared" si="757"/>
        <v>150</v>
      </c>
      <c r="AI2096" s="498"/>
      <c r="AJ2096" s="74">
        <f t="shared" si="764"/>
        <v>459.42</v>
      </c>
      <c r="AK2096" s="650">
        <f t="shared" si="759"/>
        <v>0.84685999999999995</v>
      </c>
      <c r="AL2096" s="225">
        <f>Table1[[#This Row],[WSP/Dealer]]/Table1[[#This Row],[OD Sq Inch]]</f>
        <v>1.1094674556213018</v>
      </c>
      <c r="AM2096" s="235">
        <f>Table1[[#This Row],[OD Wdth]]*Table1[[#This Row],[OD Hgt]]</f>
        <v>2704</v>
      </c>
      <c r="AN2096" s="84"/>
      <c r="AO2096" s="119"/>
      <c r="AP2096" s="84"/>
      <c r="AQ2096" s="126"/>
      <c r="AR2096" s="126"/>
      <c r="AS2096" s="126"/>
      <c r="AT2096" s="74"/>
      <c r="AU2096" s="1357" t="str">
        <f t="shared" si="766"/>
        <v>-</v>
      </c>
    </row>
    <row r="2097" spans="1:47" s="1054" customFormat="1" ht="16" x14ac:dyDescent="0.2">
      <c r="A2097" s="60" t="s">
        <v>58</v>
      </c>
      <c r="B2097" s="279" t="s">
        <v>4794</v>
      </c>
      <c r="C2097" s="123" t="s">
        <v>4804</v>
      </c>
      <c r="D2097" s="94" t="s">
        <v>4805</v>
      </c>
      <c r="E2097" s="83" t="s">
        <v>4806</v>
      </c>
      <c r="F2097" s="83" t="s">
        <v>1834</v>
      </c>
      <c r="G2097" s="60" t="s">
        <v>4807</v>
      </c>
      <c r="H2097" s="60" t="s">
        <v>4808</v>
      </c>
      <c r="I2097" s="238" t="s">
        <v>2028</v>
      </c>
      <c r="J2097" s="60" t="s">
        <v>257</v>
      </c>
      <c r="K2097" s="68" t="s">
        <v>2159</v>
      </c>
      <c r="L2097" s="68" t="s">
        <v>4800</v>
      </c>
      <c r="M2097" s="283">
        <v>1100</v>
      </c>
      <c r="N2097" s="639">
        <v>1000</v>
      </c>
      <c r="O2097" s="68" t="s">
        <v>260</v>
      </c>
      <c r="P2097" s="46">
        <v>56</v>
      </c>
      <c r="Q2097" s="46">
        <v>40</v>
      </c>
      <c r="R2097" s="60">
        <v>40</v>
      </c>
      <c r="S2097" s="61">
        <v>56</v>
      </c>
      <c r="T2097" s="46">
        <v>60</v>
      </c>
      <c r="U2097" s="46">
        <v>44</v>
      </c>
      <c r="V2097" s="47">
        <f>Table1[[#This Row],[VO Wdth]]+Materials!$C$50</f>
        <v>58</v>
      </c>
      <c r="W2097" s="47">
        <f>Table1[[#This Row],[VO Hgt]]+Materials!$C$50</f>
        <v>42</v>
      </c>
      <c r="X2097" s="138">
        <v>44</v>
      </c>
      <c r="Y2097" s="60"/>
      <c r="Z2097" s="60"/>
      <c r="AA2097" s="717">
        <f t="shared" si="763"/>
        <v>16.916666666666668</v>
      </c>
      <c r="AB2097" s="125">
        <f t="shared" si="767"/>
        <v>81.2</v>
      </c>
      <c r="AC2097" s="69">
        <f>Table1[[#This Row],[Print Wth]]*paper44</f>
        <v>15.66</v>
      </c>
      <c r="AD2097" s="48">
        <f>Table1[[#This Row],[Ink g/mL]]*CanonC</f>
        <v>21.924000000000003</v>
      </c>
      <c r="AE2097" s="104">
        <f>IF(Table1[[#This Row],[Work Center]]="SwissQ",Materials!G$37,IF(Table1[[#This Row],[Work Center]]="Inca",Materials!G$29,IF(Table1[[#This Row],[Work Center]]="Canon",Materials!G$49,Materials!G$45)))</f>
        <v>7</v>
      </c>
      <c r="AF2097" s="69">
        <f>'Cali Frames'!D603</f>
        <v>300.17750000000001</v>
      </c>
      <c r="AG2097" s="115"/>
      <c r="AH2097" s="498">
        <f t="shared" si="757"/>
        <v>55</v>
      </c>
      <c r="AI2097" s="498"/>
      <c r="AJ2097" s="48">
        <f t="shared" si="764"/>
        <v>399.76150000000001</v>
      </c>
      <c r="AK2097" s="650">
        <f t="shared" si="759"/>
        <v>0.63658045454545453</v>
      </c>
      <c r="AL2097" s="225">
        <f>Table1[[#This Row],[WSP/Dealer]]/Table1[[#This Row],[OD Sq Inch]]</f>
        <v>0.41666666666666669</v>
      </c>
      <c r="AM2097" s="218">
        <f>Table1[[#This Row],[OD Wdth]]*Table1[[#This Row],[OD Hgt]]</f>
        <v>2640</v>
      </c>
      <c r="AN2097" s="216">
        <f>Table1[[#This Row],[Min VO]]+Table1[[#This Row],[Max VO]]</f>
        <v>96</v>
      </c>
      <c r="AO2097" s="46"/>
      <c r="AP2097" s="60"/>
      <c r="AQ2097" s="69"/>
      <c r="AR2097" s="69"/>
      <c r="AS2097" s="69"/>
      <c r="AT2097" s="69"/>
      <c r="AU2097" s="830" t="str">
        <f t="shared" si="766"/>
        <v>-</v>
      </c>
    </row>
    <row r="2098" spans="1:47" s="1054" customFormat="1" x14ac:dyDescent="0.2">
      <c r="A2098" s="60" t="s">
        <v>58</v>
      </c>
      <c r="B2098" s="1061" t="s">
        <v>4794</v>
      </c>
      <c r="C2098" s="123" t="s">
        <v>4809</v>
      </c>
      <c r="D2098" s="94" t="s">
        <v>4810</v>
      </c>
      <c r="E2098" s="83" t="s">
        <v>4811</v>
      </c>
      <c r="F2098" s="83" t="s">
        <v>1834</v>
      </c>
      <c r="G2098" s="60" t="s">
        <v>4812</v>
      </c>
      <c r="H2098" s="685" t="s">
        <v>449</v>
      </c>
      <c r="I2098" s="238" t="s">
        <v>2028</v>
      </c>
      <c r="J2098" s="60" t="s">
        <v>257</v>
      </c>
      <c r="K2098" s="68" t="s">
        <v>2159</v>
      </c>
      <c r="L2098" s="68" t="s">
        <v>4800</v>
      </c>
      <c r="M2098" s="124">
        <v>575</v>
      </c>
      <c r="N2098" s="639">
        <v>585</v>
      </c>
      <c r="O2098" s="68" t="s">
        <v>260</v>
      </c>
      <c r="P2098" s="60">
        <v>32</v>
      </c>
      <c r="Q2098" s="60">
        <v>32</v>
      </c>
      <c r="R2098" s="60">
        <v>32</v>
      </c>
      <c r="S2098" s="60">
        <v>32</v>
      </c>
      <c r="T2098" s="60">
        <v>35</v>
      </c>
      <c r="U2098" s="60">
        <v>35</v>
      </c>
      <c r="V2098" s="47">
        <f>Table1[[#This Row],[VO Wdth]]+Materials!$C$50</f>
        <v>34</v>
      </c>
      <c r="W2098" s="47">
        <f>Table1[[#This Row],[VO Hgt]]+Materials!$C$50</f>
        <v>34</v>
      </c>
      <c r="X2098" s="138">
        <v>44</v>
      </c>
      <c r="Y2098" s="60"/>
      <c r="Z2098" s="60"/>
      <c r="AA2098" s="717">
        <f t="shared" si="763"/>
        <v>8.0277777777777786</v>
      </c>
      <c r="AB2098" s="125">
        <f t="shared" si="767"/>
        <v>38.533333333333339</v>
      </c>
      <c r="AC2098" s="69">
        <f>Table1[[#This Row],[Print Wth]]*paper44</f>
        <v>9.18</v>
      </c>
      <c r="AD2098" s="48">
        <f>Table1[[#This Row],[Ink g/mL]]*CanonC</f>
        <v>10.404000000000002</v>
      </c>
      <c r="AE2098" s="104">
        <f>IF(Table1[[#This Row],[Work Center]]="SwissQ",Materials!G$37,IF(Table1[[#This Row],[Work Center]]="Inca",Materials!G$29,IF(Table1[[#This Row],[Work Center]]="Canon",Materials!G$49,Materials!G$45)))</f>
        <v>7</v>
      </c>
      <c r="AF2098" s="69">
        <f>'Cali Frames'!D$601</f>
        <v>148.26</v>
      </c>
      <c r="AG2098" s="115"/>
      <c r="AH2098" s="112">
        <f t="shared" si="757"/>
        <v>28.75</v>
      </c>
      <c r="AI2098" s="112"/>
      <c r="AJ2098" s="69">
        <f t="shared" si="764"/>
        <v>203.59399999999999</v>
      </c>
      <c r="AK2098" s="62">
        <f t="shared" si="759"/>
        <v>0.6459234782608696</v>
      </c>
      <c r="AL2098" s="225">
        <f>Table1[[#This Row],[WSP/Dealer]]/Table1[[#This Row],[OD Sq Inch]]</f>
        <v>0.46938775510204084</v>
      </c>
      <c r="AM2098" s="101">
        <f>Table1[[#This Row],[OD Wdth]]*Table1[[#This Row],[OD Hgt]]</f>
        <v>1225</v>
      </c>
      <c r="AN2098" s="216">
        <f>Table1[[#This Row],[Min VO]]+Table1[[#This Row],[Max VO]]</f>
        <v>64</v>
      </c>
      <c r="AO2098" s="60"/>
      <c r="AP2098" s="60"/>
      <c r="AQ2098" s="69"/>
      <c r="AR2098" s="69"/>
      <c r="AS2098" s="69"/>
      <c r="AT2098" s="69"/>
      <c r="AU2098" s="830" t="str">
        <f t="shared" si="766"/>
        <v>-</v>
      </c>
    </row>
    <row r="2099" spans="1:47" s="1054" customFormat="1" hidden="1" x14ac:dyDescent="0.2">
      <c r="A2099" s="60" t="s">
        <v>272</v>
      </c>
      <c r="B2099" s="274"/>
      <c r="C2099" s="123" t="s">
        <v>4813</v>
      </c>
      <c r="D2099" s="94"/>
      <c r="E2099" s="83" t="s">
        <v>4811</v>
      </c>
      <c r="F2099" s="83" t="s">
        <v>1834</v>
      </c>
      <c r="G2099" s="60" t="s">
        <v>3401</v>
      </c>
      <c r="H2099" s="60" t="s">
        <v>925</v>
      </c>
      <c r="I2099" s="60" t="s">
        <v>2028</v>
      </c>
      <c r="J2099" s="60" t="s">
        <v>257</v>
      </c>
      <c r="K2099" s="60" t="s">
        <v>4814</v>
      </c>
      <c r="L2099" s="60" t="s">
        <v>4800</v>
      </c>
      <c r="M2099" s="124">
        <v>675</v>
      </c>
      <c r="N2099" s="124"/>
      <c r="O2099" s="68" t="s">
        <v>260</v>
      </c>
      <c r="P2099" s="60">
        <v>32</v>
      </c>
      <c r="Q2099" s="60">
        <v>32</v>
      </c>
      <c r="R2099" s="60">
        <v>32</v>
      </c>
      <c r="S2099" s="60">
        <v>32</v>
      </c>
      <c r="T2099" s="60">
        <v>35</v>
      </c>
      <c r="U2099" s="60">
        <v>35</v>
      </c>
      <c r="V2099" s="47">
        <v>34</v>
      </c>
      <c r="W2099" s="47">
        <v>34</v>
      </c>
      <c r="X2099" s="138">
        <v>44</v>
      </c>
      <c r="Y2099" s="60"/>
      <c r="Z2099" s="60"/>
      <c r="AA2099" s="717">
        <f t="shared" si="763"/>
        <v>8.0277777777777786</v>
      </c>
      <c r="AB2099" s="125">
        <f t="shared" si="767"/>
        <v>38.533333333333339</v>
      </c>
      <c r="AC2099" s="69">
        <f>Table1[[#This Row],[Print Wth]]*paper44</f>
        <v>9.18</v>
      </c>
      <c r="AD2099" s="48">
        <f>Table1[[#This Row],[Ink g/mL]]*CanonC</f>
        <v>10.404000000000002</v>
      </c>
      <c r="AE2099" s="104">
        <f>IF(Table1[[#This Row],[Work Center]]="SwissQ",Materials!G$37,IF(Table1[[#This Row],[Work Center]]="Inca",Materials!G$29,IF(Table1[[#This Row],[Work Center]]="Canon",Materials!G$49,Materials!G$45)))</f>
        <v>7</v>
      </c>
      <c r="AF2099" s="69" t="e">
        <f>'Cali Frames'!#REF!</f>
        <v>#REF!</v>
      </c>
      <c r="AG2099" s="83"/>
      <c r="AH2099" s="112">
        <f t="shared" si="757"/>
        <v>33.75</v>
      </c>
      <c r="AI2099" s="112"/>
      <c r="AJ2099" s="69" t="e">
        <f t="shared" si="764"/>
        <v>#REF!</v>
      </c>
      <c r="AK2099" s="62" t="e">
        <f t="shared" si="759"/>
        <v>#REF!</v>
      </c>
      <c r="AL2099" s="225">
        <f>Table1[[#This Row],[WSP/Dealer]]/Table1[[#This Row],[OD Sq Inch]]</f>
        <v>0.55102040816326525</v>
      </c>
      <c r="AM2099" s="60">
        <f>Table1[[#This Row],[OD Wdth]]*Table1[[#This Row],[OD Hgt]]</f>
        <v>1225</v>
      </c>
      <c r="AN2099" s="216">
        <f>Table1[[#This Row],[Min VO]]+Table1[[#This Row],[Max VO]]</f>
        <v>64</v>
      </c>
      <c r="AO2099" s="60"/>
      <c r="AP2099" s="60"/>
      <c r="AQ2099" s="69"/>
      <c r="AR2099" s="69"/>
      <c r="AS2099" s="69"/>
      <c r="AT2099" s="69"/>
      <c r="AU2099" s="650" t="str">
        <f t="shared" si="766"/>
        <v>-</v>
      </c>
    </row>
    <row r="2100" spans="1:47" s="309" customFormat="1" x14ac:dyDescent="0.2">
      <c r="A2100" s="60" t="s">
        <v>58</v>
      </c>
      <c r="B2100" s="279" t="s">
        <v>4794</v>
      </c>
      <c r="C2100" s="123" t="s">
        <v>4815</v>
      </c>
      <c r="D2100" s="94" t="s">
        <v>4816</v>
      </c>
      <c r="E2100" s="83" t="s">
        <v>4817</v>
      </c>
      <c r="F2100" s="83" t="s">
        <v>1834</v>
      </c>
      <c r="G2100" s="60" t="s">
        <v>4812</v>
      </c>
      <c r="H2100" s="685" t="s">
        <v>449</v>
      </c>
      <c r="I2100" s="238" t="s">
        <v>2028</v>
      </c>
      <c r="J2100" s="60" t="s">
        <v>257</v>
      </c>
      <c r="K2100" s="68" t="s">
        <v>2159</v>
      </c>
      <c r="L2100" s="68" t="s">
        <v>4800</v>
      </c>
      <c r="M2100" s="124">
        <v>575</v>
      </c>
      <c r="N2100" s="639">
        <v>585</v>
      </c>
      <c r="O2100" s="68" t="s">
        <v>260</v>
      </c>
      <c r="P2100" s="60">
        <v>32</v>
      </c>
      <c r="Q2100" s="60">
        <v>32</v>
      </c>
      <c r="R2100" s="60">
        <v>32</v>
      </c>
      <c r="S2100" s="60">
        <v>32</v>
      </c>
      <c r="T2100" s="60">
        <v>35</v>
      </c>
      <c r="U2100" s="60">
        <v>35</v>
      </c>
      <c r="V2100" s="946">
        <f>Table1[[#This Row],[VO Wdth]]+Materials!$C$50</f>
        <v>34</v>
      </c>
      <c r="W2100" s="946">
        <f>Table1[[#This Row],[VO Hgt]]+Materials!$C$50</f>
        <v>34</v>
      </c>
      <c r="X2100" s="138">
        <v>44</v>
      </c>
      <c r="Y2100" s="60"/>
      <c r="Z2100" s="60"/>
      <c r="AA2100" s="717">
        <f t="shared" si="763"/>
        <v>8.0277777777777786</v>
      </c>
      <c r="AB2100" s="125">
        <f t="shared" si="767"/>
        <v>38.533333333333339</v>
      </c>
      <c r="AC2100" s="69">
        <f>Table1[[#This Row],[Print Wth]]*paper44</f>
        <v>9.18</v>
      </c>
      <c r="AD2100" s="48">
        <f>Table1[[#This Row],[Ink g/mL]]*CanonC</f>
        <v>10.404000000000002</v>
      </c>
      <c r="AE2100" s="104">
        <f>IF(Table1[[#This Row],[Work Center]]="SwissQ",Materials!G$37,IF(Table1[[#This Row],[Work Center]]="Inca",Materials!G$29,IF(Table1[[#This Row],[Work Center]]="Canon",Materials!G$49,Materials!G$45)))</f>
        <v>7</v>
      </c>
      <c r="AF2100" s="69">
        <f>'Cali Frames'!D$601</f>
        <v>148.26</v>
      </c>
      <c r="AG2100" s="115"/>
      <c r="AH2100" s="498">
        <f t="shared" si="757"/>
        <v>28.75</v>
      </c>
      <c r="AI2100" s="498"/>
      <c r="AJ2100" s="69">
        <f t="shared" si="764"/>
        <v>203.59399999999999</v>
      </c>
      <c r="AK2100" s="650">
        <f t="shared" si="759"/>
        <v>0.6459234782608696</v>
      </c>
      <c r="AL2100" s="225">
        <f>Table1[[#This Row],[WSP/Dealer]]/Table1[[#This Row],[OD Sq Inch]]</f>
        <v>0.46938775510204084</v>
      </c>
      <c r="AM2100" s="216">
        <f>Table1[[#This Row],[OD Wdth]]*Table1[[#This Row],[OD Hgt]]</f>
        <v>1225</v>
      </c>
      <c r="AN2100" s="216">
        <f>Table1[[#This Row],[Min VO]]+Table1[[#This Row],[Max VO]]</f>
        <v>64</v>
      </c>
      <c r="AO2100" s="60"/>
      <c r="AP2100" s="60"/>
      <c r="AQ2100" s="69"/>
      <c r="AR2100" s="69"/>
      <c r="AS2100" s="69"/>
      <c r="AT2100" s="69"/>
      <c r="AU2100" s="830" t="str">
        <f t="shared" si="766"/>
        <v>-</v>
      </c>
    </row>
    <row r="2101" spans="1:47" s="1054" customFormat="1" x14ac:dyDescent="0.2">
      <c r="A2101" s="60" t="s">
        <v>58</v>
      </c>
      <c r="B2101" s="1061" t="s">
        <v>4794</v>
      </c>
      <c r="C2101" s="123" t="s">
        <v>4818</v>
      </c>
      <c r="D2101" s="94" t="s">
        <v>4819</v>
      </c>
      <c r="E2101" s="83" t="s">
        <v>4820</v>
      </c>
      <c r="F2101" s="83" t="s">
        <v>1834</v>
      </c>
      <c r="G2101" s="60" t="s">
        <v>4821</v>
      </c>
      <c r="H2101" s="60" t="s">
        <v>4822</v>
      </c>
      <c r="I2101" s="238" t="s">
        <v>2028</v>
      </c>
      <c r="J2101" s="60" t="s">
        <v>257</v>
      </c>
      <c r="K2101" s="68" t="s">
        <v>2159</v>
      </c>
      <c r="L2101" s="68" t="s">
        <v>4800</v>
      </c>
      <c r="M2101" s="714">
        <v>2100</v>
      </c>
      <c r="N2101" s="639">
        <v>2250</v>
      </c>
      <c r="O2101" s="68" t="s">
        <v>260</v>
      </c>
      <c r="P2101" s="60">
        <v>96</v>
      </c>
      <c r="Q2101" s="60">
        <v>56</v>
      </c>
      <c r="R2101" s="60">
        <v>56</v>
      </c>
      <c r="S2101" s="273">
        <v>96</v>
      </c>
      <c r="T2101" s="60">
        <v>100</v>
      </c>
      <c r="U2101" s="60" t="str">
        <f>RIGHT(Table1[[#This Row],[OD]],2)</f>
        <v>60</v>
      </c>
      <c r="V2101" s="946">
        <f>Table1[[#This Row],[VO Wdth]]+Materials!$C$50</f>
        <v>98</v>
      </c>
      <c r="W2101" s="946">
        <f>Table1[[#This Row],[VO Hgt]]+Materials!$C$50</f>
        <v>58</v>
      </c>
      <c r="X2101" s="138">
        <v>60</v>
      </c>
      <c r="Y2101" s="60"/>
      <c r="Z2101" s="60"/>
      <c r="AA2101" s="717">
        <f t="shared" si="763"/>
        <v>39.472222222222221</v>
      </c>
      <c r="AB2101" s="125">
        <f t="shared" si="767"/>
        <v>189.46666666666667</v>
      </c>
      <c r="AC2101" s="69">
        <f>Table1[[#This Row],[Print Wth]]*paper60</f>
        <v>33.32</v>
      </c>
      <c r="AD2101" s="69">
        <f>Table1[[#This Row],[Ink g/mL]]*CanonC</f>
        <v>51.156000000000006</v>
      </c>
      <c r="AE2101" s="104">
        <f>IF(Table1[[#This Row],[Work Center]]="SwissQ",Materials!G$37,IF(Table1[[#This Row],[Work Center]]="Inca",Materials!G$29,IF(Table1[[#This Row],[Work Center]]="Canon",Materials!G$49,Materials!G$45)))</f>
        <v>7</v>
      </c>
      <c r="AF2101" s="69">
        <f>'Cali Frames'!D606</f>
        <v>758.44999999999993</v>
      </c>
      <c r="AG2101" s="115"/>
      <c r="AH2101" s="498">
        <f t="shared" si="757"/>
        <v>105</v>
      </c>
      <c r="AI2101" s="498"/>
      <c r="AJ2101" s="69">
        <f t="shared" si="764"/>
        <v>954.92599999999993</v>
      </c>
      <c r="AK2101" s="650">
        <f t="shared" si="759"/>
        <v>0.54527333333333339</v>
      </c>
      <c r="AL2101" s="225">
        <f>Table1[[#This Row],[WSP/Dealer]]/Table1[[#This Row],[OD Sq Inch]]</f>
        <v>0.35</v>
      </c>
      <c r="AM2101" s="101">
        <f>Table1[[#This Row],[OD Wdth]]*Table1[[#This Row],[OD Hgt]]</f>
        <v>6000</v>
      </c>
      <c r="AN2101" s="216">
        <f>Table1[[#This Row],[Min VO]]+Table1[[#This Row],[Max VO]]</f>
        <v>152</v>
      </c>
      <c r="AO2101" s="101"/>
      <c r="AP2101" s="101"/>
      <c r="AQ2101" s="104"/>
      <c r="AR2101" s="104"/>
      <c r="AS2101" s="104"/>
      <c r="AT2101" s="104"/>
      <c r="AU2101" s="830" t="str">
        <f t="shared" si="766"/>
        <v>-</v>
      </c>
    </row>
    <row r="2102" spans="1:47" s="309" customFormat="1" x14ac:dyDescent="0.2">
      <c r="A2102" s="60" t="s">
        <v>58</v>
      </c>
      <c r="B2102" s="279" t="s">
        <v>533</v>
      </c>
      <c r="C2102" s="123" t="s">
        <v>4823</v>
      </c>
      <c r="D2102" s="94"/>
      <c r="E2102" s="83" t="s">
        <v>4824</v>
      </c>
      <c r="F2102" s="83" t="s">
        <v>1834</v>
      </c>
      <c r="G2102" s="60" t="s">
        <v>302</v>
      </c>
      <c r="H2102" s="60" t="s">
        <v>4825</v>
      </c>
      <c r="I2102" s="238" t="s">
        <v>2028</v>
      </c>
      <c r="J2102" s="60" t="s">
        <v>257</v>
      </c>
      <c r="K2102" s="68" t="s">
        <v>2159</v>
      </c>
      <c r="L2102" s="68" t="s">
        <v>4800</v>
      </c>
      <c r="M2102" s="179">
        <v>550</v>
      </c>
      <c r="N2102" s="639">
        <v>550</v>
      </c>
      <c r="O2102" s="68" t="s">
        <v>260</v>
      </c>
      <c r="P2102" s="60">
        <v>24</v>
      </c>
      <c r="Q2102" s="60">
        <v>36</v>
      </c>
      <c r="R2102" s="60">
        <v>24</v>
      </c>
      <c r="S2102" s="273">
        <v>36</v>
      </c>
      <c r="T2102" s="60">
        <v>26</v>
      </c>
      <c r="U2102" s="60">
        <v>38</v>
      </c>
      <c r="V2102" s="946">
        <f>Table1[[#This Row],[VO Wdth]]+Materials!$C$50</f>
        <v>26</v>
      </c>
      <c r="W2102" s="946">
        <f>Table1[[#This Row],[VO Hgt]]+Materials!$C$50</f>
        <v>38</v>
      </c>
      <c r="X2102" s="138">
        <v>44</v>
      </c>
      <c r="Y2102" s="60"/>
      <c r="Z2102" s="60"/>
      <c r="AA2102" s="717">
        <f t="shared" si="763"/>
        <v>6.8611111111111107</v>
      </c>
      <c r="AB2102" s="125">
        <f t="shared" si="767"/>
        <v>32.93333333333333</v>
      </c>
      <c r="AC2102" s="69">
        <f>Table1[[#This Row],[Print Wth]]*paper44</f>
        <v>7.0200000000000005</v>
      </c>
      <c r="AD2102" s="48">
        <f>Table1[[#This Row],[Ink g/mL]]*CanonC</f>
        <v>8.8919999999999995</v>
      </c>
      <c r="AE2102" s="104">
        <f>IF(Table1[[#This Row],[Work Center]]="SwissQ",Materials!G$37,IF(Table1[[#This Row],[Work Center]]="Inca",Materials!G$29,IF(Table1[[#This Row],[Work Center]]="Canon",Materials!G$49,Materials!G$45)))</f>
        <v>7</v>
      </c>
      <c r="AF2102" s="69">
        <f>'Cali Frames'!D$601</f>
        <v>148.26</v>
      </c>
      <c r="AG2102" s="115"/>
      <c r="AH2102" s="498">
        <f t="shared" si="757"/>
        <v>27.5</v>
      </c>
      <c r="AI2102" s="498"/>
      <c r="AJ2102" s="69">
        <f t="shared" si="764"/>
        <v>198.672</v>
      </c>
      <c r="AK2102" s="650">
        <f t="shared" si="759"/>
        <v>0.6387781818181818</v>
      </c>
      <c r="AL2102" s="225">
        <f>Table1[[#This Row],[WSP/Dealer]]/Table1[[#This Row],[OD Sq Inch]]</f>
        <v>0.55668016194331982</v>
      </c>
      <c r="AM2102" s="103">
        <f>Table1[[#This Row],[OD Wdth]]*Table1[[#This Row],[OD Hgt]]</f>
        <v>988</v>
      </c>
      <c r="AN2102" s="216">
        <f>Table1[[#This Row],[Min VO]]+Table1[[#This Row],[Max VO]]</f>
        <v>60</v>
      </c>
      <c r="AO2102" s="83"/>
      <c r="AP2102" s="83"/>
      <c r="AQ2102" s="540"/>
      <c r="AR2102" s="540"/>
      <c r="AS2102" s="540"/>
      <c r="AT2102" s="69"/>
      <c r="AU2102" s="1361" t="str">
        <f t="shared" si="766"/>
        <v>-</v>
      </c>
    </row>
    <row r="2103" spans="1:47" s="309" customFormat="1" x14ac:dyDescent="0.2">
      <c r="A2103" s="60" t="s">
        <v>58</v>
      </c>
      <c r="B2103" s="1061" t="s">
        <v>533</v>
      </c>
      <c r="C2103" s="123" t="s">
        <v>4826</v>
      </c>
      <c r="D2103" s="94"/>
      <c r="E2103" s="83" t="s">
        <v>4827</v>
      </c>
      <c r="F2103" s="83" t="s">
        <v>1834</v>
      </c>
      <c r="G2103" s="60" t="s">
        <v>302</v>
      </c>
      <c r="H2103" s="60" t="s">
        <v>4825</v>
      </c>
      <c r="I2103" s="238" t="s">
        <v>2028</v>
      </c>
      <c r="J2103" s="60" t="s">
        <v>257</v>
      </c>
      <c r="K2103" s="68" t="s">
        <v>2159</v>
      </c>
      <c r="L2103" s="68" t="s">
        <v>4800</v>
      </c>
      <c r="M2103" s="179">
        <v>550</v>
      </c>
      <c r="N2103" s="639">
        <v>550</v>
      </c>
      <c r="O2103" s="68" t="s">
        <v>260</v>
      </c>
      <c r="P2103" s="60">
        <v>24</v>
      </c>
      <c r="Q2103" s="60">
        <v>36</v>
      </c>
      <c r="R2103" s="60">
        <v>24</v>
      </c>
      <c r="S2103" s="273">
        <v>36</v>
      </c>
      <c r="T2103" s="60">
        <v>26</v>
      </c>
      <c r="U2103" s="60">
        <v>38</v>
      </c>
      <c r="V2103" s="946">
        <f>Table1[[#This Row],[VO Wdth]]+Materials!$C$50</f>
        <v>26</v>
      </c>
      <c r="W2103" s="946">
        <f>Table1[[#This Row],[VO Hgt]]+Materials!$C$50</f>
        <v>38</v>
      </c>
      <c r="X2103" s="138">
        <v>44</v>
      </c>
      <c r="Y2103" s="60"/>
      <c r="Z2103" s="60"/>
      <c r="AA2103" s="717">
        <f t="shared" si="763"/>
        <v>6.8611111111111107</v>
      </c>
      <c r="AB2103" s="125">
        <f t="shared" si="767"/>
        <v>32.93333333333333</v>
      </c>
      <c r="AC2103" s="69">
        <f>Table1[[#This Row],[Print Wth]]*paper44</f>
        <v>7.0200000000000005</v>
      </c>
      <c r="AD2103" s="69">
        <f>Table1[[#This Row],[Ink g/mL]]*CanonC</f>
        <v>8.8919999999999995</v>
      </c>
      <c r="AE2103" s="104">
        <f>IF(Table1[[#This Row],[Work Center]]="SwissQ",Materials!G$37,IF(Table1[[#This Row],[Work Center]]="Inca",Materials!G$29,IF(Table1[[#This Row],[Work Center]]="Canon",Materials!G$49,Materials!G$45)))</f>
        <v>7</v>
      </c>
      <c r="AF2103" s="69">
        <f>'Cali Frames'!D$601</f>
        <v>148.26</v>
      </c>
      <c r="AG2103" s="115"/>
      <c r="AH2103" s="498">
        <f t="shared" ref="AH2103:AH2123" si="768">(M2103*0.05)</f>
        <v>27.5</v>
      </c>
      <c r="AI2103" s="498"/>
      <c r="AJ2103" s="69">
        <f t="shared" si="764"/>
        <v>198.672</v>
      </c>
      <c r="AK2103" s="650">
        <f t="shared" ref="AK2103:AK2134" si="769">(M2103-AJ2103)/M2103</f>
        <v>0.6387781818181818</v>
      </c>
      <c r="AL2103" s="225">
        <f>Table1[[#This Row],[WSP/Dealer]]/Table1[[#This Row],[OD Sq Inch]]</f>
        <v>0.55668016194331982</v>
      </c>
      <c r="AM2103" s="101">
        <f>Table1[[#This Row],[OD Wdth]]*Table1[[#This Row],[OD Hgt]]</f>
        <v>988</v>
      </c>
      <c r="AN2103" s="216">
        <f>Table1[[#This Row],[Min VO]]+Table1[[#This Row],[Max VO]]</f>
        <v>60</v>
      </c>
      <c r="AO2103" s="83"/>
      <c r="AP2103" s="83"/>
      <c r="AQ2103" s="540"/>
      <c r="AR2103" s="540"/>
      <c r="AS2103" s="540"/>
      <c r="AT2103" s="69"/>
      <c r="AU2103" s="1361" t="str">
        <f t="shared" si="766"/>
        <v>-</v>
      </c>
    </row>
    <row r="2104" spans="1:47" s="170" customFormat="1" hidden="1" x14ac:dyDescent="0.2">
      <c r="A2104" s="101" t="s">
        <v>110</v>
      </c>
      <c r="B2104" s="1067" t="s">
        <v>102</v>
      </c>
      <c r="C2104" s="1094" t="s">
        <v>4828</v>
      </c>
      <c r="D2104" s="168"/>
      <c r="E2104" s="115" t="s">
        <v>4829</v>
      </c>
      <c r="F2104" s="115" t="s">
        <v>897</v>
      </c>
      <c r="G2104" s="101" t="s">
        <v>572</v>
      </c>
      <c r="H2104" s="101" t="s">
        <v>572</v>
      </c>
      <c r="I2104" s="101" t="s">
        <v>52</v>
      </c>
      <c r="J2104" s="487" t="s">
        <v>53</v>
      </c>
      <c r="K2104" s="101" t="s">
        <v>54</v>
      </c>
      <c r="L2104" s="101" t="s">
        <v>55</v>
      </c>
      <c r="M2104" s="299">
        <v>700</v>
      </c>
      <c r="N2104" s="114"/>
      <c r="O2104" s="101" t="s">
        <v>56</v>
      </c>
      <c r="P2104" s="101">
        <v>60</v>
      </c>
      <c r="Q2104" s="101">
        <v>40</v>
      </c>
      <c r="R2104" s="101">
        <v>40</v>
      </c>
      <c r="S2104" s="697">
        <v>60</v>
      </c>
      <c r="T2104" s="101">
        <v>60</v>
      </c>
      <c r="U2104" s="101">
        <v>40</v>
      </c>
      <c r="V2104" s="918">
        <f t="shared" ref="V2104:V2117" si="770">IF(J2104="Canvas",P2104+Border,P2104)</f>
        <v>68</v>
      </c>
      <c r="W2104" s="918">
        <f t="shared" ref="W2104:W2117" si="771">IF(J2104="Canvas",Q2104+Border,Q2104)</f>
        <v>48</v>
      </c>
      <c r="X2104" s="101">
        <v>69</v>
      </c>
      <c r="Y2104" s="101">
        <v>68</v>
      </c>
      <c r="Z2104" s="101">
        <v>48</v>
      </c>
      <c r="AA2104" s="649">
        <f t="shared" si="763"/>
        <v>22.666666666666668</v>
      </c>
      <c r="AB2104" s="184">
        <f>AA2104*IncaG</f>
        <v>476.90666666666669</v>
      </c>
      <c r="AC2104" s="104">
        <f t="shared" ref="AC2104:AC2124" si="772">AA2104*Canvas</f>
        <v>14.96</v>
      </c>
      <c r="AD2104" s="107">
        <f>AA2104*IncaC</f>
        <v>38.152533333333338</v>
      </c>
      <c r="AE2104" s="104">
        <f>IF(Table1[[#This Row],[Work Center]]="SwissQ",Materials!G$37,IF(Table1[[#This Row],[Work Center]]="Inca",Materials!G$29,IF(Table1[[#This Row],[Work Center]]="Canon",Materials!G$49,Materials!G$45)))</f>
        <v>8</v>
      </c>
      <c r="AF2104" s="102">
        <f>'Cali FPS'!C89</f>
        <v>112.01750000000001</v>
      </c>
      <c r="AG2104" s="115"/>
      <c r="AH2104" s="406">
        <f t="shared" si="768"/>
        <v>35</v>
      </c>
      <c r="AI2104" s="406">
        <f>IF(A2104="Codarus",(M2104*0.13))</f>
        <v>91</v>
      </c>
      <c r="AJ2104" s="104">
        <f>SUM(AC2104:AI2104)</f>
        <v>299.13003333333336</v>
      </c>
      <c r="AK2104" s="1065">
        <f t="shared" si="769"/>
        <v>0.5726713809523809</v>
      </c>
      <c r="AL2104" s="406">
        <f>Table1[[#This Row],[WSP/Dealer]]/Table1[[#This Row],[OD Sq Inch]]</f>
        <v>0.29166666666666669</v>
      </c>
      <c r="AM2104" s="399">
        <f>Table1[[#This Row],[OD Wdth]]*Table1[[#This Row],[OD Hgt]]</f>
        <v>2400</v>
      </c>
      <c r="AN2104" s="400">
        <f>Table1[[#This Row],[Min VO]]+Table1[[#This Row],[Max VO]]</f>
        <v>100</v>
      </c>
      <c r="AO2104" s="115"/>
      <c r="AP2104" s="408">
        <v>1400</v>
      </c>
      <c r="AQ2104" s="121">
        <f>(Table1[[#This Row],[Desgnr/Retail P]]*0.05)</f>
        <v>70</v>
      </c>
      <c r="AR2104" s="121">
        <f>IF(A2104="Codarus",(AP2104*0.13))</f>
        <v>182</v>
      </c>
      <c r="AS2104" s="121">
        <f>SUM(Table1[[#This Row],[Substrate $]:[GP FINISH]])+Table1[[#This Row],[Retail Royalty]]+Table1[[#This Row],[Retail$Comm]]</f>
        <v>425.13003333333336</v>
      </c>
      <c r="AT2104" s="830">
        <f>IF(AP2104=0,"-",(AP2104-AS2104)/AP2104)</f>
        <v>0.69633569047619048</v>
      </c>
      <c r="AU2104" s="1359">
        <f t="shared" si="766"/>
        <v>0.99005234727891156</v>
      </c>
    </row>
    <row r="2105" spans="1:47" s="399" customFormat="1" hidden="1" x14ac:dyDescent="0.2">
      <c r="A2105" s="180" t="s">
        <v>95</v>
      </c>
      <c r="B2105" s="1061" t="s">
        <v>96</v>
      </c>
      <c r="C2105" s="961" t="s">
        <v>4830</v>
      </c>
      <c r="D2105" s="94"/>
      <c r="E2105" s="284" t="s">
        <v>4831</v>
      </c>
      <c r="F2105" s="284" t="s">
        <v>448</v>
      </c>
      <c r="G2105" s="180" t="s">
        <v>51</v>
      </c>
      <c r="H2105" s="180" t="s">
        <v>364</v>
      </c>
      <c r="I2105" s="180" t="s">
        <v>52</v>
      </c>
      <c r="J2105" s="310" t="s">
        <v>53</v>
      </c>
      <c r="K2105" s="180" t="s">
        <v>69</v>
      </c>
      <c r="L2105" s="180" t="s">
        <v>73</v>
      </c>
      <c r="M2105" s="292">
        <v>650</v>
      </c>
      <c r="N2105" s="290"/>
      <c r="O2105" s="180" t="s">
        <v>64</v>
      </c>
      <c r="P2105" s="180">
        <v>30</v>
      </c>
      <c r="Q2105" s="180">
        <v>40</v>
      </c>
      <c r="R2105" s="180">
        <v>30</v>
      </c>
      <c r="S2105" s="813">
        <v>40</v>
      </c>
      <c r="T2105" s="180">
        <v>31</v>
      </c>
      <c r="U2105" s="180">
        <v>41</v>
      </c>
      <c r="V2105" s="174">
        <f t="shared" si="770"/>
        <v>38</v>
      </c>
      <c r="W2105" s="174">
        <f t="shared" si="771"/>
        <v>48</v>
      </c>
      <c r="X2105" s="289">
        <v>40</v>
      </c>
      <c r="Y2105" s="180">
        <v>38</v>
      </c>
      <c r="Z2105" s="180">
        <v>48</v>
      </c>
      <c r="AA2105" s="678">
        <f t="shared" si="763"/>
        <v>12.666666666666666</v>
      </c>
      <c r="AB2105" s="329">
        <f t="shared" ref="AB2105:AB2113" si="773">AA2105*Swiss1</f>
        <v>358.46666666666664</v>
      </c>
      <c r="AC2105" s="176">
        <f t="shared" si="772"/>
        <v>8.36</v>
      </c>
      <c r="AD2105" s="175">
        <f>Table1[[#This Row],[Substrate SF]]*Materials!C$37</f>
        <v>35.466666666666661</v>
      </c>
      <c r="AE2105" s="176">
        <f>IF(Table1[[#This Row],[Work Center]]="SwissQ",Materials!G$37,IF(Table1[[#This Row],[Work Center]]="Inca",Materials!G$29,IF(Table1[[#This Row],[Work Center]]="Canon",Materials!G$49,Materials!G$45)))</f>
        <v>20</v>
      </c>
      <c r="AF2105" s="290">
        <f>'Cali Frames'!D430</f>
        <v>108.955</v>
      </c>
      <c r="AG2105" s="284"/>
      <c r="AH2105" s="176">
        <f t="shared" si="768"/>
        <v>32.5</v>
      </c>
      <c r="AI2105" s="176"/>
      <c r="AJ2105" s="176">
        <f t="shared" ref="AJ2105:AJ2124" si="774">SUM(AC2105:AH2105)</f>
        <v>205.28166666666667</v>
      </c>
      <c r="AK2105" s="1201">
        <f t="shared" si="769"/>
        <v>0.68418205128205134</v>
      </c>
      <c r="AL2105" s="176">
        <f>Table1[[#This Row],[WSP/Dealer]]/Table1[[#This Row],[OD Sq Inch]]</f>
        <v>0.51140833988985046</v>
      </c>
      <c r="AM2105" s="173">
        <f>Table1[[#This Row],[OD Wdth]]*Table1[[#This Row],[OD Hgt]]</f>
        <v>1271</v>
      </c>
      <c r="AN2105" s="180">
        <f>Table1[[#This Row],[Min VO]]+Table1[[#This Row],[Max VO]]</f>
        <v>70</v>
      </c>
      <c r="AO2105" s="284"/>
      <c r="AP2105" s="284"/>
      <c r="AQ2105" s="296"/>
      <c r="AR2105" s="296"/>
      <c r="AS2105" s="296"/>
      <c r="AT2105" s="176"/>
      <c r="AU2105" s="1358" t="str">
        <f t="shared" si="766"/>
        <v>-</v>
      </c>
    </row>
    <row r="2106" spans="1:47" s="170" customFormat="1" x14ac:dyDescent="0.2">
      <c r="A2106" s="101" t="s">
        <v>58</v>
      </c>
      <c r="B2106" s="1067" t="s">
        <v>121</v>
      </c>
      <c r="C2106" s="168" t="s">
        <v>4832</v>
      </c>
      <c r="D2106" s="168"/>
      <c r="E2106" s="625" t="s">
        <v>4833</v>
      </c>
      <c r="F2106" s="625" t="s">
        <v>448</v>
      </c>
      <c r="G2106" s="101" t="s">
        <v>1200</v>
      </c>
      <c r="H2106" s="101" t="s">
        <v>1200</v>
      </c>
      <c r="I2106" s="101" t="s">
        <v>52</v>
      </c>
      <c r="J2106" s="487" t="s">
        <v>53</v>
      </c>
      <c r="K2106" s="101" t="s">
        <v>54</v>
      </c>
      <c r="L2106" s="407" t="s">
        <v>55</v>
      </c>
      <c r="M2106" s="299">
        <v>1450</v>
      </c>
      <c r="N2106" s="114"/>
      <c r="O2106" s="400" t="s">
        <v>64</v>
      </c>
      <c r="P2106" s="400">
        <v>60</v>
      </c>
      <c r="Q2106" s="400">
        <v>80</v>
      </c>
      <c r="R2106" s="400">
        <v>60</v>
      </c>
      <c r="S2106" s="400">
        <v>80</v>
      </c>
      <c r="T2106" s="400">
        <v>60</v>
      </c>
      <c r="U2106" s="400">
        <v>80</v>
      </c>
      <c r="V2106" s="1178">
        <f t="shared" si="770"/>
        <v>68</v>
      </c>
      <c r="W2106" s="1178">
        <f t="shared" si="771"/>
        <v>88</v>
      </c>
      <c r="X2106" s="68">
        <v>122</v>
      </c>
      <c r="Y2106" s="101">
        <v>68</v>
      </c>
      <c r="Z2106" s="101">
        <v>88</v>
      </c>
      <c r="AA2106" s="1069">
        <f t="shared" si="763"/>
        <v>41.555555555555557</v>
      </c>
      <c r="AB2106" s="633">
        <f t="shared" si="773"/>
        <v>1176.0222222222224</v>
      </c>
      <c r="AC2106" s="406">
        <f t="shared" si="772"/>
        <v>27.426666666666669</v>
      </c>
      <c r="AD2106" s="405">
        <f>Table1[[#This Row],[Substrate SF]]*Materials!C$37</f>
        <v>116.35555555555555</v>
      </c>
      <c r="AE2106" s="406">
        <f>IF(Table1[[#This Row],[Work Center]]="SwissQ",Materials!G$37,IF(Table1[[#This Row],[Work Center]]="Inca",Materials!G$29,IF(Table1[[#This Row],[Work Center]]="Canon",Materials!G$49,Materials!G$45)))</f>
        <v>20</v>
      </c>
      <c r="AF2106" s="102">
        <f>'Cali FPS'!C160</f>
        <v>253.32999999999998</v>
      </c>
      <c r="AG2106" s="115"/>
      <c r="AH2106" s="406">
        <f t="shared" si="768"/>
        <v>72.5</v>
      </c>
      <c r="AI2106" s="406"/>
      <c r="AJ2106" s="406">
        <f t="shared" si="774"/>
        <v>489.61222222222221</v>
      </c>
      <c r="AK2106" s="1065">
        <f t="shared" si="769"/>
        <v>0.66233639846743286</v>
      </c>
      <c r="AL2106" s="406">
        <f>Table1[[#This Row],[WSP/Dealer]]/Table1[[#This Row],[OD Sq Inch]]</f>
        <v>0.30208333333333331</v>
      </c>
      <c r="AM2106" s="399">
        <f>Table1[[#This Row],[OD Wdth]]*Table1[[#This Row],[OD Hgt]]</f>
        <v>4800</v>
      </c>
      <c r="AN2106" s="400">
        <f>Table1[[#This Row],[Min VO]]+Table1[[#This Row],[Max VO]]</f>
        <v>140</v>
      </c>
      <c r="AO2106" s="115"/>
      <c r="AP2106" s="115"/>
      <c r="AQ2106" s="121"/>
      <c r="AR2106" s="121"/>
      <c r="AS2106" s="121"/>
      <c r="AT2106" s="104"/>
      <c r="AU2106" s="1359" t="str">
        <f t="shared" si="766"/>
        <v>-</v>
      </c>
    </row>
    <row r="2107" spans="1:47" s="170" customFormat="1" x14ac:dyDescent="0.2">
      <c r="A2107" s="101" t="s">
        <v>58</v>
      </c>
      <c r="B2107" s="1067" t="s">
        <v>121</v>
      </c>
      <c r="C2107" s="168" t="s">
        <v>4834</v>
      </c>
      <c r="D2107" s="94"/>
      <c r="E2107" s="625" t="s">
        <v>4833</v>
      </c>
      <c r="F2107" s="625" t="s">
        <v>448</v>
      </c>
      <c r="G2107" s="101" t="s">
        <v>1200</v>
      </c>
      <c r="H2107" s="101" t="s">
        <v>1208</v>
      </c>
      <c r="I2107" s="101" t="s">
        <v>52</v>
      </c>
      <c r="J2107" s="487" t="s">
        <v>53</v>
      </c>
      <c r="K2107" s="101" t="s">
        <v>82</v>
      </c>
      <c r="L2107" s="101" t="s">
        <v>83</v>
      </c>
      <c r="M2107" s="299">
        <v>1550</v>
      </c>
      <c r="N2107" s="114"/>
      <c r="O2107" s="400" t="s">
        <v>64</v>
      </c>
      <c r="P2107" s="400">
        <v>60</v>
      </c>
      <c r="Q2107" s="400">
        <v>80</v>
      </c>
      <c r="R2107" s="400">
        <v>60</v>
      </c>
      <c r="S2107" s="400">
        <v>80</v>
      </c>
      <c r="T2107" s="400">
        <v>62</v>
      </c>
      <c r="U2107" s="400">
        <v>82</v>
      </c>
      <c r="V2107" s="608">
        <f t="shared" si="770"/>
        <v>68</v>
      </c>
      <c r="W2107" s="608">
        <f t="shared" si="771"/>
        <v>88</v>
      </c>
      <c r="X2107" s="68">
        <v>122</v>
      </c>
      <c r="Y2107" s="101">
        <v>68</v>
      </c>
      <c r="Z2107" s="101">
        <v>88</v>
      </c>
      <c r="AA2107" s="1069">
        <f t="shared" si="763"/>
        <v>41.555555555555557</v>
      </c>
      <c r="AB2107" s="633">
        <f t="shared" si="773"/>
        <v>1176.0222222222224</v>
      </c>
      <c r="AC2107" s="406">
        <f t="shared" si="772"/>
        <v>27.426666666666669</v>
      </c>
      <c r="AD2107" s="405">
        <f>Table1[[#This Row],[Substrate SF]]*Materials!C$37</f>
        <v>116.35555555555555</v>
      </c>
      <c r="AE2107" s="406">
        <f>IF(Table1[[#This Row],[Work Center]]="SwissQ",Materials!G$37,IF(Table1[[#This Row],[Work Center]]="Inca",Materials!G$29,IF(Table1[[#This Row],[Work Center]]="Canon",Materials!G$49,Materials!G$45)))</f>
        <v>20</v>
      </c>
      <c r="AF2107" s="408">
        <f>'Cali Frames'!D169</f>
        <v>320.19749999999999</v>
      </c>
      <c r="AG2107" s="121"/>
      <c r="AH2107" s="406">
        <f t="shared" si="768"/>
        <v>77.5</v>
      </c>
      <c r="AI2107" s="406"/>
      <c r="AJ2107" s="406">
        <f t="shared" si="774"/>
        <v>561.47972222222222</v>
      </c>
      <c r="AK2107" s="1065">
        <f t="shared" si="769"/>
        <v>0.63775501792114697</v>
      </c>
      <c r="AL2107" s="406">
        <f>Table1[[#This Row],[WSP/Dealer]]/Table1[[#This Row],[OD Sq Inch]]</f>
        <v>0.3048780487804878</v>
      </c>
      <c r="AM2107" s="399">
        <f>Table1[[#This Row],[OD Wdth]]*Table1[[#This Row],[OD Hgt]]</f>
        <v>5084</v>
      </c>
      <c r="AN2107" s="400">
        <f>Table1[[#This Row],[Min VO]]+Table1[[#This Row],[Max VO]]</f>
        <v>140</v>
      </c>
      <c r="AO2107" s="115"/>
      <c r="AP2107" s="115"/>
      <c r="AQ2107" s="121"/>
      <c r="AR2107" s="121"/>
      <c r="AS2107" s="121"/>
      <c r="AT2107" s="104"/>
      <c r="AU2107" s="1359" t="str">
        <f t="shared" si="766"/>
        <v>-</v>
      </c>
    </row>
    <row r="2108" spans="1:47" s="170" customFormat="1" x14ac:dyDescent="0.2">
      <c r="A2108" s="68" t="s">
        <v>58</v>
      </c>
      <c r="B2108" s="1152" t="s">
        <v>121</v>
      </c>
      <c r="C2108" s="94" t="s">
        <v>4835</v>
      </c>
      <c r="D2108" s="94"/>
      <c r="E2108" s="627" t="s">
        <v>4833</v>
      </c>
      <c r="F2108" s="627" t="s">
        <v>448</v>
      </c>
      <c r="G2108" s="68" t="s">
        <v>1200</v>
      </c>
      <c r="H2108" s="68" t="s">
        <v>1208</v>
      </c>
      <c r="I2108" s="68" t="s">
        <v>52</v>
      </c>
      <c r="J2108" s="140" t="s">
        <v>53</v>
      </c>
      <c r="K2108" s="68" t="s">
        <v>82</v>
      </c>
      <c r="L2108" s="363" t="s">
        <v>334</v>
      </c>
      <c r="M2108" s="299">
        <v>1550</v>
      </c>
      <c r="N2108" s="114"/>
      <c r="O2108" s="274" t="s">
        <v>64</v>
      </c>
      <c r="P2108" s="274">
        <v>60</v>
      </c>
      <c r="Q2108" s="274">
        <v>80</v>
      </c>
      <c r="R2108" s="274">
        <v>60</v>
      </c>
      <c r="S2108" s="274">
        <v>80</v>
      </c>
      <c r="T2108" s="68">
        <v>62</v>
      </c>
      <c r="U2108" s="68">
        <v>82</v>
      </c>
      <c r="V2108" s="1198">
        <f t="shared" si="770"/>
        <v>68</v>
      </c>
      <c r="W2108" s="1198">
        <f t="shared" si="771"/>
        <v>88</v>
      </c>
      <c r="X2108" s="68">
        <v>122</v>
      </c>
      <c r="Y2108" s="68">
        <v>68</v>
      </c>
      <c r="Z2108" s="68">
        <v>88</v>
      </c>
      <c r="AA2108" s="952">
        <f t="shared" si="763"/>
        <v>41.555555555555557</v>
      </c>
      <c r="AB2108" s="341">
        <f t="shared" si="773"/>
        <v>1176.0222222222224</v>
      </c>
      <c r="AC2108" s="278">
        <f t="shared" si="772"/>
        <v>27.426666666666669</v>
      </c>
      <c r="AD2108" s="278">
        <f>Table1[[#This Row],[Substrate SF]]*Materials!C$37</f>
        <v>116.35555555555555</v>
      </c>
      <c r="AE2108" s="278">
        <f>IF(Table1[[#This Row],[Work Center]]="SwissQ",Materials!G$37,IF(Table1[[#This Row],[Work Center]]="Inca",Materials!G$29,IF(Table1[[#This Row],[Work Center]]="Canon",Materials!G$49,Materials!G$45)))</f>
        <v>20</v>
      </c>
      <c r="AF2108" s="73">
        <f>'Cali Frames'!D218</f>
        <v>301.72000000000003</v>
      </c>
      <c r="AG2108" s="115"/>
      <c r="AH2108" s="278">
        <f t="shared" si="768"/>
        <v>77.5</v>
      </c>
      <c r="AI2108" s="278"/>
      <c r="AJ2108" s="278">
        <f t="shared" si="774"/>
        <v>543.00222222222226</v>
      </c>
      <c r="AK2108" s="1192">
        <f t="shared" si="769"/>
        <v>0.64967598566308238</v>
      </c>
      <c r="AL2108" s="278">
        <f>Table1[[#This Row],[WSP/Dealer]]/Table1[[#This Row],[OD Sq Inch]]</f>
        <v>0.3048780487804878</v>
      </c>
      <c r="AM2108" s="274">
        <f>Table1[[#This Row],[OD Wdth]]*Table1[[#This Row],[OD Hgt]]</f>
        <v>5084</v>
      </c>
      <c r="AN2108" s="274">
        <f>Table1[[#This Row],[Min VO]]+Table1[[#This Row],[Max VO]]</f>
        <v>140</v>
      </c>
      <c r="AO2108" s="115"/>
      <c r="AP2108" s="115"/>
      <c r="AQ2108" s="121"/>
      <c r="AR2108" s="121"/>
      <c r="AS2108" s="121"/>
      <c r="AT2108" s="104"/>
      <c r="AU2108" s="1359" t="str">
        <f t="shared" si="766"/>
        <v>-</v>
      </c>
    </row>
    <row r="2109" spans="1:47" s="170" customFormat="1" x14ac:dyDescent="0.2">
      <c r="A2109" s="68" t="s">
        <v>58</v>
      </c>
      <c r="B2109" s="1072" t="s">
        <v>121</v>
      </c>
      <c r="C2109" s="94" t="s">
        <v>4836</v>
      </c>
      <c r="D2109" s="94"/>
      <c r="E2109" s="627" t="s">
        <v>4833</v>
      </c>
      <c r="F2109" s="627" t="s">
        <v>448</v>
      </c>
      <c r="G2109" s="68" t="s">
        <v>1200</v>
      </c>
      <c r="H2109" s="68" t="s">
        <v>1208</v>
      </c>
      <c r="I2109" s="68" t="s">
        <v>52</v>
      </c>
      <c r="J2109" s="140" t="s">
        <v>53</v>
      </c>
      <c r="K2109" s="68" t="s">
        <v>82</v>
      </c>
      <c r="L2109" s="363" t="s">
        <v>298</v>
      </c>
      <c r="M2109" s="299">
        <v>1675</v>
      </c>
      <c r="N2109" s="114"/>
      <c r="O2109" s="274" t="s">
        <v>64</v>
      </c>
      <c r="P2109" s="274">
        <v>60</v>
      </c>
      <c r="Q2109" s="274">
        <v>80</v>
      </c>
      <c r="R2109" s="274">
        <v>60</v>
      </c>
      <c r="S2109" s="274">
        <v>80</v>
      </c>
      <c r="T2109" s="68">
        <v>62</v>
      </c>
      <c r="U2109" s="68">
        <v>82</v>
      </c>
      <c r="V2109" s="160">
        <f t="shared" si="770"/>
        <v>68</v>
      </c>
      <c r="W2109" s="160">
        <f t="shared" si="771"/>
        <v>88</v>
      </c>
      <c r="X2109" s="68">
        <v>122</v>
      </c>
      <c r="Y2109" s="68">
        <v>68</v>
      </c>
      <c r="Z2109" s="68">
        <v>88</v>
      </c>
      <c r="AA2109" s="952">
        <f t="shared" si="763"/>
        <v>41.555555555555557</v>
      </c>
      <c r="AB2109" s="341">
        <f t="shared" si="773"/>
        <v>1176.0222222222224</v>
      </c>
      <c r="AC2109" s="278">
        <f t="shared" si="772"/>
        <v>27.426666666666669</v>
      </c>
      <c r="AD2109" s="263">
        <f>Table1[[#This Row],[Substrate SF]]*Materials!C$37</f>
        <v>116.35555555555555</v>
      </c>
      <c r="AE2109" s="278">
        <f>IF(Table1[[#This Row],[Work Center]]="SwissQ",Materials!G$37,IF(Table1[[#This Row],[Work Center]]="Inca",Materials!G$29,IF(Table1[[#This Row],[Work Center]]="Canon",Materials!G$49,Materials!G$45)))</f>
        <v>20</v>
      </c>
      <c r="AF2109" s="73">
        <f>'Cali Frames'!D243</f>
        <v>360</v>
      </c>
      <c r="AG2109" s="115"/>
      <c r="AH2109" s="278">
        <f t="shared" si="768"/>
        <v>83.75</v>
      </c>
      <c r="AI2109" s="278"/>
      <c r="AJ2109" s="278">
        <f t="shared" si="774"/>
        <v>607.53222222222223</v>
      </c>
      <c r="AK2109" s="1192">
        <f t="shared" si="769"/>
        <v>0.63729419568822565</v>
      </c>
      <c r="AL2109" s="278">
        <f>Table1[[#This Row],[WSP/Dealer]]/Table1[[#This Row],[OD Sq Inch]]</f>
        <v>0.32946498819826908</v>
      </c>
      <c r="AM2109" s="170">
        <f>Table1[[#This Row],[OD Wdth]]*Table1[[#This Row],[OD Hgt]]</f>
        <v>5084</v>
      </c>
      <c r="AN2109" s="274">
        <f>Table1[[#This Row],[Min VO]]+Table1[[#This Row],[Max VO]]</f>
        <v>140</v>
      </c>
      <c r="AO2109" s="115"/>
      <c r="AP2109" s="115"/>
      <c r="AQ2109" s="121"/>
      <c r="AR2109" s="121"/>
      <c r="AS2109" s="121"/>
      <c r="AT2109" s="104"/>
      <c r="AU2109" s="1359" t="str">
        <f t="shared" si="766"/>
        <v>-</v>
      </c>
    </row>
    <row r="2110" spans="1:47" s="399" customFormat="1" hidden="1" x14ac:dyDescent="0.2">
      <c r="A2110" s="68" t="s">
        <v>4837</v>
      </c>
      <c r="B2110" s="1152" t="s">
        <v>121</v>
      </c>
      <c r="C2110" s="94" t="s">
        <v>4838</v>
      </c>
      <c r="D2110" s="94"/>
      <c r="E2110" s="627" t="s">
        <v>4839</v>
      </c>
      <c r="F2110" s="627" t="s">
        <v>448</v>
      </c>
      <c r="G2110" s="68" t="s">
        <v>1200</v>
      </c>
      <c r="H2110" s="68" t="s">
        <v>1208</v>
      </c>
      <c r="I2110" s="68" t="s">
        <v>52</v>
      </c>
      <c r="J2110" s="140" t="s">
        <v>53</v>
      </c>
      <c r="K2110" s="68" t="s">
        <v>82</v>
      </c>
      <c r="L2110" s="363" t="s">
        <v>334</v>
      </c>
      <c r="M2110" s="299">
        <v>1550</v>
      </c>
      <c r="N2110" s="114"/>
      <c r="O2110" s="274" t="s">
        <v>64</v>
      </c>
      <c r="P2110" s="274">
        <v>60</v>
      </c>
      <c r="Q2110" s="274">
        <v>80</v>
      </c>
      <c r="R2110" s="274">
        <v>60</v>
      </c>
      <c r="S2110" s="274">
        <v>80</v>
      </c>
      <c r="T2110" s="68">
        <v>62</v>
      </c>
      <c r="U2110" s="68">
        <v>82</v>
      </c>
      <c r="V2110" s="160">
        <f t="shared" si="770"/>
        <v>68</v>
      </c>
      <c r="W2110" s="160">
        <f t="shared" si="771"/>
        <v>88</v>
      </c>
      <c r="X2110" s="68">
        <v>122</v>
      </c>
      <c r="Y2110" s="68">
        <v>68</v>
      </c>
      <c r="Z2110" s="68">
        <v>88</v>
      </c>
      <c r="AA2110" s="952">
        <f t="shared" si="763"/>
        <v>41.555555555555557</v>
      </c>
      <c r="AB2110" s="341">
        <f t="shared" si="773"/>
        <v>1176.0222222222224</v>
      </c>
      <c r="AC2110" s="278">
        <f t="shared" si="772"/>
        <v>27.426666666666669</v>
      </c>
      <c r="AD2110" s="263">
        <f>Table1[[#This Row],[Substrate SF]]*Materials!C$37</f>
        <v>116.35555555555555</v>
      </c>
      <c r="AE2110" s="278">
        <f>IF(Table1[[#This Row],[Work Center]]="SwissQ",Materials!G$37,IF(Table1[[#This Row],[Work Center]]="Inca",Materials!G$29,IF(Table1[[#This Row],[Work Center]]="Canon",Materials!G$49,Materials!G$45)))</f>
        <v>20</v>
      </c>
      <c r="AF2110" s="73">
        <f>'Cali Frames'!D218</f>
        <v>301.72000000000003</v>
      </c>
      <c r="AG2110" s="115"/>
      <c r="AH2110" s="263">
        <f t="shared" si="768"/>
        <v>77.5</v>
      </c>
      <c r="AI2110" s="263"/>
      <c r="AJ2110" s="278">
        <f t="shared" si="774"/>
        <v>543.00222222222226</v>
      </c>
      <c r="AK2110" s="688">
        <f t="shared" si="769"/>
        <v>0.64967598566308238</v>
      </c>
      <c r="AL2110" s="278">
        <f>Table1[[#This Row],[WSP/Dealer]]/Table1[[#This Row],[OD Sq Inch]]</f>
        <v>0.3048780487804878</v>
      </c>
      <c r="AM2110" s="170">
        <f>Table1[[#This Row],[OD Wdth]]*Table1[[#This Row],[OD Hgt]]</f>
        <v>5084</v>
      </c>
      <c r="AN2110" s="274">
        <f>Table1[[#This Row],[Min VO]]+Table1[[#This Row],[Max VO]]</f>
        <v>140</v>
      </c>
      <c r="AO2110" s="115"/>
      <c r="AP2110" s="115"/>
      <c r="AQ2110" s="121"/>
      <c r="AR2110" s="121"/>
      <c r="AS2110" s="121"/>
      <c r="AT2110" s="104"/>
      <c r="AU2110" s="1359" t="str">
        <f t="shared" si="766"/>
        <v>-</v>
      </c>
    </row>
    <row r="2111" spans="1:47" s="309" customFormat="1" x14ac:dyDescent="0.2">
      <c r="A2111" s="101" t="s">
        <v>58</v>
      </c>
      <c r="B2111" s="1067" t="s">
        <v>121</v>
      </c>
      <c r="C2111" s="168" t="s">
        <v>4840</v>
      </c>
      <c r="D2111" s="168"/>
      <c r="E2111" s="625" t="s">
        <v>4839</v>
      </c>
      <c r="F2111" s="625" t="s">
        <v>448</v>
      </c>
      <c r="G2111" s="101" t="s">
        <v>1200</v>
      </c>
      <c r="H2111" s="101" t="s">
        <v>1200</v>
      </c>
      <c r="I2111" s="101" t="s">
        <v>52</v>
      </c>
      <c r="J2111" s="487" t="s">
        <v>53</v>
      </c>
      <c r="K2111" s="101" t="s">
        <v>54</v>
      </c>
      <c r="L2111" s="407" t="s">
        <v>55</v>
      </c>
      <c r="M2111" s="299">
        <v>1450</v>
      </c>
      <c r="N2111" s="114"/>
      <c r="O2111" s="400" t="s">
        <v>64</v>
      </c>
      <c r="P2111" s="400">
        <v>60</v>
      </c>
      <c r="Q2111" s="400">
        <v>80</v>
      </c>
      <c r="R2111" s="400">
        <v>60</v>
      </c>
      <c r="S2111" s="400">
        <v>80</v>
      </c>
      <c r="T2111" s="400">
        <v>60</v>
      </c>
      <c r="U2111" s="400">
        <v>80</v>
      </c>
      <c r="V2111" s="1178">
        <f t="shared" si="770"/>
        <v>68</v>
      </c>
      <c r="W2111" s="1178">
        <f t="shared" si="771"/>
        <v>88</v>
      </c>
      <c r="X2111" s="68">
        <v>122</v>
      </c>
      <c r="Y2111" s="101">
        <v>68</v>
      </c>
      <c r="Z2111" s="101">
        <v>88</v>
      </c>
      <c r="AA2111" s="1069">
        <f t="shared" si="763"/>
        <v>41.555555555555557</v>
      </c>
      <c r="AB2111" s="633">
        <f t="shared" si="773"/>
        <v>1176.0222222222224</v>
      </c>
      <c r="AC2111" s="406">
        <f t="shared" si="772"/>
        <v>27.426666666666669</v>
      </c>
      <c r="AD2111" s="405">
        <f>Table1[[#This Row],[Substrate SF]]*Materials!C$37</f>
        <v>116.35555555555555</v>
      </c>
      <c r="AE2111" s="406">
        <f>IF(Table1[[#This Row],[Work Center]]="SwissQ",Materials!G$37,IF(Table1[[#This Row],[Work Center]]="Inca",Materials!G$29,IF(Table1[[#This Row],[Work Center]]="Canon",Materials!G$49,Materials!G$45)))</f>
        <v>20</v>
      </c>
      <c r="AF2111" s="102">
        <f>'Cali FPS'!C160</f>
        <v>253.32999999999998</v>
      </c>
      <c r="AG2111" s="115"/>
      <c r="AH2111" s="406">
        <f t="shared" si="768"/>
        <v>72.5</v>
      </c>
      <c r="AI2111" s="406"/>
      <c r="AJ2111" s="406">
        <f t="shared" si="774"/>
        <v>489.61222222222221</v>
      </c>
      <c r="AK2111" s="1065">
        <f t="shared" si="769"/>
        <v>0.66233639846743286</v>
      </c>
      <c r="AL2111" s="406">
        <f>Table1[[#This Row],[WSP/Dealer]]/Table1[[#This Row],[OD Sq Inch]]</f>
        <v>0.30208333333333331</v>
      </c>
      <c r="AM2111" s="399">
        <f>Table1[[#This Row],[OD Wdth]]*Table1[[#This Row],[OD Hgt]]</f>
        <v>4800</v>
      </c>
      <c r="AN2111" s="400">
        <f>Table1[[#This Row],[Min VO]]+Table1[[#This Row],[Max VO]]</f>
        <v>140</v>
      </c>
      <c r="AO2111" s="115"/>
      <c r="AP2111" s="115"/>
      <c r="AQ2111" s="121"/>
      <c r="AR2111" s="121"/>
      <c r="AS2111" s="121"/>
      <c r="AT2111" s="104"/>
      <c r="AU2111" s="1359" t="str">
        <f t="shared" si="766"/>
        <v>-</v>
      </c>
    </row>
    <row r="2112" spans="1:47" s="361" customFormat="1" x14ac:dyDescent="0.2">
      <c r="A2112" s="101" t="s">
        <v>58</v>
      </c>
      <c r="B2112" s="1067" t="s">
        <v>121</v>
      </c>
      <c r="C2112" s="168" t="s">
        <v>4841</v>
      </c>
      <c r="D2112" s="94"/>
      <c r="E2112" s="625" t="s">
        <v>4839</v>
      </c>
      <c r="F2112" s="625" t="s">
        <v>448</v>
      </c>
      <c r="G2112" s="101" t="s">
        <v>1200</v>
      </c>
      <c r="H2112" s="101" t="s">
        <v>1208</v>
      </c>
      <c r="I2112" s="101" t="s">
        <v>52</v>
      </c>
      <c r="J2112" s="487" t="s">
        <v>53</v>
      </c>
      <c r="K2112" s="101" t="s">
        <v>82</v>
      </c>
      <c r="L2112" s="407" t="s">
        <v>83</v>
      </c>
      <c r="M2112" s="299">
        <v>1550</v>
      </c>
      <c r="N2112" s="114"/>
      <c r="O2112" s="400" t="s">
        <v>64</v>
      </c>
      <c r="P2112" s="400">
        <v>60</v>
      </c>
      <c r="Q2112" s="400">
        <v>80</v>
      </c>
      <c r="R2112" s="400">
        <v>60</v>
      </c>
      <c r="S2112" s="400">
        <v>80</v>
      </c>
      <c r="T2112" s="400">
        <v>62</v>
      </c>
      <c r="U2112" s="400">
        <v>82</v>
      </c>
      <c r="V2112" s="106">
        <f t="shared" si="770"/>
        <v>68</v>
      </c>
      <c r="W2112" s="106">
        <f t="shared" si="771"/>
        <v>88</v>
      </c>
      <c r="X2112" s="68">
        <v>122</v>
      </c>
      <c r="Y2112" s="101">
        <v>68</v>
      </c>
      <c r="Z2112" s="101">
        <v>88</v>
      </c>
      <c r="AA2112" s="1069">
        <f t="shared" si="763"/>
        <v>41.555555555555557</v>
      </c>
      <c r="AB2112" s="633">
        <f t="shared" si="773"/>
        <v>1176.0222222222224</v>
      </c>
      <c r="AC2112" s="406">
        <f t="shared" si="772"/>
        <v>27.426666666666669</v>
      </c>
      <c r="AD2112" s="405">
        <f>Table1[[#This Row],[Substrate SF]]*Materials!C$37</f>
        <v>116.35555555555555</v>
      </c>
      <c r="AE2112" s="406">
        <f>IF(Table1[[#This Row],[Work Center]]="SwissQ",Materials!G$37,IF(Table1[[#This Row],[Work Center]]="Inca",Materials!G$29,IF(Table1[[#This Row],[Work Center]]="Canon",Materials!G$49,Materials!G$45)))</f>
        <v>20</v>
      </c>
      <c r="AF2112" s="102">
        <f>'Cali Frames'!D169</f>
        <v>320.19749999999999</v>
      </c>
      <c r="AG2112" s="115"/>
      <c r="AH2112" s="405">
        <f t="shared" si="768"/>
        <v>77.5</v>
      </c>
      <c r="AI2112" s="405"/>
      <c r="AJ2112" s="406">
        <f t="shared" si="774"/>
        <v>561.47972222222222</v>
      </c>
      <c r="AK2112" s="1068">
        <f t="shared" si="769"/>
        <v>0.63775501792114697</v>
      </c>
      <c r="AL2112" s="406">
        <f>Table1[[#This Row],[WSP/Dealer]]/Table1[[#This Row],[OD Sq Inch]]</f>
        <v>0.3048780487804878</v>
      </c>
      <c r="AM2112" s="399">
        <f>Table1[[#This Row],[OD Wdth]]*Table1[[#This Row],[OD Hgt]]</f>
        <v>5084</v>
      </c>
      <c r="AN2112" s="400">
        <f>Table1[[#This Row],[Min VO]]+Table1[[#This Row],[Max VO]]</f>
        <v>140</v>
      </c>
      <c r="AO2112" s="115"/>
      <c r="AP2112" s="115"/>
      <c r="AQ2112" s="121"/>
      <c r="AR2112" s="121"/>
      <c r="AS2112" s="121"/>
      <c r="AT2112" s="104"/>
      <c r="AU2112" s="1359" t="str">
        <f t="shared" si="766"/>
        <v>-</v>
      </c>
    </row>
    <row r="2113" spans="1:47" s="309" customFormat="1" x14ac:dyDescent="0.2">
      <c r="A2113" s="68" t="s">
        <v>58</v>
      </c>
      <c r="B2113" s="1072" t="s">
        <v>121</v>
      </c>
      <c r="C2113" s="94" t="s">
        <v>4842</v>
      </c>
      <c r="D2113" s="94"/>
      <c r="E2113" s="627" t="s">
        <v>4839</v>
      </c>
      <c r="F2113" s="627" t="s">
        <v>448</v>
      </c>
      <c r="G2113" s="68" t="s">
        <v>1200</v>
      </c>
      <c r="H2113" s="68" t="s">
        <v>1208</v>
      </c>
      <c r="I2113" s="68" t="s">
        <v>52</v>
      </c>
      <c r="J2113" s="140" t="s">
        <v>53</v>
      </c>
      <c r="K2113" s="68" t="s">
        <v>82</v>
      </c>
      <c r="L2113" s="363" t="s">
        <v>298</v>
      </c>
      <c r="M2113" s="299">
        <v>1675</v>
      </c>
      <c r="N2113" s="114"/>
      <c r="O2113" s="274" t="s">
        <v>64</v>
      </c>
      <c r="P2113" s="274">
        <v>60</v>
      </c>
      <c r="Q2113" s="274">
        <v>80</v>
      </c>
      <c r="R2113" s="274">
        <v>60</v>
      </c>
      <c r="S2113" s="274">
        <v>80</v>
      </c>
      <c r="T2113" s="68">
        <v>62</v>
      </c>
      <c r="U2113" s="68">
        <v>82</v>
      </c>
      <c r="V2113" s="160">
        <f t="shared" si="770"/>
        <v>68</v>
      </c>
      <c r="W2113" s="160">
        <f t="shared" si="771"/>
        <v>88</v>
      </c>
      <c r="X2113" s="68">
        <v>122</v>
      </c>
      <c r="Y2113" s="68">
        <v>68</v>
      </c>
      <c r="Z2113" s="68">
        <v>88</v>
      </c>
      <c r="AA2113" s="952">
        <f t="shared" si="763"/>
        <v>41.555555555555557</v>
      </c>
      <c r="AB2113" s="341">
        <f t="shared" si="773"/>
        <v>1176.0222222222224</v>
      </c>
      <c r="AC2113" s="278">
        <f t="shared" si="772"/>
        <v>27.426666666666669</v>
      </c>
      <c r="AD2113" s="263">
        <f>Table1[[#This Row],[Substrate SF]]*Materials!C$37</f>
        <v>116.35555555555555</v>
      </c>
      <c r="AE2113" s="278">
        <f>IF(Table1[[#This Row],[Work Center]]="SwissQ",Materials!G$37,IF(Table1[[#This Row],[Work Center]]="Inca",Materials!G$29,IF(Table1[[#This Row],[Work Center]]="Canon",Materials!G$49,Materials!G$45)))</f>
        <v>20</v>
      </c>
      <c r="AF2113" s="73">
        <f>'Cali Frames'!D243</f>
        <v>360</v>
      </c>
      <c r="AG2113" s="115"/>
      <c r="AH2113" s="263">
        <f t="shared" si="768"/>
        <v>83.75</v>
      </c>
      <c r="AI2113" s="263"/>
      <c r="AJ2113" s="278">
        <f t="shared" si="774"/>
        <v>607.53222222222223</v>
      </c>
      <c r="AK2113" s="688">
        <f t="shared" si="769"/>
        <v>0.63729419568822565</v>
      </c>
      <c r="AL2113" s="278">
        <f>Table1[[#This Row],[WSP/Dealer]]/Table1[[#This Row],[OD Sq Inch]]</f>
        <v>0.32946498819826908</v>
      </c>
      <c r="AM2113" s="170">
        <f>Table1[[#This Row],[OD Wdth]]*Table1[[#This Row],[OD Hgt]]</f>
        <v>5084</v>
      </c>
      <c r="AN2113" s="274">
        <f>Table1[[#This Row],[Min VO]]+Table1[[#This Row],[Max VO]]</f>
        <v>140</v>
      </c>
      <c r="AO2113" s="115"/>
      <c r="AP2113" s="115"/>
      <c r="AQ2113" s="121"/>
      <c r="AR2113" s="121"/>
      <c r="AS2113" s="121"/>
      <c r="AT2113" s="104"/>
      <c r="AU2113" s="1359" t="str">
        <f t="shared" si="766"/>
        <v>-</v>
      </c>
    </row>
    <row r="2114" spans="1:47" s="309" customFormat="1" ht="16" x14ac:dyDescent="0.2">
      <c r="A2114" s="60" t="s">
        <v>58</v>
      </c>
      <c r="B2114" s="1061" t="s">
        <v>587</v>
      </c>
      <c r="C2114" s="293" t="s">
        <v>4843</v>
      </c>
      <c r="D2114" s="94"/>
      <c r="E2114" s="294" t="s">
        <v>4844</v>
      </c>
      <c r="F2114" s="294" t="s">
        <v>124</v>
      </c>
      <c r="G2114" s="295" t="s">
        <v>4636</v>
      </c>
      <c r="H2114" s="295" t="s">
        <v>4636</v>
      </c>
      <c r="I2114" s="181" t="s">
        <v>52</v>
      </c>
      <c r="J2114" s="181" t="s">
        <v>53</v>
      </c>
      <c r="K2114" s="295" t="s">
        <v>54</v>
      </c>
      <c r="L2114" s="181" t="s">
        <v>55</v>
      </c>
      <c r="M2114" s="292">
        <v>320</v>
      </c>
      <c r="N2114" s="639">
        <v>320</v>
      </c>
      <c r="O2114" s="180" t="s">
        <v>56</v>
      </c>
      <c r="P2114" s="173">
        <v>20</v>
      </c>
      <c r="Q2114" s="173">
        <v>26</v>
      </c>
      <c r="R2114" s="60">
        <v>20</v>
      </c>
      <c r="S2114" s="46">
        <v>26</v>
      </c>
      <c r="T2114" s="1777">
        <f>Table1[[#This Row],[VO Wdth]]</f>
        <v>20</v>
      </c>
      <c r="U2114" s="1777">
        <f>Table1[[#This Row],[VO Hgt]]</f>
        <v>26</v>
      </c>
      <c r="V2114" s="149">
        <f t="shared" si="770"/>
        <v>28</v>
      </c>
      <c r="W2114" s="149">
        <f t="shared" si="771"/>
        <v>34</v>
      </c>
      <c r="X2114" s="289" t="s">
        <v>3810</v>
      </c>
      <c r="Y2114" s="180"/>
      <c r="Z2114" s="180"/>
      <c r="AA2114" s="722">
        <f t="shared" si="763"/>
        <v>6.6111111111111107</v>
      </c>
      <c r="AB2114" s="125">
        <f t="shared" ref="AB2114:AB2123" si="775">AA2114*IncaG</f>
        <v>139.09777777777776</v>
      </c>
      <c r="AC2114" s="69">
        <f t="shared" si="772"/>
        <v>4.3633333333333333</v>
      </c>
      <c r="AD2114" s="48">
        <f t="shared" ref="AD2114:AD2123" si="776">AA2114*IncaC</f>
        <v>11.127822222222221</v>
      </c>
      <c r="AE2114" s="104">
        <f>IF(Table1[[#This Row],[Work Center]]="SwissQ",Materials!G$37,IF(Table1[[#This Row],[Work Center]]="Inca",Materials!G$29,IF(Table1[[#This Row],[Work Center]]="Canon",Materials!G$49,Materials!G$45)))</f>
        <v>8</v>
      </c>
      <c r="AF2114" s="296">
        <f>'Cali FPS'!C27</f>
        <v>58.800000000000004</v>
      </c>
      <c r="AG2114" s="83"/>
      <c r="AH2114" s="498">
        <f t="shared" si="768"/>
        <v>16</v>
      </c>
      <c r="AI2114" s="498"/>
      <c r="AJ2114" s="69">
        <f t="shared" si="774"/>
        <v>98.291155555555562</v>
      </c>
      <c r="AK2114" s="650">
        <f t="shared" si="769"/>
        <v>0.69284013888888885</v>
      </c>
      <c r="AL2114" s="225">
        <f>Table1[[#This Row],[WSP/Dealer]]/Table1[[#This Row],[OD Sq Inch]]</f>
        <v>0.61538461538461542</v>
      </c>
      <c r="AM2114" s="218">
        <f>Table1[[#This Row],[OD Wdth]]*Table1[[#This Row],[OD Hgt]]</f>
        <v>520</v>
      </c>
      <c r="AN2114" s="216">
        <f>Table1[[#This Row],[Min VO]]+Table1[[#This Row],[Max VO]]</f>
        <v>46</v>
      </c>
      <c r="AO2114" s="286"/>
      <c r="AP2114" s="284"/>
      <c r="AQ2114" s="296"/>
      <c r="AR2114" s="296"/>
      <c r="AS2114" s="296"/>
      <c r="AT2114" s="176"/>
      <c r="AU2114" s="1362" t="str">
        <f t="shared" si="766"/>
        <v>-</v>
      </c>
    </row>
    <row r="2115" spans="1:47" s="309" customFormat="1" ht="16" x14ac:dyDescent="0.2">
      <c r="A2115" s="60" t="s">
        <v>58</v>
      </c>
      <c r="B2115" s="1061" t="s">
        <v>587</v>
      </c>
      <c r="C2115" s="293" t="s">
        <v>4845</v>
      </c>
      <c r="D2115" s="94"/>
      <c r="E2115" s="294" t="s">
        <v>4846</v>
      </c>
      <c r="F2115" s="294" t="s">
        <v>124</v>
      </c>
      <c r="G2115" s="295" t="s">
        <v>2802</v>
      </c>
      <c r="H2115" s="295" t="s">
        <v>2802</v>
      </c>
      <c r="I2115" s="181" t="s">
        <v>52</v>
      </c>
      <c r="J2115" s="181" t="s">
        <v>53</v>
      </c>
      <c r="K2115" s="295" t="s">
        <v>54</v>
      </c>
      <c r="L2115" s="181" t="s">
        <v>55</v>
      </c>
      <c r="M2115" s="292">
        <v>825</v>
      </c>
      <c r="N2115" s="639">
        <v>825</v>
      </c>
      <c r="O2115" s="180" t="s">
        <v>56</v>
      </c>
      <c r="P2115" s="180">
        <v>40</v>
      </c>
      <c r="Q2115" s="180">
        <v>52</v>
      </c>
      <c r="R2115" s="60">
        <v>40</v>
      </c>
      <c r="S2115" s="60">
        <v>52</v>
      </c>
      <c r="T2115" s="698">
        <v>40</v>
      </c>
      <c r="U2115" s="698">
        <v>52</v>
      </c>
      <c r="V2115" s="913">
        <f t="shared" si="770"/>
        <v>48</v>
      </c>
      <c r="W2115" s="913">
        <f t="shared" si="771"/>
        <v>60</v>
      </c>
      <c r="X2115" s="289">
        <v>53</v>
      </c>
      <c r="Y2115" s="180"/>
      <c r="Z2115" s="180"/>
      <c r="AA2115" s="722">
        <f t="shared" si="763"/>
        <v>20</v>
      </c>
      <c r="AB2115" s="125">
        <f t="shared" si="775"/>
        <v>420.79999999999995</v>
      </c>
      <c r="AC2115" s="69">
        <f t="shared" si="772"/>
        <v>13.200000000000001</v>
      </c>
      <c r="AD2115" s="48">
        <f t="shared" si="776"/>
        <v>33.664000000000001</v>
      </c>
      <c r="AE2115" s="104">
        <f>IF(Table1[[#This Row],[Work Center]]="SwissQ",Materials!G$37,IF(Table1[[#This Row],[Work Center]]="Inca",Materials!G$29,IF(Table1[[#This Row],[Work Center]]="Canon",Materials!G$49,Materials!G$45)))</f>
        <v>8</v>
      </c>
      <c r="AF2115" s="296">
        <f>'Cali FPS'!C86</f>
        <v>107.53750000000001</v>
      </c>
      <c r="AG2115" s="83"/>
      <c r="AH2115" s="112">
        <f t="shared" si="768"/>
        <v>41.25</v>
      </c>
      <c r="AI2115" s="112"/>
      <c r="AJ2115" s="69">
        <f t="shared" si="774"/>
        <v>203.6515</v>
      </c>
      <c r="AK2115" s="62">
        <f t="shared" si="769"/>
        <v>0.75314969696969702</v>
      </c>
      <c r="AL2115" s="225">
        <f>Table1[[#This Row],[WSP/Dealer]]/Table1[[#This Row],[OD Sq Inch]]</f>
        <v>0.39663461538461536</v>
      </c>
      <c r="AM2115" s="218">
        <f>Table1[[#This Row],[OD Wdth]]*Table1[[#This Row],[OD Hgt]]</f>
        <v>2080</v>
      </c>
      <c r="AN2115" s="216">
        <f>Table1[[#This Row],[Min VO]]+Table1[[#This Row],[Max VO]]</f>
        <v>92</v>
      </c>
      <c r="AO2115" s="284"/>
      <c r="AP2115" s="284"/>
      <c r="AQ2115" s="296"/>
      <c r="AR2115" s="296"/>
      <c r="AS2115" s="296"/>
      <c r="AT2115" s="176"/>
      <c r="AU2115" s="1358" t="str">
        <f t="shared" si="766"/>
        <v>-</v>
      </c>
    </row>
    <row r="2116" spans="1:47" s="309" customFormat="1" ht="16" x14ac:dyDescent="0.2">
      <c r="A2116" s="60" t="s">
        <v>58</v>
      </c>
      <c r="B2116" s="1061" t="s">
        <v>587</v>
      </c>
      <c r="C2116" s="293" t="s">
        <v>4847</v>
      </c>
      <c r="D2116" s="94"/>
      <c r="E2116" s="294" t="s">
        <v>4848</v>
      </c>
      <c r="F2116" s="294" t="s">
        <v>124</v>
      </c>
      <c r="G2116" s="295" t="s">
        <v>4636</v>
      </c>
      <c r="H2116" s="295" t="s">
        <v>4636</v>
      </c>
      <c r="I2116" s="181" t="s">
        <v>52</v>
      </c>
      <c r="J2116" s="181" t="s">
        <v>53</v>
      </c>
      <c r="K2116" s="295" t="s">
        <v>54</v>
      </c>
      <c r="L2116" s="181" t="s">
        <v>55</v>
      </c>
      <c r="M2116" s="292">
        <v>320</v>
      </c>
      <c r="N2116" s="639">
        <v>320</v>
      </c>
      <c r="O2116" s="180" t="s">
        <v>56</v>
      </c>
      <c r="P2116" s="180">
        <v>20</v>
      </c>
      <c r="Q2116" s="180">
        <v>26</v>
      </c>
      <c r="R2116" s="60">
        <v>20</v>
      </c>
      <c r="S2116" s="60">
        <v>26</v>
      </c>
      <c r="T2116" s="698">
        <f>Table1[[#This Row],[VO Wdth]]</f>
        <v>20</v>
      </c>
      <c r="U2116" s="698">
        <f>Table1[[#This Row],[VO Hgt]]</f>
        <v>26</v>
      </c>
      <c r="V2116" s="913">
        <f t="shared" si="770"/>
        <v>28</v>
      </c>
      <c r="W2116" s="913">
        <f t="shared" si="771"/>
        <v>34</v>
      </c>
      <c r="X2116" s="289" t="s">
        <v>3810</v>
      </c>
      <c r="Y2116" s="180"/>
      <c r="Z2116" s="180"/>
      <c r="AA2116" s="722">
        <f t="shared" si="763"/>
        <v>6.6111111111111107</v>
      </c>
      <c r="AB2116" s="125">
        <f t="shared" si="775"/>
        <v>139.09777777777776</v>
      </c>
      <c r="AC2116" s="69">
        <f t="shared" si="772"/>
        <v>4.3633333333333333</v>
      </c>
      <c r="AD2116" s="48">
        <f t="shared" si="776"/>
        <v>11.127822222222221</v>
      </c>
      <c r="AE2116" s="104">
        <f>IF(Table1[[#This Row],[Work Center]]="SwissQ",Materials!G$37,IF(Table1[[#This Row],[Work Center]]="Inca",Materials!G$29,IF(Table1[[#This Row],[Work Center]]="Canon",Materials!G$49,Materials!G$45)))</f>
        <v>8</v>
      </c>
      <c r="AF2116" s="296">
        <f>'Cali FPS'!C27</f>
        <v>58.800000000000004</v>
      </c>
      <c r="AG2116" s="83"/>
      <c r="AH2116" s="498">
        <f t="shared" si="768"/>
        <v>16</v>
      </c>
      <c r="AI2116" s="498"/>
      <c r="AJ2116" s="69">
        <f t="shared" si="774"/>
        <v>98.291155555555562</v>
      </c>
      <c r="AK2116" s="650">
        <f t="shared" si="769"/>
        <v>0.69284013888888885</v>
      </c>
      <c r="AL2116" s="225">
        <f>Table1[[#This Row],[WSP/Dealer]]/Table1[[#This Row],[OD Sq Inch]]</f>
        <v>0.61538461538461542</v>
      </c>
      <c r="AM2116" s="46">
        <f>Table1[[#This Row],[OD Wdth]]*Table1[[#This Row],[OD Hgt]]</f>
        <v>520</v>
      </c>
      <c r="AN2116" s="216">
        <f>Table1[[#This Row],[Min VO]]+Table1[[#This Row],[Max VO]]</f>
        <v>46</v>
      </c>
      <c r="AO2116" s="284"/>
      <c r="AP2116" s="284"/>
      <c r="AQ2116" s="296"/>
      <c r="AR2116" s="296"/>
      <c r="AS2116" s="296"/>
      <c r="AT2116" s="176"/>
      <c r="AU2116" s="1358" t="str">
        <f t="shared" si="766"/>
        <v>-</v>
      </c>
    </row>
    <row r="2117" spans="1:47" s="309" customFormat="1" ht="16" x14ac:dyDescent="0.2">
      <c r="A2117" s="60" t="s">
        <v>58</v>
      </c>
      <c r="B2117" s="1061" t="s">
        <v>587</v>
      </c>
      <c r="C2117" s="293" t="s">
        <v>4849</v>
      </c>
      <c r="D2117" s="94"/>
      <c r="E2117" s="294" t="s">
        <v>4850</v>
      </c>
      <c r="F2117" s="294" t="s">
        <v>124</v>
      </c>
      <c r="G2117" s="295" t="s">
        <v>2802</v>
      </c>
      <c r="H2117" s="295" t="s">
        <v>2802</v>
      </c>
      <c r="I2117" s="181" t="s">
        <v>52</v>
      </c>
      <c r="J2117" s="181" t="s">
        <v>53</v>
      </c>
      <c r="K2117" s="295" t="s">
        <v>54</v>
      </c>
      <c r="L2117" s="181" t="s">
        <v>55</v>
      </c>
      <c r="M2117" s="292">
        <v>825</v>
      </c>
      <c r="N2117" s="639">
        <v>825</v>
      </c>
      <c r="O2117" s="180" t="s">
        <v>56</v>
      </c>
      <c r="P2117" s="180">
        <v>40</v>
      </c>
      <c r="Q2117" s="180">
        <v>52</v>
      </c>
      <c r="R2117" s="60">
        <v>40</v>
      </c>
      <c r="S2117" s="60">
        <v>52</v>
      </c>
      <c r="T2117" s="698">
        <f>Table1[[#This Row],[VO Wdth]]</f>
        <v>40</v>
      </c>
      <c r="U2117" s="698">
        <f>Table1[[#This Row],[VO Hgt]]</f>
        <v>52</v>
      </c>
      <c r="V2117" s="913">
        <f t="shared" si="770"/>
        <v>48</v>
      </c>
      <c r="W2117" s="913">
        <f t="shared" si="771"/>
        <v>60</v>
      </c>
      <c r="X2117" s="289">
        <v>53</v>
      </c>
      <c r="Y2117" s="180"/>
      <c r="Z2117" s="180"/>
      <c r="AA2117" s="722">
        <f t="shared" si="763"/>
        <v>20</v>
      </c>
      <c r="AB2117" s="125">
        <f t="shared" si="775"/>
        <v>420.79999999999995</v>
      </c>
      <c r="AC2117" s="69">
        <f t="shared" si="772"/>
        <v>13.200000000000001</v>
      </c>
      <c r="AD2117" s="48">
        <f t="shared" si="776"/>
        <v>33.664000000000001</v>
      </c>
      <c r="AE2117" s="104">
        <f>IF(Table1[[#This Row],[Work Center]]="SwissQ",Materials!G$37,IF(Table1[[#This Row],[Work Center]]="Inca",Materials!G$29,IF(Table1[[#This Row],[Work Center]]="Canon",Materials!G$49,Materials!G$45)))</f>
        <v>8</v>
      </c>
      <c r="AF2117" s="296">
        <f>'Cali FPS'!C86</f>
        <v>107.53750000000001</v>
      </c>
      <c r="AG2117" s="83"/>
      <c r="AH2117" s="498">
        <f t="shared" si="768"/>
        <v>41.25</v>
      </c>
      <c r="AI2117" s="498"/>
      <c r="AJ2117" s="69">
        <f t="shared" si="774"/>
        <v>203.6515</v>
      </c>
      <c r="AK2117" s="650">
        <f t="shared" si="769"/>
        <v>0.75314969696969702</v>
      </c>
      <c r="AL2117" s="225">
        <f>Table1[[#This Row],[WSP/Dealer]]/Table1[[#This Row],[OD Sq Inch]]</f>
        <v>0.39663461538461536</v>
      </c>
      <c r="AM2117" s="46">
        <f>Table1[[#This Row],[OD Wdth]]*Table1[[#This Row],[OD Hgt]]</f>
        <v>2080</v>
      </c>
      <c r="AN2117" s="216">
        <f>Table1[[#This Row],[Min VO]]+Table1[[#This Row],[Max VO]]</f>
        <v>92</v>
      </c>
      <c r="AO2117" s="284"/>
      <c r="AP2117" s="284"/>
      <c r="AQ2117" s="296"/>
      <c r="AR2117" s="296"/>
      <c r="AS2117" s="296"/>
      <c r="AT2117" s="176"/>
      <c r="AU2117" s="1358" t="str">
        <f t="shared" si="766"/>
        <v>-</v>
      </c>
    </row>
    <row r="2118" spans="1:47" s="1054" customFormat="1" x14ac:dyDescent="0.2">
      <c r="A2118" s="86" t="s">
        <v>58</v>
      </c>
      <c r="B2118" s="1061" t="s">
        <v>146</v>
      </c>
      <c r="C2118" s="75" t="s">
        <v>4851</v>
      </c>
      <c r="D2118" s="94" t="s">
        <v>4852</v>
      </c>
      <c r="E2118" s="85" t="s">
        <v>4853</v>
      </c>
      <c r="F2118" s="85" t="s">
        <v>1738</v>
      </c>
      <c r="G2118" s="86" t="s">
        <v>449</v>
      </c>
      <c r="H2118" s="86" t="s">
        <v>1619</v>
      </c>
      <c r="I2118" s="86" t="s">
        <v>52</v>
      </c>
      <c r="J2118" s="86" t="s">
        <v>53</v>
      </c>
      <c r="K2118" s="86" t="s">
        <v>54</v>
      </c>
      <c r="L2118" s="86" t="s">
        <v>55</v>
      </c>
      <c r="M2118" s="87">
        <v>580</v>
      </c>
      <c r="N2118" s="639">
        <v>580</v>
      </c>
      <c r="O2118" s="60" t="s">
        <v>56</v>
      </c>
      <c r="P2118" s="273">
        <v>36</v>
      </c>
      <c r="Q2118" s="273">
        <v>36</v>
      </c>
      <c r="R2118" s="60">
        <v>36</v>
      </c>
      <c r="S2118" s="273">
        <v>36</v>
      </c>
      <c r="T2118" s="273">
        <f>Table1[[#This Row],[VO Wdth]]</f>
        <v>36</v>
      </c>
      <c r="U2118" s="273">
        <f>Table1[[#This Row],[VO Hgt]]</f>
        <v>36</v>
      </c>
      <c r="V2118" s="946">
        <f t="shared" ref="V2118:V2123" si="777">IF(J2118="Canvas",P2118+BorderGW,P2118)</f>
        <v>44</v>
      </c>
      <c r="W2118" s="946">
        <f t="shared" ref="W2118:W2123" si="778">IF(J2118="Canvas",Q2118+BorderGW,Q2118)</f>
        <v>44</v>
      </c>
      <c r="X2118" s="138">
        <v>53</v>
      </c>
      <c r="Y2118" s="60"/>
      <c r="Z2118" s="60"/>
      <c r="AA2118" s="717">
        <f t="shared" si="763"/>
        <v>13.444444444444445</v>
      </c>
      <c r="AB2118" s="125">
        <f t="shared" si="775"/>
        <v>282.87111111111108</v>
      </c>
      <c r="AC2118" s="69">
        <f t="shared" si="772"/>
        <v>8.8733333333333331</v>
      </c>
      <c r="AD2118" s="69">
        <f t="shared" si="776"/>
        <v>22.629688888888889</v>
      </c>
      <c r="AE2118" s="104">
        <f>IF(Table1[[#This Row],[Work Center]]="SwissQ",Materials!G$37,IF(Table1[[#This Row],[Work Center]]="Inca",Materials!G$29,IF(Table1[[#This Row],[Work Center]]="Canon",Materials!G$49,Materials!G$45)))</f>
        <v>8</v>
      </c>
      <c r="AF2118" s="72">
        <f>'Cali FPS'!C67</f>
        <v>83.46</v>
      </c>
      <c r="AG2118" s="115"/>
      <c r="AH2118" s="112">
        <f t="shared" si="768"/>
        <v>29</v>
      </c>
      <c r="AI2118" s="112"/>
      <c r="AJ2118" s="69">
        <f t="shared" si="774"/>
        <v>151.96302222222221</v>
      </c>
      <c r="AK2118" s="62">
        <f t="shared" si="769"/>
        <v>0.73799478927203066</v>
      </c>
      <c r="AL2118" s="225">
        <f>Table1[[#This Row],[WSP/Dealer]]/Table1[[#This Row],[OD Sq Inch]]</f>
        <v>0.44753086419753085</v>
      </c>
      <c r="AM2118" s="103">
        <f>Table1[[#This Row],[OD Wdth]]*Table1[[#This Row],[OD Hgt]]</f>
        <v>1296</v>
      </c>
      <c r="AN2118" s="216">
        <f>Table1[[#This Row],[Min VO]]+Table1[[#This Row],[Max VO]]</f>
        <v>72</v>
      </c>
      <c r="AO2118" s="101"/>
      <c r="AP2118" s="101"/>
      <c r="AQ2118" s="104"/>
      <c r="AR2118" s="104"/>
      <c r="AS2118" s="104"/>
      <c r="AT2118" s="104"/>
      <c r="AU2118" s="830" t="str">
        <f t="shared" si="766"/>
        <v>-</v>
      </c>
    </row>
    <row r="2119" spans="1:47" s="309" customFormat="1" x14ac:dyDescent="0.2">
      <c r="A2119" s="86" t="s">
        <v>58</v>
      </c>
      <c r="B2119" s="279" t="s">
        <v>146</v>
      </c>
      <c r="C2119" s="76" t="s">
        <v>4854</v>
      </c>
      <c r="D2119" s="94" t="s">
        <v>4855</v>
      </c>
      <c r="E2119" s="85" t="s">
        <v>4853</v>
      </c>
      <c r="F2119" s="85" t="s">
        <v>1738</v>
      </c>
      <c r="G2119" s="86" t="s">
        <v>449</v>
      </c>
      <c r="H2119" s="86" t="s">
        <v>1619</v>
      </c>
      <c r="I2119" s="86" t="s">
        <v>52</v>
      </c>
      <c r="J2119" s="86" t="s">
        <v>53</v>
      </c>
      <c r="K2119" s="86" t="s">
        <v>69</v>
      </c>
      <c r="L2119" s="86" t="s">
        <v>70</v>
      </c>
      <c r="M2119" s="87">
        <f>580+90</f>
        <v>670</v>
      </c>
      <c r="N2119" s="639">
        <v>700</v>
      </c>
      <c r="O2119" s="60" t="s">
        <v>56</v>
      </c>
      <c r="P2119" s="273">
        <v>36</v>
      </c>
      <c r="Q2119" s="273">
        <v>36</v>
      </c>
      <c r="R2119" s="60">
        <v>36</v>
      </c>
      <c r="S2119" s="273">
        <v>36</v>
      </c>
      <c r="T2119" s="60">
        <v>37</v>
      </c>
      <c r="U2119" s="273" t="str">
        <f>RIGHT(Table1[[#This Row],[OD]],2)</f>
        <v>37</v>
      </c>
      <c r="V2119" s="946">
        <f t="shared" si="777"/>
        <v>44</v>
      </c>
      <c r="W2119" s="946">
        <f t="shared" si="778"/>
        <v>44</v>
      </c>
      <c r="X2119" s="138">
        <v>53</v>
      </c>
      <c r="Y2119" s="60"/>
      <c r="Z2119" s="60"/>
      <c r="AA2119" s="717">
        <f t="shared" si="763"/>
        <v>13.444444444444445</v>
      </c>
      <c r="AB2119" s="125">
        <f t="shared" si="775"/>
        <v>282.87111111111108</v>
      </c>
      <c r="AC2119" s="69">
        <f t="shared" si="772"/>
        <v>8.8733333333333331</v>
      </c>
      <c r="AD2119" s="69">
        <f t="shared" si="776"/>
        <v>22.629688888888889</v>
      </c>
      <c r="AE2119" s="104">
        <f>IF(Table1[[#This Row],[Work Center]]="SwissQ",Materials!G$37,IF(Table1[[#This Row],[Work Center]]="Inca",Materials!G$29,IF(Table1[[#This Row],[Work Center]]="Canon",Materials!G$49,Materials!G$45)))</f>
        <v>8</v>
      </c>
      <c r="AF2119" s="69"/>
      <c r="AG2119" s="115"/>
      <c r="AH2119" s="498">
        <f t="shared" si="768"/>
        <v>33.5</v>
      </c>
      <c r="AI2119" s="498"/>
      <c r="AJ2119" s="69">
        <f t="shared" si="774"/>
        <v>73.003022222222228</v>
      </c>
      <c r="AK2119" s="650">
        <f t="shared" si="769"/>
        <v>0.89104026533996694</v>
      </c>
      <c r="AL2119" s="225">
        <f>Table1[[#This Row],[WSP/Dealer]]/Table1[[#This Row],[OD Sq Inch]]</f>
        <v>0.48940832724616506</v>
      </c>
      <c r="AM2119" s="101">
        <f>Table1[[#This Row],[OD Wdth]]*Table1[[#This Row],[OD Hgt]]</f>
        <v>1369</v>
      </c>
      <c r="AN2119" s="216">
        <f>Table1[[#This Row],[Min VO]]+Table1[[#This Row],[Max VO]]</f>
        <v>72</v>
      </c>
      <c r="AO2119" s="101"/>
      <c r="AP2119" s="101"/>
      <c r="AQ2119" s="104"/>
      <c r="AR2119" s="104"/>
      <c r="AS2119" s="104"/>
      <c r="AT2119" s="104"/>
      <c r="AU2119" s="830" t="str">
        <f t="shared" si="766"/>
        <v>-</v>
      </c>
    </row>
    <row r="2120" spans="1:47" s="309" customFormat="1" x14ac:dyDescent="0.2">
      <c r="A2120" s="86" t="s">
        <v>58</v>
      </c>
      <c r="B2120" s="1061" t="s">
        <v>146</v>
      </c>
      <c r="C2120" s="75" t="s">
        <v>4856</v>
      </c>
      <c r="D2120" s="94" t="s">
        <v>4857</v>
      </c>
      <c r="E2120" s="85" t="s">
        <v>4853</v>
      </c>
      <c r="F2120" s="85" t="s">
        <v>1738</v>
      </c>
      <c r="G2120" s="86" t="s">
        <v>449</v>
      </c>
      <c r="H2120" s="86" t="s">
        <v>1619</v>
      </c>
      <c r="I2120" s="86" t="s">
        <v>52</v>
      </c>
      <c r="J2120" s="86" t="s">
        <v>53</v>
      </c>
      <c r="K2120" s="86" t="s">
        <v>69</v>
      </c>
      <c r="L2120" s="86" t="s">
        <v>73</v>
      </c>
      <c r="M2120" s="87">
        <f>580+135</f>
        <v>715</v>
      </c>
      <c r="N2120" s="639">
        <v>715</v>
      </c>
      <c r="O2120" s="60" t="s">
        <v>56</v>
      </c>
      <c r="P2120" s="273">
        <v>36</v>
      </c>
      <c r="Q2120" s="273">
        <v>36</v>
      </c>
      <c r="R2120" s="60">
        <v>36</v>
      </c>
      <c r="S2120" s="273">
        <v>36</v>
      </c>
      <c r="T2120" s="60">
        <v>37</v>
      </c>
      <c r="U2120" s="273">
        <v>37</v>
      </c>
      <c r="V2120" s="946">
        <f t="shared" si="777"/>
        <v>44</v>
      </c>
      <c r="W2120" s="946">
        <f t="shared" si="778"/>
        <v>44</v>
      </c>
      <c r="X2120" s="138">
        <v>53</v>
      </c>
      <c r="Y2120" s="60"/>
      <c r="Z2120" s="60"/>
      <c r="AA2120" s="717">
        <f t="shared" si="763"/>
        <v>13.444444444444445</v>
      </c>
      <c r="AB2120" s="125">
        <f t="shared" si="775"/>
        <v>282.87111111111108</v>
      </c>
      <c r="AC2120" s="69">
        <f t="shared" si="772"/>
        <v>8.8733333333333331</v>
      </c>
      <c r="AD2120" s="69">
        <f t="shared" si="776"/>
        <v>22.629688888888889</v>
      </c>
      <c r="AE2120" s="104">
        <f>IF(Table1[[#This Row],[Work Center]]="SwissQ",Materials!G$37,IF(Table1[[#This Row],[Work Center]]="Inca",Materials!G$29,IF(Table1[[#This Row],[Work Center]]="Canon",Materials!G$49,Materials!G$45)))</f>
        <v>8</v>
      </c>
      <c r="AF2120" s="69"/>
      <c r="AG2120" s="115"/>
      <c r="AH2120" s="498">
        <f t="shared" si="768"/>
        <v>35.75</v>
      </c>
      <c r="AI2120" s="498"/>
      <c r="AJ2120" s="69">
        <f t="shared" si="774"/>
        <v>75.253022222222228</v>
      </c>
      <c r="AK2120" s="650">
        <f t="shared" si="769"/>
        <v>0.89475101787101796</v>
      </c>
      <c r="AL2120" s="225">
        <f>Table1[[#This Row],[WSP/Dealer]]/Table1[[#This Row],[OD Sq Inch]]</f>
        <v>0.52227903579254931</v>
      </c>
      <c r="AM2120" s="218">
        <f>Table1[[#This Row],[OD Wdth]]*Table1[[#This Row],[OD Hgt]]</f>
        <v>1369</v>
      </c>
      <c r="AN2120" s="216">
        <f>Table1[[#This Row],[Min VO]]+Table1[[#This Row],[Max VO]]</f>
        <v>72</v>
      </c>
      <c r="AO2120" s="101"/>
      <c r="AP2120" s="101"/>
      <c r="AQ2120" s="104"/>
      <c r="AR2120" s="104"/>
      <c r="AS2120" s="104"/>
      <c r="AT2120" s="104"/>
      <c r="AU2120" s="830" t="str">
        <f t="shared" si="766"/>
        <v>-</v>
      </c>
    </row>
    <row r="2121" spans="1:47" s="361" customFormat="1" x14ac:dyDescent="0.2">
      <c r="A2121" s="86" t="s">
        <v>58</v>
      </c>
      <c r="B2121" s="279" t="s">
        <v>450</v>
      </c>
      <c r="C2121" s="75" t="s">
        <v>4858</v>
      </c>
      <c r="D2121" s="94" t="s">
        <v>4859</v>
      </c>
      <c r="E2121" s="85" t="s">
        <v>4860</v>
      </c>
      <c r="F2121" s="85" t="s">
        <v>1738</v>
      </c>
      <c r="G2121" s="86" t="s">
        <v>115</v>
      </c>
      <c r="H2121" s="86" t="s">
        <v>115</v>
      </c>
      <c r="I2121" s="86" t="s">
        <v>52</v>
      </c>
      <c r="J2121" s="86" t="s">
        <v>53</v>
      </c>
      <c r="K2121" s="86" t="s">
        <v>54</v>
      </c>
      <c r="L2121" s="86" t="s">
        <v>55</v>
      </c>
      <c r="M2121" s="87">
        <v>750</v>
      </c>
      <c r="N2121" s="639">
        <v>830</v>
      </c>
      <c r="O2121" s="101" t="s">
        <v>56</v>
      </c>
      <c r="P2121" s="273">
        <v>48</v>
      </c>
      <c r="Q2121" s="273">
        <v>48</v>
      </c>
      <c r="R2121" s="60">
        <v>48</v>
      </c>
      <c r="S2121" s="273">
        <v>48</v>
      </c>
      <c r="T2121" s="273">
        <f>Table1[[#This Row],[VO Wdth]]</f>
        <v>48</v>
      </c>
      <c r="U2121" s="273">
        <f>Table1[[#This Row],[VO Hgt]]</f>
        <v>48</v>
      </c>
      <c r="V2121" s="106">
        <f t="shared" si="777"/>
        <v>56</v>
      </c>
      <c r="W2121" s="106">
        <f t="shared" si="778"/>
        <v>56</v>
      </c>
      <c r="X2121" s="137">
        <v>59</v>
      </c>
      <c r="Y2121" s="101"/>
      <c r="Z2121" s="101"/>
      <c r="AA2121" s="649">
        <f t="shared" si="763"/>
        <v>21.777777777777779</v>
      </c>
      <c r="AB2121" s="184">
        <f t="shared" si="775"/>
        <v>458.20444444444445</v>
      </c>
      <c r="AC2121" s="104">
        <f t="shared" si="772"/>
        <v>14.373333333333335</v>
      </c>
      <c r="AD2121" s="107">
        <f t="shared" si="776"/>
        <v>36.656355555555557</v>
      </c>
      <c r="AE2121" s="104">
        <f>IF(Table1[[#This Row],[Work Center]]="SwissQ",Materials!G$37,IF(Table1[[#This Row],[Work Center]]="Inca",Materials!G$29,IF(Table1[[#This Row],[Work Center]]="Canon",Materials!G$49,Materials!G$45)))</f>
        <v>8</v>
      </c>
      <c r="AF2121" s="104">
        <f>'Cali FPS'!C$117</f>
        <v>119.7</v>
      </c>
      <c r="AG2121" s="115"/>
      <c r="AH2121" s="112">
        <f t="shared" si="768"/>
        <v>37.5</v>
      </c>
      <c r="AI2121" s="112"/>
      <c r="AJ2121" s="104">
        <f t="shared" si="774"/>
        <v>216.22968888888889</v>
      </c>
      <c r="AK2121" s="62">
        <f t="shared" si="769"/>
        <v>0.71169374814814823</v>
      </c>
      <c r="AL2121" s="225">
        <f>Table1[[#This Row],[WSP/Dealer]]/Table1[[#This Row],[OD Sq Inch]]</f>
        <v>0.32552083333333331</v>
      </c>
      <c r="AM2121" s="97">
        <f>Table1[[#This Row],[OD Wdth]]*Table1[[#This Row],[OD Hgt]]</f>
        <v>2304</v>
      </c>
      <c r="AN2121" s="216">
        <f>Table1[[#This Row],[Min VO]]+Table1[[#This Row],[Max VO]]</f>
        <v>96</v>
      </c>
      <c r="AO2121" s="101"/>
      <c r="AP2121" s="101"/>
      <c r="AQ2121" s="104"/>
      <c r="AR2121" s="104"/>
      <c r="AS2121" s="104"/>
      <c r="AT2121" s="104"/>
      <c r="AU2121" s="830" t="str">
        <f t="shared" si="766"/>
        <v>-</v>
      </c>
    </row>
    <row r="2122" spans="1:47" s="309" customFormat="1" x14ac:dyDescent="0.2">
      <c r="A2122" s="86" t="s">
        <v>58</v>
      </c>
      <c r="B2122" s="1061" t="s">
        <v>159</v>
      </c>
      <c r="C2122" s="75" t="s">
        <v>4861</v>
      </c>
      <c r="D2122" s="94" t="s">
        <v>4862</v>
      </c>
      <c r="E2122" s="85" t="s">
        <v>4860</v>
      </c>
      <c r="F2122" s="85" t="s">
        <v>1738</v>
      </c>
      <c r="G2122" s="86" t="s">
        <v>115</v>
      </c>
      <c r="H2122" s="86" t="s">
        <v>145</v>
      </c>
      <c r="I2122" s="86" t="s">
        <v>52</v>
      </c>
      <c r="J2122" s="86" t="s">
        <v>53</v>
      </c>
      <c r="K2122" s="86" t="s">
        <v>69</v>
      </c>
      <c r="L2122" s="86" t="s">
        <v>70</v>
      </c>
      <c r="M2122" s="87">
        <v>890</v>
      </c>
      <c r="N2122" s="639">
        <v>950</v>
      </c>
      <c r="O2122" s="60" t="s">
        <v>56</v>
      </c>
      <c r="P2122" s="273">
        <v>48</v>
      </c>
      <c r="Q2122" s="273">
        <v>48</v>
      </c>
      <c r="R2122" s="60">
        <v>48</v>
      </c>
      <c r="S2122" s="273">
        <v>48</v>
      </c>
      <c r="T2122" s="60">
        <f>P2122</f>
        <v>48</v>
      </c>
      <c r="U2122" s="273" t="str">
        <f>RIGHT(Table1[[#This Row],[OD]],2)</f>
        <v>49</v>
      </c>
      <c r="V2122" s="47">
        <f t="shared" si="777"/>
        <v>56</v>
      </c>
      <c r="W2122" s="47">
        <f t="shared" si="778"/>
        <v>56</v>
      </c>
      <c r="X2122" s="138">
        <v>59</v>
      </c>
      <c r="Y2122" s="60"/>
      <c r="Z2122" s="60"/>
      <c r="AA2122" s="717">
        <f t="shared" si="763"/>
        <v>21.777777777777779</v>
      </c>
      <c r="AB2122" s="125">
        <f t="shared" si="775"/>
        <v>458.20444444444445</v>
      </c>
      <c r="AC2122" s="69">
        <f t="shared" si="772"/>
        <v>14.373333333333335</v>
      </c>
      <c r="AD2122" s="48">
        <f t="shared" si="776"/>
        <v>36.656355555555557</v>
      </c>
      <c r="AE2122" s="104">
        <f>IF(Table1[[#This Row],[Work Center]]="SwissQ",Materials!G$37,IF(Table1[[#This Row],[Work Center]]="Inca",Materials!G$29,IF(Table1[[#This Row],[Work Center]]="Canon",Materials!G$49,Materials!G$45)))</f>
        <v>8</v>
      </c>
      <c r="AF2122" s="69"/>
      <c r="AG2122" s="115"/>
      <c r="AH2122" s="498">
        <f t="shared" si="768"/>
        <v>44.5</v>
      </c>
      <c r="AI2122" s="498"/>
      <c r="AJ2122" s="69">
        <f t="shared" si="774"/>
        <v>103.5296888888889</v>
      </c>
      <c r="AK2122" s="650">
        <f t="shared" si="769"/>
        <v>0.88367450686641691</v>
      </c>
      <c r="AL2122" s="225">
        <f>Table1[[#This Row],[WSP/Dealer]]/Table1[[#This Row],[OD Sq Inch]]</f>
        <v>0.37840136054421769</v>
      </c>
      <c r="AM2122" s="97">
        <f>Table1[[#This Row],[OD Wdth]]*Table1[[#This Row],[OD Hgt]]</f>
        <v>2352</v>
      </c>
      <c r="AN2122" s="216">
        <f>Table1[[#This Row],[Min VO]]+Table1[[#This Row],[Max VO]]</f>
        <v>96</v>
      </c>
      <c r="AO2122" s="103"/>
      <c r="AP2122" s="101"/>
      <c r="AQ2122" s="104"/>
      <c r="AR2122" s="104"/>
      <c r="AS2122" s="104"/>
      <c r="AT2122" s="104"/>
      <c r="AU2122" s="108" t="str">
        <f t="shared" si="766"/>
        <v>-</v>
      </c>
    </row>
    <row r="2123" spans="1:47" s="309" customFormat="1" x14ac:dyDescent="0.2">
      <c r="A2123" s="86" t="s">
        <v>58</v>
      </c>
      <c r="B2123" s="1061" t="s">
        <v>159</v>
      </c>
      <c r="C2123" s="75" t="s">
        <v>4863</v>
      </c>
      <c r="D2123" s="94" t="s">
        <v>4864</v>
      </c>
      <c r="E2123" s="85" t="s">
        <v>4860</v>
      </c>
      <c r="F2123" s="85" t="s">
        <v>1738</v>
      </c>
      <c r="G2123" s="86" t="s">
        <v>115</v>
      </c>
      <c r="H2123" s="86" t="s">
        <v>145</v>
      </c>
      <c r="I2123" s="86" t="s">
        <v>52</v>
      </c>
      <c r="J2123" s="86" t="s">
        <v>53</v>
      </c>
      <c r="K2123" s="86" t="s">
        <v>69</v>
      </c>
      <c r="L2123" s="86" t="s">
        <v>73</v>
      </c>
      <c r="M2123" s="87">
        <v>950</v>
      </c>
      <c r="N2123" s="639">
        <v>970</v>
      </c>
      <c r="O2123" s="60" t="s">
        <v>56</v>
      </c>
      <c r="P2123" s="273">
        <v>48</v>
      </c>
      <c r="Q2123" s="273">
        <v>48</v>
      </c>
      <c r="R2123" s="60">
        <v>48</v>
      </c>
      <c r="S2123" s="273">
        <v>48</v>
      </c>
      <c r="T2123" s="60">
        <v>49</v>
      </c>
      <c r="U2123" s="273" t="str">
        <f>RIGHT(Table1[[#This Row],[OD]],2)</f>
        <v>49</v>
      </c>
      <c r="V2123" s="47">
        <f t="shared" si="777"/>
        <v>56</v>
      </c>
      <c r="W2123" s="47">
        <f t="shared" si="778"/>
        <v>56</v>
      </c>
      <c r="X2123" s="138">
        <v>59</v>
      </c>
      <c r="Y2123" s="60"/>
      <c r="Z2123" s="60"/>
      <c r="AA2123" s="717">
        <f t="shared" si="763"/>
        <v>21.777777777777779</v>
      </c>
      <c r="AB2123" s="125">
        <f t="shared" si="775"/>
        <v>458.20444444444445</v>
      </c>
      <c r="AC2123" s="69">
        <f t="shared" si="772"/>
        <v>14.373333333333335</v>
      </c>
      <c r="AD2123" s="48">
        <f t="shared" si="776"/>
        <v>36.656355555555557</v>
      </c>
      <c r="AE2123" s="104">
        <f>IF(Table1[[#This Row],[Work Center]]="SwissQ",Materials!G$37,IF(Table1[[#This Row],[Work Center]]="Inca",Materials!G$29,IF(Table1[[#This Row],[Work Center]]="Canon",Materials!G$49,Materials!G$45)))</f>
        <v>8</v>
      </c>
      <c r="AF2123" s="69"/>
      <c r="AG2123" s="115"/>
      <c r="AH2123" s="112">
        <f t="shared" si="768"/>
        <v>47.5</v>
      </c>
      <c r="AI2123" s="112"/>
      <c r="AJ2123" s="69">
        <f t="shared" si="774"/>
        <v>106.5296888888889</v>
      </c>
      <c r="AK2123" s="62">
        <f t="shared" si="769"/>
        <v>0.88786348538011695</v>
      </c>
      <c r="AL2123" s="225">
        <f>Table1[[#This Row],[WSP/Dealer]]/Table1[[#This Row],[OD Sq Inch]]</f>
        <v>0.39566847147022072</v>
      </c>
      <c r="AM2123" s="97">
        <f>Table1[[#This Row],[OD Wdth]]*Table1[[#This Row],[OD Hgt]]</f>
        <v>2401</v>
      </c>
      <c r="AN2123" s="216">
        <f>Table1[[#This Row],[Min VO]]+Table1[[#This Row],[Max VO]]</f>
        <v>96</v>
      </c>
      <c r="AO2123" s="101"/>
      <c r="AP2123" s="101"/>
      <c r="AQ2123" s="104"/>
      <c r="AR2123" s="104"/>
      <c r="AS2123" s="104"/>
      <c r="AT2123" s="104"/>
      <c r="AU2123" s="830" t="str">
        <f t="shared" si="766"/>
        <v>-</v>
      </c>
    </row>
    <row r="2124" spans="1:47" s="309" customFormat="1" hidden="1" x14ac:dyDescent="0.2">
      <c r="A2124" s="470" t="s">
        <v>318</v>
      </c>
      <c r="B2124" s="1061" t="s">
        <v>96</v>
      </c>
      <c r="C2124" s="79" t="s">
        <v>4865</v>
      </c>
      <c r="D2124" s="94">
        <v>177139</v>
      </c>
      <c r="E2124" s="83" t="s">
        <v>4866</v>
      </c>
      <c r="F2124" s="83" t="s">
        <v>105</v>
      </c>
      <c r="G2124" s="60" t="s">
        <v>500</v>
      </c>
      <c r="H2124" s="60" t="s">
        <v>688</v>
      </c>
      <c r="I2124" s="60" t="s">
        <v>52</v>
      </c>
      <c r="J2124" s="59" t="s">
        <v>53</v>
      </c>
      <c r="K2124" s="60" t="s">
        <v>69</v>
      </c>
      <c r="L2124" s="60" t="s">
        <v>315</v>
      </c>
      <c r="M2124" s="544">
        <v>285</v>
      </c>
      <c r="N2124" s="786">
        <v>700</v>
      </c>
      <c r="O2124" s="60" t="s">
        <v>575</v>
      </c>
      <c r="P2124" s="60">
        <v>16</v>
      </c>
      <c r="Q2124" s="60">
        <v>20</v>
      </c>
      <c r="R2124" s="60">
        <v>16</v>
      </c>
      <c r="S2124" s="60">
        <v>20</v>
      </c>
      <c r="T2124" s="273">
        <v>17</v>
      </c>
      <c r="U2124" s="273">
        <v>21</v>
      </c>
      <c r="V2124" s="174">
        <f>IF(J2124="Canvas",P2124+Border,P2124)</f>
        <v>24</v>
      </c>
      <c r="W2124" s="174">
        <f>IF(J2124="Canvas",Q2124+Border,Q2124)</f>
        <v>28</v>
      </c>
      <c r="X2124" s="138" t="s">
        <v>4867</v>
      </c>
      <c r="Y2124" s="60">
        <v>24</v>
      </c>
      <c r="Z2124" s="60">
        <v>28</v>
      </c>
      <c r="AA2124" s="678">
        <f t="shared" si="763"/>
        <v>4.666666666666667</v>
      </c>
      <c r="AB2124" s="329">
        <f>Table1[[#This Row],[Substrate SF]]*Swiss1</f>
        <v>132.06666666666669</v>
      </c>
      <c r="AC2124" s="176">
        <f t="shared" si="772"/>
        <v>3.0800000000000005</v>
      </c>
      <c r="AD2124" s="175">
        <f>Table1[[#This Row],[Substrate SF]]*SWISSC1</f>
        <v>13.066666666666666</v>
      </c>
      <c r="AE2124" s="69">
        <f>IF(Table1[[#This Row],[Work Center]]="SwissQ",Materials!G$37,IF(Table1[[#This Row],[Work Center]]="Inca",Materials!G$29,IF(Table1[[#This Row],[Work Center]]="Canon",Materials!G$49,Materials!G$45)))</f>
        <v>5</v>
      </c>
      <c r="AF2124" s="72">
        <f>'Cali Frames'!D504</f>
        <v>83.25</v>
      </c>
      <c r="AG2124" s="83"/>
      <c r="AH2124" s="112">
        <v>0</v>
      </c>
      <c r="AI2124" s="112"/>
      <c r="AJ2124" s="176">
        <f t="shared" si="774"/>
        <v>104.39666666666668</v>
      </c>
      <c r="AK2124" s="62">
        <f t="shared" si="769"/>
        <v>0.63369590643274853</v>
      </c>
      <c r="AL2124" s="225">
        <f>Table1[[#This Row],[WSP/Dealer]]/Table1[[#This Row],[OD Sq Inch]]</f>
        <v>0.79831932773109249</v>
      </c>
      <c r="AM2124" s="173">
        <f>Table1[[#This Row],[OD Wdth]]*Table1[[#This Row],[OD Hgt]]</f>
        <v>357</v>
      </c>
      <c r="AN2124" s="180" t="str">
        <f>Table1[[#This Row],[Color]]</f>
        <v>WF</v>
      </c>
      <c r="AO2124" s="83" t="str">
        <f>Table1[[#This Row],[Print Type]]</f>
        <v>Synograph</v>
      </c>
      <c r="AP2124" s="540"/>
      <c r="AQ2124" s="540"/>
      <c r="AR2124" s="540"/>
      <c r="AS2124" s="540"/>
      <c r="AT2124" s="69"/>
      <c r="AU2124" s="1361" t="str">
        <f t="shared" si="766"/>
        <v>-</v>
      </c>
    </row>
    <row r="2125" spans="1:47" s="309" customFormat="1" x14ac:dyDescent="0.2">
      <c r="A2125" s="68" t="s">
        <v>58</v>
      </c>
      <c r="B2125" s="1072" t="s">
        <v>310</v>
      </c>
      <c r="C2125" s="94" t="s">
        <v>4868</v>
      </c>
      <c r="D2125" s="94"/>
      <c r="E2125" s="84" t="s">
        <v>4869</v>
      </c>
      <c r="F2125" s="84" t="s">
        <v>144</v>
      </c>
      <c r="G2125" s="68" t="s">
        <v>602</v>
      </c>
      <c r="H2125" s="68" t="s">
        <v>2347</v>
      </c>
      <c r="I2125" s="68" t="s">
        <v>52</v>
      </c>
      <c r="J2125" s="140" t="s">
        <v>53</v>
      </c>
      <c r="K2125" s="68" t="s">
        <v>82</v>
      </c>
      <c r="L2125" s="68" t="s">
        <v>298</v>
      </c>
      <c r="M2125" s="93">
        <v>575</v>
      </c>
      <c r="N2125" s="93"/>
      <c r="O2125" s="68"/>
      <c r="P2125" s="68"/>
      <c r="Q2125" s="68"/>
      <c r="R2125" s="68"/>
      <c r="S2125" s="68"/>
      <c r="T2125" s="623"/>
      <c r="U2125" s="623"/>
      <c r="V2125" s="917"/>
      <c r="W2125" s="917"/>
      <c r="X2125" s="68"/>
      <c r="Y2125" s="68"/>
      <c r="Z2125" s="68"/>
      <c r="AA2125" s="699"/>
      <c r="AB2125" s="297"/>
      <c r="AC2125" s="74"/>
      <c r="AD2125" s="126"/>
      <c r="AE2125" s="126"/>
      <c r="AF2125" s="73"/>
      <c r="AG2125" s="84"/>
      <c r="AH2125" s="126"/>
      <c r="AI2125" s="126"/>
      <c r="AJ2125" s="126"/>
      <c r="AK2125" s="1001"/>
      <c r="AL2125" s="126"/>
      <c r="AM2125" s="84"/>
      <c r="AN2125" s="84"/>
      <c r="AO2125" s="84"/>
      <c r="AP2125" s="126"/>
      <c r="AQ2125" s="126">
        <f>(Table1[[#This Row],[Desgnr/Retail P]]*0.05)</f>
        <v>0</v>
      </c>
      <c r="AR2125" s="126" t="b">
        <f>IF(A2125="Codarus",(AP2125*0.13))</f>
        <v>0</v>
      </c>
      <c r="AS2125" s="126" t="e" cm="1">
        <f t="array" ref="AS2125">SUM(AC2125:AG2125+AQ+AR)</f>
        <v>#NAME?</v>
      </c>
      <c r="AT2125" s="74" t="e">
        <f>(AP2125-AS2125)/AP2125</f>
        <v>#NAME?</v>
      </c>
      <c r="AU2125" s="1357" t="str">
        <f t="shared" si="766"/>
        <v>-</v>
      </c>
    </row>
    <row r="2126" spans="1:47" s="1054" customFormat="1" x14ac:dyDescent="0.2">
      <c r="A2126" s="68" t="s">
        <v>58</v>
      </c>
      <c r="B2126" s="1072" t="s">
        <v>310</v>
      </c>
      <c r="C2126" s="94" t="s">
        <v>4868</v>
      </c>
      <c r="D2126" s="94"/>
      <c r="E2126" s="84" t="s">
        <v>4869</v>
      </c>
      <c r="F2126" s="84" t="s">
        <v>144</v>
      </c>
      <c r="G2126" s="68" t="s">
        <v>602</v>
      </c>
      <c r="H2126" s="68" t="s">
        <v>2347</v>
      </c>
      <c r="I2126" s="68" t="s">
        <v>52</v>
      </c>
      <c r="J2126" s="140" t="s">
        <v>53</v>
      </c>
      <c r="K2126" s="68" t="s">
        <v>82</v>
      </c>
      <c r="L2126" s="68" t="s">
        <v>83</v>
      </c>
      <c r="M2126" s="93">
        <v>575</v>
      </c>
      <c r="N2126" s="93"/>
      <c r="O2126" s="68"/>
      <c r="P2126" s="68"/>
      <c r="Q2126" s="68"/>
      <c r="R2126" s="68"/>
      <c r="S2126" s="63"/>
      <c r="T2126" s="65"/>
      <c r="U2126" s="65"/>
      <c r="V2126" s="66"/>
      <c r="W2126" s="66"/>
      <c r="X2126" s="68"/>
      <c r="Y2126" s="68"/>
      <c r="Z2126" s="68"/>
      <c r="AA2126" s="699"/>
      <c r="AB2126" s="297"/>
      <c r="AC2126" s="74"/>
      <c r="AD2126" s="118"/>
      <c r="AE2126" s="126"/>
      <c r="AF2126" s="73"/>
      <c r="AG2126" s="84"/>
      <c r="AH2126" s="118"/>
      <c r="AI2126" s="118"/>
      <c r="AJ2126" s="126"/>
      <c r="AK2126" s="661"/>
      <c r="AL2126" s="126"/>
      <c r="AM2126" s="119"/>
      <c r="AN2126" s="84"/>
      <c r="AO2126" s="119"/>
      <c r="AP2126" s="126"/>
      <c r="AQ2126" s="126">
        <f>(Table1[[#This Row],[Desgnr/Retail P]]*0.05)</f>
        <v>0</v>
      </c>
      <c r="AR2126" s="126" t="b">
        <f>IF(A2126="Codarus",(AP2126*0.13))</f>
        <v>0</v>
      </c>
      <c r="AS2126" s="126" t="e" cm="1">
        <f t="array" ref="AS2126">SUM(AC2126:AG2126+AQ+AR)</f>
        <v>#NAME?</v>
      </c>
      <c r="AT2126" s="74" t="e">
        <f>(AP2126-AS2126)/AP2126</f>
        <v>#NAME?</v>
      </c>
      <c r="AU2126" s="1356" t="str">
        <f t="shared" si="766"/>
        <v>-</v>
      </c>
    </row>
    <row r="2127" spans="1:47" s="1054" customFormat="1" x14ac:dyDescent="0.2">
      <c r="A2127" s="60" t="s">
        <v>58</v>
      </c>
      <c r="B2127" s="1071" t="s">
        <v>305</v>
      </c>
      <c r="C2127" s="79" t="s">
        <v>4868</v>
      </c>
      <c r="D2127" s="79"/>
      <c r="E2127" s="83" t="s">
        <v>4869</v>
      </c>
      <c r="F2127" s="83" t="s">
        <v>144</v>
      </c>
      <c r="G2127" s="60" t="s">
        <v>602</v>
      </c>
      <c r="H2127" s="60" t="s">
        <v>602</v>
      </c>
      <c r="I2127" s="60" t="s">
        <v>52</v>
      </c>
      <c r="J2127" s="59" t="s">
        <v>53</v>
      </c>
      <c r="K2127" s="60" t="s">
        <v>54</v>
      </c>
      <c r="L2127" s="60" t="s">
        <v>55</v>
      </c>
      <c r="M2127" s="124">
        <v>400</v>
      </c>
      <c r="N2127" s="124"/>
      <c r="O2127" s="60" t="s">
        <v>56</v>
      </c>
      <c r="P2127" s="60">
        <v>25</v>
      </c>
      <c r="Q2127" s="60">
        <v>31</v>
      </c>
      <c r="R2127" s="60">
        <v>25</v>
      </c>
      <c r="S2127" s="60">
        <v>31</v>
      </c>
      <c r="T2127" s="273">
        <v>25</v>
      </c>
      <c r="U2127" s="273">
        <v>31</v>
      </c>
      <c r="V2127" s="174">
        <f>IF(J2127="Canvas",P2127+BorderL,P2127)</f>
        <v>36</v>
      </c>
      <c r="W2127" s="174">
        <f>IF(J2127="Canvas",Q2127+BorderL,Q2127)</f>
        <v>42</v>
      </c>
      <c r="X2127" s="138">
        <v>40</v>
      </c>
      <c r="Y2127" s="60">
        <v>36</v>
      </c>
      <c r="Z2127" s="60">
        <v>42</v>
      </c>
      <c r="AA2127" s="717">
        <f>V2127*W2127/144</f>
        <v>10.5</v>
      </c>
      <c r="AB2127" s="125">
        <f>AA2127*IncaG</f>
        <v>220.92</v>
      </c>
      <c r="AC2127" s="69">
        <f>AA2127*Canvas</f>
        <v>6.9300000000000006</v>
      </c>
      <c r="AD2127" s="48">
        <f>AA2127*IncaC</f>
        <v>17.6736</v>
      </c>
      <c r="AE2127" s="69">
        <f>IF(Table1[[#This Row],[Work Center]]="SwissQ",Materials!G$37,IF(Table1[[#This Row],[Work Center]]="Inca",Materials!G$29,IF(Table1[[#This Row],[Work Center]]="Canon",Materials!G$49,Materials!G$45)))</f>
        <v>8</v>
      </c>
      <c r="AF2127" s="72">
        <f>'Cali FPS'!C40</f>
        <v>79.239999999999995</v>
      </c>
      <c r="AG2127" s="83"/>
      <c r="AH2127" s="176">
        <f>(M2127*0.05)</f>
        <v>20</v>
      </c>
      <c r="AI2127" s="176"/>
      <c r="AJ2127" s="176">
        <f t="shared" ref="AJ2127:AJ2132" si="779">SUM(AC2127:AH2127)</f>
        <v>131.84359999999998</v>
      </c>
      <c r="AK2127" s="1201">
        <f t="shared" ref="AK2127:AK2158" si="780">(M2127-AJ2127)/M2127</f>
        <v>0.67039100000000007</v>
      </c>
      <c r="AL2127" s="176">
        <f>Table1[[#This Row],[WSP/Dealer]]/Table1[[#This Row],[OD Sq Inch]]</f>
        <v>0.5161290322580645</v>
      </c>
      <c r="AM2127" s="173">
        <f>Table1[[#This Row],[OD Wdth]]*Table1[[#This Row],[OD Hgt]]</f>
        <v>775</v>
      </c>
      <c r="AN2127" s="180">
        <f>Table1[[#This Row],[Min VO]]+Table1[[#This Row],[Max VO]]</f>
        <v>56</v>
      </c>
      <c r="AO2127" s="83"/>
      <c r="AP2127" s="540"/>
      <c r="AQ2127" s="540">
        <f>(Table1[[#This Row],[Desgnr/Retail P]]*0.05)</f>
        <v>0</v>
      </c>
      <c r="AR2127" s="540" t="b">
        <f>IF(A2127="Codarus",(AP2127*0.13))</f>
        <v>0</v>
      </c>
      <c r="AS2127" s="540" t="e" cm="1">
        <f t="array" ref="AS2127">SUM(AC2127:AG2127+AQ+AR)</f>
        <v>#NAME?</v>
      </c>
      <c r="AT2127" s="69" t="e">
        <f>(AP2127-AS2127)/AP2127</f>
        <v>#NAME?</v>
      </c>
      <c r="AU2127" s="1361" t="str">
        <f t="shared" si="766"/>
        <v>-</v>
      </c>
    </row>
    <row r="2128" spans="1:47" s="1054" customFormat="1" x14ac:dyDescent="0.2">
      <c r="A2128" s="68" t="s">
        <v>58</v>
      </c>
      <c r="B2128" s="1072" t="s">
        <v>1190</v>
      </c>
      <c r="C2128" s="79" t="s">
        <v>4870</v>
      </c>
      <c r="D2128" s="94"/>
      <c r="E2128" s="84" t="s">
        <v>4871</v>
      </c>
      <c r="F2128" s="84" t="s">
        <v>144</v>
      </c>
      <c r="G2128" s="68" t="s">
        <v>191</v>
      </c>
      <c r="H2128" s="68" t="s">
        <v>191</v>
      </c>
      <c r="I2128" s="68" t="s">
        <v>52</v>
      </c>
      <c r="J2128" s="140" t="s">
        <v>53</v>
      </c>
      <c r="K2128" s="68" t="s">
        <v>54</v>
      </c>
      <c r="L2128" s="68" t="s">
        <v>55</v>
      </c>
      <c r="M2128" s="93">
        <v>950</v>
      </c>
      <c r="N2128" s="93"/>
      <c r="O2128" s="68" t="s">
        <v>56</v>
      </c>
      <c r="P2128" s="68">
        <v>48</v>
      </c>
      <c r="Q2128" s="68">
        <v>60</v>
      </c>
      <c r="R2128" s="68">
        <v>48</v>
      </c>
      <c r="S2128" s="68">
        <v>60</v>
      </c>
      <c r="T2128" s="623">
        <v>48</v>
      </c>
      <c r="U2128" s="623">
        <v>60</v>
      </c>
      <c r="V2128" s="277">
        <f>IF(J2128="Canvas",P2128+BorderL,P2128)</f>
        <v>59</v>
      </c>
      <c r="W2128" s="277">
        <f>IF(J2128="Canvas",Q2128+BorderL,Q2128)</f>
        <v>71</v>
      </c>
      <c r="X2128" s="68">
        <v>59</v>
      </c>
      <c r="Y2128" s="68">
        <v>59</v>
      </c>
      <c r="Z2128" s="68">
        <v>71</v>
      </c>
      <c r="AA2128" s="699">
        <f>V2128*W2128/144</f>
        <v>29.090277777777779</v>
      </c>
      <c r="AB2128" s="297">
        <f>AA2128*IncaG</f>
        <v>612.05944444444447</v>
      </c>
      <c r="AC2128" s="74">
        <f>AA2128*Canvas</f>
        <v>19.199583333333333</v>
      </c>
      <c r="AD2128" s="67">
        <f>AA2128*IncaC</f>
        <v>48.964755555555556</v>
      </c>
      <c r="AE2128" s="74">
        <f>IF(Table1[[#This Row],[Work Center]]="SwissQ",Materials!G$37,IF(Table1[[#This Row],[Work Center]]="Inca",Materials!G$29,IF(Table1[[#This Row],[Work Center]]="Canon",Materials!G$49,Materials!G$45)))</f>
        <v>8</v>
      </c>
      <c r="AF2128" s="73">
        <f>'Cali FPS'!C121</f>
        <v>188.18</v>
      </c>
      <c r="AG2128" s="84"/>
      <c r="AH2128" s="278">
        <f>(M2128*0.05)</f>
        <v>47.5</v>
      </c>
      <c r="AI2128" s="278"/>
      <c r="AJ2128" s="278">
        <f t="shared" si="779"/>
        <v>311.8443388888889</v>
      </c>
      <c r="AK2128" s="1192">
        <f t="shared" si="780"/>
        <v>0.67174280116959073</v>
      </c>
      <c r="AL2128" s="278">
        <f>Table1[[#This Row],[WSP/Dealer]]/Table1[[#This Row],[OD Sq Inch]]</f>
        <v>0.3298611111111111</v>
      </c>
      <c r="AM2128" s="170">
        <f>Table1[[#This Row],[OD Wdth]]*Table1[[#This Row],[OD Hgt]]</f>
        <v>2880</v>
      </c>
      <c r="AN2128" s="274">
        <f>Table1[[#This Row],[Min VO]]+Table1[[#This Row],[Max VO]]</f>
        <v>108</v>
      </c>
      <c r="AO2128" s="84"/>
      <c r="AP2128" s="126"/>
      <c r="AQ2128" s="126"/>
      <c r="AR2128" s="126"/>
      <c r="AS2128" s="126"/>
      <c r="AT2128" s="74"/>
      <c r="AU2128" s="1357" t="str">
        <f t="shared" si="766"/>
        <v>-</v>
      </c>
    </row>
    <row r="2129" spans="1:47" s="1054" customFormat="1" hidden="1" x14ac:dyDescent="0.2">
      <c r="A2129" s="101" t="s">
        <v>101</v>
      </c>
      <c r="B2129" s="1067" t="s">
        <v>102</v>
      </c>
      <c r="C2129" s="168" t="s">
        <v>4872</v>
      </c>
      <c r="D2129" s="168"/>
      <c r="E2129" s="115" t="s">
        <v>4873</v>
      </c>
      <c r="F2129" s="115" t="s">
        <v>105</v>
      </c>
      <c r="G2129" s="101" t="s">
        <v>4874</v>
      </c>
      <c r="H2129" s="101" t="s">
        <v>4875</v>
      </c>
      <c r="I2129" s="101" t="s">
        <v>256</v>
      </c>
      <c r="J2129" s="487" t="s">
        <v>257</v>
      </c>
      <c r="K2129" s="101" t="s">
        <v>258</v>
      </c>
      <c r="L2129" s="101" t="s">
        <v>259</v>
      </c>
      <c r="M2129" s="141">
        <v>186</v>
      </c>
      <c r="N2129" s="114"/>
      <c r="O2129" s="101" t="s">
        <v>260</v>
      </c>
      <c r="P2129" s="101">
        <v>20</v>
      </c>
      <c r="Q2129" s="101">
        <v>15</v>
      </c>
      <c r="R2129" s="101">
        <v>15</v>
      </c>
      <c r="S2129" s="101">
        <v>20</v>
      </c>
      <c r="T2129" s="697">
        <v>22</v>
      </c>
      <c r="U2129" s="697">
        <v>17</v>
      </c>
      <c r="V2129" s="404">
        <f>IF(J2129="Canvas",P2129+BorderL,P2129)</f>
        <v>20</v>
      </c>
      <c r="W2129" s="404">
        <f>IF(J2129="Canvas",Q2129+BorderL,Q2129)</f>
        <v>15</v>
      </c>
      <c r="X2129" s="101" t="s">
        <v>257</v>
      </c>
      <c r="Y2129" s="1346">
        <f>Table1[[#This Row],[Print Wth]]+Materials!$C$7</f>
        <v>22</v>
      </c>
      <c r="Z2129" s="1346">
        <f>Table1[[#This Row],[Print Ht]]+Materials!$C$7</f>
        <v>17</v>
      </c>
      <c r="AA2129" s="903">
        <f>(Table1[[#This Row],[Cut Width]]*Table1[[#This Row],[Cut Height]])/144</f>
        <v>2.5972222222222223</v>
      </c>
      <c r="AB2129" s="1168">
        <f>(Table1[[#This Row],[Print Wth]]*Table1[[#This Row],[Print Ht]])/144*canonML</f>
        <v>10</v>
      </c>
      <c r="AC2129" s="863">
        <f>Table1[[#This Row],[Substrate SF]]*Paper</f>
        <v>3.514041666666667</v>
      </c>
      <c r="AD2129" s="862">
        <f>(Table1[[#This Row],[Print Wth]]*Table1[[#This Row],[Print Ht]])/144*CanonC</f>
        <v>0.56250000000000011</v>
      </c>
      <c r="AE2129" s="863">
        <f>IF(Table1[[#This Row],[Work Center]]="SwissQ",Materials!G$37,IF(Table1[[#This Row],[Work Center]]="Inca",Materials!G$29,IF(Table1[[#This Row],[Work Center]]="Canon",Materials!G$49,Materials!G$45)))</f>
        <v>7</v>
      </c>
      <c r="AF2129" s="102">
        <f>'Cali Frames'!D19</f>
        <v>82.44</v>
      </c>
      <c r="AG2129" s="115"/>
      <c r="AH2129" s="406">
        <v>0</v>
      </c>
      <c r="AI2129" s="406"/>
      <c r="AJ2129" s="406">
        <f t="shared" si="779"/>
        <v>93.516541666666669</v>
      </c>
      <c r="AK2129" s="1065">
        <f t="shared" si="780"/>
        <v>0.49722289426523297</v>
      </c>
      <c r="AL2129" s="406">
        <f>Table1[[#This Row],[WSP/Dealer]]/Table1[[#This Row],[OD Sq Inch]]</f>
        <v>0.49732620320855614</v>
      </c>
      <c r="AM2129" s="399">
        <f>Table1[[#This Row],[OD Wdth]]*Table1[[#This Row],[OD Hgt]]</f>
        <v>374</v>
      </c>
      <c r="AN2129" s="400">
        <f>Table1[[#This Row],[Min VO]]+Table1[[#This Row],[Max VO]]</f>
        <v>35</v>
      </c>
      <c r="AO2129" s="115"/>
      <c r="AP2129" s="121"/>
      <c r="AQ2129" s="121"/>
      <c r="AR2129" s="121"/>
      <c r="AS2129" s="121"/>
      <c r="AT2129" s="104"/>
      <c r="AU2129" s="1359" t="str">
        <f t="shared" si="766"/>
        <v>-</v>
      </c>
    </row>
    <row r="2130" spans="1:47" s="1054" customFormat="1" x14ac:dyDescent="0.2">
      <c r="A2130" s="86" t="s">
        <v>58</v>
      </c>
      <c r="B2130" s="1061" t="s">
        <v>619</v>
      </c>
      <c r="C2130" s="75" t="s">
        <v>4876</v>
      </c>
      <c r="D2130" s="94" t="s">
        <v>4877</v>
      </c>
      <c r="E2130" s="85" t="s">
        <v>4878</v>
      </c>
      <c r="F2130" s="85" t="s">
        <v>124</v>
      </c>
      <c r="G2130" s="86" t="s">
        <v>1651</v>
      </c>
      <c r="H2130" s="86" t="s">
        <v>1651</v>
      </c>
      <c r="I2130" s="86" t="s">
        <v>52</v>
      </c>
      <c r="J2130" s="86" t="s">
        <v>53</v>
      </c>
      <c r="K2130" s="86" t="s">
        <v>54</v>
      </c>
      <c r="L2130" s="86" t="s">
        <v>55</v>
      </c>
      <c r="M2130" s="87">
        <v>900</v>
      </c>
      <c r="N2130" s="639">
        <v>950</v>
      </c>
      <c r="O2130" s="101" t="s">
        <v>64</v>
      </c>
      <c r="P2130" s="273">
        <v>60</v>
      </c>
      <c r="Q2130" s="273">
        <v>48</v>
      </c>
      <c r="R2130" s="60">
        <v>48</v>
      </c>
      <c r="S2130" s="273">
        <v>60</v>
      </c>
      <c r="T2130" s="273">
        <f>Table1[[#This Row],[VO Wdth]]</f>
        <v>60</v>
      </c>
      <c r="U2130" s="273">
        <f>Table1[[#This Row],[VO Hgt]]</f>
        <v>48</v>
      </c>
      <c r="V2130" s="608">
        <f>IF(J2130="Canvas",P2130+BorderGW,P2130)</f>
        <v>68</v>
      </c>
      <c r="W2130" s="608">
        <f>IF(J2130="Canvas",Q2130+BorderGW,Q2130)</f>
        <v>56</v>
      </c>
      <c r="X2130" s="137" t="s">
        <v>2722</v>
      </c>
      <c r="Y2130" s="101"/>
      <c r="Z2130" s="101"/>
      <c r="AA2130" s="649">
        <f>V2130*W2130/144</f>
        <v>26.444444444444443</v>
      </c>
      <c r="AB2130" s="125">
        <f>AA2130*SWISSCR</f>
        <v>5.8177777777777777</v>
      </c>
      <c r="AC2130" s="104">
        <f>AA2130*Canvas</f>
        <v>17.453333333333333</v>
      </c>
      <c r="AD2130" s="104">
        <f>Table1[[#This Row],[Substrate SF]]*Materials!C$37</f>
        <v>74.044444444444437</v>
      </c>
      <c r="AE2130" s="104">
        <f>IF(Table1[[#This Row],[Work Center]]="SwissQ",Materials!G$37,IF(Table1[[#This Row],[Work Center]]="Inca",Materials!G$29,IF(Table1[[#This Row],[Work Center]]="Canon",Materials!G$49,Materials!G$45)))</f>
        <v>20</v>
      </c>
      <c r="AF2130" s="69">
        <f>'Cali FPS'!C$121</f>
        <v>188.18</v>
      </c>
      <c r="AG2130" s="115"/>
      <c r="AH2130" s="498">
        <f>(M2130*0.05)</f>
        <v>45</v>
      </c>
      <c r="AI2130" s="498"/>
      <c r="AJ2130" s="104">
        <f t="shared" si="779"/>
        <v>344.67777777777781</v>
      </c>
      <c r="AK2130" s="650">
        <f t="shared" si="780"/>
        <v>0.61702469135802462</v>
      </c>
      <c r="AL2130" s="225">
        <f>Table1[[#This Row],[WSP/Dealer]]/Table1[[#This Row],[OD Sq Inch]]</f>
        <v>0.3125</v>
      </c>
      <c r="AM2130" s="216">
        <f>Table1[[#This Row],[OD Wdth]]*Table1[[#This Row],[OD Hgt]]</f>
        <v>2880</v>
      </c>
      <c r="AN2130" s="216">
        <f>Table1[[#This Row],[Min VO]]+Table1[[#This Row],[Max VO]]</f>
        <v>108</v>
      </c>
      <c r="AO2130" s="101"/>
      <c r="AP2130" s="101"/>
      <c r="AQ2130" s="104"/>
      <c r="AR2130" s="104"/>
      <c r="AS2130" s="104"/>
      <c r="AT2130" s="104"/>
      <c r="AU2130" s="830" t="str">
        <f t="shared" si="766"/>
        <v>-</v>
      </c>
    </row>
    <row r="2131" spans="1:47" s="170" customFormat="1" hidden="1" x14ac:dyDescent="0.2">
      <c r="A2131" s="68" t="s">
        <v>101</v>
      </c>
      <c r="B2131" s="1072" t="s">
        <v>102</v>
      </c>
      <c r="C2131" s="257" t="s">
        <v>4879</v>
      </c>
      <c r="D2131" s="94"/>
      <c r="E2131" s="84" t="s">
        <v>4880</v>
      </c>
      <c r="F2131" s="84" t="s">
        <v>105</v>
      </c>
      <c r="G2131" s="68" t="s">
        <v>1583</v>
      </c>
      <c r="H2131" s="68" t="s">
        <v>2574</v>
      </c>
      <c r="I2131" s="68" t="s">
        <v>108</v>
      </c>
      <c r="J2131" s="140" t="s">
        <v>53</v>
      </c>
      <c r="K2131" s="68" t="s">
        <v>69</v>
      </c>
      <c r="L2131" s="68" t="s">
        <v>315</v>
      </c>
      <c r="M2131" s="141">
        <v>177</v>
      </c>
      <c r="N2131" s="93"/>
      <c r="O2131" s="68" t="s">
        <v>109</v>
      </c>
      <c r="P2131" s="623">
        <v>8</v>
      </c>
      <c r="Q2131" s="623">
        <v>10</v>
      </c>
      <c r="R2131" s="68">
        <v>8</v>
      </c>
      <c r="S2131" s="623">
        <v>10</v>
      </c>
      <c r="T2131" s="623">
        <v>9</v>
      </c>
      <c r="U2131" s="623">
        <v>11</v>
      </c>
      <c r="V2131" s="66">
        <f>IF(J2131="Canvas",P2131+BorderGW,P2131)</f>
        <v>16</v>
      </c>
      <c r="W2131" s="66">
        <f>IF(J2131="Canvas",Q2131+BorderGW,Q2131)</f>
        <v>18</v>
      </c>
      <c r="X2131" s="68">
        <v>40</v>
      </c>
      <c r="Y2131" s="686">
        <f>Table1[[#This Row],[Print Wth]]</f>
        <v>16</v>
      </c>
      <c r="Z2131" s="686">
        <f>Table1[[#This Row],[Print Ht]]</f>
        <v>18</v>
      </c>
      <c r="AA2131" s="727">
        <f>Table1[[#This Row],[Cut Width]]*Table1[[#This Row],[Cut Height]]/144</f>
        <v>2</v>
      </c>
      <c r="AB2131" s="341">
        <f>Table1[[#This Row],[Print Wth]]*Table1[[#This Row],[Print Ht]]/144*EPSONM</f>
        <v>9</v>
      </c>
      <c r="AC2131" s="278">
        <f>Table1[[#This Row],[Substrate SF]]*Canvas</f>
        <v>1.32</v>
      </c>
      <c r="AD2131" s="263">
        <f>Table1[[#This Row],[Ink g/mL]]*EPSONC</f>
        <v>1.98</v>
      </c>
      <c r="AE2131" s="278">
        <f>IF(Table1[[#This Row],[Work Center]]="SwissQ",Materials!G$37,IF(Table1[[#This Row],[Work Center]]="Inca",Materials!G$29,IF(Table1[[#This Row],[Work Center]]="Canon",Materials!G$49,Materials!G$45)))</f>
        <v>5</v>
      </c>
      <c r="AF2131" s="73">
        <f>'Cali Frames'!D491</f>
        <v>80</v>
      </c>
      <c r="AG2131" s="84"/>
      <c r="AH2131" s="263">
        <v>0</v>
      </c>
      <c r="AI2131" s="263"/>
      <c r="AJ2131" s="278">
        <f t="shared" si="779"/>
        <v>88.3</v>
      </c>
      <c r="AK2131" s="688">
        <f t="shared" si="780"/>
        <v>0.50112994350282491</v>
      </c>
      <c r="AL2131" s="278">
        <f>Table1[[#This Row],[WSP/Dealer]]/Table1[[#This Row],[OD Sq Inch]]</f>
        <v>1.7878787878787878</v>
      </c>
      <c r="AM2131" s="170">
        <f>Table1[[#This Row],[OD Wdth]]*Table1[[#This Row],[OD Hgt]]</f>
        <v>99</v>
      </c>
      <c r="AN2131" s="274">
        <f>Table1[[#This Row],[Min VO]]+Table1[[#This Row],[Max VO]]</f>
        <v>18</v>
      </c>
      <c r="AO2131" s="84"/>
      <c r="AP2131" s="84"/>
      <c r="AQ2131" s="74"/>
      <c r="AR2131" s="74"/>
      <c r="AS2131" s="74"/>
      <c r="AT2131" s="74"/>
      <c r="AU2131" s="1357" t="str">
        <f t="shared" si="766"/>
        <v>-</v>
      </c>
    </row>
    <row r="2132" spans="1:47" s="170" customFormat="1" x14ac:dyDescent="0.2">
      <c r="A2132" s="86" t="s">
        <v>58</v>
      </c>
      <c r="B2132" s="1061" t="s">
        <v>619</v>
      </c>
      <c r="C2132" s="75" t="s">
        <v>4881</v>
      </c>
      <c r="D2132" s="94" t="s">
        <v>4882</v>
      </c>
      <c r="E2132" s="85" t="s">
        <v>4883</v>
      </c>
      <c r="F2132" s="85" t="s">
        <v>897</v>
      </c>
      <c r="G2132" s="86" t="s">
        <v>4884</v>
      </c>
      <c r="H2132" s="86" t="s">
        <v>4884</v>
      </c>
      <c r="I2132" s="86" t="s">
        <v>52</v>
      </c>
      <c r="J2132" s="86" t="s">
        <v>53</v>
      </c>
      <c r="K2132" s="86" t="s">
        <v>54</v>
      </c>
      <c r="L2132" s="86" t="s">
        <v>55</v>
      </c>
      <c r="M2132" s="87">
        <v>1200</v>
      </c>
      <c r="N2132" s="639">
        <v>1350</v>
      </c>
      <c r="O2132" s="101" t="s">
        <v>56</v>
      </c>
      <c r="P2132" s="273">
        <v>96</v>
      </c>
      <c r="Q2132" s="273">
        <v>48</v>
      </c>
      <c r="R2132" s="60">
        <v>48</v>
      </c>
      <c r="S2132" s="273">
        <v>96</v>
      </c>
      <c r="T2132" s="273">
        <f>Table1[[#This Row],[VO Wdth]]</f>
        <v>96</v>
      </c>
      <c r="U2132" s="273">
        <f>Table1[[#This Row],[VO Hgt]]</f>
        <v>48</v>
      </c>
      <c r="V2132" s="106">
        <f>IF(J2132="Canvas",P2132+BorderGW,P2132)</f>
        <v>104</v>
      </c>
      <c r="W2132" s="106">
        <f>IF(J2132="Canvas",Q2132+BorderGW,Q2132)</f>
        <v>56</v>
      </c>
      <c r="X2132" s="137">
        <v>59</v>
      </c>
      <c r="Y2132" s="101"/>
      <c r="Z2132" s="101"/>
      <c r="AA2132" s="649">
        <f>V2132*W2132/144</f>
        <v>40.444444444444443</v>
      </c>
      <c r="AB2132" s="184">
        <f>AA2132*IncaG</f>
        <v>850.951111111111</v>
      </c>
      <c r="AC2132" s="104">
        <f>AA2132*Canvas</f>
        <v>26.693333333333335</v>
      </c>
      <c r="AD2132" s="107">
        <f>AA2132*IncaC</f>
        <v>68.07608888888889</v>
      </c>
      <c r="AE2132" s="104">
        <f>IF(Table1[[#This Row],[Work Center]]="SwissQ",Materials!G$37,IF(Table1[[#This Row],[Work Center]]="Inca",Materials!G$29,IF(Table1[[#This Row],[Work Center]]="Canon",Materials!G$49,Materials!G$45)))</f>
        <v>8</v>
      </c>
      <c r="AF2132" s="69">
        <f>'Cali FPS'!$C$129</f>
        <v>231.64750000000001</v>
      </c>
      <c r="AG2132" s="115"/>
      <c r="AH2132" s="498">
        <f>(M2132*0.05)</f>
        <v>60</v>
      </c>
      <c r="AI2132" s="498"/>
      <c r="AJ2132" s="104">
        <f t="shared" si="779"/>
        <v>394.41692222222224</v>
      </c>
      <c r="AK2132" s="650">
        <f t="shared" si="780"/>
        <v>0.67131923148148154</v>
      </c>
      <c r="AL2132" s="225">
        <f>Table1[[#This Row],[WSP/Dealer]]/Table1[[#This Row],[OD Sq Inch]]</f>
        <v>0.26041666666666669</v>
      </c>
      <c r="AM2132" s="218">
        <f>Table1[[#This Row],[OD Wdth]]*Table1[[#This Row],[OD Hgt]]</f>
        <v>4608</v>
      </c>
      <c r="AN2132" s="216">
        <f>Table1[[#This Row],[Min VO]]+Table1[[#This Row],[Max VO]]</f>
        <v>144</v>
      </c>
      <c r="AO2132" s="101"/>
      <c r="AP2132" s="101"/>
      <c r="AQ2132" s="104"/>
      <c r="AR2132" s="104"/>
      <c r="AS2132" s="104"/>
      <c r="AT2132" s="104"/>
      <c r="AU2132" s="830" t="str">
        <f t="shared" si="766"/>
        <v>-</v>
      </c>
    </row>
    <row r="2133" spans="1:47" s="399" customFormat="1" hidden="1" x14ac:dyDescent="0.2">
      <c r="A2133" s="101" t="s">
        <v>110</v>
      </c>
      <c r="B2133" s="1067" t="s">
        <v>111</v>
      </c>
      <c r="C2133" s="719" t="s">
        <v>4885</v>
      </c>
      <c r="D2133" s="168"/>
      <c r="E2133" s="115" t="s">
        <v>4886</v>
      </c>
      <c r="F2133" s="115" t="s">
        <v>386</v>
      </c>
      <c r="G2133" s="101" t="s">
        <v>191</v>
      </c>
      <c r="H2133" s="101" t="s">
        <v>191</v>
      </c>
      <c r="I2133" s="101" t="s">
        <v>52</v>
      </c>
      <c r="J2133" s="487" t="s">
        <v>53</v>
      </c>
      <c r="K2133" s="101" t="s">
        <v>54</v>
      </c>
      <c r="L2133" s="101" t="s">
        <v>55</v>
      </c>
      <c r="M2133" s="114">
        <v>900</v>
      </c>
      <c r="N2133" s="114"/>
      <c r="O2133" s="101" t="s">
        <v>56</v>
      </c>
      <c r="P2133" s="697">
        <v>48</v>
      </c>
      <c r="Q2133" s="697">
        <v>60</v>
      </c>
      <c r="R2133" s="101">
        <v>48</v>
      </c>
      <c r="S2133" s="697">
        <v>60</v>
      </c>
      <c r="T2133" s="697">
        <v>48</v>
      </c>
      <c r="U2133" s="697">
        <v>60</v>
      </c>
      <c r="V2133" s="918">
        <f>IF(J2133="Canvas",P2133+BorderL,P2133)</f>
        <v>59</v>
      </c>
      <c r="W2133" s="918">
        <f>IF(J2133="Canvas",Q2133+BorderL,Q2133)</f>
        <v>71</v>
      </c>
      <c r="X2133" s="101">
        <v>59</v>
      </c>
      <c r="Y2133" s="101">
        <v>59</v>
      </c>
      <c r="Z2133" s="101">
        <v>71</v>
      </c>
      <c r="AA2133" s="649">
        <f>V2133*W2133/144</f>
        <v>29.090277777777779</v>
      </c>
      <c r="AB2133" s="184">
        <f>AA2133*IncaG</f>
        <v>612.05944444444447</v>
      </c>
      <c r="AC2133" s="104">
        <f>AA2133*Canvas</f>
        <v>19.199583333333333</v>
      </c>
      <c r="AD2133" s="104">
        <f>AA2133*IncaC</f>
        <v>48.964755555555556</v>
      </c>
      <c r="AE2133" s="104">
        <f>IF(Table1[[#This Row],[Work Center]]="SwissQ",Materials!G$37,IF(Table1[[#This Row],[Work Center]]="Inca",Materials!G$29,IF(Table1[[#This Row],[Work Center]]="Canon",Materials!G$49,Materials!G$45)))</f>
        <v>8</v>
      </c>
      <c r="AF2133" s="102">
        <f>'Cali FPS'!C121</f>
        <v>188.18</v>
      </c>
      <c r="AG2133" s="115"/>
      <c r="AH2133" s="107">
        <f>(M2133*0.05)</f>
        <v>45</v>
      </c>
      <c r="AI2133" s="405">
        <f>IF(A2133="Codarus",(M2133*0.13))</f>
        <v>117</v>
      </c>
      <c r="AJ2133" s="104">
        <f>SUM(AC2133:AI2133)</f>
        <v>426.3443388888889</v>
      </c>
      <c r="AK2133" s="1068">
        <f t="shared" si="780"/>
        <v>0.52628406790123461</v>
      </c>
      <c r="AL2133" s="406">
        <f>Table1[[#This Row],[WSP/Dealer]]/Table1[[#This Row],[OD Sq Inch]]</f>
        <v>0.3125</v>
      </c>
      <c r="AM2133" s="400">
        <f>Table1[[#This Row],[OD Wdth]]*Table1[[#This Row],[OD Hgt]]</f>
        <v>2880</v>
      </c>
      <c r="AN2133" s="400">
        <f>Table1[[#This Row],[Min VO]]+Table1[[#This Row],[Max VO]]</f>
        <v>108</v>
      </c>
      <c r="AO2133" s="115"/>
      <c r="AP2133" s="1307">
        <v>1800</v>
      </c>
      <c r="AQ2133" s="121">
        <f>(Table1[[#This Row],[Desgnr/Retail P]]*0.05)</f>
        <v>90</v>
      </c>
      <c r="AR2133" s="121">
        <f>IF(A2133="Codarus",(AP2133*0.13))</f>
        <v>234</v>
      </c>
      <c r="AS2133" s="121">
        <f>SUM(Table1[[#This Row],[Substrate $]:[GP FINISH]])+Table1[[#This Row],[Retail Royalty]]+Table1[[#This Row],[Retail$Comm]]</f>
        <v>588.34433888888884</v>
      </c>
      <c r="AT2133" s="830">
        <f>IF(AP2133=0,"-",(AP2133-AS2133)/AP2133)</f>
        <v>0.67314203395061734</v>
      </c>
      <c r="AU2133" s="1359">
        <f t="shared" si="766"/>
        <v>0.99252064406721541</v>
      </c>
    </row>
    <row r="2134" spans="1:47" s="170" customFormat="1" hidden="1" x14ac:dyDescent="0.2">
      <c r="A2134" s="101" t="s">
        <v>996</v>
      </c>
      <c r="B2134" s="1062" t="s">
        <v>484</v>
      </c>
      <c r="C2134" s="719" t="s">
        <v>4887</v>
      </c>
      <c r="D2134" s="168"/>
      <c r="E2134" s="115" t="s">
        <v>4888</v>
      </c>
      <c r="F2134" s="115" t="s">
        <v>650</v>
      </c>
      <c r="G2134" s="101" t="s">
        <v>637</v>
      </c>
      <c r="H2134" s="101" t="s">
        <v>637</v>
      </c>
      <c r="I2134" s="101" t="s">
        <v>108</v>
      </c>
      <c r="J2134" s="487" t="s">
        <v>53</v>
      </c>
      <c r="K2134" s="101" t="s">
        <v>54</v>
      </c>
      <c r="L2134" s="101" t="s">
        <v>55</v>
      </c>
      <c r="M2134" s="114">
        <v>750</v>
      </c>
      <c r="N2134" s="114"/>
      <c r="O2134" s="101" t="s">
        <v>56</v>
      </c>
      <c r="P2134" s="697">
        <v>60</v>
      </c>
      <c r="Q2134" s="697">
        <v>48</v>
      </c>
      <c r="R2134" s="101">
        <v>48</v>
      </c>
      <c r="S2134" s="116">
        <v>60</v>
      </c>
      <c r="T2134" s="116">
        <v>61</v>
      </c>
      <c r="U2134" s="116">
        <v>49</v>
      </c>
      <c r="V2134" s="404">
        <f>IF(J2134="Canvas",P2134+BorderL,P2134)</f>
        <v>71</v>
      </c>
      <c r="W2134" s="404">
        <f>IF(J2134="Canvas",Q2134+BorderL,Q2134)</f>
        <v>59</v>
      </c>
      <c r="X2134" s="1010">
        <v>63</v>
      </c>
      <c r="Y2134" s="101">
        <v>71</v>
      </c>
      <c r="Z2134" s="101">
        <v>59</v>
      </c>
      <c r="AA2134" s="649">
        <f>V2134*W2134/144</f>
        <v>29.090277777777779</v>
      </c>
      <c r="AB2134" s="184">
        <f>AA2134*IncaG</f>
        <v>612.05944444444447</v>
      </c>
      <c r="AC2134" s="104">
        <f>AA2134*Canvas</f>
        <v>19.199583333333333</v>
      </c>
      <c r="AD2134" s="107">
        <f>AA2134*IncaC</f>
        <v>48.964755555555556</v>
      </c>
      <c r="AE2134" s="104">
        <f>IF(Table1[[#This Row],[Work Center]]="SwissQ",Materials!G$37,IF(Table1[[#This Row],[Work Center]]="Inca",Materials!G$29,IF(Table1[[#This Row],[Work Center]]="Canon",Materials!G$49,Materials!G$45)))</f>
        <v>8</v>
      </c>
      <c r="AF2134" s="102">
        <f>'Cali FPS'!C121</f>
        <v>188.18</v>
      </c>
      <c r="AG2134" s="115"/>
      <c r="AH2134" s="107">
        <f>(M2134*0.05)</f>
        <v>37.5</v>
      </c>
      <c r="AI2134" s="107"/>
      <c r="AJ2134" s="406">
        <f>SUM(AC2134:AH2134)</f>
        <v>301.8443388888889</v>
      </c>
      <c r="AK2134" s="108">
        <f t="shared" si="780"/>
        <v>0.59754088148148143</v>
      </c>
      <c r="AL2134" s="660">
        <f>Table1[[#This Row],[WSP/Dealer]]/Table1[[#This Row],[OD Sq Inch]]</f>
        <v>0.25092004014720642</v>
      </c>
      <c r="AM2134" s="399">
        <f>Table1[[#This Row],[OD Wdth]]*Table1[[#This Row],[OD Hgt]]</f>
        <v>2989</v>
      </c>
      <c r="AN2134" s="400">
        <f>Table1[[#This Row],[Min VO]]+Table1[[#This Row],[Max VO]]</f>
        <v>108</v>
      </c>
      <c r="AO2134" s="113"/>
      <c r="AP2134" s="115"/>
      <c r="AQ2134" s="121"/>
      <c r="AR2134" s="121"/>
      <c r="AS2134" s="121"/>
      <c r="AT2134" s="104"/>
      <c r="AU2134" s="1367" t="str">
        <f t="shared" si="766"/>
        <v>-</v>
      </c>
    </row>
    <row r="2135" spans="1:47" s="170" customFormat="1" hidden="1" x14ac:dyDescent="0.2">
      <c r="A2135" s="101" t="s">
        <v>996</v>
      </c>
      <c r="B2135" s="1062" t="s">
        <v>484</v>
      </c>
      <c r="C2135" s="719" t="s">
        <v>4889</v>
      </c>
      <c r="D2135" s="168"/>
      <c r="E2135" s="115" t="s">
        <v>4888</v>
      </c>
      <c r="F2135" s="115" t="s">
        <v>650</v>
      </c>
      <c r="G2135" s="101" t="s">
        <v>637</v>
      </c>
      <c r="H2135" s="101" t="s">
        <v>1119</v>
      </c>
      <c r="I2135" s="101" t="s">
        <v>52</v>
      </c>
      <c r="J2135" s="487" t="s">
        <v>53</v>
      </c>
      <c r="K2135" s="101" t="s">
        <v>69</v>
      </c>
      <c r="L2135" s="101" t="s">
        <v>70</v>
      </c>
      <c r="M2135" s="114">
        <v>850</v>
      </c>
      <c r="N2135" s="114"/>
      <c r="O2135" s="101" t="s">
        <v>56</v>
      </c>
      <c r="P2135" s="116">
        <v>60</v>
      </c>
      <c r="Q2135" s="116">
        <v>48</v>
      </c>
      <c r="R2135" s="101">
        <v>48</v>
      </c>
      <c r="S2135" s="116">
        <v>60</v>
      </c>
      <c r="T2135" s="116">
        <v>61</v>
      </c>
      <c r="U2135" s="116">
        <v>49</v>
      </c>
      <c r="V2135" s="404">
        <f>IF(J2135="Canvas",P2135+BorderL,P2135)</f>
        <v>71</v>
      </c>
      <c r="W2135" s="404">
        <f>IF(J2135="Canvas",Q2135+BorderL,Q2135)</f>
        <v>59</v>
      </c>
      <c r="X2135" s="1010">
        <v>63</v>
      </c>
      <c r="Y2135" s="101">
        <v>71</v>
      </c>
      <c r="Z2135" s="101">
        <v>59</v>
      </c>
      <c r="AA2135" s="649">
        <f>V2135*W2135/144</f>
        <v>29.090277777777779</v>
      </c>
      <c r="AB2135" s="184">
        <f>AA2135*IncaG</f>
        <v>612.05944444444447</v>
      </c>
      <c r="AC2135" s="104">
        <f>AA2135*Canvas</f>
        <v>19.199583333333333</v>
      </c>
      <c r="AD2135" s="107">
        <f>AA2135*IncaC</f>
        <v>48.964755555555556</v>
      </c>
      <c r="AE2135" s="104">
        <f>IF(Table1[[#This Row],[Work Center]]="SwissQ",Materials!G$37,IF(Table1[[#This Row],[Work Center]]="Inca",Materials!G$29,IF(Table1[[#This Row],[Work Center]]="Canon",Materials!G$49,Materials!G$45)))</f>
        <v>8</v>
      </c>
      <c r="AF2135" s="102">
        <f>'Cali Frames'!D335</f>
        <v>258.27999999999997</v>
      </c>
      <c r="AG2135" s="115"/>
      <c r="AH2135" s="107">
        <f>(M2135*0.05)</f>
        <v>42.5</v>
      </c>
      <c r="AI2135" s="107"/>
      <c r="AJ2135" s="405">
        <f>SUM(AC2135:AH2135)</f>
        <v>376.94433888888886</v>
      </c>
      <c r="AK2135" s="108">
        <f t="shared" si="780"/>
        <v>0.55653607189542487</v>
      </c>
      <c r="AL2135" s="660">
        <f>Table1[[#This Row],[WSP/Dealer]]/Table1[[#This Row],[OD Sq Inch]]</f>
        <v>0.28437604550016726</v>
      </c>
      <c r="AM2135" s="399">
        <f>Table1[[#This Row],[OD Wdth]]*Table1[[#This Row],[OD Hgt]]</f>
        <v>2989</v>
      </c>
      <c r="AN2135" s="400">
        <f>Table1[[#This Row],[Min VO]]+Table1[[#This Row],[Max VO]]</f>
        <v>108</v>
      </c>
      <c r="AO2135" s="115"/>
      <c r="AP2135" s="115"/>
      <c r="AQ2135" s="121"/>
      <c r="AR2135" s="121"/>
      <c r="AS2135" s="121"/>
      <c r="AT2135" s="104"/>
      <c r="AU2135" s="1359" t="str">
        <f t="shared" si="766"/>
        <v>-</v>
      </c>
    </row>
    <row r="2136" spans="1:47" s="170" customFormat="1" x14ac:dyDescent="0.2">
      <c r="A2136" s="60" t="s">
        <v>58</v>
      </c>
      <c r="B2136" s="1061" t="s">
        <v>96</v>
      </c>
      <c r="C2136" s="75" t="s">
        <v>4887</v>
      </c>
      <c r="D2136" s="94"/>
      <c r="E2136" s="83" t="s">
        <v>4888</v>
      </c>
      <c r="F2136" s="83" t="s">
        <v>650</v>
      </c>
      <c r="G2136" s="60" t="s">
        <v>637</v>
      </c>
      <c r="H2136" s="60" t="s">
        <v>637</v>
      </c>
      <c r="I2136" s="60" t="s">
        <v>52</v>
      </c>
      <c r="J2136" s="59" t="s">
        <v>53</v>
      </c>
      <c r="K2136" s="60" t="s">
        <v>54</v>
      </c>
      <c r="L2136" s="60" t="s">
        <v>55</v>
      </c>
      <c r="M2136" s="179">
        <v>950</v>
      </c>
      <c r="N2136" s="656">
        <v>950</v>
      </c>
      <c r="O2136" s="60" t="s">
        <v>56</v>
      </c>
      <c r="P2136" s="273">
        <v>60</v>
      </c>
      <c r="Q2136" s="273">
        <v>48</v>
      </c>
      <c r="R2136" s="60">
        <v>48</v>
      </c>
      <c r="S2136" s="273">
        <v>60</v>
      </c>
      <c r="T2136" s="273">
        <v>60</v>
      </c>
      <c r="U2136" s="273">
        <v>48</v>
      </c>
      <c r="V2136" s="47">
        <f>IF(J2136="Canvas",P2136+Materials!C$5,P2136)</f>
        <v>67</v>
      </c>
      <c r="W2136" s="47">
        <f>IF(J2136="Canvas",Q2136+Materials!C$5,Q2136)</f>
        <v>55</v>
      </c>
      <c r="X2136" s="138"/>
      <c r="Y2136" s="60">
        <v>67</v>
      </c>
      <c r="Z2136" s="60">
        <v>55</v>
      </c>
      <c r="AA2136" s="717">
        <f>V2136*W2136/144</f>
        <v>25.590277777777779</v>
      </c>
      <c r="AB2136" s="125">
        <f>AA2136*IncaG</f>
        <v>538.41944444444448</v>
      </c>
      <c r="AC2136" s="69">
        <f>AA2136*Canvas</f>
        <v>16.889583333333334</v>
      </c>
      <c r="AD2136" s="48">
        <f>AA2136*IncaC</f>
        <v>43.073555555555558</v>
      </c>
      <c r="AE2136" s="69">
        <f>IF(Table1[[#This Row],[Work Center]]="SwissQ",Materials!G$37,IF(Table1[[#This Row],[Work Center]]="Inca",Materials!G$29,IF(Table1[[#This Row],[Work Center]]="Canon",Materials!G$49,Materials!G$45)))</f>
        <v>8</v>
      </c>
      <c r="AF2136" s="72">
        <f>'Cali FPS'!C121</f>
        <v>188.18</v>
      </c>
      <c r="AG2136" s="83"/>
      <c r="AH2136" s="48">
        <f>(M2136*0.05)</f>
        <v>47.5</v>
      </c>
      <c r="AI2136" s="48"/>
      <c r="AJ2136" s="176">
        <f>SUM(AC2136:AH2136)</f>
        <v>303.64313888888887</v>
      </c>
      <c r="AK2136" s="62">
        <f t="shared" si="780"/>
        <v>0.68037564327485378</v>
      </c>
      <c r="AL2136" s="225">
        <f>Table1[[#This Row],[WSP/Dealer]]/Table1[[#This Row],[OD Sq Inch]]</f>
        <v>0.3298611111111111</v>
      </c>
      <c r="AM2136" s="173">
        <f>Table1[[#This Row],[OD Wdth]]*Table1[[#This Row],[OD Hgt]]</f>
        <v>2880</v>
      </c>
      <c r="AN2136" s="180">
        <f>Table1[[#This Row],[Min VO]]+Table1[[#This Row],[Max VO]]</f>
        <v>108</v>
      </c>
      <c r="AO2136" s="95"/>
      <c r="AP2136" s="83"/>
      <c r="AQ2136" s="540"/>
      <c r="AR2136" s="540"/>
      <c r="AS2136" s="540"/>
      <c r="AT2136" s="69"/>
      <c r="AU2136" s="1355" t="str">
        <f t="shared" si="766"/>
        <v>-</v>
      </c>
    </row>
    <row r="2137" spans="1:47" s="170" customFormat="1" hidden="1" x14ac:dyDescent="0.2">
      <c r="A2137" s="101" t="s">
        <v>101</v>
      </c>
      <c r="B2137" s="1067" t="s">
        <v>102</v>
      </c>
      <c r="C2137" s="719" t="s">
        <v>4890</v>
      </c>
      <c r="D2137" s="168"/>
      <c r="E2137" s="115" t="s">
        <v>4891</v>
      </c>
      <c r="F2137" s="115" t="s">
        <v>105</v>
      </c>
      <c r="G2137" s="101" t="s">
        <v>3365</v>
      </c>
      <c r="H2137" s="101" t="s">
        <v>519</v>
      </c>
      <c r="I2137" s="101" t="s">
        <v>256</v>
      </c>
      <c r="J2137" s="487" t="s">
        <v>257</v>
      </c>
      <c r="K2137" s="551" t="s">
        <v>1315</v>
      </c>
      <c r="L2137" s="101" t="s">
        <v>269</v>
      </c>
      <c r="M2137" s="141">
        <v>175</v>
      </c>
      <c r="N2137" s="114"/>
      <c r="O2137" s="101" t="s">
        <v>260</v>
      </c>
      <c r="P2137" s="697">
        <v>6</v>
      </c>
      <c r="Q2137" s="697">
        <v>8</v>
      </c>
      <c r="R2137" s="101">
        <v>6</v>
      </c>
      <c r="S2137" s="697">
        <v>8</v>
      </c>
      <c r="T2137" s="697">
        <v>16</v>
      </c>
      <c r="U2137" s="697">
        <v>20</v>
      </c>
      <c r="V2137" s="404">
        <f>IF(J2137="Canvas",P2137+BorderL,P2137)</f>
        <v>6</v>
      </c>
      <c r="W2137" s="404">
        <f>IF(J2137="Canvas",Q2137+BorderL,Q2137)</f>
        <v>8</v>
      </c>
      <c r="X2137" s="101" t="s">
        <v>257</v>
      </c>
      <c r="Y2137" s="1346">
        <f>Table1[[#This Row],[Print Wth]]+Materials!$C$7</f>
        <v>8</v>
      </c>
      <c r="Z2137" s="1346">
        <f>Table1[[#This Row],[Print Ht]]+Materials!$C$7</f>
        <v>10</v>
      </c>
      <c r="AA2137" s="903">
        <f>(Table1[[#This Row],[Cut Width]]*Table1[[#This Row],[Cut Height]])/144</f>
        <v>0.55555555555555558</v>
      </c>
      <c r="AB2137" s="1168">
        <f>(Table1[[#This Row],[Print Wth]]*Table1[[#This Row],[Print Ht]])/144*canonML</f>
        <v>1.5999999999999999</v>
      </c>
      <c r="AC2137" s="863">
        <f>Table1[[#This Row],[Substrate SF]]*Paper</f>
        <v>0.75166666666666671</v>
      </c>
      <c r="AD2137" s="862">
        <f>(Table1[[#This Row],[Print Wth]]*Table1[[#This Row],[Print Ht]])/144*CanonC</f>
        <v>0.09</v>
      </c>
      <c r="AE2137" s="863">
        <f>IF(Table1[[#This Row],[Work Center]]="SwissQ",Materials!G$37,IF(Table1[[#This Row],[Work Center]]="Inca",Materials!G$29,IF(Table1[[#This Row],[Work Center]]="Canon",Materials!G$49,Materials!G$45)))</f>
        <v>7</v>
      </c>
      <c r="AF2137" s="102">
        <f>'Cali Frames'!D95</f>
        <v>79.22</v>
      </c>
      <c r="AG2137" s="115"/>
      <c r="AH2137" s="107">
        <v>0</v>
      </c>
      <c r="AI2137" s="107"/>
      <c r="AJ2137" s="405">
        <f>SUM(AC2137:AH2137)</f>
        <v>87.061666666666667</v>
      </c>
      <c r="AK2137" s="108">
        <f t="shared" si="780"/>
        <v>0.5025047619047619</v>
      </c>
      <c r="AL2137" s="660">
        <f>Table1[[#This Row],[WSP/Dealer]]/Table1[[#This Row],[OD Sq Inch]]</f>
        <v>0.546875</v>
      </c>
      <c r="AM2137" s="399">
        <f>Table1[[#This Row],[OD Wdth]]*Table1[[#This Row],[OD Hgt]]</f>
        <v>320</v>
      </c>
      <c r="AN2137" s="400">
        <f>Table1[[#This Row],[Min VO]]+Table1[[#This Row],[Max VO]]</f>
        <v>14</v>
      </c>
      <c r="AO2137" s="115"/>
      <c r="AP2137" s="115"/>
      <c r="AQ2137" s="121"/>
      <c r="AR2137" s="121"/>
      <c r="AS2137" s="121"/>
      <c r="AT2137" s="104"/>
      <c r="AU2137" s="1359" t="str">
        <f t="shared" si="766"/>
        <v>-</v>
      </c>
    </row>
    <row r="2138" spans="1:47" s="170" customFormat="1" hidden="1" x14ac:dyDescent="0.2">
      <c r="A2138" s="68"/>
      <c r="B2138" s="1061"/>
      <c r="C2138" s="94" t="s">
        <v>4892</v>
      </c>
      <c r="D2138" s="94"/>
      <c r="E2138" s="84" t="s">
        <v>4893</v>
      </c>
      <c r="F2138" s="84" t="s">
        <v>960</v>
      </c>
      <c r="G2138" s="68" t="s">
        <v>118</v>
      </c>
      <c r="H2138" s="68"/>
      <c r="I2138" s="68" t="s">
        <v>304</v>
      </c>
      <c r="J2138" s="68" t="s">
        <v>257</v>
      </c>
      <c r="K2138" s="68" t="s">
        <v>258</v>
      </c>
      <c r="L2138" s="68" t="s">
        <v>83</v>
      </c>
      <c r="M2138" s="93"/>
      <c r="N2138" s="71"/>
      <c r="O2138" s="68"/>
      <c r="P2138" s="68"/>
      <c r="Q2138" s="68"/>
      <c r="R2138" s="68"/>
      <c r="S2138" s="68"/>
      <c r="T2138" s="68"/>
      <c r="U2138" s="68"/>
      <c r="V2138" s="66"/>
      <c r="W2138" s="66"/>
      <c r="X2138" s="189"/>
      <c r="Y2138" s="68"/>
      <c r="Z2138" s="68"/>
      <c r="AA2138" s="699"/>
      <c r="AB2138" s="297"/>
      <c r="AC2138" s="74"/>
      <c r="AD2138" s="118"/>
      <c r="AE2138" s="126"/>
      <c r="AF2138" s="73"/>
      <c r="AG2138" s="126"/>
      <c r="AH2138" s="498">
        <f t="shared" ref="AH2138:AH2151" si="781">(M2138*0.05)</f>
        <v>0</v>
      </c>
      <c r="AI2138" s="498"/>
      <c r="AJ2138" s="126"/>
      <c r="AK2138" s="650" t="e">
        <f t="shared" si="780"/>
        <v>#DIV/0!</v>
      </c>
      <c r="AL2138" s="225" t="e">
        <f>Table1[[#This Row],[WSP/Dealer]]/Table1[[#This Row],[OD Sq Inch]]</f>
        <v>#DIV/0!</v>
      </c>
      <c r="AM2138" s="119"/>
      <c r="AN2138" s="216">
        <f>Table1[[#This Row],[Min VO]]+Table1[[#This Row],[Max VO]]</f>
        <v>0</v>
      </c>
      <c r="AO2138" s="84"/>
      <c r="AP2138" s="84"/>
      <c r="AQ2138" s="126"/>
      <c r="AR2138" s="126"/>
      <c r="AS2138" s="126"/>
      <c r="AT2138" s="74"/>
      <c r="AU2138" s="1357" t="str">
        <f t="shared" si="766"/>
        <v>-</v>
      </c>
    </row>
    <row r="2139" spans="1:47" s="170" customFormat="1" hidden="1" x14ac:dyDescent="0.2">
      <c r="A2139" s="101" t="s">
        <v>110</v>
      </c>
      <c r="B2139" s="1067" t="s">
        <v>134</v>
      </c>
      <c r="C2139" s="168" t="s">
        <v>4894</v>
      </c>
      <c r="D2139" s="168"/>
      <c r="E2139" s="115" t="s">
        <v>4895</v>
      </c>
      <c r="F2139" s="115" t="s">
        <v>1269</v>
      </c>
      <c r="G2139" s="101" t="s">
        <v>572</v>
      </c>
      <c r="H2139" s="101" t="s">
        <v>572</v>
      </c>
      <c r="I2139" s="101" t="s">
        <v>52</v>
      </c>
      <c r="J2139" s="487" t="s">
        <v>53</v>
      </c>
      <c r="K2139" s="101" t="s">
        <v>54</v>
      </c>
      <c r="L2139" s="101" t="s">
        <v>55</v>
      </c>
      <c r="M2139" s="299">
        <v>700</v>
      </c>
      <c r="N2139" s="114"/>
      <c r="O2139" s="101" t="s">
        <v>56</v>
      </c>
      <c r="P2139" s="101">
        <v>60</v>
      </c>
      <c r="Q2139" s="101">
        <v>40</v>
      </c>
      <c r="R2139" s="101">
        <v>40</v>
      </c>
      <c r="S2139" s="101">
        <v>60</v>
      </c>
      <c r="T2139" s="101">
        <v>60</v>
      </c>
      <c r="U2139" s="101">
        <v>40</v>
      </c>
      <c r="V2139" s="106">
        <f>IF(J2139="Canvas",P2139+Border,P2139)</f>
        <v>68</v>
      </c>
      <c r="W2139" s="106">
        <f>IF(J2139="Canvas",Q2139+Border,Q2139)</f>
        <v>48</v>
      </c>
      <c r="X2139" s="137">
        <v>69</v>
      </c>
      <c r="Y2139" s="101">
        <v>68</v>
      </c>
      <c r="Z2139" s="101">
        <v>48</v>
      </c>
      <c r="AA2139" s="649">
        <f>V2139*W2139/144</f>
        <v>22.666666666666668</v>
      </c>
      <c r="AB2139" s="184">
        <f>AA2139*IncaG</f>
        <v>476.90666666666669</v>
      </c>
      <c r="AC2139" s="104">
        <f>AA2139*Canvas</f>
        <v>14.96</v>
      </c>
      <c r="AD2139" s="107">
        <f>AA2139*IncaC</f>
        <v>38.152533333333338</v>
      </c>
      <c r="AE2139" s="104">
        <f>IF(Table1[[#This Row],[Work Center]]="SwissQ",Materials!G$37,IF(Table1[[#This Row],[Work Center]]="Inca",Materials!G$29,IF(Table1[[#This Row],[Work Center]]="Canon",Materials!G$49,Materials!G$45)))</f>
        <v>8</v>
      </c>
      <c r="AF2139" s="102">
        <f>'Cali FPS'!C89</f>
        <v>112.01750000000001</v>
      </c>
      <c r="AG2139" s="121"/>
      <c r="AH2139" s="406">
        <f t="shared" si="781"/>
        <v>35</v>
      </c>
      <c r="AI2139" s="406">
        <f>IF(A2139="Codarus",(M2139*0.13))</f>
        <v>91</v>
      </c>
      <c r="AJ2139" s="104">
        <f>SUM(AC2139:AI2139)</f>
        <v>299.13003333333336</v>
      </c>
      <c r="AK2139" s="1065">
        <f t="shared" si="780"/>
        <v>0.5726713809523809</v>
      </c>
      <c r="AL2139" s="406">
        <f>Table1[[#This Row],[WSP/Dealer]]/Table1[[#This Row],[OD Sq Inch]]</f>
        <v>0.29166666666666669</v>
      </c>
      <c r="AM2139" s="399">
        <f>Table1[[#This Row],[OD Wdth]]*Table1[[#This Row],[OD Hgt]]</f>
        <v>2400</v>
      </c>
      <c r="AN2139" s="400">
        <f>Table1[[#This Row],[Min VO]]+Table1[[#This Row],[Max VO]]</f>
        <v>100</v>
      </c>
      <c r="AO2139" s="115"/>
      <c r="AP2139" s="1307">
        <f>(M2139*2)</f>
        <v>1400</v>
      </c>
      <c r="AQ2139" s="121">
        <f>(Table1[[#This Row],[Desgnr/Retail P]]*0.05)</f>
        <v>70</v>
      </c>
      <c r="AR2139" s="121">
        <f>IF(A2139="Codarus",(AP2139*0.13))</f>
        <v>182</v>
      </c>
      <c r="AS2139" s="121">
        <f>SUM(Table1[[#This Row],[Substrate $]:[GP FINISH]])+Table1[[#This Row],[Retail Royalty]]+Table1[[#This Row],[Retail$Comm]]</f>
        <v>425.13003333333336</v>
      </c>
      <c r="AT2139" s="830">
        <f>IF(AP2139=0,"-",(AP2139-AS2139)/AP2139)</f>
        <v>0.69633569047619048</v>
      </c>
      <c r="AU2139" s="1359">
        <f t="shared" si="766"/>
        <v>0.99005234727891156</v>
      </c>
    </row>
    <row r="2140" spans="1:47" s="170" customFormat="1" x14ac:dyDescent="0.2">
      <c r="A2140" s="86" t="s">
        <v>58</v>
      </c>
      <c r="B2140" s="1061" t="s">
        <v>406</v>
      </c>
      <c r="C2140" s="76" t="s">
        <v>4896</v>
      </c>
      <c r="D2140" s="94" t="s">
        <v>4897</v>
      </c>
      <c r="E2140" s="85" t="s">
        <v>4898</v>
      </c>
      <c r="F2140" s="85" t="s">
        <v>114</v>
      </c>
      <c r="G2140" s="86" t="s">
        <v>2148</v>
      </c>
      <c r="H2140" s="86" t="s">
        <v>133</v>
      </c>
      <c r="I2140" s="86" t="s">
        <v>52</v>
      </c>
      <c r="J2140" s="86" t="s">
        <v>53</v>
      </c>
      <c r="K2140" s="86" t="s">
        <v>69</v>
      </c>
      <c r="L2140" s="86" t="s">
        <v>73</v>
      </c>
      <c r="M2140" s="87">
        <v>748</v>
      </c>
      <c r="N2140" s="639">
        <v>825</v>
      </c>
      <c r="O2140" s="101" t="s">
        <v>64</v>
      </c>
      <c r="P2140" s="101">
        <v>36</v>
      </c>
      <c r="Q2140" s="101">
        <v>48</v>
      </c>
      <c r="R2140" s="60">
        <v>36</v>
      </c>
      <c r="S2140" s="273">
        <v>48</v>
      </c>
      <c r="T2140" s="101">
        <v>37</v>
      </c>
      <c r="U2140" s="101">
        <v>48</v>
      </c>
      <c r="V2140" s="106">
        <f>IF(J2140="Canvas",P2140+Border,P2140)</f>
        <v>44</v>
      </c>
      <c r="W2140" s="106">
        <f>IF(J2140="Canvas",Q2140+Border,Q2140)</f>
        <v>56</v>
      </c>
      <c r="X2140" s="137" t="s">
        <v>152</v>
      </c>
      <c r="Y2140" s="101"/>
      <c r="Z2140" s="101"/>
      <c r="AA2140" s="649">
        <f>V2140*W2140/144</f>
        <v>17.111111111111111</v>
      </c>
      <c r="AB2140" s="389">
        <f>AA2140*Swiss1</f>
        <v>484.24444444444447</v>
      </c>
      <c r="AC2140" s="143">
        <f>Table1[[#This Row],[Substrate SF]]*Canvas</f>
        <v>11.293333333333333</v>
      </c>
      <c r="AD2140" s="21">
        <f>Table1[[#This Row],[Substrate SF]]*Materials!C$37</f>
        <v>47.911111111111104</v>
      </c>
      <c r="AE2140" s="104">
        <f>IF(Table1[[#This Row],[Work Center]]="SwissQ",Materials!G$37,IF(Table1[[#This Row],[Work Center]]="Inca",Materials!G$29,IF(Table1[[#This Row],[Work Center]]="Canon",Materials!G$49,Materials!G$45)))</f>
        <v>20</v>
      </c>
      <c r="AF2140" s="74">
        <f>'Cali Frames'!D$436</f>
        <v>145.70500000000001</v>
      </c>
      <c r="AG2140" s="115"/>
      <c r="AH2140" s="498">
        <f t="shared" si="781"/>
        <v>37.4</v>
      </c>
      <c r="AI2140" s="498"/>
      <c r="AJ2140" s="104">
        <f>SUM(AC2140:AH2140)</f>
        <v>262.30944444444441</v>
      </c>
      <c r="AK2140" s="650">
        <f t="shared" si="780"/>
        <v>0.64931892453951279</v>
      </c>
      <c r="AL2140" s="225">
        <f>Table1[[#This Row],[WSP/Dealer]]/Table1[[#This Row],[OD Sq Inch]]</f>
        <v>0.42117117117117114</v>
      </c>
      <c r="AM2140" s="218">
        <f>Table1[[#This Row],[OD Wdth]]*Table1[[#This Row],[OD Hgt]]</f>
        <v>1776</v>
      </c>
      <c r="AN2140" s="216">
        <f>Table1[[#This Row],[Min VO]]+Table1[[#This Row],[Max VO]]</f>
        <v>84</v>
      </c>
      <c r="AO2140" s="101"/>
      <c r="AP2140" s="101"/>
      <c r="AQ2140" s="104"/>
      <c r="AR2140" s="104"/>
      <c r="AS2140" s="104"/>
      <c r="AT2140" s="104"/>
      <c r="AU2140" s="830" t="str">
        <f t="shared" si="766"/>
        <v>-</v>
      </c>
    </row>
    <row r="2141" spans="1:47" s="170" customFormat="1" x14ac:dyDescent="0.2">
      <c r="A2141" s="86" t="s">
        <v>58</v>
      </c>
      <c r="B2141" s="1061" t="s">
        <v>669</v>
      </c>
      <c r="C2141" s="100" t="s">
        <v>4899</v>
      </c>
      <c r="D2141" s="94" t="s">
        <v>4900</v>
      </c>
      <c r="E2141" s="85" t="s">
        <v>4898</v>
      </c>
      <c r="F2141" s="85" t="s">
        <v>114</v>
      </c>
      <c r="G2141" s="86" t="s">
        <v>132</v>
      </c>
      <c r="H2141" s="86" t="s">
        <v>133</v>
      </c>
      <c r="I2141" s="86" t="s">
        <v>52</v>
      </c>
      <c r="J2141" s="86" t="s">
        <v>283</v>
      </c>
      <c r="K2141" s="86" t="s">
        <v>69</v>
      </c>
      <c r="L2141" s="86" t="s">
        <v>73</v>
      </c>
      <c r="M2141" s="87">
        <v>748</v>
      </c>
      <c r="N2141" s="639">
        <v>825</v>
      </c>
      <c r="O2141" s="101" t="s">
        <v>64</v>
      </c>
      <c r="P2141" s="101">
        <v>36</v>
      </c>
      <c r="Q2141" s="101">
        <v>48</v>
      </c>
      <c r="R2141" s="60">
        <v>36</v>
      </c>
      <c r="S2141" s="273">
        <v>48</v>
      </c>
      <c r="T2141" s="101">
        <v>37</v>
      </c>
      <c r="U2141" s="101" t="str">
        <f>RIGHT(H2141,2)</f>
        <v>49</v>
      </c>
      <c r="V2141" s="608">
        <f>IF(J2141="Canvas",P2141+Border,P2141)</f>
        <v>36</v>
      </c>
      <c r="W2141" s="608">
        <f>IF(J2141="Canvas",Q2141+Border,Q2141)</f>
        <v>48</v>
      </c>
      <c r="X2141" s="137" t="str">
        <f>J2141</f>
        <v>MDF</v>
      </c>
      <c r="Y2141" s="101"/>
      <c r="Z2141" s="101"/>
      <c r="AA2141" s="649">
        <f>V2141*W2141/144</f>
        <v>12</v>
      </c>
      <c r="AB2141" s="184">
        <f>Table1[[#This Row],[Substrate SF]]*Swiss1</f>
        <v>339.6</v>
      </c>
      <c r="AC2141" s="104">
        <f>MDFSHEET/2</f>
        <v>12.175000000000001</v>
      </c>
      <c r="AD2141" s="107">
        <f>Table1[[#This Row],[Substrate SF]]*Materials!C$37</f>
        <v>33.599999999999994</v>
      </c>
      <c r="AE2141" s="104">
        <f>IF(Table1[[#This Row],[Work Center]]="SwissQ",Materials!G$37,IF(Table1[[#This Row],[Work Center]]="Inca",Materials!G$29,IF(Table1[[#This Row],[Work Center]]="Canon",Materials!G$49,Materials!G$45)))</f>
        <v>20</v>
      </c>
      <c r="AF2141" s="74">
        <f>'Cali Frames'!D$527</f>
        <v>136.82</v>
      </c>
      <c r="AG2141" s="115"/>
      <c r="AH2141" s="498">
        <f t="shared" si="781"/>
        <v>37.4</v>
      </c>
      <c r="AI2141" s="498"/>
      <c r="AJ2141" s="104">
        <f>SUM(AC2141:AH2141)</f>
        <v>239.99499999999998</v>
      </c>
      <c r="AK2141" s="650">
        <f t="shared" si="780"/>
        <v>0.67915106951871662</v>
      </c>
      <c r="AL2141" s="225">
        <f>Table1[[#This Row],[WSP/Dealer]]/Table1[[#This Row],[OD Sq Inch]]</f>
        <v>0.4125758411472697</v>
      </c>
      <c r="AM2141" s="218">
        <f>Table1[[#This Row],[OD Wdth]]*Table1[[#This Row],[OD Hgt]]</f>
        <v>1813</v>
      </c>
      <c r="AN2141" s="216">
        <f>Table1[[#This Row],[Min VO]]+Table1[[#This Row],[Max VO]]</f>
        <v>84</v>
      </c>
      <c r="AO2141" s="101"/>
      <c r="AP2141" s="101"/>
      <c r="AQ2141" s="104"/>
      <c r="AR2141" s="104"/>
      <c r="AS2141" s="104"/>
      <c r="AT2141" s="104"/>
      <c r="AU2141" s="830" t="str">
        <f t="shared" si="766"/>
        <v>-</v>
      </c>
    </row>
    <row r="2142" spans="1:47" s="173" customFormat="1" hidden="1" x14ac:dyDescent="0.2">
      <c r="A2142" s="373" t="s">
        <v>187</v>
      </c>
      <c r="B2142" s="1061" t="s">
        <v>188</v>
      </c>
      <c r="C2142" s="78" t="s">
        <v>4901</v>
      </c>
      <c r="D2142" s="94"/>
      <c r="E2142" s="84" t="s">
        <v>4902</v>
      </c>
      <c r="F2142" s="84" t="s">
        <v>114</v>
      </c>
      <c r="G2142" s="68" t="s">
        <v>2148</v>
      </c>
      <c r="H2142" s="258" t="s">
        <v>133</v>
      </c>
      <c r="I2142" s="68" t="s">
        <v>52</v>
      </c>
      <c r="J2142" s="140" t="s">
        <v>53</v>
      </c>
      <c r="K2142" s="68" t="s">
        <v>69</v>
      </c>
      <c r="L2142" s="68" t="s">
        <v>70</v>
      </c>
      <c r="M2142" s="93">
        <v>2950</v>
      </c>
      <c r="N2142" s="71"/>
      <c r="O2142" s="68" t="s">
        <v>64</v>
      </c>
      <c r="P2142" s="68"/>
      <c r="Q2142" s="68"/>
      <c r="R2142" s="68"/>
      <c r="S2142" s="623"/>
      <c r="T2142" s="68"/>
      <c r="U2142" s="68"/>
      <c r="V2142" s="66"/>
      <c r="W2142" s="66"/>
      <c r="X2142" s="189"/>
      <c r="Y2142" s="68"/>
      <c r="Z2142" s="68"/>
      <c r="AA2142" s="699"/>
      <c r="AB2142" s="297"/>
      <c r="AC2142" s="74"/>
      <c r="AD2142" s="118"/>
      <c r="AE2142" s="126"/>
      <c r="AF2142" s="73"/>
      <c r="AG2142" s="84"/>
      <c r="AH2142" s="498">
        <f t="shared" si="781"/>
        <v>147.5</v>
      </c>
      <c r="AI2142" s="498"/>
      <c r="AJ2142" s="118"/>
      <c r="AK2142" s="650">
        <f t="shared" si="780"/>
        <v>1</v>
      </c>
      <c r="AL2142" s="225" t="e">
        <f>Table1[[#This Row],[WSP/Dealer]]/Table1[[#This Row],[OD Sq Inch]]</f>
        <v>#DIV/0!</v>
      </c>
      <c r="AM2142" s="119"/>
      <c r="AN2142" s="84"/>
      <c r="AO2142" s="84"/>
      <c r="AP2142" s="84"/>
      <c r="AQ2142" s="126"/>
      <c r="AR2142" s="126"/>
      <c r="AS2142" s="126"/>
      <c r="AT2142" s="74"/>
      <c r="AU2142" s="1357" t="str">
        <f t="shared" si="766"/>
        <v>-</v>
      </c>
    </row>
    <row r="2143" spans="1:47" s="170" customFormat="1" hidden="1" x14ac:dyDescent="0.2">
      <c r="A2143" s="373" t="s">
        <v>187</v>
      </c>
      <c r="B2143" s="1061" t="s">
        <v>188</v>
      </c>
      <c r="C2143" s="78" t="s">
        <v>4903</v>
      </c>
      <c r="D2143" s="94"/>
      <c r="E2143" s="84" t="s">
        <v>4902</v>
      </c>
      <c r="F2143" s="84" t="s">
        <v>114</v>
      </c>
      <c r="G2143" s="68" t="s">
        <v>2148</v>
      </c>
      <c r="H2143" s="68" t="s">
        <v>2148</v>
      </c>
      <c r="I2143" s="68" t="s">
        <v>52</v>
      </c>
      <c r="J2143" s="140" t="s">
        <v>53</v>
      </c>
      <c r="K2143" s="68" t="s">
        <v>54</v>
      </c>
      <c r="L2143" s="68" t="s">
        <v>55</v>
      </c>
      <c r="M2143" s="93">
        <v>2550</v>
      </c>
      <c r="N2143" s="71"/>
      <c r="O2143" s="68" t="s">
        <v>64</v>
      </c>
      <c r="P2143" s="68"/>
      <c r="Q2143" s="68"/>
      <c r="R2143" s="68"/>
      <c r="S2143" s="623"/>
      <c r="T2143" s="68"/>
      <c r="U2143" s="68"/>
      <c r="V2143" s="917"/>
      <c r="W2143" s="917"/>
      <c r="X2143" s="189"/>
      <c r="Y2143" s="68"/>
      <c r="Z2143" s="68"/>
      <c r="AA2143" s="699"/>
      <c r="AB2143" s="297"/>
      <c r="AC2143" s="74"/>
      <c r="AD2143" s="118"/>
      <c r="AE2143" s="126"/>
      <c r="AF2143" s="73"/>
      <c r="AG2143" s="84"/>
      <c r="AH2143" s="498">
        <f t="shared" si="781"/>
        <v>127.5</v>
      </c>
      <c r="AI2143" s="498"/>
      <c r="AJ2143" s="126"/>
      <c r="AK2143" s="650">
        <f t="shared" si="780"/>
        <v>1</v>
      </c>
      <c r="AL2143" s="225" t="e">
        <f>Table1[[#This Row],[WSP/Dealer]]/Table1[[#This Row],[OD Sq Inch]]</f>
        <v>#DIV/0!</v>
      </c>
      <c r="AM2143" s="119"/>
      <c r="AN2143" s="84"/>
      <c r="AO2143" s="84"/>
      <c r="AP2143" s="84"/>
      <c r="AQ2143" s="126"/>
      <c r="AR2143" s="126"/>
      <c r="AS2143" s="126"/>
      <c r="AT2143" s="74"/>
      <c r="AU2143" s="1357" t="str">
        <f t="shared" si="766"/>
        <v>-</v>
      </c>
    </row>
    <row r="2144" spans="1:47" s="399" customFormat="1" hidden="1" x14ac:dyDescent="0.2">
      <c r="A2144" s="373" t="s">
        <v>187</v>
      </c>
      <c r="B2144" s="1061" t="s">
        <v>188</v>
      </c>
      <c r="C2144" s="78" t="s">
        <v>4904</v>
      </c>
      <c r="D2144" s="94"/>
      <c r="E2144" s="84" t="s">
        <v>4902</v>
      </c>
      <c r="F2144" s="84" t="s">
        <v>114</v>
      </c>
      <c r="G2144" s="68" t="s">
        <v>2148</v>
      </c>
      <c r="H2144" s="258" t="s">
        <v>133</v>
      </c>
      <c r="I2144" s="68" t="s">
        <v>52</v>
      </c>
      <c r="J2144" s="140" t="s">
        <v>53</v>
      </c>
      <c r="K2144" s="68" t="s">
        <v>69</v>
      </c>
      <c r="L2144" s="68" t="s">
        <v>73</v>
      </c>
      <c r="M2144" s="93">
        <v>2950</v>
      </c>
      <c r="N2144" s="71"/>
      <c r="O2144" s="68" t="s">
        <v>64</v>
      </c>
      <c r="P2144" s="68"/>
      <c r="Q2144" s="68"/>
      <c r="R2144" s="68"/>
      <c r="S2144" s="623"/>
      <c r="T2144" s="68"/>
      <c r="U2144" s="68"/>
      <c r="V2144" s="66"/>
      <c r="W2144" s="66"/>
      <c r="X2144" s="189"/>
      <c r="Y2144" s="68"/>
      <c r="Z2144" s="68"/>
      <c r="AA2144" s="699"/>
      <c r="AB2144" s="297"/>
      <c r="AC2144" s="74"/>
      <c r="AD2144" s="118"/>
      <c r="AE2144" s="126"/>
      <c r="AF2144" s="73"/>
      <c r="AG2144" s="84"/>
      <c r="AH2144" s="498">
        <f t="shared" si="781"/>
        <v>147.5</v>
      </c>
      <c r="AI2144" s="498"/>
      <c r="AJ2144" s="126"/>
      <c r="AK2144" s="650">
        <f t="shared" si="780"/>
        <v>1</v>
      </c>
      <c r="AL2144" s="225" t="e">
        <f>Table1[[#This Row],[WSP/Dealer]]/Table1[[#This Row],[OD Sq Inch]]</f>
        <v>#DIV/0!</v>
      </c>
      <c r="AM2144" s="119"/>
      <c r="AN2144" s="84"/>
      <c r="AO2144" s="84"/>
      <c r="AP2144" s="84"/>
      <c r="AQ2144" s="126"/>
      <c r="AR2144" s="126"/>
      <c r="AS2144" s="126"/>
      <c r="AT2144" s="74"/>
      <c r="AU2144" s="1357" t="str">
        <f t="shared" si="766"/>
        <v>-</v>
      </c>
    </row>
    <row r="2145" spans="1:47" s="170" customFormat="1" hidden="1" x14ac:dyDescent="0.2">
      <c r="A2145" s="373" t="s">
        <v>187</v>
      </c>
      <c r="B2145" s="1061" t="s">
        <v>188</v>
      </c>
      <c r="C2145" s="78" t="s">
        <v>4905</v>
      </c>
      <c r="D2145" s="94"/>
      <c r="E2145" s="84" t="s">
        <v>4906</v>
      </c>
      <c r="F2145" s="84" t="s">
        <v>114</v>
      </c>
      <c r="G2145" s="68" t="s">
        <v>2148</v>
      </c>
      <c r="H2145" s="274" t="s">
        <v>2148</v>
      </c>
      <c r="I2145" s="274" t="s">
        <v>108</v>
      </c>
      <c r="J2145" s="68" t="s">
        <v>197</v>
      </c>
      <c r="K2145" s="274" t="s">
        <v>198</v>
      </c>
      <c r="L2145" s="274" t="s">
        <v>199</v>
      </c>
      <c r="M2145" s="696">
        <v>90</v>
      </c>
      <c r="N2145" s="71"/>
      <c r="O2145" s="274" t="s">
        <v>64</v>
      </c>
      <c r="P2145" s="274">
        <v>36</v>
      </c>
      <c r="Q2145" s="274">
        <v>48</v>
      </c>
      <c r="R2145" s="274">
        <v>36</v>
      </c>
      <c r="S2145" s="274">
        <v>48</v>
      </c>
      <c r="T2145" s="274">
        <v>36</v>
      </c>
      <c r="U2145" s="274">
        <v>48</v>
      </c>
      <c r="V2145" s="686">
        <f>Table1[[#This Row],[VO Wdth]]+Materials!$C$7</f>
        <v>38</v>
      </c>
      <c r="W2145" s="686">
        <f>Table1[[#This Row],[VO Hgt]]+Materials!$C$7</f>
        <v>50</v>
      </c>
      <c r="X2145" s="343" t="s">
        <v>197</v>
      </c>
      <c r="Y2145" s="68"/>
      <c r="Z2145" s="68"/>
      <c r="AA2145" s="699">
        <f>V2145*W2145/144</f>
        <v>13.194444444444445</v>
      </c>
      <c r="AB2145" s="341">
        <f>AA2145*SWISSRML</f>
        <v>26.388888888888889</v>
      </c>
      <c r="AC2145" s="74">
        <f>Table1[[#This Row],[Substrate SF]]*POster</f>
        <v>9.8166666666666664</v>
      </c>
      <c r="AD2145" s="263">
        <f>Table1[[#This Row],[Substrate SF]]*SWISSRC</f>
        <v>2.9027777777777777</v>
      </c>
      <c r="AE2145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145" s="73">
        <v>0</v>
      </c>
      <c r="AG2145" s="126">
        <f>Materials!D$76</f>
        <v>10.82</v>
      </c>
      <c r="AH2145" s="498">
        <f t="shared" si="781"/>
        <v>4.5</v>
      </c>
      <c r="AI2145" s="498"/>
      <c r="AJ2145" s="278">
        <f>SUM(AC2145:AH2145)</f>
        <v>38.039444444444442</v>
      </c>
      <c r="AK2145" s="650">
        <f t="shared" si="780"/>
        <v>0.57733950617283958</v>
      </c>
      <c r="AL2145" s="225">
        <f>Table1[[#This Row],[WSP/Dealer]]/Table1[[#This Row],[OD Sq Inch]]</f>
        <v>5.2083333333333336E-2</v>
      </c>
      <c r="AM2145" s="170">
        <f>Table1[[#This Row],[OD Wdth]]*Table1[[#This Row],[OD Hgt]]</f>
        <v>1728</v>
      </c>
      <c r="AN2145" s="84"/>
      <c r="AO2145" s="84"/>
      <c r="AP2145" s="84"/>
      <c r="AQ2145" s="126"/>
      <c r="AR2145" s="126"/>
      <c r="AS2145" s="126"/>
      <c r="AT2145" s="74"/>
      <c r="AU2145" s="1357" t="str">
        <f t="shared" si="766"/>
        <v>-</v>
      </c>
    </row>
    <row r="2146" spans="1:47" s="170" customFormat="1" hidden="1" x14ac:dyDescent="0.2">
      <c r="A2146" s="373" t="s">
        <v>187</v>
      </c>
      <c r="B2146" s="1061" t="s">
        <v>188</v>
      </c>
      <c r="C2146" s="78" t="s">
        <v>4907</v>
      </c>
      <c r="D2146" s="94"/>
      <c r="E2146" s="84" t="s">
        <v>4908</v>
      </c>
      <c r="F2146" s="84" t="s">
        <v>114</v>
      </c>
      <c r="G2146" s="68" t="s">
        <v>2148</v>
      </c>
      <c r="H2146" s="258" t="s">
        <v>133</v>
      </c>
      <c r="I2146" s="68" t="s">
        <v>52</v>
      </c>
      <c r="J2146" s="140" t="s">
        <v>53</v>
      </c>
      <c r="K2146" s="166" t="s">
        <v>69</v>
      </c>
      <c r="L2146" s="166" t="s">
        <v>70</v>
      </c>
      <c r="M2146" s="93">
        <v>2950</v>
      </c>
      <c r="N2146" s="71"/>
      <c r="O2146" s="68" t="s">
        <v>64</v>
      </c>
      <c r="P2146" s="68"/>
      <c r="Q2146" s="68"/>
      <c r="R2146" s="68"/>
      <c r="S2146" s="623"/>
      <c r="T2146" s="68"/>
      <c r="U2146" s="68"/>
      <c r="V2146" s="917"/>
      <c r="W2146" s="917"/>
      <c r="X2146" s="189"/>
      <c r="Y2146" s="68"/>
      <c r="Z2146" s="68"/>
      <c r="AA2146" s="699"/>
      <c r="AB2146" s="297"/>
      <c r="AC2146" s="74"/>
      <c r="AD2146" s="118"/>
      <c r="AE2146" s="126"/>
      <c r="AF2146" s="73"/>
      <c r="AG2146" s="84"/>
      <c r="AH2146" s="112">
        <f t="shared" si="781"/>
        <v>147.5</v>
      </c>
      <c r="AI2146" s="112"/>
      <c r="AJ2146" s="126"/>
      <c r="AK2146" s="62">
        <f t="shared" si="780"/>
        <v>1</v>
      </c>
      <c r="AL2146" s="225" t="e">
        <f>Table1[[#This Row],[WSP/Dealer]]/Table1[[#This Row],[OD Sq Inch]]</f>
        <v>#DIV/0!</v>
      </c>
      <c r="AM2146" s="119"/>
      <c r="AN2146" s="84"/>
      <c r="AO2146" s="84"/>
      <c r="AP2146" s="84"/>
      <c r="AQ2146" s="126"/>
      <c r="AR2146" s="126"/>
      <c r="AS2146" s="126"/>
      <c r="AT2146" s="74"/>
      <c r="AU2146" s="1357" t="str">
        <f t="shared" si="766"/>
        <v>-</v>
      </c>
    </row>
    <row r="2147" spans="1:47" s="1427" customFormat="1" hidden="1" x14ac:dyDescent="0.2">
      <c r="A2147" s="373" t="s">
        <v>187</v>
      </c>
      <c r="B2147" s="1061" t="s">
        <v>188</v>
      </c>
      <c r="C2147" s="78" t="s">
        <v>4909</v>
      </c>
      <c r="D2147" s="94"/>
      <c r="E2147" s="84" t="s">
        <v>4908</v>
      </c>
      <c r="F2147" s="84" t="s">
        <v>114</v>
      </c>
      <c r="G2147" s="68" t="s">
        <v>2148</v>
      </c>
      <c r="H2147" s="68" t="s">
        <v>2148</v>
      </c>
      <c r="I2147" s="68" t="s">
        <v>52</v>
      </c>
      <c r="J2147" s="140" t="s">
        <v>53</v>
      </c>
      <c r="K2147" s="560" t="s">
        <v>54</v>
      </c>
      <c r="L2147" s="560" t="s">
        <v>55</v>
      </c>
      <c r="M2147" s="93">
        <v>2550</v>
      </c>
      <c r="N2147" s="71"/>
      <c r="O2147" s="68" t="s">
        <v>64</v>
      </c>
      <c r="P2147" s="68"/>
      <c r="Q2147" s="68"/>
      <c r="R2147" s="68"/>
      <c r="S2147" s="623"/>
      <c r="T2147" s="68"/>
      <c r="U2147" s="68"/>
      <c r="V2147" s="66"/>
      <c r="W2147" s="66"/>
      <c r="X2147" s="189"/>
      <c r="Y2147" s="68"/>
      <c r="Z2147" s="68"/>
      <c r="AA2147" s="699"/>
      <c r="AB2147" s="297"/>
      <c r="AC2147" s="74"/>
      <c r="AD2147" s="118"/>
      <c r="AE2147" s="126"/>
      <c r="AF2147" s="73"/>
      <c r="AG2147" s="84"/>
      <c r="AH2147" s="112">
        <f t="shared" si="781"/>
        <v>127.5</v>
      </c>
      <c r="AI2147" s="112"/>
      <c r="AJ2147" s="126"/>
      <c r="AK2147" s="62">
        <f t="shared" si="780"/>
        <v>1</v>
      </c>
      <c r="AL2147" s="225" t="e">
        <f>Table1[[#This Row],[WSP/Dealer]]/Table1[[#This Row],[OD Sq Inch]]</f>
        <v>#DIV/0!</v>
      </c>
      <c r="AM2147" s="119"/>
      <c r="AN2147" s="84"/>
      <c r="AO2147" s="84"/>
      <c r="AP2147" s="84"/>
      <c r="AQ2147" s="126"/>
      <c r="AR2147" s="126"/>
      <c r="AS2147" s="126"/>
      <c r="AT2147" s="74"/>
      <c r="AU2147" s="1357" t="str">
        <f t="shared" si="766"/>
        <v>-</v>
      </c>
    </row>
    <row r="2148" spans="1:47" s="170" customFormat="1" hidden="1" x14ac:dyDescent="0.2">
      <c r="A2148" s="373" t="s">
        <v>187</v>
      </c>
      <c r="B2148" s="1061" t="s">
        <v>188</v>
      </c>
      <c r="C2148" s="78" t="s">
        <v>4910</v>
      </c>
      <c r="D2148" s="94"/>
      <c r="E2148" s="84" t="s">
        <v>4908</v>
      </c>
      <c r="F2148" s="84" t="s">
        <v>114</v>
      </c>
      <c r="G2148" s="68" t="s">
        <v>2148</v>
      </c>
      <c r="H2148" s="258" t="s">
        <v>133</v>
      </c>
      <c r="I2148" s="68" t="s">
        <v>52</v>
      </c>
      <c r="J2148" s="140" t="s">
        <v>53</v>
      </c>
      <c r="K2148" s="166" t="s">
        <v>69</v>
      </c>
      <c r="L2148" s="166" t="s">
        <v>73</v>
      </c>
      <c r="M2148" s="93">
        <v>2950</v>
      </c>
      <c r="N2148" s="71"/>
      <c r="O2148" s="68" t="s">
        <v>64</v>
      </c>
      <c r="P2148" s="68"/>
      <c r="Q2148" s="68"/>
      <c r="R2148" s="68"/>
      <c r="S2148" s="623"/>
      <c r="T2148" s="68"/>
      <c r="U2148" s="68"/>
      <c r="V2148" s="66"/>
      <c r="W2148" s="66"/>
      <c r="X2148" s="189"/>
      <c r="Y2148" s="68"/>
      <c r="Z2148" s="68"/>
      <c r="AA2148" s="699"/>
      <c r="AB2148" s="297"/>
      <c r="AC2148" s="74"/>
      <c r="AD2148" s="118"/>
      <c r="AE2148" s="126"/>
      <c r="AF2148" s="73"/>
      <c r="AG2148" s="84"/>
      <c r="AH2148" s="112">
        <f t="shared" si="781"/>
        <v>147.5</v>
      </c>
      <c r="AI2148" s="112"/>
      <c r="AJ2148" s="126"/>
      <c r="AK2148" s="62">
        <f t="shared" si="780"/>
        <v>1</v>
      </c>
      <c r="AL2148" s="225" t="e">
        <f>Table1[[#This Row],[WSP/Dealer]]/Table1[[#This Row],[OD Sq Inch]]</f>
        <v>#DIV/0!</v>
      </c>
      <c r="AM2148" s="119"/>
      <c r="AN2148" s="84"/>
      <c r="AO2148" s="84"/>
      <c r="AP2148" s="84"/>
      <c r="AQ2148" s="126"/>
      <c r="AR2148" s="126"/>
      <c r="AS2148" s="126"/>
      <c r="AT2148" s="74"/>
      <c r="AU2148" s="1357" t="str">
        <f t="shared" si="766"/>
        <v>-</v>
      </c>
    </row>
    <row r="2149" spans="1:47" s="1427" customFormat="1" x14ac:dyDescent="0.2">
      <c r="A2149" s="86" t="s">
        <v>58</v>
      </c>
      <c r="B2149" s="279" t="s">
        <v>669</v>
      </c>
      <c r="C2149" s="100" t="s">
        <v>4911</v>
      </c>
      <c r="D2149" s="94" t="s">
        <v>4912</v>
      </c>
      <c r="E2149" s="85" t="s">
        <v>4908</v>
      </c>
      <c r="F2149" s="85" t="s">
        <v>114</v>
      </c>
      <c r="G2149" s="86" t="s">
        <v>132</v>
      </c>
      <c r="H2149" s="86" t="s">
        <v>133</v>
      </c>
      <c r="I2149" s="86" t="s">
        <v>52</v>
      </c>
      <c r="J2149" s="86" t="s">
        <v>283</v>
      </c>
      <c r="K2149" s="86" t="s">
        <v>69</v>
      </c>
      <c r="L2149" s="86" t="s">
        <v>73</v>
      </c>
      <c r="M2149" s="87">
        <v>748</v>
      </c>
      <c r="N2149" s="639">
        <v>825</v>
      </c>
      <c r="O2149" s="101" t="s">
        <v>64</v>
      </c>
      <c r="P2149" s="101">
        <v>36</v>
      </c>
      <c r="Q2149" s="101">
        <v>48</v>
      </c>
      <c r="R2149" s="60">
        <v>36</v>
      </c>
      <c r="S2149" s="273">
        <v>48</v>
      </c>
      <c r="T2149" s="101">
        <v>37</v>
      </c>
      <c r="U2149" s="101" t="str">
        <f>RIGHT(H2149,2)</f>
        <v>49</v>
      </c>
      <c r="V2149" s="608">
        <f>IF(J2149="Canvas",P2149+Border,P2149)</f>
        <v>36</v>
      </c>
      <c r="W2149" s="608">
        <f>IF(J2149="Canvas",Q2149+Border,Q2149)</f>
        <v>48</v>
      </c>
      <c r="X2149" s="137" t="str">
        <f>J2149</f>
        <v>MDF</v>
      </c>
      <c r="Y2149" s="101"/>
      <c r="Z2149" s="101"/>
      <c r="AA2149" s="649">
        <f>V2149*W2149/144</f>
        <v>12</v>
      </c>
      <c r="AB2149" s="184">
        <f>Table1[[#This Row],[Substrate SF]]*Swiss1</f>
        <v>339.6</v>
      </c>
      <c r="AC2149" s="104">
        <f>MDFSHEET/2</f>
        <v>12.175000000000001</v>
      </c>
      <c r="AD2149" s="104">
        <f>Table1[[#This Row],[Substrate SF]]*Materials!C$37</f>
        <v>33.599999999999994</v>
      </c>
      <c r="AE2149" s="104">
        <f>IF(Table1[[#This Row],[Work Center]]="SwissQ",Materials!G$37,IF(Table1[[#This Row],[Work Center]]="Inca",Materials!G$29,IF(Table1[[#This Row],[Work Center]]="Canon",Materials!G$49,Materials!G$45)))</f>
        <v>20</v>
      </c>
      <c r="AF2149" s="74">
        <f>'Cali Frames'!D$527</f>
        <v>136.82</v>
      </c>
      <c r="AG2149" s="115"/>
      <c r="AH2149" s="498">
        <f t="shared" si="781"/>
        <v>37.4</v>
      </c>
      <c r="AI2149" s="498"/>
      <c r="AJ2149" s="104">
        <f t="shared" ref="AJ2149:AJ2162" si="782">SUM(AC2149:AH2149)</f>
        <v>239.99499999999998</v>
      </c>
      <c r="AK2149" s="650">
        <f t="shared" si="780"/>
        <v>0.67915106951871662</v>
      </c>
      <c r="AL2149" s="225">
        <f>Table1[[#This Row],[WSP/Dealer]]/Table1[[#This Row],[OD Sq Inch]]</f>
        <v>0.4125758411472697</v>
      </c>
      <c r="AM2149" s="216">
        <f>Table1[[#This Row],[OD Wdth]]*Table1[[#This Row],[OD Hgt]]</f>
        <v>1813</v>
      </c>
      <c r="AN2149" s="216">
        <f>Table1[[#This Row],[Min VO]]+Table1[[#This Row],[Max VO]]</f>
        <v>84</v>
      </c>
      <c r="AO2149" s="101"/>
      <c r="AP2149" s="101"/>
      <c r="AQ2149" s="104"/>
      <c r="AR2149" s="104"/>
      <c r="AS2149" s="104"/>
      <c r="AT2149" s="104"/>
      <c r="AU2149" s="830" t="str">
        <f t="shared" si="766"/>
        <v>-</v>
      </c>
    </row>
    <row r="2150" spans="1:47" s="170" customFormat="1" x14ac:dyDescent="0.2">
      <c r="A2150" s="86" t="s">
        <v>58</v>
      </c>
      <c r="B2150" s="1061" t="s">
        <v>406</v>
      </c>
      <c r="C2150" s="76" t="s">
        <v>4913</v>
      </c>
      <c r="D2150" s="94" t="s">
        <v>4914</v>
      </c>
      <c r="E2150" s="85" t="s">
        <v>4908</v>
      </c>
      <c r="F2150" s="85" t="s">
        <v>114</v>
      </c>
      <c r="G2150" s="86" t="s">
        <v>2148</v>
      </c>
      <c r="H2150" s="86" t="s">
        <v>133</v>
      </c>
      <c r="I2150" s="86" t="s">
        <v>52</v>
      </c>
      <c r="J2150" s="86" t="s">
        <v>53</v>
      </c>
      <c r="K2150" s="86" t="s">
        <v>69</v>
      </c>
      <c r="L2150" s="86" t="s">
        <v>73</v>
      </c>
      <c r="M2150" s="87">
        <v>748</v>
      </c>
      <c r="N2150" s="639">
        <v>825</v>
      </c>
      <c r="O2150" s="101" t="s">
        <v>64</v>
      </c>
      <c r="P2150" s="101">
        <v>36</v>
      </c>
      <c r="Q2150" s="101">
        <v>48</v>
      </c>
      <c r="R2150" s="60">
        <v>36</v>
      </c>
      <c r="S2150" s="273">
        <v>48</v>
      </c>
      <c r="T2150" s="101">
        <v>37</v>
      </c>
      <c r="U2150" s="101">
        <v>49</v>
      </c>
      <c r="V2150" s="106">
        <f>IF(J2150="Canvas",P2150+Border,P2150)</f>
        <v>44</v>
      </c>
      <c r="W2150" s="106">
        <f>IF(J2150="Canvas",Q2150+Border,Q2150)</f>
        <v>56</v>
      </c>
      <c r="X2150" s="137" t="s">
        <v>152</v>
      </c>
      <c r="Y2150" s="101"/>
      <c r="Z2150" s="101"/>
      <c r="AA2150" s="649">
        <f>V2150*W2150/144</f>
        <v>17.111111111111111</v>
      </c>
      <c r="AB2150" s="389">
        <f>AA2150*Swiss1</f>
        <v>484.24444444444447</v>
      </c>
      <c r="AC2150" s="143">
        <f>Table1[[#This Row],[Substrate SF]]*Canvas</f>
        <v>11.293333333333333</v>
      </c>
      <c r="AD2150" s="21">
        <f>Table1[[#This Row],[Substrate SF]]*Materials!C$37</f>
        <v>47.911111111111104</v>
      </c>
      <c r="AE2150" s="104">
        <f>IF(Table1[[#This Row],[Work Center]]="SwissQ",Materials!G$37,IF(Table1[[#This Row],[Work Center]]="Inca",Materials!G$29,IF(Table1[[#This Row],[Work Center]]="Canon",Materials!G$49,Materials!G$45)))</f>
        <v>20</v>
      </c>
      <c r="AF2150" s="74">
        <f>'Cali Frames'!D$436</f>
        <v>145.70500000000001</v>
      </c>
      <c r="AG2150" s="115"/>
      <c r="AH2150" s="112">
        <f t="shared" si="781"/>
        <v>37.4</v>
      </c>
      <c r="AI2150" s="112"/>
      <c r="AJ2150" s="104">
        <f t="shared" si="782"/>
        <v>262.30944444444441</v>
      </c>
      <c r="AK2150" s="62">
        <f t="shared" si="780"/>
        <v>0.64931892453951279</v>
      </c>
      <c r="AL2150" s="225">
        <f>Table1[[#This Row],[WSP/Dealer]]/Table1[[#This Row],[OD Sq Inch]]</f>
        <v>0.4125758411472697</v>
      </c>
      <c r="AM2150" s="103">
        <f>Table1[[#This Row],[OD Wdth]]*Table1[[#This Row],[OD Hgt]]</f>
        <v>1813</v>
      </c>
      <c r="AN2150" s="216">
        <f>Table1[[#This Row],[Min VO]]+Table1[[#This Row],[Max VO]]</f>
        <v>84</v>
      </c>
      <c r="AO2150" s="101"/>
      <c r="AP2150" s="101"/>
      <c r="AQ2150" s="104"/>
      <c r="AR2150" s="104"/>
      <c r="AS2150" s="104"/>
      <c r="AT2150" s="104"/>
      <c r="AU2150" s="830" t="str">
        <f t="shared" si="766"/>
        <v>-</v>
      </c>
    </row>
    <row r="2151" spans="1:47" s="170" customFormat="1" hidden="1" x14ac:dyDescent="0.2">
      <c r="A2151" s="373" t="s">
        <v>187</v>
      </c>
      <c r="B2151" s="1061" t="s">
        <v>188</v>
      </c>
      <c r="C2151" s="78" t="s">
        <v>4915</v>
      </c>
      <c r="D2151" s="94"/>
      <c r="E2151" s="84" t="s">
        <v>4916</v>
      </c>
      <c r="F2151" s="84" t="s">
        <v>114</v>
      </c>
      <c r="G2151" s="68" t="s">
        <v>2148</v>
      </c>
      <c r="H2151" s="274" t="s">
        <v>2148</v>
      </c>
      <c r="I2151" s="274" t="s">
        <v>108</v>
      </c>
      <c r="J2151" s="68" t="s">
        <v>197</v>
      </c>
      <c r="K2151" s="274" t="s">
        <v>198</v>
      </c>
      <c r="L2151" s="274" t="s">
        <v>199</v>
      </c>
      <c r="M2151" s="696">
        <v>90</v>
      </c>
      <c r="N2151" s="71"/>
      <c r="O2151" s="274" t="s">
        <v>64</v>
      </c>
      <c r="P2151" s="274">
        <v>36</v>
      </c>
      <c r="Q2151" s="274">
        <v>48</v>
      </c>
      <c r="R2151" s="274">
        <v>36</v>
      </c>
      <c r="S2151" s="274">
        <v>48</v>
      </c>
      <c r="T2151" s="274">
        <v>36</v>
      </c>
      <c r="U2151" s="274">
        <v>48</v>
      </c>
      <c r="V2151" s="277">
        <f>Table1[[#This Row],[VO Wdth]]+Materials!$C$7</f>
        <v>38</v>
      </c>
      <c r="W2151" s="277">
        <f>Table1[[#This Row],[VO Hgt]]+Materials!$C$7</f>
        <v>50</v>
      </c>
      <c r="X2151" s="343" t="s">
        <v>197</v>
      </c>
      <c r="Y2151" s="68"/>
      <c r="Z2151" s="68"/>
      <c r="AA2151" s="699">
        <f>V2151*W2151/144</f>
        <v>13.194444444444445</v>
      </c>
      <c r="AB2151" s="341">
        <f>AA2151*SWISSRML</f>
        <v>26.388888888888889</v>
      </c>
      <c r="AC2151" s="74">
        <f>Table1[[#This Row],[Substrate SF]]*POster</f>
        <v>9.8166666666666664</v>
      </c>
      <c r="AD2151" s="263">
        <f>Table1[[#This Row],[Substrate SF]]*SWISSRC</f>
        <v>2.9027777777777777</v>
      </c>
      <c r="AE215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151" s="73">
        <v>0</v>
      </c>
      <c r="AG2151" s="126">
        <f>Materials!D$76</f>
        <v>10.82</v>
      </c>
      <c r="AH2151" s="112">
        <f t="shared" si="781"/>
        <v>4.5</v>
      </c>
      <c r="AI2151" s="112"/>
      <c r="AJ2151" s="278">
        <f t="shared" si="782"/>
        <v>38.039444444444442</v>
      </c>
      <c r="AK2151" s="62">
        <f t="shared" si="780"/>
        <v>0.57733950617283958</v>
      </c>
      <c r="AL2151" s="225">
        <f>Table1[[#This Row],[WSP/Dealer]]/Table1[[#This Row],[OD Sq Inch]]</f>
        <v>5.2083333333333336E-2</v>
      </c>
      <c r="AM2151" s="170">
        <f>Table1[[#This Row],[OD Wdth]]*Table1[[#This Row],[OD Hgt]]</f>
        <v>1728</v>
      </c>
      <c r="AN2151" s="84"/>
      <c r="AO2151" s="84"/>
      <c r="AP2151" s="84"/>
      <c r="AQ2151" s="126"/>
      <c r="AR2151" s="126"/>
      <c r="AS2151" s="126"/>
      <c r="AT2151" s="74"/>
      <c r="AU2151" s="1357" t="str">
        <f t="shared" si="766"/>
        <v>-</v>
      </c>
    </row>
    <row r="2152" spans="1:47" s="170" customFormat="1" hidden="1" x14ac:dyDescent="0.2">
      <c r="A2152" s="68" t="s">
        <v>101</v>
      </c>
      <c r="B2152" s="1072" t="s">
        <v>102</v>
      </c>
      <c r="C2152" s="78" t="s">
        <v>4917</v>
      </c>
      <c r="D2152" s="94"/>
      <c r="E2152" s="84" t="s">
        <v>4918</v>
      </c>
      <c r="F2152" s="84" t="s">
        <v>105</v>
      </c>
      <c r="G2152" s="68" t="s">
        <v>4919</v>
      </c>
      <c r="H2152" s="68" t="s">
        <v>1947</v>
      </c>
      <c r="I2152" s="68" t="s">
        <v>256</v>
      </c>
      <c r="J2152" s="140" t="s">
        <v>257</v>
      </c>
      <c r="K2152" s="68" t="s">
        <v>258</v>
      </c>
      <c r="L2152" s="68" t="s">
        <v>259</v>
      </c>
      <c r="M2152" s="141">
        <v>181</v>
      </c>
      <c r="N2152" s="93"/>
      <c r="O2152" s="68" t="s">
        <v>260</v>
      </c>
      <c r="P2152" s="68">
        <v>13</v>
      </c>
      <c r="Q2152" s="68">
        <v>25</v>
      </c>
      <c r="R2152" s="68">
        <v>13</v>
      </c>
      <c r="S2152" s="68">
        <v>25</v>
      </c>
      <c r="T2152" s="68">
        <v>15</v>
      </c>
      <c r="U2152" s="68">
        <v>27</v>
      </c>
      <c r="V2152" s="917">
        <f>IF(J2152="Canvas",P2152+Border,P2152)</f>
        <v>13</v>
      </c>
      <c r="W2152" s="917">
        <f>IF(J2152="Canvas",Q2152+Border,Q2152)</f>
        <v>25</v>
      </c>
      <c r="X2152" s="68" t="s">
        <v>257</v>
      </c>
      <c r="Y2152" s="1347">
        <f>Table1[[#This Row],[Print Wth]]+Materials!$C$7</f>
        <v>15</v>
      </c>
      <c r="Z2152" s="1347">
        <f>Table1[[#This Row],[Print Ht]]+Materials!$C$7</f>
        <v>27</v>
      </c>
      <c r="AA2152" s="1027">
        <f>(Table1[[#This Row],[Cut Width]]*Table1[[#This Row],[Cut Height]])/144</f>
        <v>2.8125</v>
      </c>
      <c r="AB2152" s="297">
        <f>(Table1[[#This Row],[Print Wth]]*Table1[[#This Row],[Print Ht]])/144*canonML</f>
        <v>10.833333333333334</v>
      </c>
      <c r="AC2152" s="74">
        <f>Table1[[#This Row],[Substrate SF]]*Paper</f>
        <v>3.8053124999999999</v>
      </c>
      <c r="AD2152" s="67">
        <f>(Table1[[#This Row],[Print Wth]]*Table1[[#This Row],[Print Ht]])/144*CanonC</f>
        <v>0.60937500000000011</v>
      </c>
      <c r="AE2152" s="74">
        <f>IF(Table1[[#This Row],[Work Center]]="SwissQ",Materials!G$37,IF(Table1[[#This Row],[Work Center]]="Inca",Materials!G$29,IF(Table1[[#This Row],[Work Center]]="Canon",Materials!G$49,Materials!G$45)))</f>
        <v>7</v>
      </c>
      <c r="AF2152" s="73">
        <f>'Cali Frames'!D16</f>
        <v>82.48</v>
      </c>
      <c r="AG2152" s="126"/>
      <c r="AH2152" s="74">
        <v>0</v>
      </c>
      <c r="AI2152" s="74"/>
      <c r="AJ2152" s="74">
        <f t="shared" si="782"/>
        <v>93.894687500000003</v>
      </c>
      <c r="AK2152" s="1001">
        <f t="shared" si="780"/>
        <v>0.48124482044198891</v>
      </c>
      <c r="AL2152" s="74">
        <f>Table1[[#This Row],[WSP/Dealer]]/Table1[[#This Row],[OD Sq Inch]]</f>
        <v>0.44691358024691358</v>
      </c>
      <c r="AM2152" s="63">
        <f>Table1[[#This Row],[OD Wdth]]*Table1[[#This Row],[OD Hgt]]</f>
        <v>405</v>
      </c>
      <c r="AN2152" s="68">
        <f>Table1[[#This Row],[Min VO]]+Table1[[#This Row],[Max VO]]</f>
        <v>38</v>
      </c>
      <c r="AO2152" s="84"/>
      <c r="AP2152" s="84"/>
      <c r="AQ2152" s="126"/>
      <c r="AR2152" s="126"/>
      <c r="AS2152" s="126"/>
      <c r="AT2152" s="74"/>
      <c r="AU2152" s="1357" t="str">
        <f t="shared" si="766"/>
        <v>-</v>
      </c>
    </row>
    <row r="2153" spans="1:47" s="170" customFormat="1" hidden="1" x14ac:dyDescent="0.2">
      <c r="A2153" s="68" t="s">
        <v>318</v>
      </c>
      <c r="B2153" s="1072" t="s">
        <v>65</v>
      </c>
      <c r="C2153" s="78" t="s">
        <v>4920</v>
      </c>
      <c r="D2153" s="94"/>
      <c r="E2153" s="84" t="s">
        <v>4921</v>
      </c>
      <c r="F2153" s="84" t="s">
        <v>105</v>
      </c>
      <c r="G2153" s="68" t="s">
        <v>4922</v>
      </c>
      <c r="H2153" s="68" t="s">
        <v>4923</v>
      </c>
      <c r="I2153" s="68" t="s">
        <v>256</v>
      </c>
      <c r="J2153" s="140" t="s">
        <v>257</v>
      </c>
      <c r="K2153" s="68" t="s">
        <v>258</v>
      </c>
      <c r="L2153" s="68" t="s">
        <v>259</v>
      </c>
      <c r="M2153" s="93">
        <v>250</v>
      </c>
      <c r="N2153" s="93"/>
      <c r="O2153" s="68" t="s">
        <v>260</v>
      </c>
      <c r="P2153" s="68">
        <v>26</v>
      </c>
      <c r="Q2153" s="68">
        <v>14</v>
      </c>
      <c r="R2153" s="68">
        <v>14</v>
      </c>
      <c r="S2153" s="68">
        <v>26</v>
      </c>
      <c r="T2153" s="63">
        <v>28</v>
      </c>
      <c r="U2153" s="63">
        <v>16</v>
      </c>
      <c r="V2153" s="277">
        <f>Table1[[#This Row],[VO Wdth]]+Materials!$C$7</f>
        <v>28</v>
      </c>
      <c r="W2153" s="277">
        <f>Table1[[#This Row],[VO Hgt]]+Materials!$C$7</f>
        <v>16</v>
      </c>
      <c r="X2153" s="68" t="s">
        <v>257</v>
      </c>
      <c r="Y2153" s="68">
        <v>28</v>
      </c>
      <c r="Z2153" s="68">
        <v>16</v>
      </c>
      <c r="AA2153" s="699">
        <f t="shared" ref="AA2153:AA2180" si="783">V2153*W2153/144</f>
        <v>3.1111111111111112</v>
      </c>
      <c r="AB2153" s="297">
        <f>AA2153*canonML</f>
        <v>14.933333333333334</v>
      </c>
      <c r="AC2153" s="74">
        <f>Table1[[#This Row],[Print Wth]]*paper60</f>
        <v>9.5200000000000014</v>
      </c>
      <c r="AD2153" s="67">
        <f>Table1[[#This Row],[Ink g/mL]]*CanonC</f>
        <v>4.032</v>
      </c>
      <c r="AE2153" s="74">
        <f>IF(Table1[[#This Row],[Work Center]]="SwissQ",Materials!G$37,IF(Table1[[#This Row],[Work Center]]="Inca",Materials!G$29,IF(Table1[[#This Row],[Work Center]]="Canon",Materials!G$49,Materials!G$45)))</f>
        <v>7</v>
      </c>
      <c r="AF2153" s="73">
        <f>'Cali Frames'!D18</f>
        <v>82</v>
      </c>
      <c r="AG2153" s="126"/>
      <c r="AH2153" s="278">
        <v>0</v>
      </c>
      <c r="AI2153" s="278"/>
      <c r="AJ2153" s="278">
        <f t="shared" si="782"/>
        <v>102.55199999999999</v>
      </c>
      <c r="AK2153" s="1192">
        <f t="shared" si="780"/>
        <v>0.58979199999999998</v>
      </c>
      <c r="AL2153" s="278">
        <f>Table1[[#This Row],[WSP/Dealer]]/Table1[[#This Row],[OD Sq Inch]]</f>
        <v>0.5580357142857143</v>
      </c>
      <c r="AM2153" s="170">
        <f>Table1[[#This Row],[OD Wdth]]*Table1[[#This Row],[OD Hgt]]</f>
        <v>448</v>
      </c>
      <c r="AN2153" s="274">
        <f>Table1[[#This Row],[Min VO]]+Table1[[#This Row],[Max VO]]</f>
        <v>40</v>
      </c>
      <c r="AO2153" s="119"/>
      <c r="AP2153" s="84"/>
      <c r="AQ2153" s="126"/>
      <c r="AR2153" s="126"/>
      <c r="AS2153" s="126"/>
      <c r="AT2153" s="74"/>
      <c r="AU2153" s="1356" t="str">
        <f t="shared" si="766"/>
        <v>-</v>
      </c>
    </row>
    <row r="2154" spans="1:47" s="170" customFormat="1" hidden="1" x14ac:dyDescent="0.2">
      <c r="A2154" s="68" t="s">
        <v>318</v>
      </c>
      <c r="B2154" s="1072" t="s">
        <v>65</v>
      </c>
      <c r="C2154" s="76" t="s">
        <v>4924</v>
      </c>
      <c r="D2154" s="94"/>
      <c r="E2154" s="84" t="s">
        <v>4921</v>
      </c>
      <c r="F2154" s="84" t="s">
        <v>105</v>
      </c>
      <c r="G2154" s="68" t="s">
        <v>4922</v>
      </c>
      <c r="H2154" s="68" t="s">
        <v>4925</v>
      </c>
      <c r="I2154" s="68" t="s">
        <v>256</v>
      </c>
      <c r="J2154" s="140" t="s">
        <v>257</v>
      </c>
      <c r="K2154" s="68" t="s">
        <v>814</v>
      </c>
      <c r="L2154" s="68" t="s">
        <v>815</v>
      </c>
      <c r="M2154" s="93">
        <v>300</v>
      </c>
      <c r="N2154" s="93"/>
      <c r="O2154" s="68" t="s">
        <v>260</v>
      </c>
      <c r="P2154" s="68">
        <v>26</v>
      </c>
      <c r="Q2154" s="68">
        <v>14</v>
      </c>
      <c r="R2154" s="68">
        <v>14</v>
      </c>
      <c r="S2154" s="68">
        <v>26</v>
      </c>
      <c r="T2154" s="68">
        <v>29</v>
      </c>
      <c r="U2154" s="68">
        <v>17</v>
      </c>
      <c r="V2154" s="686">
        <f>Table1[[#This Row],[VO Wdth]]+Materials!$C$7</f>
        <v>28</v>
      </c>
      <c r="W2154" s="686">
        <f>Table1[[#This Row],[VO Hgt]]+Materials!$C$7</f>
        <v>16</v>
      </c>
      <c r="X2154" s="68" t="s">
        <v>257</v>
      </c>
      <c r="Y2154" s="68">
        <v>28</v>
      </c>
      <c r="Z2154" s="68">
        <v>16</v>
      </c>
      <c r="AA2154" s="699">
        <f t="shared" si="783"/>
        <v>3.1111111111111112</v>
      </c>
      <c r="AB2154" s="297">
        <f>AA2154*canonML</f>
        <v>14.933333333333334</v>
      </c>
      <c r="AC2154" s="74">
        <f>Table1[[#This Row],[Print Wth]]*paper60</f>
        <v>9.5200000000000014</v>
      </c>
      <c r="AD2154" s="67">
        <f>Table1[[#This Row],[Ink g/mL]]*CanonC</f>
        <v>4.032</v>
      </c>
      <c r="AE2154" s="74">
        <f>IF(Table1[[#This Row],[Work Center]]="SwissQ",Materials!G$37,IF(Table1[[#This Row],[Work Center]]="Inca",Materials!G$29,IF(Table1[[#This Row],[Work Center]]="Canon",Materials!G$49,Materials!G$45)))</f>
        <v>7</v>
      </c>
      <c r="AF2154" s="73">
        <f>'Cali Frames'!D191</f>
        <v>125</v>
      </c>
      <c r="AG2154" s="126"/>
      <c r="AH2154" s="278">
        <v>0</v>
      </c>
      <c r="AI2154" s="278"/>
      <c r="AJ2154" s="278">
        <f t="shared" si="782"/>
        <v>145.55199999999999</v>
      </c>
      <c r="AK2154" s="1192">
        <f t="shared" si="780"/>
        <v>0.51482666666666665</v>
      </c>
      <c r="AL2154" s="278">
        <f>Table1[[#This Row],[WSP/Dealer]]/Table1[[#This Row],[OD Sq Inch]]</f>
        <v>0.60851926977687631</v>
      </c>
      <c r="AM2154" s="274">
        <f>Table1[[#This Row],[OD Wdth]]*Table1[[#This Row],[OD Hgt]]</f>
        <v>493</v>
      </c>
      <c r="AN2154" s="274">
        <f>Table1[[#This Row],[Min VO]]+Table1[[#This Row],[Max VO]]</f>
        <v>40</v>
      </c>
      <c r="AO2154" s="84"/>
      <c r="AP2154" s="84"/>
      <c r="AQ2154" s="126"/>
      <c r="AR2154" s="126"/>
      <c r="AS2154" s="126"/>
      <c r="AT2154" s="74"/>
      <c r="AU2154" s="1357" t="str">
        <f t="shared" ref="AU2154:AU2217" si="784">IF(AQ2154=0,"-",(AQ2154-AT2154)/AQ2154)</f>
        <v>-</v>
      </c>
    </row>
    <row r="2155" spans="1:47" s="170" customFormat="1" hidden="1" x14ac:dyDescent="0.2">
      <c r="A2155" s="551" t="s">
        <v>318</v>
      </c>
      <c r="B2155" s="1150" t="s">
        <v>111</v>
      </c>
      <c r="C2155" s="805" t="s">
        <v>4926</v>
      </c>
      <c r="D2155" s="77"/>
      <c r="E2155" s="653" t="s">
        <v>4921</v>
      </c>
      <c r="F2155" s="653" t="s">
        <v>105</v>
      </c>
      <c r="G2155" s="551" t="s">
        <v>4922</v>
      </c>
      <c r="H2155" s="551" t="s">
        <v>4925</v>
      </c>
      <c r="I2155" s="551" t="s">
        <v>108</v>
      </c>
      <c r="J2155" s="856" t="s">
        <v>280</v>
      </c>
      <c r="K2155" s="551" t="s">
        <v>814</v>
      </c>
      <c r="L2155" s="551" t="s">
        <v>815</v>
      </c>
      <c r="M2155" s="857">
        <v>300</v>
      </c>
      <c r="N2155" s="1167"/>
      <c r="O2155" s="551" t="s">
        <v>64</v>
      </c>
      <c r="P2155" s="551">
        <v>26</v>
      </c>
      <c r="Q2155" s="551">
        <v>14</v>
      </c>
      <c r="R2155" s="551">
        <v>14</v>
      </c>
      <c r="S2155" s="551">
        <v>26</v>
      </c>
      <c r="T2155" s="551">
        <v>29</v>
      </c>
      <c r="U2155" s="551">
        <v>17</v>
      </c>
      <c r="V2155" s="1670">
        <f>Table1[[#This Row],[VO Wdth]]+Materials!$C$7</f>
        <v>28</v>
      </c>
      <c r="W2155" s="1670">
        <f>Table1[[#This Row],[VO Hgt]]+Materials!$C$7</f>
        <v>16</v>
      </c>
      <c r="X2155" s="551" t="s">
        <v>283</v>
      </c>
      <c r="Y2155" s="551">
        <v>28</v>
      </c>
      <c r="Z2155" s="551">
        <v>16</v>
      </c>
      <c r="AA2155" s="892">
        <f t="shared" si="783"/>
        <v>3.1111111111111112</v>
      </c>
      <c r="AB2155" s="898">
        <f>AA2155*SWISSMLR</f>
        <v>6.2222222222222223</v>
      </c>
      <c r="AC2155" s="867">
        <f>MDFSHEET/10</f>
        <v>2.4350000000000001</v>
      </c>
      <c r="AD2155" s="865">
        <f>Table1[[#This Row],[Substrate SF]]*SWISSCR</f>
        <v>0.68444444444444441</v>
      </c>
      <c r="AE2155" s="863">
        <f>IF(Table1[[#This Row],[Work Center]]="SwissQ",Materials!G$37,IF(Table1[[#This Row],[Work Center]]="Inca",Materials!G$29,IF(Table1[[#This Row],[Work Center]]="Canon",Materials!G$49,Materials!G$45)))</f>
        <v>20</v>
      </c>
      <c r="AF2155" s="902">
        <f>'Cali Frames'!D191</f>
        <v>125</v>
      </c>
      <c r="AG2155" s="864"/>
      <c r="AH2155" s="867">
        <v>0</v>
      </c>
      <c r="AI2155" s="867"/>
      <c r="AJ2155" s="867">
        <f t="shared" si="782"/>
        <v>148.11944444444444</v>
      </c>
      <c r="AK2155" s="1087">
        <f t="shared" si="780"/>
        <v>0.50626851851851851</v>
      </c>
      <c r="AL2155" s="867">
        <f>Table1[[#This Row],[WSP/Dealer]]/Table1[[#This Row],[OD Sq Inch]]</f>
        <v>0.60851926977687631</v>
      </c>
      <c r="AM2155" s="869">
        <f>Table1[[#This Row],[OD Wdth]]*Table1[[#This Row],[OD Hgt]]</f>
        <v>493</v>
      </c>
      <c r="AN2155" s="869">
        <f>Table1[[#This Row],[Min VO]]+Table1[[#This Row],[Max VO]]</f>
        <v>40</v>
      </c>
      <c r="AO2155" s="653"/>
      <c r="AP2155" s="653"/>
      <c r="AQ2155" s="864"/>
      <c r="AR2155" s="864"/>
      <c r="AS2155" s="864"/>
      <c r="AT2155" s="863"/>
      <c r="AU2155" s="1364" t="str">
        <f t="shared" si="784"/>
        <v>-</v>
      </c>
    </row>
    <row r="2156" spans="1:47" s="173" customFormat="1" x14ac:dyDescent="0.2">
      <c r="A2156" s="86" t="s">
        <v>58</v>
      </c>
      <c r="B2156" s="1061" t="s">
        <v>450</v>
      </c>
      <c r="C2156" s="75" t="s">
        <v>4927</v>
      </c>
      <c r="D2156" s="94" t="s">
        <v>4928</v>
      </c>
      <c r="E2156" s="85" t="s">
        <v>4929</v>
      </c>
      <c r="F2156" s="85" t="s">
        <v>1808</v>
      </c>
      <c r="G2156" s="86" t="s">
        <v>395</v>
      </c>
      <c r="H2156" s="86" t="s">
        <v>395</v>
      </c>
      <c r="I2156" s="86" t="s">
        <v>52</v>
      </c>
      <c r="J2156" s="86" t="s">
        <v>53</v>
      </c>
      <c r="K2156" s="86" t="s">
        <v>54</v>
      </c>
      <c r="L2156" s="86" t="s">
        <v>55</v>
      </c>
      <c r="M2156" s="87">
        <v>1175</v>
      </c>
      <c r="N2156" s="639">
        <v>1175</v>
      </c>
      <c r="O2156" s="101" t="s">
        <v>64</v>
      </c>
      <c r="P2156" s="273">
        <v>60</v>
      </c>
      <c r="Q2156" s="273">
        <v>60</v>
      </c>
      <c r="R2156" s="60">
        <v>60</v>
      </c>
      <c r="S2156" s="273">
        <v>60</v>
      </c>
      <c r="T2156" s="273">
        <f>Table1[[#This Row],[VO Wdth]]</f>
        <v>60</v>
      </c>
      <c r="U2156" s="273">
        <f>Table1[[#This Row],[VO Hgt]]</f>
        <v>60</v>
      </c>
      <c r="V2156" s="608">
        <f>IF(J2156="Canvas",P2156+BorderL,P2156)</f>
        <v>71</v>
      </c>
      <c r="W2156" s="608">
        <f>IF(J2156="Canvas",Q2156+BorderL,Q2156)</f>
        <v>71</v>
      </c>
      <c r="X2156" s="137">
        <v>82</v>
      </c>
      <c r="Y2156" s="101"/>
      <c r="Z2156" s="101"/>
      <c r="AA2156" s="649">
        <f t="shared" si="783"/>
        <v>35.006944444444443</v>
      </c>
      <c r="AB2156" s="125">
        <f>AA2156*Swiss1</f>
        <v>990.69652777777776</v>
      </c>
      <c r="AC2156" s="104">
        <f>AA2156*Canvas</f>
        <v>23.104583333333334</v>
      </c>
      <c r="AD2156" s="107">
        <f>Table1[[#This Row],[Substrate SF]]*Materials!C$37</f>
        <v>98.019444444444431</v>
      </c>
      <c r="AE2156" s="104">
        <f>IF(Table1[[#This Row],[Work Center]]="SwissQ",Materials!G$37,IF(Table1[[#This Row],[Work Center]]="Inca",Materials!G$29,IF(Table1[[#This Row],[Work Center]]="Canon",Materials!G$49,Materials!G$45)))</f>
        <v>20</v>
      </c>
      <c r="AF2156" s="74">
        <f>'Cali FPS'!C$159</f>
        <v>251.8775</v>
      </c>
      <c r="AG2156" s="115"/>
      <c r="AH2156" s="498">
        <f t="shared" ref="AH2156:AH2180" si="785">(M2156*0.05)</f>
        <v>58.75</v>
      </c>
      <c r="AI2156" s="498"/>
      <c r="AJ2156" s="104">
        <f t="shared" si="782"/>
        <v>451.75152777777777</v>
      </c>
      <c r="AK2156" s="650">
        <f t="shared" si="780"/>
        <v>0.61553061465721048</v>
      </c>
      <c r="AL2156" s="225">
        <f>Table1[[#This Row],[WSP/Dealer]]/Table1[[#This Row],[OD Sq Inch]]</f>
        <v>0.3263888888888889</v>
      </c>
      <c r="AM2156" s="216">
        <f>Table1[[#This Row],[OD Wdth]]*Table1[[#This Row],[OD Hgt]]</f>
        <v>3600</v>
      </c>
      <c r="AN2156" s="216">
        <f>Table1[[#This Row],[Min VO]]+Table1[[#This Row],[Max VO]]</f>
        <v>120</v>
      </c>
      <c r="AO2156" s="101"/>
      <c r="AP2156" s="101"/>
      <c r="AQ2156" s="104"/>
      <c r="AR2156" s="104"/>
      <c r="AS2156" s="104"/>
      <c r="AT2156" s="104"/>
      <c r="AU2156" s="830" t="str">
        <f t="shared" si="784"/>
        <v>-</v>
      </c>
    </row>
    <row r="2157" spans="1:47" s="399" customFormat="1" hidden="1" x14ac:dyDescent="0.2">
      <c r="A2157" s="274" t="s">
        <v>187</v>
      </c>
      <c r="B2157" s="1061" t="s">
        <v>261</v>
      </c>
      <c r="C2157" s="436" t="s">
        <v>4930</v>
      </c>
      <c r="D2157" s="94"/>
      <c r="E2157" s="436" t="s">
        <v>4931</v>
      </c>
      <c r="F2157" s="275" t="s">
        <v>1808</v>
      </c>
      <c r="G2157" s="258" t="s">
        <v>395</v>
      </c>
      <c r="H2157" s="258" t="s">
        <v>396</v>
      </c>
      <c r="I2157" s="258" t="s">
        <v>52</v>
      </c>
      <c r="J2157" s="140" t="s">
        <v>53</v>
      </c>
      <c r="K2157" s="258" t="s">
        <v>1410</v>
      </c>
      <c r="L2157" s="68" t="s">
        <v>70</v>
      </c>
      <c r="M2157" s="695">
        <v>3300</v>
      </c>
      <c r="N2157" s="71"/>
      <c r="O2157" s="274" t="s">
        <v>64</v>
      </c>
      <c r="P2157" s="783">
        <v>60</v>
      </c>
      <c r="Q2157" s="783">
        <v>60</v>
      </c>
      <c r="R2157" s="274">
        <v>60</v>
      </c>
      <c r="S2157" s="783">
        <v>60</v>
      </c>
      <c r="T2157" s="783">
        <f>Table1[[#This Row],[VO Wdth]]</f>
        <v>60</v>
      </c>
      <c r="U2157" s="783">
        <f>Table1[[#This Row],[VO Hgt]]</f>
        <v>60</v>
      </c>
      <c r="V2157" s="686">
        <f>IF(J2157="Canvas",P2157+BorderL,P2157)</f>
        <v>71</v>
      </c>
      <c r="W2157" s="686">
        <f>IF(J2157="Canvas",Q2157+BorderL,Q2157)</f>
        <v>71</v>
      </c>
      <c r="X2157" s="68">
        <v>82</v>
      </c>
      <c r="Y2157" s="68"/>
      <c r="Z2157" s="68"/>
      <c r="AA2157" s="727">
        <f t="shared" si="783"/>
        <v>35.006944444444443</v>
      </c>
      <c r="AB2157" s="341">
        <f>AA2157*Swiss1</f>
        <v>990.69652777777776</v>
      </c>
      <c r="AC2157" s="278">
        <f>AA2157*Canvas</f>
        <v>23.104583333333334</v>
      </c>
      <c r="AD2157" s="263">
        <f>Table1[[#This Row],[Substrate SF]]*Materials!C$37</f>
        <v>98.019444444444431</v>
      </c>
      <c r="AE2157" s="74">
        <f>IF(Table1[[#This Row],[Work Center]]="SwissQ",Materials!G$37,IF(Table1[[#This Row],[Work Center]]="Inca",Materials!G$29,IF(Table1[[#This Row],[Work Center]]="Canon",Materials!G$49,Materials!G$45)))</f>
        <v>20</v>
      </c>
      <c r="AF2157" s="278">
        <f>'Cali Frames'!D349</f>
        <v>349.42</v>
      </c>
      <c r="AG2157" s="126"/>
      <c r="AH2157" s="498">
        <f t="shared" si="785"/>
        <v>165</v>
      </c>
      <c r="AI2157" s="112"/>
      <c r="AJ2157" s="278">
        <f t="shared" si="782"/>
        <v>655.54402777777773</v>
      </c>
      <c r="AK2157" s="650">
        <f t="shared" si="780"/>
        <v>0.80135029461279461</v>
      </c>
      <c r="AL2157" s="225">
        <f>Table1[[#This Row],[WSP/Dealer]]/Table1[[#This Row],[OD Sq Inch]]</f>
        <v>0.91666666666666663</v>
      </c>
      <c r="AM2157" s="274">
        <f>Table1[[#This Row],[OD Wdth]]*Table1[[#This Row],[OD Hgt]]</f>
        <v>3600</v>
      </c>
      <c r="AN2157" s="274">
        <f>Table1[[#This Row],[Min VO]]+Table1[[#This Row],[Max VO]]</f>
        <v>120</v>
      </c>
      <c r="AO2157" s="84"/>
      <c r="AP2157" s="84"/>
      <c r="AQ2157" s="126"/>
      <c r="AR2157" s="126"/>
      <c r="AS2157" s="126"/>
      <c r="AT2157" s="74"/>
      <c r="AU2157" s="1357" t="str">
        <f t="shared" si="784"/>
        <v>-</v>
      </c>
    </row>
    <row r="2158" spans="1:47" s="170" customFormat="1" hidden="1" x14ac:dyDescent="0.2">
      <c r="A2158" s="374" t="s">
        <v>187</v>
      </c>
      <c r="B2158" s="1061" t="s">
        <v>261</v>
      </c>
      <c r="C2158" s="436" t="s">
        <v>4932</v>
      </c>
      <c r="D2158" s="94"/>
      <c r="E2158" s="436" t="s">
        <v>4931</v>
      </c>
      <c r="F2158" s="275" t="s">
        <v>1808</v>
      </c>
      <c r="G2158" s="258" t="s">
        <v>395</v>
      </c>
      <c r="H2158" s="258" t="s">
        <v>395</v>
      </c>
      <c r="I2158" s="258" t="s">
        <v>52</v>
      </c>
      <c r="J2158" s="140" t="s">
        <v>53</v>
      </c>
      <c r="K2158" s="258" t="s">
        <v>281</v>
      </c>
      <c r="L2158" s="68" t="s">
        <v>55</v>
      </c>
      <c r="M2158" s="695">
        <v>2850</v>
      </c>
      <c r="N2158" s="71"/>
      <c r="O2158" s="274" t="s">
        <v>64</v>
      </c>
      <c r="P2158" s="783">
        <v>60</v>
      </c>
      <c r="Q2158" s="783">
        <v>60</v>
      </c>
      <c r="R2158" s="274">
        <v>60</v>
      </c>
      <c r="S2158" s="783">
        <v>60</v>
      </c>
      <c r="T2158" s="783">
        <f>Table1[[#This Row],[VO Wdth]]</f>
        <v>60</v>
      </c>
      <c r="U2158" s="783">
        <f>Table1[[#This Row],[VO Hgt]]</f>
        <v>60</v>
      </c>
      <c r="V2158" s="686">
        <f>IF(J2158="Canvas",P2158+BorderL,P2158)</f>
        <v>71</v>
      </c>
      <c r="W2158" s="686">
        <f>IF(J2158="Canvas",Q2158+BorderL,Q2158)</f>
        <v>71</v>
      </c>
      <c r="X2158" s="189">
        <v>82</v>
      </c>
      <c r="Y2158" s="68"/>
      <c r="Z2158" s="68"/>
      <c r="AA2158" s="727">
        <f t="shared" si="783"/>
        <v>35.006944444444443</v>
      </c>
      <c r="AB2158" s="341">
        <f>AA2158*Swiss1</f>
        <v>990.69652777777776</v>
      </c>
      <c r="AC2158" s="278">
        <f>AA2158*Canvas</f>
        <v>23.104583333333334</v>
      </c>
      <c r="AD2158" s="263">
        <f>Table1[[#This Row],[Substrate SF]]*Materials!C$37</f>
        <v>98.019444444444431</v>
      </c>
      <c r="AE2158" s="74">
        <f>IF(Table1[[#This Row],[Work Center]]="SwissQ",Materials!G$37,IF(Table1[[#This Row],[Work Center]]="Inca",Materials!G$29,IF(Table1[[#This Row],[Work Center]]="Canon",Materials!G$49,Materials!G$45)))</f>
        <v>20</v>
      </c>
      <c r="AF2158" s="278">
        <f>'Cali FPS'!C159</f>
        <v>251.8775</v>
      </c>
      <c r="AG2158" s="126"/>
      <c r="AH2158" s="112">
        <f t="shared" si="785"/>
        <v>142.5</v>
      </c>
      <c r="AI2158" s="112"/>
      <c r="AJ2158" s="278">
        <f t="shared" si="782"/>
        <v>535.50152777777771</v>
      </c>
      <c r="AK2158" s="62">
        <f t="shared" si="780"/>
        <v>0.81210472709551662</v>
      </c>
      <c r="AL2158" s="225">
        <f>Table1[[#This Row],[WSP/Dealer]]/Table1[[#This Row],[OD Sq Inch]]</f>
        <v>0.79166666666666663</v>
      </c>
      <c r="AM2158" s="170">
        <f>Table1[[#This Row],[OD Wdth]]*Table1[[#This Row],[OD Hgt]]</f>
        <v>3600</v>
      </c>
      <c r="AN2158" s="274">
        <f>Table1[[#This Row],[Min VO]]+Table1[[#This Row],[Max VO]]</f>
        <v>120</v>
      </c>
      <c r="AO2158" s="84"/>
      <c r="AP2158" s="84"/>
      <c r="AQ2158" s="126"/>
      <c r="AR2158" s="126"/>
      <c r="AS2158" s="126"/>
      <c r="AT2158" s="74"/>
      <c r="AU2158" s="1357" t="str">
        <f t="shared" si="784"/>
        <v>-</v>
      </c>
    </row>
    <row r="2159" spans="1:47" s="399" customFormat="1" hidden="1" x14ac:dyDescent="0.2">
      <c r="A2159" s="274" t="s">
        <v>187</v>
      </c>
      <c r="B2159" s="1061" t="s">
        <v>261</v>
      </c>
      <c r="C2159" s="436" t="s">
        <v>4933</v>
      </c>
      <c r="D2159" s="94"/>
      <c r="E2159" s="436" t="s">
        <v>4931</v>
      </c>
      <c r="F2159" s="275" t="s">
        <v>1808</v>
      </c>
      <c r="G2159" s="258" t="s">
        <v>395</v>
      </c>
      <c r="H2159" s="258" t="s">
        <v>396</v>
      </c>
      <c r="I2159" s="258" t="s">
        <v>52</v>
      </c>
      <c r="J2159" s="140" t="s">
        <v>53</v>
      </c>
      <c r="K2159" s="258" t="s">
        <v>1412</v>
      </c>
      <c r="L2159" s="68" t="s">
        <v>73</v>
      </c>
      <c r="M2159" s="695">
        <v>3300</v>
      </c>
      <c r="N2159" s="71"/>
      <c r="O2159" s="274" t="s">
        <v>64</v>
      </c>
      <c r="P2159" s="783">
        <v>60</v>
      </c>
      <c r="Q2159" s="783">
        <v>60</v>
      </c>
      <c r="R2159" s="274">
        <v>60</v>
      </c>
      <c r="S2159" s="783">
        <v>60</v>
      </c>
      <c r="T2159" s="783">
        <f>Table1[[#This Row],[VO Wdth]]</f>
        <v>60</v>
      </c>
      <c r="U2159" s="783">
        <f>Table1[[#This Row],[VO Hgt]]</f>
        <v>60</v>
      </c>
      <c r="V2159" s="686">
        <f>IF(J2159="Canvas",P2159+BorderL,P2159)</f>
        <v>71</v>
      </c>
      <c r="W2159" s="686">
        <f>IF(J2159="Canvas",Q2159+BorderL,Q2159)</f>
        <v>71</v>
      </c>
      <c r="X2159" s="68">
        <v>82</v>
      </c>
      <c r="Y2159" s="68"/>
      <c r="Z2159" s="68"/>
      <c r="AA2159" s="727">
        <f t="shared" si="783"/>
        <v>35.006944444444443</v>
      </c>
      <c r="AB2159" s="341">
        <f>AA2159*Swiss1</f>
        <v>990.69652777777776</v>
      </c>
      <c r="AC2159" s="278">
        <f>AA2159*Canvas</f>
        <v>23.104583333333334</v>
      </c>
      <c r="AD2159" s="263">
        <f>Table1[[#This Row],[Substrate SF]]*Materials!C$37</f>
        <v>98.019444444444431</v>
      </c>
      <c r="AE2159" s="74">
        <f>IF(Table1[[#This Row],[Work Center]]="SwissQ",Materials!G$37,IF(Table1[[#This Row],[Work Center]]="Inca",Materials!G$29,IF(Table1[[#This Row],[Work Center]]="Canon",Materials!G$49,Materials!G$45)))</f>
        <v>20</v>
      </c>
      <c r="AF2159" s="278">
        <f>'Cali Frames'!D481</f>
        <v>235.28749999999997</v>
      </c>
      <c r="AG2159" s="126"/>
      <c r="AH2159" s="498">
        <f t="shared" si="785"/>
        <v>165</v>
      </c>
      <c r="AI2159" s="498"/>
      <c r="AJ2159" s="278">
        <f t="shared" si="782"/>
        <v>541.41152777777779</v>
      </c>
      <c r="AK2159" s="650">
        <f t="shared" ref="AK2159:AK2190" si="786">(M2159-AJ2159)/M2159</f>
        <v>0.83593590067340062</v>
      </c>
      <c r="AL2159" s="225">
        <f>Table1[[#This Row],[WSP/Dealer]]/Table1[[#This Row],[OD Sq Inch]]</f>
        <v>0.91666666666666663</v>
      </c>
      <c r="AM2159" s="170">
        <f>Table1[[#This Row],[OD Wdth]]*Table1[[#This Row],[OD Hgt]]</f>
        <v>3600</v>
      </c>
      <c r="AN2159" s="274">
        <f>Table1[[#This Row],[Min VO]]+Table1[[#This Row],[Max VO]]</f>
        <v>120</v>
      </c>
      <c r="AO2159" s="84"/>
      <c r="AP2159" s="84"/>
      <c r="AQ2159" s="126"/>
      <c r="AR2159" s="126"/>
      <c r="AS2159" s="126"/>
      <c r="AT2159" s="74"/>
      <c r="AU2159" s="1357" t="str">
        <f t="shared" si="784"/>
        <v>-</v>
      </c>
    </row>
    <row r="2160" spans="1:47" s="399" customFormat="1" hidden="1" x14ac:dyDescent="0.2">
      <c r="A2160" s="374" t="s">
        <v>187</v>
      </c>
      <c r="B2160" s="1061" t="s">
        <v>261</v>
      </c>
      <c r="C2160" s="436" t="s">
        <v>4934</v>
      </c>
      <c r="D2160" s="94"/>
      <c r="E2160" s="436" t="s">
        <v>4935</v>
      </c>
      <c r="F2160" s="275" t="s">
        <v>1808</v>
      </c>
      <c r="G2160" s="258" t="s">
        <v>395</v>
      </c>
      <c r="H2160" s="258" t="s">
        <v>395</v>
      </c>
      <c r="I2160" s="274" t="s">
        <v>108</v>
      </c>
      <c r="J2160" s="68" t="s">
        <v>197</v>
      </c>
      <c r="K2160" s="274" t="s">
        <v>198</v>
      </c>
      <c r="L2160" s="274" t="s">
        <v>199</v>
      </c>
      <c r="M2160" s="1567">
        <v>120</v>
      </c>
      <c r="N2160" s="71"/>
      <c r="O2160" s="274" t="s">
        <v>64</v>
      </c>
      <c r="P2160" s="783">
        <v>60</v>
      </c>
      <c r="Q2160" s="783">
        <v>60</v>
      </c>
      <c r="R2160" s="274">
        <v>60</v>
      </c>
      <c r="S2160" s="783">
        <v>60</v>
      </c>
      <c r="T2160" s="783">
        <f>Table1[[#This Row],[VO Wdth]]</f>
        <v>60</v>
      </c>
      <c r="U2160" s="783">
        <f>Table1[[#This Row],[VO Hgt]]</f>
        <v>60</v>
      </c>
      <c r="V2160" s="686">
        <f>Table1[[#This Row],[VO Wdth]]+Materials!$C$7</f>
        <v>62</v>
      </c>
      <c r="W2160" s="686">
        <f>Table1[[#This Row],[VO Hgt]]+Materials!$C$7</f>
        <v>62</v>
      </c>
      <c r="X2160" s="343" t="s">
        <v>197</v>
      </c>
      <c r="Y2160" s="68"/>
      <c r="Z2160" s="68"/>
      <c r="AA2160" s="699">
        <f t="shared" si="783"/>
        <v>26.694444444444443</v>
      </c>
      <c r="AB2160" s="341">
        <f>AA2160*SWISSRML</f>
        <v>53.388888888888886</v>
      </c>
      <c r="AC2160" s="74">
        <f>Table1[[#This Row],[Substrate SF]]*POster</f>
        <v>19.860666666666667</v>
      </c>
      <c r="AD2160" s="263">
        <f>Table1[[#This Row],[Substrate SF]]*SWISSRC</f>
        <v>5.8727777777777774</v>
      </c>
      <c r="AE2160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160" s="73">
        <v>0</v>
      </c>
      <c r="AG2160" s="126">
        <f>Materials!D$76</f>
        <v>10.82</v>
      </c>
      <c r="AH2160" s="498">
        <f t="shared" si="785"/>
        <v>6</v>
      </c>
      <c r="AI2160" s="498"/>
      <c r="AJ2160" s="278">
        <f t="shared" si="782"/>
        <v>52.553444444444445</v>
      </c>
      <c r="AK2160" s="650">
        <f t="shared" si="786"/>
        <v>0.56205462962962971</v>
      </c>
      <c r="AL2160" s="225">
        <f>Table1[[#This Row],[WSP/Dealer]]/Table1[[#This Row],[OD Sq Inch]]</f>
        <v>3.3333333333333333E-2</v>
      </c>
      <c r="AM2160" s="170">
        <f>Table1[[#This Row],[OD Wdth]]*Table1[[#This Row],[OD Hgt]]</f>
        <v>3600</v>
      </c>
      <c r="AN2160" s="84"/>
      <c r="AO2160" s="84"/>
      <c r="AP2160" s="84"/>
      <c r="AQ2160" s="126"/>
      <c r="AR2160" s="126"/>
      <c r="AS2160" s="126"/>
      <c r="AT2160" s="74"/>
      <c r="AU2160" s="1357" t="str">
        <f t="shared" si="784"/>
        <v>-</v>
      </c>
    </row>
    <row r="2161" spans="1:47" s="170" customFormat="1" x14ac:dyDescent="0.2">
      <c r="A2161" s="60" t="s">
        <v>58</v>
      </c>
      <c r="B2161" s="1061" t="s">
        <v>96</v>
      </c>
      <c r="C2161" s="434" t="s">
        <v>4936</v>
      </c>
      <c r="D2161" s="94"/>
      <c r="E2161" s="99" t="s">
        <v>4937</v>
      </c>
      <c r="F2161" s="83" t="s">
        <v>650</v>
      </c>
      <c r="G2161" s="605" t="s">
        <v>191</v>
      </c>
      <c r="H2161" s="605" t="s">
        <v>191</v>
      </c>
      <c r="I2161" s="60" t="s">
        <v>52</v>
      </c>
      <c r="J2161" s="59" t="s">
        <v>53</v>
      </c>
      <c r="K2161" s="60" t="s">
        <v>54</v>
      </c>
      <c r="L2161" s="60" t="s">
        <v>55</v>
      </c>
      <c r="M2161" s="179">
        <v>950</v>
      </c>
      <c r="N2161" s="656">
        <v>950</v>
      </c>
      <c r="O2161" s="60" t="s">
        <v>64</v>
      </c>
      <c r="P2161" s="273">
        <v>48</v>
      </c>
      <c r="Q2161" s="273">
        <v>60</v>
      </c>
      <c r="R2161" s="60">
        <v>48</v>
      </c>
      <c r="S2161" s="273">
        <v>60</v>
      </c>
      <c r="T2161" s="61">
        <v>48</v>
      </c>
      <c r="U2161" s="61">
        <v>60</v>
      </c>
      <c r="V2161" s="47">
        <f>IF(J2161="Canvas",P2161+Materials!C$5,P2161)</f>
        <v>55</v>
      </c>
      <c r="W2161" s="47">
        <f>IF(J2161="Canvas",Q2161+Materials!C$5,Q2161)</f>
        <v>67</v>
      </c>
      <c r="X2161" s="138"/>
      <c r="Y2161" s="60">
        <v>55</v>
      </c>
      <c r="Z2161" s="60">
        <v>67</v>
      </c>
      <c r="AA2161" s="717">
        <f t="shared" si="783"/>
        <v>25.590277777777779</v>
      </c>
      <c r="AB2161" s="125">
        <f>AA2161*Swiss1</f>
        <v>724.2048611111112</v>
      </c>
      <c r="AC2161" s="69">
        <f t="shared" ref="AC2161:AC2169" si="787">AA2161*Canvas</f>
        <v>16.889583333333334</v>
      </c>
      <c r="AD2161" s="48">
        <f>Table1[[#This Row],[Substrate SF]]*Materials!C$37</f>
        <v>71.652777777777771</v>
      </c>
      <c r="AE2161" s="69">
        <f>IF(Table1[[#This Row],[Work Center]]="SwissQ",Materials!G$37,IF(Table1[[#This Row],[Work Center]]="Inca",Materials!G$29,IF(Table1[[#This Row],[Work Center]]="Canon",Materials!G$49,Materials!G$45)))</f>
        <v>20</v>
      </c>
      <c r="AF2161" s="72">
        <f>'Cali FPS'!C121</f>
        <v>188.18</v>
      </c>
      <c r="AG2161" s="540"/>
      <c r="AH2161" s="69">
        <f t="shared" si="785"/>
        <v>47.5</v>
      </c>
      <c r="AI2161" s="69"/>
      <c r="AJ2161" s="176">
        <f t="shared" si="782"/>
        <v>344.22236111111113</v>
      </c>
      <c r="AK2161" s="650">
        <f t="shared" si="786"/>
        <v>0.63766067251461989</v>
      </c>
      <c r="AL2161" s="225">
        <f>Table1[[#This Row],[WSP/Dealer]]/Table1[[#This Row],[OD Sq Inch]]</f>
        <v>0.3298611111111111</v>
      </c>
      <c r="AM2161" s="173">
        <f>Table1[[#This Row],[OD Wdth]]*Table1[[#This Row],[OD Hgt]]</f>
        <v>2880</v>
      </c>
      <c r="AN2161" s="180">
        <f>Table1[[#This Row],[Min VO]]+Table1[[#This Row],[Max VO]]</f>
        <v>108</v>
      </c>
      <c r="AO2161" s="83"/>
      <c r="AP2161" s="83"/>
      <c r="AQ2161" s="540"/>
      <c r="AR2161" s="540"/>
      <c r="AS2161" s="540"/>
      <c r="AT2161" s="69"/>
      <c r="AU2161" s="1361" t="str">
        <f t="shared" si="784"/>
        <v>-</v>
      </c>
    </row>
    <row r="2162" spans="1:47" s="170" customFormat="1" x14ac:dyDescent="0.2">
      <c r="A2162" s="68" t="s">
        <v>58</v>
      </c>
      <c r="B2162" s="1061"/>
      <c r="C2162" s="627" t="s">
        <v>4938</v>
      </c>
      <c r="D2162" s="94" t="s">
        <v>4939</v>
      </c>
      <c r="E2162" s="172" t="s">
        <v>4937</v>
      </c>
      <c r="F2162" s="84" t="s">
        <v>650</v>
      </c>
      <c r="G2162" s="363" t="s">
        <v>191</v>
      </c>
      <c r="H2162" s="363" t="s">
        <v>193</v>
      </c>
      <c r="I2162" s="68" t="s">
        <v>52</v>
      </c>
      <c r="J2162" s="140" t="s">
        <v>53</v>
      </c>
      <c r="K2162" s="68" t="s">
        <v>69</v>
      </c>
      <c r="L2162" s="68" t="s">
        <v>73</v>
      </c>
      <c r="M2162" s="141">
        <v>1150</v>
      </c>
      <c r="N2162" s="831"/>
      <c r="O2162" s="68" t="s">
        <v>64</v>
      </c>
      <c r="P2162" s="623">
        <v>48</v>
      </c>
      <c r="Q2162" s="623">
        <v>60</v>
      </c>
      <c r="R2162" s="68">
        <v>48</v>
      </c>
      <c r="S2162" s="623">
        <v>60</v>
      </c>
      <c r="T2162" s="623">
        <v>49</v>
      </c>
      <c r="U2162" s="623">
        <v>61</v>
      </c>
      <c r="V2162" s="66">
        <f>IF(J2162="Canvas",P2162+Materials!C$5,P2162)</f>
        <v>55</v>
      </c>
      <c r="W2162" s="66">
        <f>IF(J2162="Canvas",Q2162+Materials!C$5,Q2162)</f>
        <v>67</v>
      </c>
      <c r="X2162" s="189"/>
      <c r="Y2162" s="68">
        <v>55</v>
      </c>
      <c r="Z2162" s="68">
        <v>67</v>
      </c>
      <c r="AA2162" s="699">
        <f t="shared" si="783"/>
        <v>25.590277777777779</v>
      </c>
      <c r="AB2162" s="297">
        <f>AA2162*Swiss1</f>
        <v>724.2048611111112</v>
      </c>
      <c r="AC2162" s="74">
        <f t="shared" si="787"/>
        <v>16.889583333333334</v>
      </c>
      <c r="AD2162" s="67">
        <f>Table1[[#This Row],[Substrate SF]]*Materials!C$37</f>
        <v>71.652777777777771</v>
      </c>
      <c r="AE2162" s="74">
        <f>IF(Table1[[#This Row],[Work Center]]="SwissQ",Materials!G$37,IF(Table1[[#This Row],[Work Center]]="Inca",Materials!G$29,IF(Table1[[#This Row],[Work Center]]="Canon",Materials!G$49,Materials!G$45)))</f>
        <v>20</v>
      </c>
      <c r="AF2162" s="73">
        <f>'Cali Frames'!D470</f>
        <v>263.70999999999998</v>
      </c>
      <c r="AG2162" s="126"/>
      <c r="AH2162" s="67">
        <f t="shared" si="785"/>
        <v>57.5</v>
      </c>
      <c r="AI2162" s="67"/>
      <c r="AJ2162" s="278">
        <f t="shared" si="782"/>
        <v>429.7523611111111</v>
      </c>
      <c r="AK2162" s="661">
        <f t="shared" si="786"/>
        <v>0.6263022946859903</v>
      </c>
      <c r="AL2162" s="240">
        <f>Table1[[#This Row],[WSP/Dealer]]/Table1[[#This Row],[OD Sq Inch]]</f>
        <v>0.38474406155904983</v>
      </c>
      <c r="AM2162" s="170">
        <f>Table1[[#This Row],[OD Wdth]]*Table1[[#This Row],[OD Hgt]]</f>
        <v>2989</v>
      </c>
      <c r="AN2162" s="274">
        <f>Table1[[#This Row],[Min VO]]+Table1[[#This Row],[Max VO]]</f>
        <v>108</v>
      </c>
      <c r="AO2162" s="84"/>
      <c r="AP2162" s="84"/>
      <c r="AQ2162" s="126"/>
      <c r="AR2162" s="126"/>
      <c r="AS2162" s="126"/>
      <c r="AT2162" s="74"/>
      <c r="AU2162" s="1357" t="str">
        <f t="shared" si="784"/>
        <v>-</v>
      </c>
    </row>
    <row r="2163" spans="1:47" s="170" customFormat="1" hidden="1" x14ac:dyDescent="0.2">
      <c r="A2163" s="101" t="s">
        <v>110</v>
      </c>
      <c r="B2163" s="1067" t="s">
        <v>102</v>
      </c>
      <c r="C2163" s="625" t="s">
        <v>4940</v>
      </c>
      <c r="D2163" s="168"/>
      <c r="E2163" s="169" t="s">
        <v>4941</v>
      </c>
      <c r="F2163" s="115" t="s">
        <v>386</v>
      </c>
      <c r="G2163" s="407" t="s">
        <v>1229</v>
      </c>
      <c r="H2163" s="407" t="s">
        <v>1229</v>
      </c>
      <c r="I2163" s="101" t="s">
        <v>52</v>
      </c>
      <c r="J2163" s="487" t="s">
        <v>53</v>
      </c>
      <c r="K2163" s="101" t="s">
        <v>54</v>
      </c>
      <c r="L2163" s="101" t="s">
        <v>55</v>
      </c>
      <c r="M2163" s="299">
        <v>700</v>
      </c>
      <c r="N2163" s="114"/>
      <c r="O2163" s="101" t="s">
        <v>56</v>
      </c>
      <c r="P2163" s="697">
        <v>60</v>
      </c>
      <c r="Q2163" s="697">
        <v>36</v>
      </c>
      <c r="R2163" s="101">
        <v>36</v>
      </c>
      <c r="S2163" s="697">
        <v>60</v>
      </c>
      <c r="T2163" s="697">
        <v>60</v>
      </c>
      <c r="U2163" s="697">
        <v>36</v>
      </c>
      <c r="V2163" s="106">
        <f>IF(J2163="Canvas",P2163+Materials!C$5,P2163)</f>
        <v>67</v>
      </c>
      <c r="W2163" s="106">
        <f>IF(J2163="Canvas",Q2163+Materials!C$5,Q2163)</f>
        <v>43</v>
      </c>
      <c r="X2163" s="101">
        <v>69</v>
      </c>
      <c r="Y2163" s="101">
        <v>67</v>
      </c>
      <c r="Z2163" s="101">
        <v>43</v>
      </c>
      <c r="AA2163" s="649">
        <f t="shared" si="783"/>
        <v>20.006944444444443</v>
      </c>
      <c r="AB2163" s="184">
        <f>AA2163*IncaG</f>
        <v>420.94611111111107</v>
      </c>
      <c r="AC2163" s="104">
        <f t="shared" si="787"/>
        <v>13.204583333333334</v>
      </c>
      <c r="AD2163" s="107">
        <f>AA2163*IncaC</f>
        <v>33.675688888888885</v>
      </c>
      <c r="AE2163" s="104">
        <f>IF(Table1[[#This Row],[Work Center]]="SwissQ",Materials!G$37,IF(Table1[[#This Row],[Work Center]]="Inca",Materials!G$29,IF(Table1[[#This Row],[Work Center]]="Canon",Materials!G$49,Materials!G$45)))</f>
        <v>8</v>
      </c>
      <c r="AF2163" s="102">
        <f>'Cali FPS'!C75</f>
        <v>116.11</v>
      </c>
      <c r="AG2163" s="121"/>
      <c r="AH2163" s="104">
        <f t="shared" si="785"/>
        <v>35</v>
      </c>
      <c r="AI2163" s="406">
        <f>IF(A2163="Codarus",(M2163*0.13))</f>
        <v>91</v>
      </c>
      <c r="AJ2163" s="104">
        <f>SUM(AC2163:AI2163)</f>
        <v>296.99027222222219</v>
      </c>
      <c r="AK2163" s="830">
        <f t="shared" si="786"/>
        <v>0.57572818253968261</v>
      </c>
      <c r="AL2163" s="660">
        <f>Table1[[#This Row],[WSP/Dealer]]/Table1[[#This Row],[OD Sq Inch]]</f>
        <v>0.32407407407407407</v>
      </c>
      <c r="AM2163" s="229">
        <f>Table1[[#This Row],[OD Wdth]]*Table1[[#This Row],[OD Hgt]]</f>
        <v>2160</v>
      </c>
      <c r="AN2163" s="266">
        <f>Table1[[#This Row],[Min VO]]+Table1[[#This Row],[Max VO]]</f>
        <v>96</v>
      </c>
      <c r="AO2163" s="115"/>
      <c r="AP2163" s="408">
        <v>1400</v>
      </c>
      <c r="AQ2163" s="121">
        <f>(Table1[[#This Row],[Desgnr/Retail P]]*0.05)</f>
        <v>70</v>
      </c>
      <c r="AR2163" s="121">
        <f>IF(A2163="Codarus",(AP2163*0.13))</f>
        <v>182</v>
      </c>
      <c r="AS2163" s="121">
        <f>SUM(Table1[[#This Row],[Substrate $]:[GP FINISH]])+Table1[[#This Row],[Retail Royalty]]+Table1[[#This Row],[Retail$Comm]]</f>
        <v>422.99027222222219</v>
      </c>
      <c r="AT2163" s="830">
        <f>IF(AP2163=0,"-",(AP2163-AS2163)/AP2163)</f>
        <v>0.69786409126984128</v>
      </c>
      <c r="AU2163" s="1359">
        <f t="shared" si="784"/>
        <v>0.99003051298185951</v>
      </c>
    </row>
    <row r="2164" spans="1:47" s="170" customFormat="1" hidden="1" x14ac:dyDescent="0.2">
      <c r="A2164" s="180" t="s">
        <v>95</v>
      </c>
      <c r="B2164" s="279" t="s">
        <v>96</v>
      </c>
      <c r="C2164" s="293" t="s">
        <v>4942</v>
      </c>
      <c r="D2164" s="94" t="s">
        <v>907</v>
      </c>
      <c r="E2164" s="291" t="s">
        <v>4943</v>
      </c>
      <c r="F2164" s="284" t="s">
        <v>99</v>
      </c>
      <c r="G2164" s="181" t="s">
        <v>100</v>
      </c>
      <c r="H2164" s="181" t="s">
        <v>100</v>
      </c>
      <c r="I2164" s="180" t="s">
        <v>52</v>
      </c>
      <c r="J2164" s="310" t="s">
        <v>53</v>
      </c>
      <c r="K2164" s="180" t="s">
        <v>54</v>
      </c>
      <c r="L2164" s="180" t="s">
        <v>55</v>
      </c>
      <c r="M2164" s="292">
        <v>500</v>
      </c>
      <c r="N2164" s="290"/>
      <c r="O2164" s="180" t="s">
        <v>64</v>
      </c>
      <c r="P2164" s="813">
        <v>24</v>
      </c>
      <c r="Q2164" s="813">
        <v>36</v>
      </c>
      <c r="R2164" s="180">
        <v>24</v>
      </c>
      <c r="S2164" s="813">
        <v>36</v>
      </c>
      <c r="T2164" s="813">
        <v>24</v>
      </c>
      <c r="U2164" s="813">
        <v>36</v>
      </c>
      <c r="V2164" s="947">
        <f>IF(J2164="Canvas",P2164+Border,P2164)</f>
        <v>32</v>
      </c>
      <c r="W2164" s="947">
        <f>IF(J2164="Canvas",Q2164+Border,Q2164)</f>
        <v>44</v>
      </c>
      <c r="X2164" s="289">
        <v>40</v>
      </c>
      <c r="Y2164" s="180">
        <v>32</v>
      </c>
      <c r="Z2164" s="180">
        <v>44</v>
      </c>
      <c r="AA2164" s="678">
        <f t="shared" si="783"/>
        <v>9.7777777777777786</v>
      </c>
      <c r="AB2164" s="329">
        <f>AA2164*Swiss1</f>
        <v>276.71111111111117</v>
      </c>
      <c r="AC2164" s="176">
        <f t="shared" si="787"/>
        <v>6.453333333333334</v>
      </c>
      <c r="AD2164" s="176">
        <f>Table1[[#This Row],[Substrate SF]]*SWISSC1</f>
        <v>27.37777777777778</v>
      </c>
      <c r="AE2164" s="176">
        <f>IF(Table1[[#This Row],[Work Center]]="SwissQ",Materials!G$37,IF(Table1[[#This Row],[Work Center]]="Inca",Materials!G$29,IF(Table1[[#This Row],[Work Center]]="Canon",Materials!G$49,Materials!G$45)))</f>
        <v>20</v>
      </c>
      <c r="AF2164" s="290">
        <f>'Cali FPS'!C37</f>
        <v>75.162500000000009</v>
      </c>
      <c r="AG2164" s="296"/>
      <c r="AH2164" s="176">
        <f t="shared" si="785"/>
        <v>25</v>
      </c>
      <c r="AI2164" s="176"/>
      <c r="AJ2164" s="176">
        <f>SUM(AC2164:AH2164)</f>
        <v>153.99361111111114</v>
      </c>
      <c r="AK2164" s="1201">
        <f t="shared" si="786"/>
        <v>0.6920127777777777</v>
      </c>
      <c r="AL2164" s="176">
        <f>Table1[[#This Row],[WSP/Dealer]]/Table1[[#This Row],[OD Sq Inch]]</f>
        <v>0.57870370370370372</v>
      </c>
      <c r="AM2164" s="180">
        <f>Table1[[#This Row],[OD Wdth]]*Table1[[#This Row],[OD Hgt]]</f>
        <v>864</v>
      </c>
      <c r="AN2164" s="180">
        <f>Table1[[#This Row],[Min VO]]+Table1[[#This Row],[Max VO]]</f>
        <v>60</v>
      </c>
      <c r="AO2164" s="284"/>
      <c r="AP2164" s="284"/>
      <c r="AQ2164" s="296"/>
      <c r="AR2164" s="296"/>
      <c r="AS2164" s="296"/>
      <c r="AT2164" s="176"/>
      <c r="AU2164" s="1358" t="str">
        <f t="shared" si="784"/>
        <v>-</v>
      </c>
    </row>
    <row r="2165" spans="1:47" s="170" customFormat="1" hidden="1" x14ac:dyDescent="0.2">
      <c r="A2165" s="101" t="s">
        <v>110</v>
      </c>
      <c r="B2165" s="1322" t="s">
        <v>134</v>
      </c>
      <c r="C2165" s="719" t="s">
        <v>4944</v>
      </c>
      <c r="D2165" s="168"/>
      <c r="E2165" s="115" t="s">
        <v>4945</v>
      </c>
      <c r="F2165" s="115" t="s">
        <v>634</v>
      </c>
      <c r="G2165" s="101" t="s">
        <v>164</v>
      </c>
      <c r="H2165" s="101" t="s">
        <v>164</v>
      </c>
      <c r="I2165" s="101" t="s">
        <v>52</v>
      </c>
      <c r="J2165" s="101" t="s">
        <v>53</v>
      </c>
      <c r="K2165" s="101" t="s">
        <v>54</v>
      </c>
      <c r="L2165" s="101" t="s">
        <v>55</v>
      </c>
      <c r="M2165" s="299">
        <v>1100</v>
      </c>
      <c r="N2165" s="829">
        <v>1100</v>
      </c>
      <c r="O2165" s="101" t="s">
        <v>56</v>
      </c>
      <c r="P2165" s="697">
        <v>48</v>
      </c>
      <c r="Q2165" s="697">
        <v>70</v>
      </c>
      <c r="R2165" s="101">
        <v>48</v>
      </c>
      <c r="S2165" s="697">
        <v>70</v>
      </c>
      <c r="T2165" s="697">
        <f>Table1[[#This Row],[VO Wdth]]</f>
        <v>48</v>
      </c>
      <c r="U2165" s="697">
        <f>Table1[[#This Row],[VO Hgt]]</f>
        <v>70</v>
      </c>
      <c r="V2165" s="608">
        <f>IF(J2165="Canvas",P2165+Border,P2165)</f>
        <v>56</v>
      </c>
      <c r="W2165" s="608">
        <f>IF(J2165="Canvas",Q2165+Border,Q2165)</f>
        <v>78</v>
      </c>
      <c r="X2165" s="137">
        <v>122</v>
      </c>
      <c r="Y2165" s="101">
        <v>56</v>
      </c>
      <c r="Z2165" s="101">
        <v>78</v>
      </c>
      <c r="AA2165" s="649">
        <f t="shared" si="783"/>
        <v>30.333333333333332</v>
      </c>
      <c r="AB2165" s="184">
        <f>AA2165*IncaG</f>
        <v>638.21333333333325</v>
      </c>
      <c r="AC2165" s="104">
        <f t="shared" si="787"/>
        <v>20.02</v>
      </c>
      <c r="AD2165" s="104">
        <f>AA2165*IncaC</f>
        <v>51.057066666666664</v>
      </c>
      <c r="AE2165" s="104">
        <f>IF(Table1[[#This Row],[Work Center]]="SwissQ",Materials!G$37,IF(Table1[[#This Row],[Work Center]]="Inca",Materials!G$29,IF(Table1[[#This Row],[Work Center]]="Canon",Materials!G$49,Materials!G$45)))</f>
        <v>8</v>
      </c>
      <c r="AF2165" s="104">
        <f>'Cali FPS'!C$125</f>
        <v>176.80250000000001</v>
      </c>
      <c r="AG2165" s="115"/>
      <c r="AH2165" s="104">
        <f t="shared" si="785"/>
        <v>55</v>
      </c>
      <c r="AI2165" s="406">
        <f>IF(A2165="Codarus",(M2165*0.13))</f>
        <v>143</v>
      </c>
      <c r="AJ2165" s="104">
        <f>SUM(AC2165:AI2165)</f>
        <v>453.87956666666668</v>
      </c>
      <c r="AK2165" s="830">
        <f t="shared" si="786"/>
        <v>0.58738221212121211</v>
      </c>
      <c r="AL2165" s="660">
        <f>Table1[[#This Row],[WSP/Dealer]]/Table1[[#This Row],[OD Sq Inch]]</f>
        <v>0.32738095238095238</v>
      </c>
      <c r="AM2165" s="266">
        <f>Table1[[#This Row],[OD Wdth]]*Table1[[#This Row],[OD Hgt]]</f>
        <v>3360</v>
      </c>
      <c r="AN2165" s="266">
        <f>Table1[[#This Row],[Min VO]]+Table1[[#This Row],[Max VO]]</f>
        <v>118</v>
      </c>
      <c r="AO2165" s="101"/>
      <c r="AP2165" s="1307">
        <v>2200</v>
      </c>
      <c r="AQ2165" s="121">
        <f>(Table1[[#This Row],[Desgnr/Retail P]]*0.05)</f>
        <v>110</v>
      </c>
      <c r="AR2165" s="121">
        <f>IF(A2165="Codarus",(AP2165*0.13))</f>
        <v>286</v>
      </c>
      <c r="AS2165" s="121">
        <f>SUM(Table1[[#This Row],[Substrate $]:[GP FINISH]])+Table1[[#This Row],[Retail Royalty]]+Table1[[#This Row],[Retail$Comm]]</f>
        <v>651.87956666666673</v>
      </c>
      <c r="AT2165" s="830">
        <f>IF(AP2165=0,"-",(AP2165-AS2165)/AP2165)</f>
        <v>0.70369110606060603</v>
      </c>
      <c r="AU2165" s="830">
        <f t="shared" si="784"/>
        <v>0.99360280812672175</v>
      </c>
    </row>
    <row r="2166" spans="1:47" s="170" customFormat="1" hidden="1" x14ac:dyDescent="0.2">
      <c r="A2166" s="101" t="s">
        <v>110</v>
      </c>
      <c r="B2166" s="1062" t="s">
        <v>134</v>
      </c>
      <c r="C2166" s="719" t="s">
        <v>4946</v>
      </c>
      <c r="D2166" s="168"/>
      <c r="E2166" s="115" t="s">
        <v>4947</v>
      </c>
      <c r="F2166" s="115" t="s">
        <v>634</v>
      </c>
      <c r="G2166" s="101" t="s">
        <v>164</v>
      </c>
      <c r="H2166" s="101" t="s">
        <v>164</v>
      </c>
      <c r="I2166" s="101" t="s">
        <v>52</v>
      </c>
      <c r="J2166" s="101" t="s">
        <v>53</v>
      </c>
      <c r="K2166" s="101" t="s">
        <v>54</v>
      </c>
      <c r="L2166" s="101" t="s">
        <v>55</v>
      </c>
      <c r="M2166" s="299">
        <v>1100</v>
      </c>
      <c r="N2166" s="829">
        <v>1100</v>
      </c>
      <c r="O2166" s="101" t="s">
        <v>56</v>
      </c>
      <c r="P2166" s="697">
        <v>48</v>
      </c>
      <c r="Q2166" s="697">
        <v>70</v>
      </c>
      <c r="R2166" s="101">
        <v>48</v>
      </c>
      <c r="S2166" s="697">
        <v>70</v>
      </c>
      <c r="T2166" s="697">
        <f>Table1[[#This Row],[VO Wdth]]</f>
        <v>48</v>
      </c>
      <c r="U2166" s="697">
        <f>Table1[[#This Row],[VO Hgt]]</f>
        <v>70</v>
      </c>
      <c r="V2166" s="608">
        <f>IF(J2166="Canvas",P2166+Border,P2166)</f>
        <v>56</v>
      </c>
      <c r="W2166" s="608">
        <f>IF(J2166="Canvas",Q2166+Border,Q2166)</f>
        <v>78</v>
      </c>
      <c r="X2166" s="137">
        <v>122</v>
      </c>
      <c r="Y2166" s="101">
        <v>56</v>
      </c>
      <c r="Z2166" s="101">
        <v>78</v>
      </c>
      <c r="AA2166" s="649">
        <f t="shared" si="783"/>
        <v>30.333333333333332</v>
      </c>
      <c r="AB2166" s="184">
        <f>AA2166*IncaG</f>
        <v>638.21333333333325</v>
      </c>
      <c r="AC2166" s="104">
        <f t="shared" si="787"/>
        <v>20.02</v>
      </c>
      <c r="AD2166" s="104">
        <f>AA2166*IncaC</f>
        <v>51.057066666666664</v>
      </c>
      <c r="AE2166" s="104">
        <f>IF(Table1[[#This Row],[Work Center]]="SwissQ",Materials!G$37,IF(Table1[[#This Row],[Work Center]]="Inca",Materials!G$29,IF(Table1[[#This Row],[Work Center]]="Canon",Materials!G$49,Materials!G$45)))</f>
        <v>8</v>
      </c>
      <c r="AF2166" s="104">
        <f>'Cali FPS'!C$125</f>
        <v>176.80250000000001</v>
      </c>
      <c r="AG2166" s="115"/>
      <c r="AH2166" s="107">
        <f t="shared" si="785"/>
        <v>55</v>
      </c>
      <c r="AI2166" s="405">
        <f>IF(A2166="Codarus",(M2166*0.13))</f>
        <v>143</v>
      </c>
      <c r="AJ2166" s="104">
        <f>SUM(AC2166:AI2166)</f>
        <v>453.87956666666668</v>
      </c>
      <c r="AK2166" s="108">
        <f t="shared" si="786"/>
        <v>0.58738221212121211</v>
      </c>
      <c r="AL2166" s="660">
        <f>Table1[[#This Row],[WSP/Dealer]]/Table1[[#This Row],[OD Sq Inch]]</f>
        <v>0.32738095238095238</v>
      </c>
      <c r="AM2166" s="266">
        <f>Table1[[#This Row],[OD Wdth]]*Table1[[#This Row],[OD Hgt]]</f>
        <v>3360</v>
      </c>
      <c r="AN2166" s="266">
        <f>Table1[[#This Row],[Min VO]]+Table1[[#This Row],[Max VO]]</f>
        <v>118</v>
      </c>
      <c r="AO2166" s="101"/>
      <c r="AP2166" s="1307">
        <f>(M2166*2)</f>
        <v>2200</v>
      </c>
      <c r="AQ2166" s="121">
        <f>(Table1[[#This Row],[Desgnr/Retail P]]*0.05)</f>
        <v>110</v>
      </c>
      <c r="AR2166" s="121">
        <f>IF(A2166="Codarus",(AP2166*0.13))</f>
        <v>286</v>
      </c>
      <c r="AS2166" s="121">
        <f>SUM(Table1[[#This Row],[Substrate $]:[GP FINISH]])+Table1[[#This Row],[Retail Royalty]]+Table1[[#This Row],[Retail$Comm]]</f>
        <v>651.87956666666673</v>
      </c>
      <c r="AT2166" s="830">
        <f>IF(AP2166=0,"-",(AP2166-AS2166)/AP2166)</f>
        <v>0.70369110606060603</v>
      </c>
      <c r="AU2166" s="830">
        <f t="shared" si="784"/>
        <v>0.99360280812672175</v>
      </c>
    </row>
    <row r="2167" spans="1:47" s="170" customFormat="1" hidden="1" x14ac:dyDescent="0.2">
      <c r="A2167" s="68" t="s">
        <v>644</v>
      </c>
      <c r="B2167" s="1061" t="s">
        <v>96</v>
      </c>
      <c r="C2167" s="257" t="s">
        <v>4948</v>
      </c>
      <c r="D2167" s="94"/>
      <c r="E2167" s="84" t="s">
        <v>4949</v>
      </c>
      <c r="F2167" s="84" t="s">
        <v>634</v>
      </c>
      <c r="G2167" s="68" t="s">
        <v>3668</v>
      </c>
      <c r="H2167" s="68" t="s">
        <v>3668</v>
      </c>
      <c r="I2167" s="68" t="s">
        <v>108</v>
      </c>
      <c r="J2167" s="140" t="s">
        <v>53</v>
      </c>
      <c r="K2167" s="68" t="s">
        <v>54</v>
      </c>
      <c r="L2167" s="68" t="s">
        <v>55</v>
      </c>
      <c r="M2167" s="141">
        <v>215</v>
      </c>
      <c r="N2167" s="93"/>
      <c r="O2167" s="68" t="s">
        <v>109</v>
      </c>
      <c r="P2167" s="623">
        <v>11</v>
      </c>
      <c r="Q2167" s="623">
        <v>14</v>
      </c>
      <c r="R2167" s="623">
        <v>11</v>
      </c>
      <c r="S2167" s="623">
        <v>14</v>
      </c>
      <c r="T2167" s="623">
        <v>11</v>
      </c>
      <c r="U2167" s="623">
        <v>14</v>
      </c>
      <c r="V2167" s="686">
        <f>IF(J2167="Canvas",P2167+BorderL,P2167)</f>
        <v>22</v>
      </c>
      <c r="W2167" s="686">
        <f>IF(J2167="Canvas",Q2167+BorderL,Q2167)</f>
        <v>25</v>
      </c>
      <c r="X2167" s="189">
        <v>40</v>
      </c>
      <c r="Y2167" s="68">
        <v>22</v>
      </c>
      <c r="Z2167" s="68">
        <v>25</v>
      </c>
      <c r="AA2167" s="727">
        <f t="shared" si="783"/>
        <v>3.8194444444444446</v>
      </c>
      <c r="AB2167" s="341">
        <f>AA2167*EPSONM</f>
        <v>17.1875</v>
      </c>
      <c r="AC2167" s="278">
        <f t="shared" si="787"/>
        <v>2.5208333333333335</v>
      </c>
      <c r="AD2167" s="263">
        <f>Table1[[#This Row],[Ink g/mL]]*EPSONC</f>
        <v>3.78125</v>
      </c>
      <c r="AE2167" s="278">
        <f>IF(Table1[[#This Row],[Work Center]]="SwissQ",Materials!G$37,IF(Table1[[#This Row],[Work Center]]="Inca",Materials!G$29,IF(Table1[[#This Row],[Work Center]]="Canon",Materials!G$49,Materials!G$45)))</f>
        <v>5</v>
      </c>
      <c r="AF2167" s="73">
        <f>'Cali FPS'!C8</f>
        <v>56.175000000000004</v>
      </c>
      <c r="AG2167" s="84"/>
      <c r="AH2167" s="74">
        <f t="shared" si="785"/>
        <v>10.75</v>
      </c>
      <c r="AI2167" s="74"/>
      <c r="AJ2167" s="278">
        <f t="shared" ref="AJ2167:AJ2175" si="788">SUM(AC2167:AH2167)</f>
        <v>78.22708333333334</v>
      </c>
      <c r="AK2167" s="1001">
        <f t="shared" si="786"/>
        <v>0.63615310077519382</v>
      </c>
      <c r="AL2167" s="240">
        <f>Table1[[#This Row],[WSP/Dealer]]/Table1[[#This Row],[OD Sq Inch]]</f>
        <v>1.3961038961038961</v>
      </c>
      <c r="AM2167" s="274">
        <f>Table1[[#This Row],[OD Wdth]]*Table1[[#This Row],[OD Hgt]]</f>
        <v>154</v>
      </c>
      <c r="AN2167" s="274">
        <f>Table1[[#This Row],[Min VO]]+Table1[[#This Row],[Max VO]]</f>
        <v>25</v>
      </c>
      <c r="AO2167" s="84"/>
      <c r="AP2167" s="84"/>
      <c r="AQ2167" s="126"/>
      <c r="AR2167" s="126"/>
      <c r="AS2167" s="126"/>
      <c r="AT2167" s="74"/>
      <c r="AU2167" s="1357" t="str">
        <f t="shared" si="784"/>
        <v>-</v>
      </c>
    </row>
    <row r="2168" spans="1:47" s="399" customFormat="1" hidden="1" x14ac:dyDescent="0.2">
      <c r="A2168" s="86"/>
      <c r="B2168" s="170"/>
      <c r="C2168" s="75" t="s">
        <v>4950</v>
      </c>
      <c r="D2168" s="94"/>
      <c r="E2168" s="85" t="s">
        <v>4949</v>
      </c>
      <c r="F2168" s="85"/>
      <c r="G2168" s="86" t="s">
        <v>3668</v>
      </c>
      <c r="H2168" s="86" t="s">
        <v>3668</v>
      </c>
      <c r="I2168" s="86" t="s">
        <v>52</v>
      </c>
      <c r="J2168" s="86" t="s">
        <v>53</v>
      </c>
      <c r="K2168" s="86" t="s">
        <v>69</v>
      </c>
      <c r="L2168" s="86" t="s">
        <v>73</v>
      </c>
      <c r="M2168" s="87">
        <v>155</v>
      </c>
      <c r="N2168" s="71"/>
      <c r="O2168" s="101" t="s">
        <v>56</v>
      </c>
      <c r="P2168" s="273">
        <v>11</v>
      </c>
      <c r="Q2168" s="273">
        <v>14</v>
      </c>
      <c r="R2168" s="60">
        <v>11</v>
      </c>
      <c r="S2168" s="61">
        <v>14</v>
      </c>
      <c r="T2168" s="61">
        <v>11</v>
      </c>
      <c r="U2168" s="61">
        <v>14</v>
      </c>
      <c r="V2168" s="106">
        <f>IF(J2168="Canvas",P2168+BorderGW,P2168)</f>
        <v>19</v>
      </c>
      <c r="W2168" s="106">
        <f>IF(J2168="Canvas",Q2168+BorderGW,Q2168)</f>
        <v>22</v>
      </c>
      <c r="X2168" s="138" t="s">
        <v>4951</v>
      </c>
      <c r="Y2168" s="46">
        <v>40</v>
      </c>
      <c r="Z2168" s="46">
        <v>66</v>
      </c>
      <c r="AA2168" s="649">
        <f t="shared" si="783"/>
        <v>2.9027777777777777</v>
      </c>
      <c r="AB2168" s="184">
        <f>AA2168*IncaG</f>
        <v>61.074444444444438</v>
      </c>
      <c r="AC2168" s="104">
        <f t="shared" si="787"/>
        <v>1.9158333333333333</v>
      </c>
      <c r="AD2168" s="107">
        <f>AA2168*IncaC</f>
        <v>4.8859555555555554</v>
      </c>
      <c r="AE2168" s="104">
        <f>IF(Table1[[#This Row],[Work Center]]="SwissQ",Materials!G$37,IF(Table1[[#This Row],[Work Center]]="Inca",Materials!G$29,IF(Table1[[#This Row],[Work Center]]="Canon",Materials!G$49,Materials!G$45)))</f>
        <v>8</v>
      </c>
      <c r="AF2168" s="69">
        <f>'Cali Frames'!D411</f>
        <v>73.954999999999998</v>
      </c>
      <c r="AG2168" s="115"/>
      <c r="AH2168" s="498">
        <f t="shared" si="785"/>
        <v>7.75</v>
      </c>
      <c r="AI2168" s="498"/>
      <c r="AJ2168" s="107">
        <f t="shared" si="788"/>
        <v>96.506788888888892</v>
      </c>
      <c r="AK2168" s="650">
        <f t="shared" si="786"/>
        <v>0.37737555555555552</v>
      </c>
      <c r="AL2168" s="225">
        <f>Table1[[#This Row],[WSP/Dealer]]/Table1[[#This Row],[OD Sq Inch]]</f>
        <v>1.0064935064935066</v>
      </c>
      <c r="AM2168" s="218">
        <f>Table1[[#This Row],[OD Wdth]]*Table1[[#This Row],[OD Hgt]]</f>
        <v>154</v>
      </c>
      <c r="AN2168" s="216">
        <f>Table1[[#This Row],[Min VO]]+Table1[[#This Row],[Max VO]]</f>
        <v>25</v>
      </c>
      <c r="AO2168" s="101"/>
      <c r="AP2168" s="101"/>
      <c r="AQ2168" s="104"/>
      <c r="AR2168" s="104"/>
      <c r="AS2168" s="104"/>
      <c r="AT2168" s="104"/>
      <c r="AU2168" s="830" t="str">
        <f t="shared" si="784"/>
        <v>-</v>
      </c>
    </row>
    <row r="2169" spans="1:47" s="399" customFormat="1" hidden="1" x14ac:dyDescent="0.2">
      <c r="A2169" s="68" t="s">
        <v>1560</v>
      </c>
      <c r="B2169" s="1061" t="s">
        <v>1021</v>
      </c>
      <c r="C2169" s="257" t="s">
        <v>4952</v>
      </c>
      <c r="D2169" s="94"/>
      <c r="E2169" s="84" t="s">
        <v>4953</v>
      </c>
      <c r="F2169" s="84" t="s">
        <v>634</v>
      </c>
      <c r="G2169" s="68" t="s">
        <v>519</v>
      </c>
      <c r="H2169" s="68" t="s">
        <v>519</v>
      </c>
      <c r="I2169" s="68" t="s">
        <v>108</v>
      </c>
      <c r="J2169" s="140" t="s">
        <v>53</v>
      </c>
      <c r="K2169" s="68" t="s">
        <v>54</v>
      </c>
      <c r="L2169" s="68" t="s">
        <v>55</v>
      </c>
      <c r="M2169" s="141">
        <v>175</v>
      </c>
      <c r="N2169" s="93"/>
      <c r="O2169" s="68" t="s">
        <v>109</v>
      </c>
      <c r="P2169" s="623">
        <v>16</v>
      </c>
      <c r="Q2169" s="623">
        <v>20</v>
      </c>
      <c r="R2169" s="68">
        <v>16</v>
      </c>
      <c r="S2169" s="623">
        <v>20</v>
      </c>
      <c r="T2169" s="623">
        <v>16</v>
      </c>
      <c r="U2169" s="623">
        <v>20</v>
      </c>
      <c r="V2169" s="277">
        <f>IF(J2169="Canvas",P2169+BorderL,P2169)</f>
        <v>27</v>
      </c>
      <c r="W2169" s="277">
        <f>IF(J2169="Canvas",Q2169+BorderL,Q2169)</f>
        <v>31</v>
      </c>
      <c r="X2169" s="189">
        <v>40</v>
      </c>
      <c r="Y2169" s="68">
        <v>27</v>
      </c>
      <c r="Z2169" s="68">
        <v>31</v>
      </c>
      <c r="AA2169" s="727">
        <f t="shared" si="783"/>
        <v>5.8125</v>
      </c>
      <c r="AB2169" s="341">
        <f>AA2169*EPSONM</f>
        <v>26.15625</v>
      </c>
      <c r="AC2169" s="278">
        <f t="shared" si="787"/>
        <v>3.8362500000000002</v>
      </c>
      <c r="AD2169" s="263">
        <f>Table1[[#This Row],[Ink g/mL]]*EPSONC</f>
        <v>5.7543750000000005</v>
      </c>
      <c r="AE2169" s="278">
        <f>IF(Table1[[#This Row],[Work Center]]="SwissQ",Materials!G$37,IF(Table1[[#This Row],[Work Center]]="Inca",Materials!G$29,IF(Table1[[#This Row],[Work Center]]="Canon",Materials!G$49,Materials!G$45)))</f>
        <v>5</v>
      </c>
      <c r="AF2169" s="73">
        <f>'Cali FPS'!C18</f>
        <v>61.15</v>
      </c>
      <c r="AG2169" s="84"/>
      <c r="AH2169" s="74">
        <f t="shared" si="785"/>
        <v>8.75</v>
      </c>
      <c r="AI2169" s="74"/>
      <c r="AJ2169" s="278">
        <f t="shared" si="788"/>
        <v>84.490624999999994</v>
      </c>
      <c r="AK2169" s="1001">
        <f t="shared" si="786"/>
        <v>0.51719642857142856</v>
      </c>
      <c r="AL2169" s="240">
        <f>Table1[[#This Row],[WSP/Dealer]]/Table1[[#This Row],[OD Sq Inch]]</f>
        <v>0.546875</v>
      </c>
      <c r="AM2169" s="170">
        <f>Table1[[#This Row],[OD Wdth]]*Table1[[#This Row],[OD Hgt]]</f>
        <v>320</v>
      </c>
      <c r="AN2169" s="274">
        <f>Table1[[#This Row],[Min VO]]+Table1[[#This Row],[Max VO]]</f>
        <v>36</v>
      </c>
      <c r="AO2169" s="84"/>
      <c r="AP2169" s="84"/>
      <c r="AQ2169" s="126"/>
      <c r="AR2169" s="126"/>
      <c r="AS2169" s="126"/>
      <c r="AT2169" s="74"/>
      <c r="AU2169" s="1357" t="str">
        <f t="shared" si="784"/>
        <v>-</v>
      </c>
    </row>
    <row r="2170" spans="1:47" s="170" customFormat="1" x14ac:dyDescent="0.2">
      <c r="A2170" s="86" t="s">
        <v>58</v>
      </c>
      <c r="B2170" s="1061" t="s">
        <v>366</v>
      </c>
      <c r="C2170" s="100" t="s">
        <v>4954</v>
      </c>
      <c r="D2170" s="94" t="s">
        <v>4955</v>
      </c>
      <c r="E2170" s="85" t="s">
        <v>4956</v>
      </c>
      <c r="F2170" s="694" t="s">
        <v>448</v>
      </c>
      <c r="G2170" s="86" t="s">
        <v>51</v>
      </c>
      <c r="H2170" s="86" t="s">
        <v>362</v>
      </c>
      <c r="I2170" s="86" t="s">
        <v>794</v>
      </c>
      <c r="J2170" s="86" t="s">
        <v>53</v>
      </c>
      <c r="K2170" s="86" t="s">
        <v>82</v>
      </c>
      <c r="L2170" s="86" t="s">
        <v>83</v>
      </c>
      <c r="M2170" s="87">
        <v>616</v>
      </c>
      <c r="N2170" s="639">
        <v>677.6</v>
      </c>
      <c r="O2170" s="551" t="s">
        <v>795</v>
      </c>
      <c r="P2170" s="101">
        <v>30</v>
      </c>
      <c r="Q2170" s="101">
        <v>40</v>
      </c>
      <c r="R2170" s="101">
        <v>30</v>
      </c>
      <c r="S2170" s="101">
        <v>40</v>
      </c>
      <c r="T2170" s="101">
        <v>32</v>
      </c>
      <c r="U2170" s="101" t="str">
        <f>RIGHT(H2170,2)</f>
        <v>42</v>
      </c>
      <c r="V2170" s="608">
        <f>IF(J2170="Canvas",P2170+Border,P2170)</f>
        <v>38</v>
      </c>
      <c r="W2170" s="608">
        <f>IF(J2170="Canvas",Q2170+Border,Q2170)</f>
        <v>48</v>
      </c>
      <c r="X2170" s="137" t="s">
        <v>796</v>
      </c>
      <c r="Y2170" s="101"/>
      <c r="Z2170" s="101"/>
      <c r="AA2170" s="649">
        <f t="shared" si="783"/>
        <v>12.666666666666666</v>
      </c>
      <c r="AB2170" s="184">
        <v>0</v>
      </c>
      <c r="AC2170" s="104">
        <f>TX!H29</f>
        <v>99.99</v>
      </c>
      <c r="AD2170" s="107">
        <f>AA2170*IncaC</f>
        <v>21.320533333333334</v>
      </c>
      <c r="AE2170" s="104">
        <v>0</v>
      </c>
      <c r="AF2170" s="104">
        <f>'Cali Frames'!D$128</f>
        <v>113.19000000000001</v>
      </c>
      <c r="AG2170" s="115"/>
      <c r="AH2170" s="498">
        <f t="shared" si="785"/>
        <v>30.8</v>
      </c>
      <c r="AI2170" s="498"/>
      <c r="AJ2170" s="104">
        <f t="shared" si="788"/>
        <v>265.30053333333336</v>
      </c>
      <c r="AK2170" s="650">
        <f t="shared" si="786"/>
        <v>0.56931731601731594</v>
      </c>
      <c r="AL2170" s="225">
        <f>Table1[[#This Row],[WSP/Dealer]]/Table1[[#This Row],[OD Sq Inch]]</f>
        <v>0.45833333333333331</v>
      </c>
      <c r="AM2170" s="218">
        <f>Table1[[#This Row],[OD Wdth]]*Table1[[#This Row],[OD Hgt]]</f>
        <v>1344</v>
      </c>
      <c r="AN2170" s="216">
        <f>Table1[[#This Row],[Min VO]]+Table1[[#This Row],[Max VO]]</f>
        <v>70</v>
      </c>
      <c r="AO2170" s="101"/>
      <c r="AP2170" s="101"/>
      <c r="AQ2170" s="104"/>
      <c r="AR2170" s="104"/>
      <c r="AS2170" s="104"/>
      <c r="AT2170" s="104"/>
      <c r="AU2170" s="830" t="str">
        <f t="shared" si="784"/>
        <v>-</v>
      </c>
    </row>
    <row r="2171" spans="1:47" s="399" customFormat="1" x14ac:dyDescent="0.2">
      <c r="A2171" s="86" t="s">
        <v>58</v>
      </c>
      <c r="B2171" s="1061" t="s">
        <v>562</v>
      </c>
      <c r="C2171" s="100" t="s">
        <v>4957</v>
      </c>
      <c r="D2171" s="94" t="s">
        <v>4958</v>
      </c>
      <c r="E2171" s="85" t="s">
        <v>4959</v>
      </c>
      <c r="F2171" s="85" t="s">
        <v>448</v>
      </c>
      <c r="G2171" s="86" t="s">
        <v>51</v>
      </c>
      <c r="H2171" s="86" t="s">
        <v>362</v>
      </c>
      <c r="I2171" s="86" t="s">
        <v>794</v>
      </c>
      <c r="J2171" s="86" t="s">
        <v>53</v>
      </c>
      <c r="K2171" s="86" t="s">
        <v>82</v>
      </c>
      <c r="L2171" s="86" t="s">
        <v>83</v>
      </c>
      <c r="M2171" s="87">
        <v>616</v>
      </c>
      <c r="N2171" s="639">
        <v>677.6</v>
      </c>
      <c r="O2171" s="551" t="s">
        <v>795</v>
      </c>
      <c r="P2171" s="101">
        <v>30</v>
      </c>
      <c r="Q2171" s="101">
        <v>40</v>
      </c>
      <c r="R2171" s="101">
        <v>30</v>
      </c>
      <c r="S2171" s="101">
        <v>40</v>
      </c>
      <c r="T2171" s="101">
        <v>32</v>
      </c>
      <c r="U2171" s="101" t="str">
        <f>RIGHT(H2171,2)</f>
        <v>42</v>
      </c>
      <c r="V2171" s="608">
        <f>IF(J2171="Canvas",P2171+Border,P2171)</f>
        <v>38</v>
      </c>
      <c r="W2171" s="608">
        <f>IF(J2171="Canvas",Q2171+Border,Q2171)</f>
        <v>48</v>
      </c>
      <c r="X2171" s="137" t="s">
        <v>796</v>
      </c>
      <c r="Y2171" s="101"/>
      <c r="Z2171" s="101"/>
      <c r="AA2171" s="649">
        <f t="shared" si="783"/>
        <v>12.666666666666666</v>
      </c>
      <c r="AB2171" s="184">
        <v>0</v>
      </c>
      <c r="AC2171" s="107">
        <f>TX!H30</f>
        <v>99.99</v>
      </c>
      <c r="AD2171" s="107">
        <f>AA2171*IncaC</f>
        <v>21.320533333333334</v>
      </c>
      <c r="AE2171" s="104">
        <v>0</v>
      </c>
      <c r="AF2171" s="104">
        <f>'Cali Frames'!D$128</f>
        <v>113.19000000000001</v>
      </c>
      <c r="AG2171" s="115"/>
      <c r="AH2171" s="112">
        <f t="shared" si="785"/>
        <v>30.8</v>
      </c>
      <c r="AI2171" s="112"/>
      <c r="AJ2171" s="104">
        <f t="shared" si="788"/>
        <v>265.30053333333336</v>
      </c>
      <c r="AK2171" s="62">
        <f t="shared" si="786"/>
        <v>0.56931731601731594</v>
      </c>
      <c r="AL2171" s="225">
        <f>Table1[[#This Row],[WSP/Dealer]]/Table1[[#This Row],[OD Sq Inch]]</f>
        <v>0.45833333333333331</v>
      </c>
      <c r="AM2171" s="46">
        <f>Table1[[#This Row],[OD Wdth]]*Table1[[#This Row],[OD Hgt]]</f>
        <v>1344</v>
      </c>
      <c r="AN2171" s="216">
        <f>Table1[[#This Row],[Min VO]]+Table1[[#This Row],[Max VO]]</f>
        <v>70</v>
      </c>
      <c r="AO2171" s="103"/>
      <c r="AP2171" s="101"/>
      <c r="AQ2171" s="104"/>
      <c r="AR2171" s="104"/>
      <c r="AS2171" s="104"/>
      <c r="AT2171" s="104"/>
      <c r="AU2171" s="108" t="str">
        <f t="shared" si="784"/>
        <v>-</v>
      </c>
    </row>
    <row r="2172" spans="1:47" s="399" customFormat="1" hidden="1" x14ac:dyDescent="0.2">
      <c r="A2172" s="86"/>
      <c r="B2172" s="1061" t="s">
        <v>562</v>
      </c>
      <c r="C2172" s="78" t="s">
        <v>4960</v>
      </c>
      <c r="D2172" s="94"/>
      <c r="E2172" s="85" t="s">
        <v>4961</v>
      </c>
      <c r="F2172" s="85" t="s">
        <v>448</v>
      </c>
      <c r="G2172" s="86" t="s">
        <v>4962</v>
      </c>
      <c r="H2172" s="86" t="s">
        <v>4962</v>
      </c>
      <c r="I2172" s="86" t="s">
        <v>52</v>
      </c>
      <c r="J2172" s="86" t="s">
        <v>53</v>
      </c>
      <c r="K2172" s="86" t="s">
        <v>82</v>
      </c>
      <c r="L2172" s="86" t="s">
        <v>83</v>
      </c>
      <c r="M2172" s="87">
        <f>1200+105</f>
        <v>1305</v>
      </c>
      <c r="N2172" s="71"/>
      <c r="O2172" s="68" t="s">
        <v>56</v>
      </c>
      <c r="P2172" s="68">
        <v>54</v>
      </c>
      <c r="Q2172" s="68">
        <v>72</v>
      </c>
      <c r="R2172" s="60">
        <v>54</v>
      </c>
      <c r="S2172" s="273">
        <v>72</v>
      </c>
      <c r="T2172" s="101">
        <v>56</v>
      </c>
      <c r="U2172" s="273">
        <v>74</v>
      </c>
      <c r="V2172" s="106">
        <f>IF(J2172="Canvas",P2172+BorderGW,P2172)</f>
        <v>62</v>
      </c>
      <c r="W2172" s="106">
        <f>IF(J2172="Canvas",Q2172+BorderGW,Q2172)</f>
        <v>80</v>
      </c>
      <c r="X2172" s="189">
        <v>122</v>
      </c>
      <c r="Y2172" s="68"/>
      <c r="Z2172" s="68"/>
      <c r="AA2172" s="649">
        <f t="shared" si="783"/>
        <v>34.444444444444443</v>
      </c>
      <c r="AB2172" s="184">
        <f>AA2172*IncaG</f>
        <v>724.71111111111099</v>
      </c>
      <c r="AC2172" s="74">
        <f t="shared" ref="AC2172:AC2180" si="789">AA2172*Canvas</f>
        <v>22.733333333333334</v>
      </c>
      <c r="AD2172" s="67">
        <f>AA2172*IncaC</f>
        <v>57.976888888888887</v>
      </c>
      <c r="AE2172" s="104">
        <f>IF(Table1[[#This Row],[Work Center]]="SwissQ",Materials!G$37,IF(Table1[[#This Row],[Work Center]]="Inca",Materials!G$29,IF(Table1[[#This Row],[Work Center]]="Canon",Materials!G$49,Materials!G$45)))</f>
        <v>8</v>
      </c>
      <c r="AF2172" s="74"/>
      <c r="AG2172" s="115"/>
      <c r="AH2172" s="112">
        <f t="shared" si="785"/>
        <v>65.25</v>
      </c>
      <c r="AI2172" s="112"/>
      <c r="AJ2172" s="104">
        <f t="shared" si="788"/>
        <v>153.96022222222223</v>
      </c>
      <c r="AK2172" s="62">
        <f t="shared" si="786"/>
        <v>0.88202281822051931</v>
      </c>
      <c r="AL2172" s="225">
        <f>Table1[[#This Row],[WSP/Dealer]]/Table1[[#This Row],[OD Sq Inch]]</f>
        <v>0.31491312741312744</v>
      </c>
      <c r="AM2172" s="218">
        <f>Table1[[#This Row],[OD Wdth]]*Table1[[#This Row],[OD Hgt]]</f>
        <v>4144</v>
      </c>
      <c r="AN2172" s="216">
        <f>Table1[[#This Row],[Min VO]]+Table1[[#This Row],[Max VO]]</f>
        <v>126</v>
      </c>
      <c r="AO2172" s="103"/>
      <c r="AP2172" s="101"/>
      <c r="AQ2172" s="104"/>
      <c r="AR2172" s="104"/>
      <c r="AS2172" s="104"/>
      <c r="AT2172" s="104"/>
      <c r="AU2172" s="830" t="str">
        <f t="shared" si="784"/>
        <v>-</v>
      </c>
    </row>
    <row r="2173" spans="1:47" s="868" customFormat="1" x14ac:dyDescent="0.2">
      <c r="A2173" s="551" t="s">
        <v>58</v>
      </c>
      <c r="B2173" s="1150" t="s">
        <v>310</v>
      </c>
      <c r="C2173" s="805" t="s">
        <v>4963</v>
      </c>
      <c r="D2173" s="77"/>
      <c r="E2173" s="653" t="s">
        <v>4964</v>
      </c>
      <c r="F2173" s="653" t="s">
        <v>308</v>
      </c>
      <c r="G2173" s="551" t="s">
        <v>191</v>
      </c>
      <c r="H2173" s="551" t="s">
        <v>191</v>
      </c>
      <c r="I2173" s="551" t="s">
        <v>52</v>
      </c>
      <c r="J2173" s="856" t="s">
        <v>53</v>
      </c>
      <c r="K2173" s="551" t="s">
        <v>54</v>
      </c>
      <c r="L2173" s="551" t="s">
        <v>55</v>
      </c>
      <c r="M2173" s="896">
        <v>950</v>
      </c>
      <c r="N2173" s="896"/>
      <c r="O2173" s="551" t="s">
        <v>56</v>
      </c>
      <c r="P2173" s="551">
        <v>48</v>
      </c>
      <c r="Q2173" s="551">
        <v>60</v>
      </c>
      <c r="R2173" s="551">
        <v>48</v>
      </c>
      <c r="S2173" s="984">
        <v>60</v>
      </c>
      <c r="T2173" s="551">
        <v>48</v>
      </c>
      <c r="U2173" s="984">
        <v>60</v>
      </c>
      <c r="V2173" s="859">
        <f>IF(J2173="Canvas",P2173+BorderGW,P2173)</f>
        <v>56</v>
      </c>
      <c r="W2173" s="859">
        <f>IF(J2173="Canvas",Q2173+BorderGW,Q2173)</f>
        <v>68</v>
      </c>
      <c r="X2173" s="551">
        <v>69</v>
      </c>
      <c r="Y2173" s="551">
        <v>56</v>
      </c>
      <c r="Z2173" s="551">
        <v>68</v>
      </c>
      <c r="AA2173" s="860">
        <f t="shared" si="783"/>
        <v>26.444444444444443</v>
      </c>
      <c r="AB2173" s="861">
        <f>AA2173*IncaG</f>
        <v>556.39111111111106</v>
      </c>
      <c r="AC2173" s="863">
        <f t="shared" si="789"/>
        <v>17.453333333333333</v>
      </c>
      <c r="AD2173" s="862">
        <f>AA2173*IncaC</f>
        <v>44.511288888888885</v>
      </c>
      <c r="AE2173" s="863">
        <f>IF(Table1[[#This Row],[Work Center]]="SwissQ",Materials!G$37,IF(Table1[[#This Row],[Work Center]]="Inca",Materials!G$29,IF(Table1[[#This Row],[Work Center]]="Canon",Materials!G$49,Materials!G$45)))</f>
        <v>8</v>
      </c>
      <c r="AF2173" s="71">
        <f>'Cali FPS'!C121</f>
        <v>188.18</v>
      </c>
      <c r="AG2173" s="653"/>
      <c r="AH2173" s="865">
        <f t="shared" si="785"/>
        <v>47.5</v>
      </c>
      <c r="AI2173" s="865"/>
      <c r="AJ2173" s="867">
        <f t="shared" si="788"/>
        <v>305.64462222222221</v>
      </c>
      <c r="AK2173" s="866">
        <f t="shared" si="786"/>
        <v>0.67826881871345035</v>
      </c>
      <c r="AL2173" s="867">
        <f>Table1[[#This Row],[WSP/Dealer]]/Table1[[#This Row],[OD Sq Inch]]</f>
        <v>0.3298611111111111</v>
      </c>
      <c r="AM2173" s="868">
        <f>Table1[[#This Row],[OD Wdth]]*Table1[[#This Row],[OD Hgt]]</f>
        <v>2880</v>
      </c>
      <c r="AN2173" s="869">
        <f>Table1[[#This Row],[Min VO]]+Table1[[#This Row],[Max VO]]</f>
        <v>108</v>
      </c>
      <c r="AO2173" s="1545"/>
      <c r="AP2173" s="653"/>
      <c r="AQ2173" s="863">
        <f>(Table1[[#This Row],[Desgnr/Retail P]]*0.05)</f>
        <v>0</v>
      </c>
      <c r="AR2173" s="863" t="b">
        <f>IF(A2173="Codarus",(AP2173*0.13))</f>
        <v>0</v>
      </c>
      <c r="AS2173" s="863" t="e" cm="1">
        <f t="array" ref="AS2173">SUM(AC2173:AG2173+AQ+AR)</f>
        <v>#NAME?</v>
      </c>
      <c r="AT2173" s="863" t="e">
        <f>(AP2173-AS2173)/AP2173</f>
        <v>#NAME?</v>
      </c>
      <c r="AU2173" s="1364" t="str">
        <f t="shared" si="784"/>
        <v>-</v>
      </c>
    </row>
    <row r="2174" spans="1:47" s="170" customFormat="1" x14ac:dyDescent="0.2">
      <c r="A2174" s="68" t="s">
        <v>58</v>
      </c>
      <c r="B2174" s="1072" t="s">
        <v>310</v>
      </c>
      <c r="C2174" s="78" t="s">
        <v>4965</v>
      </c>
      <c r="D2174" s="94"/>
      <c r="E2174" s="84" t="s">
        <v>4964</v>
      </c>
      <c r="F2174" s="84" t="s">
        <v>308</v>
      </c>
      <c r="G2174" s="68" t="s">
        <v>191</v>
      </c>
      <c r="H2174" s="68" t="s">
        <v>193</v>
      </c>
      <c r="I2174" s="68" t="s">
        <v>52</v>
      </c>
      <c r="J2174" s="140" t="s">
        <v>53</v>
      </c>
      <c r="K2174" s="68" t="s">
        <v>69</v>
      </c>
      <c r="L2174" s="68" t="s">
        <v>70</v>
      </c>
      <c r="M2174" s="93">
        <v>1150</v>
      </c>
      <c r="N2174" s="93"/>
      <c r="O2174" s="68" t="s">
        <v>56</v>
      </c>
      <c r="P2174" s="68">
        <v>48</v>
      </c>
      <c r="Q2174" s="68">
        <v>60</v>
      </c>
      <c r="R2174" s="68">
        <v>48</v>
      </c>
      <c r="S2174" s="623">
        <v>60</v>
      </c>
      <c r="T2174" s="68">
        <v>49</v>
      </c>
      <c r="U2174" s="623">
        <v>61</v>
      </c>
      <c r="V2174" s="66">
        <f>IF(J2174="Canvas",P2174+BorderGW,P2174)</f>
        <v>56</v>
      </c>
      <c r="W2174" s="66">
        <f>IF(J2174="Canvas",Q2174+BorderGW,Q2174)</f>
        <v>68</v>
      </c>
      <c r="X2174" s="68">
        <v>69</v>
      </c>
      <c r="Y2174" s="68">
        <v>56</v>
      </c>
      <c r="Z2174" s="68">
        <v>68</v>
      </c>
      <c r="AA2174" s="699">
        <f t="shared" si="783"/>
        <v>26.444444444444443</v>
      </c>
      <c r="AB2174" s="297">
        <f>AA2174*IncaG</f>
        <v>556.39111111111106</v>
      </c>
      <c r="AC2174" s="74">
        <f t="shared" si="789"/>
        <v>17.453333333333333</v>
      </c>
      <c r="AD2174" s="67">
        <f>AA2174*IncaC</f>
        <v>44.511288888888885</v>
      </c>
      <c r="AE2174" s="74">
        <f>IF(Table1[[#This Row],[Work Center]]="SwissQ",Materials!G$37,IF(Table1[[#This Row],[Work Center]]="Inca",Materials!G$29,IF(Table1[[#This Row],[Work Center]]="Canon",Materials!G$49,Materials!G$45)))</f>
        <v>8</v>
      </c>
      <c r="AF2174" s="73">
        <f>'Cali Frames'!D335</f>
        <v>258.27999999999997</v>
      </c>
      <c r="AG2174" s="84"/>
      <c r="AH2174" s="263">
        <f t="shared" si="785"/>
        <v>57.5</v>
      </c>
      <c r="AI2174" s="263"/>
      <c r="AJ2174" s="278">
        <f t="shared" si="788"/>
        <v>385.74462222222218</v>
      </c>
      <c r="AK2174" s="688">
        <f t="shared" si="786"/>
        <v>0.66456989371980679</v>
      </c>
      <c r="AL2174" s="278">
        <f>Table1[[#This Row],[WSP/Dealer]]/Table1[[#This Row],[OD Sq Inch]]</f>
        <v>0.38474406155904983</v>
      </c>
      <c r="AM2174" s="170">
        <f>Table1[[#This Row],[OD Wdth]]*Table1[[#This Row],[OD Hgt]]</f>
        <v>2989</v>
      </c>
      <c r="AN2174" s="274">
        <f>Table1[[#This Row],[Min VO]]+Table1[[#This Row],[Max VO]]</f>
        <v>108</v>
      </c>
      <c r="AO2174" s="84"/>
      <c r="AP2174" s="84"/>
      <c r="AQ2174" s="74">
        <f>(Table1[[#This Row],[Desgnr/Retail P]]*0.05)</f>
        <v>0</v>
      </c>
      <c r="AR2174" s="74" t="b">
        <f>IF(A2174="Codarus",(AP2174*0.13))</f>
        <v>0</v>
      </c>
      <c r="AS2174" s="74" t="e" cm="1">
        <f t="array" ref="AS2174">SUM(AC2174:AG2174+AQ+AR)</f>
        <v>#NAME?</v>
      </c>
      <c r="AT2174" s="74" t="e">
        <f>(AP2174-AS2174)/AP2174</f>
        <v>#NAME?</v>
      </c>
      <c r="AU2174" s="1357" t="str">
        <f t="shared" si="784"/>
        <v>-</v>
      </c>
    </row>
    <row r="2175" spans="1:47" s="170" customFormat="1" hidden="1" x14ac:dyDescent="0.2">
      <c r="A2175" s="180" t="s">
        <v>95</v>
      </c>
      <c r="B2175" s="1061" t="s">
        <v>96</v>
      </c>
      <c r="C2175" s="302" t="s">
        <v>4966</v>
      </c>
      <c r="D2175" s="94"/>
      <c r="E2175" s="284" t="s">
        <v>4967</v>
      </c>
      <c r="F2175" s="284" t="s">
        <v>322</v>
      </c>
      <c r="G2175" s="180" t="s">
        <v>323</v>
      </c>
      <c r="H2175" s="180" t="s">
        <v>325</v>
      </c>
      <c r="I2175" s="180" t="s">
        <v>52</v>
      </c>
      <c r="J2175" s="310" t="s">
        <v>53</v>
      </c>
      <c r="K2175" s="180" t="s">
        <v>69</v>
      </c>
      <c r="L2175" s="180" t="s">
        <v>326</v>
      </c>
      <c r="M2175" s="292">
        <v>520</v>
      </c>
      <c r="N2175" s="290"/>
      <c r="O2175" s="180" t="s">
        <v>64</v>
      </c>
      <c r="P2175" s="180">
        <v>36</v>
      </c>
      <c r="Q2175" s="180">
        <v>24</v>
      </c>
      <c r="R2175" s="180">
        <v>24</v>
      </c>
      <c r="S2175" s="813">
        <v>36</v>
      </c>
      <c r="T2175" s="180">
        <v>37</v>
      </c>
      <c r="U2175" s="813">
        <v>25</v>
      </c>
      <c r="V2175" s="947">
        <f>IF(J2175="Canvas",P2175+Border,P2175)</f>
        <v>44</v>
      </c>
      <c r="W2175" s="947">
        <f>IF(J2175="Canvas",Q2175+Border,Q2175)</f>
        <v>32</v>
      </c>
      <c r="X2175" s="289">
        <v>40</v>
      </c>
      <c r="Y2175" s="180">
        <v>44</v>
      </c>
      <c r="Z2175" s="180">
        <v>32</v>
      </c>
      <c r="AA2175" s="678">
        <f t="shared" si="783"/>
        <v>9.7777777777777786</v>
      </c>
      <c r="AB2175" s="329">
        <f>AA2175*Swiss1</f>
        <v>276.71111111111117</v>
      </c>
      <c r="AC2175" s="176">
        <f t="shared" si="789"/>
        <v>6.453333333333334</v>
      </c>
      <c r="AD2175" s="175">
        <f>Table1[[#This Row],[Substrate SF]]*Materials!C$37</f>
        <v>27.37777777777778</v>
      </c>
      <c r="AE2175" s="176">
        <f>IF(Table1[[#This Row],[Work Center]]="SwissQ",Materials!G$37,IF(Table1[[#This Row],[Work Center]]="Inca",Materials!G$29,IF(Table1[[#This Row],[Work Center]]="Canon",Materials!G$49,Materials!G$45)))</f>
        <v>20</v>
      </c>
      <c r="AF2175" s="290">
        <f>'Cali Frames'!D362</f>
        <v>140.05000000000001</v>
      </c>
      <c r="AG2175" s="284"/>
      <c r="AH2175" s="175">
        <f t="shared" si="785"/>
        <v>26</v>
      </c>
      <c r="AI2175" s="175"/>
      <c r="AJ2175" s="176">
        <f t="shared" si="788"/>
        <v>219.88111111111112</v>
      </c>
      <c r="AK2175" s="676">
        <f t="shared" si="786"/>
        <v>0.57715170940170935</v>
      </c>
      <c r="AL2175" s="176">
        <f>Table1[[#This Row],[WSP/Dealer]]/Table1[[#This Row],[OD Sq Inch]]</f>
        <v>0.56216216216216219</v>
      </c>
      <c r="AM2175" s="173">
        <f>Table1[[#This Row],[OD Wdth]]*Table1[[#This Row],[OD Hgt]]</f>
        <v>925</v>
      </c>
      <c r="AN2175" s="180">
        <f>Table1[[#This Row],[Min VO]]+Table1[[#This Row],[Max VO]]</f>
        <v>60</v>
      </c>
      <c r="AO2175" s="284"/>
      <c r="AP2175" s="284"/>
      <c r="AQ2175" s="296"/>
      <c r="AR2175" s="296"/>
      <c r="AS2175" s="296"/>
      <c r="AT2175" s="176"/>
      <c r="AU2175" s="1358" t="str">
        <f t="shared" si="784"/>
        <v>-</v>
      </c>
    </row>
    <row r="2176" spans="1:47" s="170" customFormat="1" hidden="1" x14ac:dyDescent="0.2">
      <c r="A2176" s="101" t="s">
        <v>110</v>
      </c>
      <c r="B2176" s="1067" t="s">
        <v>134</v>
      </c>
      <c r="C2176" s="100" t="s">
        <v>4968</v>
      </c>
      <c r="D2176" s="168"/>
      <c r="E2176" s="115" t="s">
        <v>4969</v>
      </c>
      <c r="F2176" s="115" t="s">
        <v>322</v>
      </c>
      <c r="G2176" s="101" t="s">
        <v>572</v>
      </c>
      <c r="H2176" s="101" t="s">
        <v>572</v>
      </c>
      <c r="I2176" s="101" t="s">
        <v>52</v>
      </c>
      <c r="J2176" s="487" t="s">
        <v>53</v>
      </c>
      <c r="K2176" s="101" t="s">
        <v>54</v>
      </c>
      <c r="L2176" s="101" t="s">
        <v>55</v>
      </c>
      <c r="M2176" s="114">
        <v>1000</v>
      </c>
      <c r="N2176" s="114"/>
      <c r="O2176" s="101" t="s">
        <v>56</v>
      </c>
      <c r="P2176" s="101">
        <v>60</v>
      </c>
      <c r="Q2176" s="101">
        <v>40</v>
      </c>
      <c r="R2176" s="101">
        <v>40</v>
      </c>
      <c r="S2176" s="697">
        <v>60</v>
      </c>
      <c r="T2176" s="101">
        <v>60</v>
      </c>
      <c r="U2176" s="697">
        <v>40</v>
      </c>
      <c r="V2176" s="106">
        <f>IF(J2176="Canvas",P2176+Border,P2176)</f>
        <v>68</v>
      </c>
      <c r="W2176" s="106">
        <f>IF(J2176="Canvas",Q2176+Border,Q2176)</f>
        <v>48</v>
      </c>
      <c r="X2176" s="137">
        <v>53</v>
      </c>
      <c r="Y2176" s="101">
        <v>68</v>
      </c>
      <c r="Z2176" s="101">
        <v>48</v>
      </c>
      <c r="AA2176" s="649">
        <f t="shared" si="783"/>
        <v>22.666666666666668</v>
      </c>
      <c r="AB2176" s="184">
        <f>AA2176*IncaG</f>
        <v>476.90666666666669</v>
      </c>
      <c r="AC2176" s="104">
        <f t="shared" si="789"/>
        <v>14.96</v>
      </c>
      <c r="AD2176" s="1066">
        <f>Table1[[#This Row],[Substrate SF]]*IncaC</f>
        <v>38.152533333333338</v>
      </c>
      <c r="AE2176" s="406">
        <f>IF(Table1[[#This Row],[Work Center]]="SwissQ",Materials!G$37,IF(Table1[[#This Row],[Work Center]]="Inca",Materials!G$29,IF(Table1[[#This Row],[Work Center]]="Canon",Materials!G$49,Materials!G$45)))</f>
        <v>8</v>
      </c>
      <c r="AF2176" s="102">
        <f>'Cali FPS'!C125</f>
        <v>176.80250000000001</v>
      </c>
      <c r="AG2176" s="115"/>
      <c r="AH2176" s="120">
        <f t="shared" si="785"/>
        <v>50</v>
      </c>
      <c r="AI2176" s="405">
        <f>IF(A2176="Codarus",(M2176*0.13))</f>
        <v>130</v>
      </c>
      <c r="AJ2176" s="104">
        <f>SUM(AC2176:AI2176)</f>
        <v>417.91503333333333</v>
      </c>
      <c r="AK2176" s="108">
        <f t="shared" si="786"/>
        <v>0.58208496666666665</v>
      </c>
      <c r="AL2176" s="660">
        <f>Table1[[#This Row],[WSP/Dealer]]/Table1[[#This Row],[OD Sq Inch]]</f>
        <v>0.41666666666666669</v>
      </c>
      <c r="AM2176" s="399">
        <f>Table1[[#This Row],[OD Wdth]]*Table1[[#This Row],[OD Hgt]]</f>
        <v>2400</v>
      </c>
      <c r="AN2176" s="400">
        <f>Table1[[#This Row],[Min VO]]+Table1[[#This Row],[Max VO]]</f>
        <v>100</v>
      </c>
      <c r="AO2176" s="115"/>
      <c r="AP2176" s="121">
        <v>2000</v>
      </c>
      <c r="AQ2176" s="121">
        <f>(Table1[[#This Row],[Desgnr/Retail P]]*0.05)</f>
        <v>100</v>
      </c>
      <c r="AR2176" s="121">
        <f>IF(A2176="Codarus",(AP2176*0.13))</f>
        <v>260</v>
      </c>
      <c r="AS2176" s="121">
        <f>SUM(Table1[[#This Row],[Substrate $]:[GP FINISH]])+Table1[[#This Row],[Retail Royalty]]+Table1[[#This Row],[Retail$Comm]]</f>
        <v>597.91503333333333</v>
      </c>
      <c r="AT2176" s="830">
        <f>IF(AP2176=0,"-",(AP2176-AS2176)/AP2176)</f>
        <v>0.70104248333333341</v>
      </c>
      <c r="AU2176" s="1359">
        <f t="shared" si="784"/>
        <v>0.99298957516666664</v>
      </c>
    </row>
    <row r="2177" spans="1:47" s="170" customFormat="1" hidden="1" x14ac:dyDescent="0.2">
      <c r="A2177" s="101" t="s">
        <v>110</v>
      </c>
      <c r="B2177" s="1062" t="s">
        <v>111</v>
      </c>
      <c r="C2177" s="100" t="s">
        <v>4970</v>
      </c>
      <c r="D2177" s="168"/>
      <c r="E2177" s="115" t="s">
        <v>4971</v>
      </c>
      <c r="F2177" s="115" t="s">
        <v>448</v>
      </c>
      <c r="G2177" s="101" t="s">
        <v>354</v>
      </c>
      <c r="H2177" s="101" t="s">
        <v>354</v>
      </c>
      <c r="I2177" s="101" t="s">
        <v>52</v>
      </c>
      <c r="J2177" s="487" t="s">
        <v>53</v>
      </c>
      <c r="K2177" s="101" t="s">
        <v>54</v>
      </c>
      <c r="L2177" s="101" t="s">
        <v>55</v>
      </c>
      <c r="M2177" s="299">
        <v>350</v>
      </c>
      <c r="N2177" s="114"/>
      <c r="O2177" s="101" t="s">
        <v>56</v>
      </c>
      <c r="P2177" s="101">
        <v>24</v>
      </c>
      <c r="Q2177" s="101">
        <v>30</v>
      </c>
      <c r="R2177" s="101">
        <v>24</v>
      </c>
      <c r="S2177" s="697">
        <v>30</v>
      </c>
      <c r="T2177" s="697">
        <v>24</v>
      </c>
      <c r="U2177" s="697">
        <v>30</v>
      </c>
      <c r="V2177" s="106">
        <f>IF(J2177="Canvas",P2177+BorderGW,P2177)</f>
        <v>32</v>
      </c>
      <c r="W2177" s="106">
        <f>IF(J2177="Canvas",Q2177+BorderGW,Q2177)</f>
        <v>38</v>
      </c>
      <c r="X2177" s="800" t="s">
        <v>57</v>
      </c>
      <c r="Y2177" s="101">
        <v>32</v>
      </c>
      <c r="Z2177" s="101">
        <v>38</v>
      </c>
      <c r="AA2177" s="649">
        <f t="shared" si="783"/>
        <v>8.4444444444444446</v>
      </c>
      <c r="AB2177" s="184">
        <f>AA2177*IncaG</f>
        <v>177.67111111111112</v>
      </c>
      <c r="AC2177" s="104">
        <f t="shared" si="789"/>
        <v>5.5733333333333341</v>
      </c>
      <c r="AD2177" s="107">
        <f>AA2177*IncaC</f>
        <v>14.213688888888889</v>
      </c>
      <c r="AE2177" s="104">
        <f>IF(Table1[[#This Row],[Work Center]]="SwissQ",Materials!G$37,IF(Table1[[#This Row],[Work Center]]="Inca",Materials!G$29,IF(Table1[[#This Row],[Work Center]]="Canon",Materials!G$49,Materials!G$45)))</f>
        <v>8</v>
      </c>
      <c r="AF2177" s="102">
        <f>'Cali FPS'!C35</f>
        <v>74.2</v>
      </c>
      <c r="AG2177" s="115"/>
      <c r="AH2177" s="405">
        <f t="shared" si="785"/>
        <v>17.5</v>
      </c>
      <c r="AI2177" s="405">
        <f>IF(A2177="Codarus",(M2177*0.13))</f>
        <v>45.5</v>
      </c>
      <c r="AJ2177" s="406">
        <f>SUM(AC2177:AH2177)</f>
        <v>119.48702222222222</v>
      </c>
      <c r="AK2177" s="1068">
        <f t="shared" si="786"/>
        <v>0.65860850793650794</v>
      </c>
      <c r="AL2177" s="406">
        <f>Table1[[#This Row],[WSP/Dealer]]/Table1[[#This Row],[OD Sq Inch]]</f>
        <v>0.4861111111111111</v>
      </c>
      <c r="AM2177" s="399">
        <f>Table1[[#This Row],[OD Wdth]]*Table1[[#This Row],[OD Hgt]]</f>
        <v>720</v>
      </c>
      <c r="AN2177" s="115"/>
      <c r="AO2177" s="115"/>
      <c r="AP2177" s="121">
        <v>700</v>
      </c>
      <c r="AQ2177" s="121">
        <f>(Table1[[#This Row],[Desgnr/Retail P]]*0.05)</f>
        <v>35</v>
      </c>
      <c r="AR2177" s="121">
        <f>IF(A2177="Codarus",(AP2177*0.13))</f>
        <v>91</v>
      </c>
      <c r="AS2177" s="121">
        <f>SUM(Table1[[#This Row],[Substrate $]:[GP FINISH]])+Table1[[#This Row],[Retail Royalty]]+Table1[[#This Row],[Retail$Comm]]</f>
        <v>227.98702222222221</v>
      </c>
      <c r="AT2177" s="830">
        <f>IF(AP2177=0,"-",(AP2177-AS2177)/AP2177)</f>
        <v>0.674304253968254</v>
      </c>
      <c r="AU2177" s="1359">
        <f t="shared" si="784"/>
        <v>0.98073416417233561</v>
      </c>
    </row>
    <row r="2178" spans="1:47" s="399" customFormat="1" hidden="1" x14ac:dyDescent="0.2">
      <c r="A2178" s="60" t="s">
        <v>1020</v>
      </c>
      <c r="B2178" s="279" t="s">
        <v>346</v>
      </c>
      <c r="C2178" s="76" t="s">
        <v>4972</v>
      </c>
      <c r="D2178" s="94"/>
      <c r="E2178" s="83" t="s">
        <v>4973</v>
      </c>
      <c r="F2178" s="83" t="s">
        <v>448</v>
      </c>
      <c r="G2178" s="60" t="s">
        <v>1026</v>
      </c>
      <c r="H2178" s="60" t="s">
        <v>1026</v>
      </c>
      <c r="I2178" s="60" t="s">
        <v>52</v>
      </c>
      <c r="J2178" s="59" t="s">
        <v>53</v>
      </c>
      <c r="K2178" s="60" t="s">
        <v>54</v>
      </c>
      <c r="L2178" s="60" t="s">
        <v>55</v>
      </c>
      <c r="M2178" s="179">
        <v>400</v>
      </c>
      <c r="N2178" s="124"/>
      <c r="O2178" s="60" t="s">
        <v>56</v>
      </c>
      <c r="P2178" s="60">
        <v>30</v>
      </c>
      <c r="Q2178" s="60">
        <v>40</v>
      </c>
      <c r="R2178" s="60">
        <v>30</v>
      </c>
      <c r="S2178" s="273">
        <v>40</v>
      </c>
      <c r="T2178" s="273">
        <v>30</v>
      </c>
      <c r="U2178" s="273">
        <f>Table1[[#This Row],[VO Hgt]]</f>
        <v>40</v>
      </c>
      <c r="V2178" s="47">
        <f>IF(J2178="Canvas",P2178+BorderGW,P2178)</f>
        <v>38</v>
      </c>
      <c r="W2178" s="47">
        <f>IF(J2178="Canvas",Q2178+BorderGW,Q2178)</f>
        <v>48</v>
      </c>
      <c r="X2178" s="157" t="s">
        <v>57</v>
      </c>
      <c r="Y2178" s="60">
        <v>38</v>
      </c>
      <c r="Z2178" s="60">
        <v>96</v>
      </c>
      <c r="AA2178" s="717">
        <f t="shared" si="783"/>
        <v>12.666666666666666</v>
      </c>
      <c r="AB2178" s="125">
        <f>AA2178*IncaG</f>
        <v>266.50666666666666</v>
      </c>
      <c r="AC2178" s="69">
        <f t="shared" si="789"/>
        <v>8.36</v>
      </c>
      <c r="AD2178" s="48">
        <f>AA2178*IncaC</f>
        <v>21.320533333333334</v>
      </c>
      <c r="AE2178" s="69">
        <f>IF(Table1[[#This Row],[Work Center]]="SwissQ",Materials!G$37,IF(Table1[[#This Row],[Work Center]]="Inca",Materials!G$29,IF(Table1[[#This Row],[Work Center]]="Canon",Materials!G$49,Materials!G$45)))</f>
        <v>8</v>
      </c>
      <c r="AF2178" s="72">
        <f>'Cali FPS'!C48</f>
        <v>76.3</v>
      </c>
      <c r="AG2178" s="83"/>
      <c r="AH2178" s="176">
        <f t="shared" si="785"/>
        <v>20</v>
      </c>
      <c r="AI2178" s="176"/>
      <c r="AJ2178" s="176">
        <f>SUM(AC2178:AH2178)</f>
        <v>133.98053333333331</v>
      </c>
      <c r="AK2178" s="1201">
        <f t="shared" si="786"/>
        <v>0.66504866666666673</v>
      </c>
      <c r="AL2178" s="176">
        <f>Table1[[#This Row],[WSP/Dealer]]/Table1[[#This Row],[OD Sq Inch]]</f>
        <v>0.33333333333333331</v>
      </c>
      <c r="AM2178" s="173">
        <f>Table1[[#This Row],[OD Wdth]]*Table1[[#This Row],[OD Hgt]]</f>
        <v>1200</v>
      </c>
      <c r="AN2178" s="83"/>
      <c r="AO2178" s="83"/>
      <c r="AP2178" s="83"/>
      <c r="AQ2178" s="540"/>
      <c r="AR2178" s="540"/>
      <c r="AS2178" s="540"/>
      <c r="AT2178" s="69"/>
      <c r="AU2178" s="1361" t="str">
        <f t="shared" si="784"/>
        <v>-</v>
      </c>
    </row>
    <row r="2179" spans="1:47" s="399" customFormat="1" hidden="1" x14ac:dyDescent="0.2">
      <c r="A2179" s="60" t="s">
        <v>1020</v>
      </c>
      <c r="B2179" s="1061" t="s">
        <v>346</v>
      </c>
      <c r="C2179" s="76" t="s">
        <v>4974</v>
      </c>
      <c r="D2179" s="94"/>
      <c r="E2179" s="83" t="s">
        <v>4975</v>
      </c>
      <c r="F2179" s="83" t="s">
        <v>448</v>
      </c>
      <c r="G2179" s="60" t="s">
        <v>1026</v>
      </c>
      <c r="H2179" s="60" t="s">
        <v>1026</v>
      </c>
      <c r="I2179" s="60" t="s">
        <v>52</v>
      </c>
      <c r="J2179" s="59" t="s">
        <v>53</v>
      </c>
      <c r="K2179" s="60" t="s">
        <v>54</v>
      </c>
      <c r="L2179" s="60" t="s">
        <v>55</v>
      </c>
      <c r="M2179" s="179">
        <v>400</v>
      </c>
      <c r="N2179" s="124"/>
      <c r="O2179" s="60" t="s">
        <v>56</v>
      </c>
      <c r="P2179" s="60">
        <v>30</v>
      </c>
      <c r="Q2179" s="60">
        <v>40</v>
      </c>
      <c r="R2179" s="60">
        <v>30</v>
      </c>
      <c r="S2179" s="273">
        <v>40</v>
      </c>
      <c r="T2179" s="273">
        <v>30</v>
      </c>
      <c r="U2179" s="273">
        <f>Table1[[#This Row],[VO Hgt]]</f>
        <v>40</v>
      </c>
      <c r="V2179" s="47">
        <f>IF(J2179="Canvas",P2179+BorderGW,P2179)</f>
        <v>38</v>
      </c>
      <c r="W2179" s="47">
        <f>IF(J2179="Canvas",Q2179+BorderGW,Q2179)</f>
        <v>48</v>
      </c>
      <c r="X2179" s="157" t="s">
        <v>57</v>
      </c>
      <c r="Y2179" s="60">
        <v>38</v>
      </c>
      <c r="Z2179" s="60">
        <v>96</v>
      </c>
      <c r="AA2179" s="717">
        <f t="shared" si="783"/>
        <v>12.666666666666666</v>
      </c>
      <c r="AB2179" s="125">
        <f>AA2179*IncaG</f>
        <v>266.50666666666666</v>
      </c>
      <c r="AC2179" s="69">
        <f t="shared" si="789"/>
        <v>8.36</v>
      </c>
      <c r="AD2179" s="48">
        <f>AA2179*IncaC</f>
        <v>21.320533333333334</v>
      </c>
      <c r="AE2179" s="69">
        <f>IF(Table1[[#This Row],[Work Center]]="SwissQ",Materials!G$37,IF(Table1[[#This Row],[Work Center]]="Inca",Materials!G$29,IF(Table1[[#This Row],[Work Center]]="Canon",Materials!G$49,Materials!G$45)))</f>
        <v>8</v>
      </c>
      <c r="AF2179" s="72">
        <f>'Cali FPS'!C48</f>
        <v>76.3</v>
      </c>
      <c r="AG2179" s="83"/>
      <c r="AH2179" s="176">
        <f t="shared" si="785"/>
        <v>20</v>
      </c>
      <c r="AI2179" s="176"/>
      <c r="AJ2179" s="176">
        <f>SUM(AC2179:AH2179)</f>
        <v>133.98053333333331</v>
      </c>
      <c r="AK2179" s="1201">
        <f t="shared" si="786"/>
        <v>0.66504866666666673</v>
      </c>
      <c r="AL2179" s="176">
        <f>Table1[[#This Row],[WSP/Dealer]]/Table1[[#This Row],[OD Sq Inch]]</f>
        <v>0.33333333333333331</v>
      </c>
      <c r="AM2179" s="173">
        <f>Table1[[#This Row],[OD Wdth]]*Table1[[#This Row],[OD Hgt]]</f>
        <v>1200</v>
      </c>
      <c r="AN2179" s="83"/>
      <c r="AO2179" s="83"/>
      <c r="AP2179" s="83"/>
      <c r="AQ2179" s="540"/>
      <c r="AR2179" s="540"/>
      <c r="AS2179" s="540"/>
      <c r="AT2179" s="69"/>
      <c r="AU2179" s="1361" t="str">
        <f t="shared" si="784"/>
        <v>-</v>
      </c>
    </row>
    <row r="2180" spans="1:47" s="399" customFormat="1" hidden="1" x14ac:dyDescent="0.2">
      <c r="A2180" s="101" t="s">
        <v>110</v>
      </c>
      <c r="B2180" s="1067" t="s">
        <v>486</v>
      </c>
      <c r="C2180" s="100" t="s">
        <v>4976</v>
      </c>
      <c r="D2180" s="168"/>
      <c r="E2180" s="115" t="s">
        <v>4977</v>
      </c>
      <c r="F2180" s="115" t="s">
        <v>614</v>
      </c>
      <c r="G2180" s="101" t="s">
        <v>132</v>
      </c>
      <c r="H2180" s="101" t="s">
        <v>133</v>
      </c>
      <c r="I2180" s="101" t="s">
        <v>52</v>
      </c>
      <c r="J2180" s="487" t="s">
        <v>53</v>
      </c>
      <c r="K2180" s="101" t="s">
        <v>69</v>
      </c>
      <c r="L2180" s="101" t="s">
        <v>70</v>
      </c>
      <c r="M2180" s="114">
        <v>550</v>
      </c>
      <c r="N2180" s="114"/>
      <c r="O2180" s="101" t="s">
        <v>64</v>
      </c>
      <c r="P2180" s="101">
        <v>36</v>
      </c>
      <c r="Q2180" s="101">
        <v>48</v>
      </c>
      <c r="R2180" s="101">
        <v>36</v>
      </c>
      <c r="S2180" s="697">
        <v>48</v>
      </c>
      <c r="T2180" s="697">
        <v>37</v>
      </c>
      <c r="U2180" s="697">
        <v>49</v>
      </c>
      <c r="V2180" s="608">
        <f>IF(J2180="Canvas",P2180+BorderGW,P2180)</f>
        <v>44</v>
      </c>
      <c r="W2180" s="608">
        <f>IF(J2180="Canvas",Q2180+BorderGW,Q2180)</f>
        <v>56</v>
      </c>
      <c r="X2180" s="101">
        <v>59</v>
      </c>
      <c r="Y2180" s="101">
        <v>44</v>
      </c>
      <c r="Z2180" s="101">
        <v>56</v>
      </c>
      <c r="AA2180" s="649">
        <f t="shared" si="783"/>
        <v>17.111111111111111</v>
      </c>
      <c r="AB2180" s="184">
        <f>AA2180*Swiss1</f>
        <v>484.24444444444447</v>
      </c>
      <c r="AC2180" s="104">
        <f t="shared" si="789"/>
        <v>11.293333333333333</v>
      </c>
      <c r="AD2180" s="104">
        <f>Table1[[#This Row],[Substrate SF]]*Materials!C$37</f>
        <v>47.911111111111104</v>
      </c>
      <c r="AE2180" s="104">
        <f>IF(Table1[[#This Row],[Work Center]]="SwissQ",Materials!G$37,IF(Table1[[#This Row],[Work Center]]="Inca",Materials!G$29,IF(Table1[[#This Row],[Work Center]]="Canon",Materials!G$49,Materials!G$45)))</f>
        <v>20</v>
      </c>
      <c r="AF2180" s="102">
        <f>'Cali Frames'!D300</f>
        <v>164.8</v>
      </c>
      <c r="AG2180" s="115"/>
      <c r="AH2180" s="104">
        <f t="shared" si="785"/>
        <v>27.5</v>
      </c>
      <c r="AI2180" s="406">
        <f>IF(A2180="Codarus",(M2180*0.13))</f>
        <v>71.5</v>
      </c>
      <c r="AJ2180" s="104">
        <f>SUM(AC2180:AH2180)</f>
        <v>271.50444444444446</v>
      </c>
      <c r="AK2180" s="830">
        <f t="shared" si="786"/>
        <v>0.50635555555555556</v>
      </c>
      <c r="AL2180" s="104">
        <f>Table1[[#This Row],[WSP/Dealer]]/Table1[[#This Row],[OD Sq Inch]]</f>
        <v>0.30336458907887481</v>
      </c>
      <c r="AM2180" s="101">
        <f>Table1[[#This Row],[OD Wdth]]*Table1[[#This Row],[OD Hgt]]</f>
        <v>1813</v>
      </c>
      <c r="AN2180" s="115"/>
      <c r="AO2180" s="115"/>
      <c r="AP2180" s="121">
        <v>1100</v>
      </c>
      <c r="AQ2180" s="121">
        <f>(Table1[[#This Row],[Desgnr/Retail P]]*0.05)</f>
        <v>55</v>
      </c>
      <c r="AR2180" s="121">
        <f>IF(A2180="Codarus",(AP2180*0.13))</f>
        <v>143</v>
      </c>
      <c r="AS2180" s="121">
        <f>SUM(Table1[[#This Row],[Substrate $]:[GP FINISH]])+Table1[[#This Row],[Retail Royalty]]+Table1[[#This Row],[Retail$Comm]]</f>
        <v>442.00444444444446</v>
      </c>
      <c r="AT2180" s="830">
        <f>IF(AP2180=0,"-",(AP2180-AS2180)/AP2180)</f>
        <v>0.5981777777777777</v>
      </c>
      <c r="AU2180" s="1359">
        <f t="shared" si="784"/>
        <v>0.98912404040404045</v>
      </c>
    </row>
    <row r="2181" spans="1:47" s="170" customFormat="1" hidden="1" x14ac:dyDescent="0.2">
      <c r="A2181" s="68" t="s">
        <v>101</v>
      </c>
      <c r="B2181" s="1152" t="s">
        <v>102</v>
      </c>
      <c r="C2181" s="78" t="s">
        <v>4978</v>
      </c>
      <c r="D2181" s="94"/>
      <c r="E2181" s="84" t="s">
        <v>4979</v>
      </c>
      <c r="F2181" s="84" t="s">
        <v>105</v>
      </c>
      <c r="G2181" s="68" t="s">
        <v>350</v>
      </c>
      <c r="H2181" s="68" t="s">
        <v>1087</v>
      </c>
      <c r="I2181" s="68" t="s">
        <v>256</v>
      </c>
      <c r="J2181" s="140" t="s">
        <v>257</v>
      </c>
      <c r="K2181" s="68" t="s">
        <v>258</v>
      </c>
      <c r="L2181" s="68" t="s">
        <v>269</v>
      </c>
      <c r="M2181" s="141">
        <v>158</v>
      </c>
      <c r="N2181" s="93"/>
      <c r="O2181" s="68" t="s">
        <v>260</v>
      </c>
      <c r="P2181" s="68">
        <v>12</v>
      </c>
      <c r="Q2181" s="68">
        <v>16</v>
      </c>
      <c r="R2181" s="68">
        <v>12</v>
      </c>
      <c r="S2181" s="623">
        <v>16</v>
      </c>
      <c r="T2181" s="623">
        <v>14</v>
      </c>
      <c r="U2181" s="623">
        <v>18</v>
      </c>
      <c r="V2181" s="66">
        <f>IF(J2181="Canvas",P2181+BorderGW,P2181)</f>
        <v>12</v>
      </c>
      <c r="W2181" s="66">
        <f>IF(J2181="Canvas",Q2181+BorderGW,Q2181)</f>
        <v>16</v>
      </c>
      <c r="X2181" s="68" t="s">
        <v>257</v>
      </c>
      <c r="Y2181" s="1347">
        <f>Table1[[#This Row],[Print Wth]]+Materials!$C$7</f>
        <v>14</v>
      </c>
      <c r="Z2181" s="1347">
        <f>Table1[[#This Row],[Print Ht]]+Materials!$C$7</f>
        <v>18</v>
      </c>
      <c r="AA2181" s="1027">
        <f>(Table1[[#This Row],[Cut Width]]*Table1[[#This Row],[Cut Height]])/144</f>
        <v>1.75</v>
      </c>
      <c r="AB2181" s="297">
        <f>(Table1[[#This Row],[Print Wth]]*Table1[[#This Row],[Print Ht]])/144*canonML</f>
        <v>6.3999999999999995</v>
      </c>
      <c r="AC2181" s="74">
        <f>Table1[[#This Row],[Substrate SF]]*Paper</f>
        <v>2.36775</v>
      </c>
      <c r="AD2181" s="67">
        <f>(Table1[[#This Row],[Print Wth]]*Table1[[#This Row],[Print Ht]])/144*CanonC</f>
        <v>0.36</v>
      </c>
      <c r="AE2181" s="74">
        <f>IF(Table1[[#This Row],[Work Center]]="SwissQ",Materials!G$37,IF(Table1[[#This Row],[Work Center]]="Inca",Materials!G$29,IF(Table1[[#This Row],[Work Center]]="Canon",Materials!G$49,Materials!G$45)))</f>
        <v>7</v>
      </c>
      <c r="AF2181" s="73">
        <f>'Cali Frames'!D59</f>
        <v>68.900000000000006</v>
      </c>
      <c r="AG2181" s="84"/>
      <c r="AH2181" s="263">
        <v>0</v>
      </c>
      <c r="AI2181" s="263"/>
      <c r="AJ2181" s="278">
        <f>SUM(AC2181:AH2181)</f>
        <v>78.627750000000006</v>
      </c>
      <c r="AK2181" s="688">
        <f t="shared" si="786"/>
        <v>0.50235601265822782</v>
      </c>
      <c r="AL2181" s="278">
        <f>Table1[[#This Row],[WSP/Dealer]]/Table1[[#This Row],[OD Sq Inch]]</f>
        <v>0.62698412698412698</v>
      </c>
      <c r="AM2181" s="170">
        <f>Table1[[#This Row],[OD Wdth]]*Table1[[#This Row],[OD Hgt]]</f>
        <v>252</v>
      </c>
      <c r="AN2181" s="84"/>
      <c r="AO2181" s="84"/>
      <c r="AP2181" s="84"/>
      <c r="AQ2181" s="126"/>
      <c r="AR2181" s="126"/>
      <c r="AS2181" s="126"/>
      <c r="AT2181" s="74"/>
      <c r="AU2181" s="1357" t="str">
        <f t="shared" si="784"/>
        <v>-</v>
      </c>
    </row>
    <row r="2182" spans="1:47" s="309" customFormat="1" hidden="1" x14ac:dyDescent="0.2">
      <c r="A2182" s="68"/>
      <c r="B2182" s="279"/>
      <c r="C2182" s="94" t="s">
        <v>4980</v>
      </c>
      <c r="D2182" s="94"/>
      <c r="E2182" s="84" t="s">
        <v>4981</v>
      </c>
      <c r="F2182" s="84" t="s">
        <v>960</v>
      </c>
      <c r="G2182" s="68" t="s">
        <v>3879</v>
      </c>
      <c r="H2182" s="68"/>
      <c r="I2182" s="68" t="s">
        <v>304</v>
      </c>
      <c r="J2182" s="68" t="s">
        <v>257</v>
      </c>
      <c r="K2182" s="68" t="s">
        <v>258</v>
      </c>
      <c r="L2182" s="68" t="s">
        <v>83</v>
      </c>
      <c r="M2182" s="93"/>
      <c r="N2182" s="71"/>
      <c r="O2182" s="68"/>
      <c r="P2182" s="68"/>
      <c r="Q2182" s="68"/>
      <c r="R2182" s="68"/>
      <c r="S2182" s="68"/>
      <c r="T2182" s="68"/>
      <c r="U2182" s="68"/>
      <c r="V2182" s="66"/>
      <c r="W2182" s="66"/>
      <c r="X2182" s="189"/>
      <c r="Y2182" s="68"/>
      <c r="Z2182" s="68"/>
      <c r="AA2182" s="699"/>
      <c r="AB2182" s="297"/>
      <c r="AC2182" s="74"/>
      <c r="AD2182" s="118"/>
      <c r="AE2182" s="126"/>
      <c r="AF2182" s="73"/>
      <c r="AG2182" s="126"/>
      <c r="AH2182" s="498">
        <f>(M2182*0.05)</f>
        <v>0</v>
      </c>
      <c r="AI2182" s="498"/>
      <c r="AJ2182" s="126"/>
      <c r="AK2182" s="650" t="e">
        <f t="shared" si="786"/>
        <v>#DIV/0!</v>
      </c>
      <c r="AL2182" s="225" t="e">
        <f>Table1[[#This Row],[WSP/Dealer]]/Table1[[#This Row],[OD Sq Inch]]</f>
        <v>#DIV/0!</v>
      </c>
      <c r="AM2182" s="119"/>
      <c r="AN2182" s="216">
        <f>Table1[[#This Row],[Min VO]]+Table1[[#This Row],[Max VO]]</f>
        <v>0</v>
      </c>
      <c r="AO2182" s="119"/>
      <c r="AP2182" s="84"/>
      <c r="AQ2182" s="126"/>
      <c r="AR2182" s="126"/>
      <c r="AS2182" s="126"/>
      <c r="AT2182" s="74"/>
      <c r="AU2182" s="1357" t="str">
        <f t="shared" si="784"/>
        <v>-</v>
      </c>
    </row>
    <row r="2183" spans="1:47" s="309" customFormat="1" hidden="1" x14ac:dyDescent="0.2">
      <c r="A2183" s="101" t="s">
        <v>110</v>
      </c>
      <c r="B2183" s="1064" t="s">
        <v>250</v>
      </c>
      <c r="C2183" s="115" t="s">
        <v>4982</v>
      </c>
      <c r="D2183" s="168"/>
      <c r="E2183" s="115" t="s">
        <v>4983</v>
      </c>
      <c r="F2183" s="115" t="s">
        <v>105</v>
      </c>
      <c r="G2183" s="101" t="s">
        <v>519</v>
      </c>
      <c r="H2183" s="101" t="s">
        <v>688</v>
      </c>
      <c r="I2183" s="101" t="s">
        <v>108</v>
      </c>
      <c r="J2183" s="487" t="s">
        <v>53</v>
      </c>
      <c r="K2183" s="101" t="s">
        <v>69</v>
      </c>
      <c r="L2183" s="101" t="s">
        <v>70</v>
      </c>
      <c r="M2183" s="114">
        <v>390</v>
      </c>
      <c r="N2183" s="114"/>
      <c r="O2183" s="101" t="s">
        <v>109</v>
      </c>
      <c r="P2183" s="101">
        <v>16</v>
      </c>
      <c r="Q2183" s="101">
        <v>20</v>
      </c>
      <c r="R2183" s="101">
        <v>16</v>
      </c>
      <c r="S2183" s="101">
        <v>20</v>
      </c>
      <c r="T2183" s="101">
        <v>17</v>
      </c>
      <c r="U2183" s="101">
        <v>21</v>
      </c>
      <c r="V2183" s="404">
        <f>IF(J2183="Canvas",P2183+BorderL,P2183)</f>
        <v>27</v>
      </c>
      <c r="W2183" s="404">
        <f>IF(J2183="Canvas",Q2183+BorderL,Q2183)</f>
        <v>31</v>
      </c>
      <c r="X2183" s="137">
        <v>40</v>
      </c>
      <c r="Y2183" s="918">
        <f>Table1[[#This Row],[Print Wth]]</f>
        <v>27</v>
      </c>
      <c r="Z2183" s="918">
        <f>Table1[[#This Row],[Print Ht]]</f>
        <v>31</v>
      </c>
      <c r="AA2183" s="1011">
        <f>Table1[[#This Row],[Cut Width]]*Table1[[#This Row],[Cut Height]]/144</f>
        <v>5.8125</v>
      </c>
      <c r="AB2183" s="1015">
        <f>Table1[[#This Row],[Print Wth]]*Table1[[#This Row],[Print Ht]]/144*EPSONM</f>
        <v>26.15625</v>
      </c>
      <c r="AC2183" s="406">
        <f>Table1[[#This Row],[Substrate SF]]*Canvas</f>
        <v>3.8362500000000002</v>
      </c>
      <c r="AD2183" s="405">
        <f>Table1[[#This Row],[Ink g/mL]]*EPSONC</f>
        <v>5.7543750000000005</v>
      </c>
      <c r="AE2183" s="406">
        <f>IF(Table1[[#This Row],[Work Center]]="SwissQ",Materials!G$37,IF(Table1[[#This Row],[Work Center]]="Inca",Materials!G$29,IF(Table1[[#This Row],[Work Center]]="Canon",Materials!G$49,Materials!G$45)))</f>
        <v>5</v>
      </c>
      <c r="AF2183" s="102">
        <f>'Cali Frames'!D267</f>
        <v>82.757499999999993</v>
      </c>
      <c r="AG2183" s="121"/>
      <c r="AH2183" s="107">
        <f>(M2183*0.05)</f>
        <v>19.5</v>
      </c>
      <c r="AI2183" s="405">
        <f>IF(A2183="Codarus",(M2183*0.13))</f>
        <v>50.7</v>
      </c>
      <c r="AJ2183" s="104">
        <f>SUM(AC2183:AI2183)</f>
        <v>167.548125</v>
      </c>
      <c r="AK2183" s="108">
        <f t="shared" si="786"/>
        <v>0.57038942307692309</v>
      </c>
      <c r="AL2183" s="660">
        <f>Table1[[#This Row],[WSP/Dealer]]/Table1[[#This Row],[OD Sq Inch]]</f>
        <v>1.0924369747899159</v>
      </c>
      <c r="AM2183" s="229">
        <f>Table1[[#This Row],[OD Wdth]]*Table1[[#This Row],[OD Hgt]]</f>
        <v>357</v>
      </c>
      <c r="AN2183" s="266">
        <f>Table1[[#This Row],[Min VO]]+Table1[[#This Row],[Max VO]]</f>
        <v>36</v>
      </c>
      <c r="AO2183" s="115"/>
      <c r="AP2183" s="104">
        <v>780</v>
      </c>
      <c r="AQ2183" s="104">
        <f>(Table1[[#This Row],[Desgnr/Retail P]]*0.05)</f>
        <v>39</v>
      </c>
      <c r="AR2183" s="121">
        <f>IF(A2183="Codarus",(AP2183*0.13))</f>
        <v>101.4</v>
      </c>
      <c r="AS2183" s="121">
        <f>SUM(Table1[[#This Row],[Substrate $]:[GP FINISH]])+Table1[[#This Row],[Retail Royalty]]+Table1[[#This Row],[Retail$Comm]]</f>
        <v>237.74812499999999</v>
      </c>
      <c r="AT2183" s="830">
        <f>IF(AP2183=0,"-",(AP2183-AS2183)/AP2183)</f>
        <v>0.69519471153846157</v>
      </c>
      <c r="AU2183" s="830">
        <f t="shared" si="784"/>
        <v>0.98217449457593686</v>
      </c>
    </row>
    <row r="2184" spans="1:47" s="309" customFormat="1" hidden="1" x14ac:dyDescent="0.2">
      <c r="A2184" s="101" t="s">
        <v>996</v>
      </c>
      <c r="B2184" s="1322" t="s">
        <v>96</v>
      </c>
      <c r="C2184" s="115" t="s">
        <v>4984</v>
      </c>
      <c r="D2184" s="168"/>
      <c r="E2184" s="115" t="s">
        <v>4983</v>
      </c>
      <c r="F2184" s="115" t="s">
        <v>105</v>
      </c>
      <c r="G2184" s="101" t="s">
        <v>519</v>
      </c>
      <c r="H2184" s="101" t="s">
        <v>517</v>
      </c>
      <c r="I2184" s="101" t="s">
        <v>108</v>
      </c>
      <c r="J2184" s="487" t="s">
        <v>280</v>
      </c>
      <c r="K2184" s="101" t="s">
        <v>814</v>
      </c>
      <c r="L2184" s="101" t="s">
        <v>815</v>
      </c>
      <c r="M2184" s="299">
        <v>400</v>
      </c>
      <c r="N2184" s="114"/>
      <c r="O2184" s="101" t="s">
        <v>575</v>
      </c>
      <c r="P2184" s="101">
        <v>16</v>
      </c>
      <c r="Q2184" s="101">
        <v>20</v>
      </c>
      <c r="R2184" s="101">
        <v>16</v>
      </c>
      <c r="S2184" s="101">
        <v>20</v>
      </c>
      <c r="T2184" s="101">
        <v>19</v>
      </c>
      <c r="U2184" s="101">
        <v>23</v>
      </c>
      <c r="V2184" s="608">
        <v>16</v>
      </c>
      <c r="W2184" s="608">
        <v>20</v>
      </c>
      <c r="X2184" s="1413" t="s">
        <v>283</v>
      </c>
      <c r="Y2184" s="101">
        <v>16.25</v>
      </c>
      <c r="Z2184" s="101">
        <v>20.25</v>
      </c>
      <c r="AA2184" s="1069">
        <f>V2184*W2184/144</f>
        <v>2.2222222222222223</v>
      </c>
      <c r="AB2184" s="1015">
        <f>AA2184*SWISSMLR*3</f>
        <v>13.333333333333334</v>
      </c>
      <c r="AC2184" s="406">
        <f>MDFSHEET/10</f>
        <v>2.4350000000000001</v>
      </c>
      <c r="AD2184" s="406">
        <f>Table1[[#This Row],[Substrate SF]]*SWISSCR*3</f>
        <v>1.4666666666666668</v>
      </c>
      <c r="AE2184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2184" s="102">
        <f>'Cali Frames'!D193</f>
        <v>126.35</v>
      </c>
      <c r="AG2184" s="121"/>
      <c r="AH2184" s="104">
        <v>0</v>
      </c>
      <c r="AI2184" s="104"/>
      <c r="AJ2184" s="406">
        <f>SUM(AC2184:AH2184)</f>
        <v>138.25166666666667</v>
      </c>
      <c r="AK2184" s="830">
        <f t="shared" si="786"/>
        <v>0.65437083333333335</v>
      </c>
      <c r="AL2184" s="660">
        <f>Table1[[#This Row],[WSP/Dealer]]/Table1[[#This Row],[OD Sq Inch]]</f>
        <v>0.91533180778032042</v>
      </c>
      <c r="AM2184" s="400">
        <f>Table1[[#This Row],[OD Wdth]]*Table1[[#This Row],[OD Hgt]]</f>
        <v>437</v>
      </c>
      <c r="AN2184" s="400" t="str">
        <f>Table1[[#This Row],[Color]]</f>
        <v>CB</v>
      </c>
      <c r="AO2184" s="115" t="str">
        <f>Table1[[#This Row],[Print Type]]</f>
        <v>Reductive</v>
      </c>
      <c r="AP2184" s="115"/>
      <c r="AQ2184" s="121"/>
      <c r="AR2184" s="121"/>
      <c r="AS2184" s="121"/>
      <c r="AT2184" s="104"/>
      <c r="AU2184" s="1359" t="str">
        <f t="shared" si="784"/>
        <v>-</v>
      </c>
    </row>
    <row r="2185" spans="1:47" s="1527" customFormat="1" hidden="1" x14ac:dyDescent="0.2">
      <c r="A2185" s="68" t="s">
        <v>101</v>
      </c>
      <c r="B2185" s="1061" t="s">
        <v>102</v>
      </c>
      <c r="C2185" s="84" t="s">
        <v>4985</v>
      </c>
      <c r="D2185" s="94"/>
      <c r="E2185" s="84" t="s">
        <v>4983</v>
      </c>
      <c r="F2185" s="84" t="s">
        <v>105</v>
      </c>
      <c r="G2185" s="68" t="s">
        <v>519</v>
      </c>
      <c r="H2185" s="68" t="s">
        <v>519</v>
      </c>
      <c r="I2185" s="68" t="s">
        <v>108</v>
      </c>
      <c r="J2185" s="140" t="s">
        <v>53</v>
      </c>
      <c r="K2185" s="68" t="s">
        <v>119</v>
      </c>
      <c r="L2185" s="68" t="s">
        <v>120</v>
      </c>
      <c r="M2185" s="141">
        <v>187</v>
      </c>
      <c r="N2185" s="93"/>
      <c r="O2185" s="274" t="s">
        <v>109</v>
      </c>
      <c r="P2185" s="68">
        <v>16</v>
      </c>
      <c r="Q2185" s="68">
        <v>20</v>
      </c>
      <c r="R2185" s="68">
        <v>16</v>
      </c>
      <c r="S2185" s="68">
        <v>20</v>
      </c>
      <c r="T2185" s="68">
        <v>16</v>
      </c>
      <c r="U2185" s="68">
        <v>20</v>
      </c>
      <c r="V2185" s="686">
        <f>IF(J2185="Canvas",P2185+BorderL,P2185)</f>
        <v>27</v>
      </c>
      <c r="W2185" s="686">
        <f>IF(J2185="Canvas",Q2185+BorderL,Q2185)</f>
        <v>31</v>
      </c>
      <c r="X2185" s="189">
        <v>40</v>
      </c>
      <c r="Y2185" s="686">
        <f>Table1[[#This Row],[Print Wth]]</f>
        <v>27</v>
      </c>
      <c r="Z2185" s="686">
        <f>Table1[[#This Row],[Print Ht]]</f>
        <v>31</v>
      </c>
      <c r="AA2185" s="727">
        <f>Table1[[#This Row],[Cut Width]]*Table1[[#This Row],[Cut Height]]/144</f>
        <v>5.8125</v>
      </c>
      <c r="AB2185" s="341">
        <f>Table1[[#This Row],[Print Wth]]*Table1[[#This Row],[Print Ht]]/144*EPSONM</f>
        <v>26.15625</v>
      </c>
      <c r="AC2185" s="278">
        <f>Table1[[#This Row],[Substrate SF]]*Canvas</f>
        <v>3.8362500000000002</v>
      </c>
      <c r="AD2185" s="263">
        <f>Table1[[#This Row],[Ink g/mL]]*EPSONC</f>
        <v>5.7543750000000005</v>
      </c>
      <c r="AE2185" s="278">
        <f>IF(Table1[[#This Row],[Work Center]]="SwissQ",Materials!G$37,IF(Table1[[#This Row],[Work Center]]="Inca",Materials!G$29,IF(Table1[[#This Row],[Work Center]]="Canon",Materials!G$49,Materials!G$45)))</f>
        <v>5</v>
      </c>
      <c r="AF2185" s="73">
        <f>'Cali FPS'!C186</f>
        <v>78.89</v>
      </c>
      <c r="AG2185" s="126"/>
      <c r="AH2185" s="67">
        <v>0</v>
      </c>
      <c r="AI2185" s="67"/>
      <c r="AJ2185" s="278">
        <f>SUM(AC2185:AH2185)</f>
        <v>93.480625000000003</v>
      </c>
      <c r="AK2185" s="661">
        <f t="shared" si="786"/>
        <v>0.50010360962566847</v>
      </c>
      <c r="AL2185" s="240">
        <f>Table1[[#This Row],[WSP/Dealer]]/Table1[[#This Row],[OD Sq Inch]]</f>
        <v>0.58437499999999998</v>
      </c>
      <c r="AM2185" s="170">
        <f>Table1[[#This Row],[OD Wdth]]*Table1[[#This Row],[OD Hgt]]</f>
        <v>320</v>
      </c>
      <c r="AN2185" s="274">
        <f>Table1[[#This Row],[Min VO]]+Table1[[#This Row],[Max VO]]</f>
        <v>36</v>
      </c>
      <c r="AO2185" s="84"/>
      <c r="AP2185" s="84"/>
      <c r="AQ2185" s="126"/>
      <c r="AR2185" s="126"/>
      <c r="AS2185" s="126"/>
      <c r="AT2185" s="74"/>
      <c r="AU2185" s="1357" t="str">
        <f t="shared" si="784"/>
        <v>-</v>
      </c>
    </row>
    <row r="2186" spans="1:47" s="309" customFormat="1" hidden="1" x14ac:dyDescent="0.2">
      <c r="A2186" s="101" t="s">
        <v>110</v>
      </c>
      <c r="B2186" s="1322" t="s">
        <v>134</v>
      </c>
      <c r="C2186" s="100" t="s">
        <v>4986</v>
      </c>
      <c r="D2186" s="168"/>
      <c r="E2186" s="115" t="s">
        <v>4987</v>
      </c>
      <c r="F2186" s="115" t="s">
        <v>361</v>
      </c>
      <c r="G2186" s="101" t="s">
        <v>370</v>
      </c>
      <c r="H2186" s="101" t="s">
        <v>370</v>
      </c>
      <c r="I2186" s="101" t="s">
        <v>52</v>
      </c>
      <c r="J2186" s="101" t="s">
        <v>53</v>
      </c>
      <c r="K2186" s="101" t="s">
        <v>54</v>
      </c>
      <c r="L2186" s="101" t="s">
        <v>55</v>
      </c>
      <c r="M2186" s="299">
        <v>450</v>
      </c>
      <c r="N2186" s="102"/>
      <c r="O2186" s="101" t="s">
        <v>56</v>
      </c>
      <c r="P2186" s="101">
        <v>40</v>
      </c>
      <c r="Q2186" s="101">
        <v>30</v>
      </c>
      <c r="R2186" s="101">
        <v>30</v>
      </c>
      <c r="S2186" s="697">
        <v>40</v>
      </c>
      <c r="T2186" s="697">
        <f>Table1[[#This Row],[VO Wdth]]</f>
        <v>40</v>
      </c>
      <c r="U2186" s="697">
        <f>Table1[[#This Row],[VO Hgt]]</f>
        <v>30</v>
      </c>
      <c r="V2186" s="608">
        <f t="shared" ref="V2186:V2191" si="790">IF(J2186="Canvas",P2186+Border,P2186)</f>
        <v>48</v>
      </c>
      <c r="W2186" s="608">
        <f t="shared" ref="W2186:W2191" si="791">IF(J2186="Canvas",Q2186+Border,Q2186)</f>
        <v>38</v>
      </c>
      <c r="X2186" s="800" t="s">
        <v>57</v>
      </c>
      <c r="Y2186" s="101">
        <v>38</v>
      </c>
      <c r="Z2186" s="101">
        <v>96</v>
      </c>
      <c r="AA2186" s="649">
        <f t="shared" ref="AA2186:AA2223" si="792">V2186*W2186/144</f>
        <v>12.666666666666666</v>
      </c>
      <c r="AB2186" s="184">
        <f>AA2186*IncaG</f>
        <v>266.50666666666666</v>
      </c>
      <c r="AC2186" s="104">
        <f>AA2186*Canvas</f>
        <v>8.36</v>
      </c>
      <c r="AD2186" s="107">
        <f>AA2186*IncaC</f>
        <v>21.320533333333334</v>
      </c>
      <c r="AE2186" s="104">
        <f>IF(Table1[[#This Row],[Work Center]]="SwissQ",Materials!G$37,IF(Table1[[#This Row],[Work Center]]="Inca",Materials!G$29,IF(Table1[[#This Row],[Work Center]]="Canon",Materials!G$49,Materials!G$45)))</f>
        <v>8</v>
      </c>
      <c r="AF2186" s="104">
        <f>'Cali FPS'!C$48</f>
        <v>76.3</v>
      </c>
      <c r="AG2186" s="115"/>
      <c r="AH2186" s="107">
        <f t="shared" ref="AH2186:AH2217" si="793">(M2186*0.05)</f>
        <v>22.5</v>
      </c>
      <c r="AI2186" s="405">
        <f>IF(A2186="Codarus",(M2186*0.13))</f>
        <v>58.5</v>
      </c>
      <c r="AJ2186" s="104">
        <f>SUM(AC2186:AI2186)</f>
        <v>194.98053333333331</v>
      </c>
      <c r="AK2186" s="108">
        <f t="shared" si="786"/>
        <v>0.56670992592592595</v>
      </c>
      <c r="AL2186" s="660">
        <f>Table1[[#This Row],[WSP/Dealer]]/Table1[[#This Row],[OD Sq Inch]]</f>
        <v>0.375</v>
      </c>
      <c r="AM2186" s="229">
        <f>Table1[[#This Row],[OD Wdth]]*Table1[[#This Row],[OD Hgt]]</f>
        <v>1200</v>
      </c>
      <c r="AN2186" s="266">
        <f>Table1[[#This Row],[Min VO]]+Table1[[#This Row],[Max VO]]</f>
        <v>70</v>
      </c>
      <c r="AO2186" s="101"/>
      <c r="AP2186" s="104">
        <v>900</v>
      </c>
      <c r="AQ2186" s="104">
        <f>(Table1[[#This Row],[Desgnr/Retail P]]*0.05)</f>
        <v>45</v>
      </c>
      <c r="AR2186" s="121">
        <f>IF(A2186="Codarus",(AP2186*0.13))</f>
        <v>117</v>
      </c>
      <c r="AS2186" s="121">
        <f>SUM(Table1[[#This Row],[Substrate $]:[GP FINISH]])+Table1[[#This Row],[Retail Royalty]]+Table1[[#This Row],[Retail$Comm]]</f>
        <v>275.98053333333331</v>
      </c>
      <c r="AT2186" s="830">
        <f>IF(AP2186=0,"-",(AP2186-AS2186)/AP2186)</f>
        <v>0.69335496296296295</v>
      </c>
      <c r="AU2186" s="830">
        <f t="shared" si="784"/>
        <v>0.98459211193415641</v>
      </c>
    </row>
    <row r="2187" spans="1:47" s="309" customFormat="1" x14ac:dyDescent="0.2">
      <c r="A2187" s="86" t="s">
        <v>58</v>
      </c>
      <c r="B2187" s="279" t="s">
        <v>366</v>
      </c>
      <c r="C2187" s="100" t="s">
        <v>4988</v>
      </c>
      <c r="D2187" s="94" t="s">
        <v>4989</v>
      </c>
      <c r="E2187" s="85" t="s">
        <v>4987</v>
      </c>
      <c r="F2187" s="85" t="s">
        <v>361</v>
      </c>
      <c r="G2187" s="86" t="s">
        <v>370</v>
      </c>
      <c r="H2187" s="86" t="s">
        <v>371</v>
      </c>
      <c r="I2187" s="86" t="s">
        <v>52</v>
      </c>
      <c r="J2187" s="86" t="s">
        <v>53</v>
      </c>
      <c r="K2187" s="86" t="s">
        <v>69</v>
      </c>
      <c r="L2187" s="86" t="s">
        <v>73</v>
      </c>
      <c r="M2187" s="87">
        <v>715</v>
      </c>
      <c r="N2187" s="639">
        <v>700</v>
      </c>
      <c r="O2187" s="551" t="s">
        <v>56</v>
      </c>
      <c r="P2187" s="101">
        <v>40</v>
      </c>
      <c r="Q2187" s="101">
        <v>30</v>
      </c>
      <c r="R2187" s="60">
        <v>30</v>
      </c>
      <c r="S2187" s="273">
        <v>40</v>
      </c>
      <c r="T2187" s="101">
        <v>41</v>
      </c>
      <c r="U2187" s="101" t="str">
        <f>RIGHT(H2187,2)</f>
        <v>31</v>
      </c>
      <c r="V2187" s="608">
        <f t="shared" si="790"/>
        <v>48</v>
      </c>
      <c r="W2187" s="608">
        <f t="shared" si="791"/>
        <v>38</v>
      </c>
      <c r="X2187" s="157" t="s">
        <v>57</v>
      </c>
      <c r="Y2187" s="60">
        <v>38</v>
      </c>
      <c r="Z2187" s="60">
        <v>96</v>
      </c>
      <c r="AA2187" s="649">
        <f t="shared" si="792"/>
        <v>12.666666666666666</v>
      </c>
      <c r="AB2187" s="184">
        <f>AA2187*IncaG</f>
        <v>266.50666666666666</v>
      </c>
      <c r="AC2187" s="104">
        <f>AA2187*Canvas</f>
        <v>8.36</v>
      </c>
      <c r="AD2187" s="107">
        <f>AA2187*IncaC</f>
        <v>21.320533333333334</v>
      </c>
      <c r="AE2187" s="104">
        <f>IF(Table1[[#This Row],[Work Center]]="SwissQ",Materials!G$37,IF(Table1[[#This Row],[Work Center]]="Inca",Materials!G$29,IF(Table1[[#This Row],[Work Center]]="Canon",Materials!G$49,Materials!G$45)))</f>
        <v>8</v>
      </c>
      <c r="AF2187" s="74">
        <f>'Cali Frames'!D$430</f>
        <v>108.955</v>
      </c>
      <c r="AG2187" s="115"/>
      <c r="AH2187" s="112">
        <f t="shared" si="793"/>
        <v>35.75</v>
      </c>
      <c r="AI2187" s="112"/>
      <c r="AJ2187" s="104">
        <f t="shared" ref="AJ2187:AJ2223" si="794">SUM(AC2187:AH2187)</f>
        <v>182.38553333333334</v>
      </c>
      <c r="AK2187" s="62">
        <f t="shared" si="786"/>
        <v>0.74491533799533793</v>
      </c>
      <c r="AL2187" s="225">
        <f>Table1[[#This Row],[WSP/Dealer]]/Table1[[#This Row],[OD Sq Inch]]</f>
        <v>0.56254917387883552</v>
      </c>
      <c r="AM2187" s="101">
        <f>Table1[[#This Row],[OD Wdth]]*Table1[[#This Row],[OD Hgt]]</f>
        <v>1271</v>
      </c>
      <c r="AN2187" s="216">
        <f>Table1[[#This Row],[Min VO]]+Table1[[#This Row],[Max VO]]</f>
        <v>70</v>
      </c>
      <c r="AO2187" s="101"/>
      <c r="AP2187" s="101"/>
      <c r="AQ2187" s="104"/>
      <c r="AR2187" s="104"/>
      <c r="AS2187" s="104"/>
      <c r="AT2187" s="104"/>
      <c r="AU2187" s="830" t="str">
        <f t="shared" si="784"/>
        <v>-</v>
      </c>
    </row>
    <row r="2188" spans="1:47" s="309" customFormat="1" hidden="1" x14ac:dyDescent="0.2">
      <c r="A2188" s="470" t="s">
        <v>318</v>
      </c>
      <c r="B2188" s="1061" t="s">
        <v>96</v>
      </c>
      <c r="C2188" s="79" t="s">
        <v>4990</v>
      </c>
      <c r="D2188" s="94">
        <v>194995</v>
      </c>
      <c r="E2188" s="83" t="s">
        <v>4991</v>
      </c>
      <c r="F2188" s="83" t="s">
        <v>571</v>
      </c>
      <c r="G2188" s="60" t="s">
        <v>572</v>
      </c>
      <c r="H2188" s="60" t="s">
        <v>573</v>
      </c>
      <c r="I2188" s="60" t="s">
        <v>574</v>
      </c>
      <c r="J2188" s="60" t="s">
        <v>53</v>
      </c>
      <c r="K2188" s="60" t="s">
        <v>69</v>
      </c>
      <c r="L2188" s="60" t="s">
        <v>70</v>
      </c>
      <c r="M2188" s="544">
        <v>460</v>
      </c>
      <c r="N2188" s="786">
        <v>1050</v>
      </c>
      <c r="O2188" s="145" t="s">
        <v>575</v>
      </c>
      <c r="P2188" s="60">
        <v>60</v>
      </c>
      <c r="Q2188" s="60">
        <v>40</v>
      </c>
      <c r="R2188" s="60">
        <v>40</v>
      </c>
      <c r="S2188" s="60">
        <v>60</v>
      </c>
      <c r="T2188" s="60">
        <v>61</v>
      </c>
      <c r="U2188" s="60">
        <v>41</v>
      </c>
      <c r="V2188" s="174">
        <f t="shared" si="790"/>
        <v>68</v>
      </c>
      <c r="W2188" s="174">
        <f t="shared" si="791"/>
        <v>48</v>
      </c>
      <c r="X2188" s="138">
        <v>69</v>
      </c>
      <c r="Y2188" s="60">
        <v>68</v>
      </c>
      <c r="Z2188" s="60">
        <v>48</v>
      </c>
      <c r="AA2188" s="678">
        <f t="shared" si="792"/>
        <v>22.666666666666668</v>
      </c>
      <c r="AB2188" s="329">
        <f>Table1[[#This Row],[Substrate SF]]*SWISSMLR*3</f>
        <v>136</v>
      </c>
      <c r="AC2188" s="176">
        <f>AA2188*Canvas</f>
        <v>14.96</v>
      </c>
      <c r="AD2188" s="175">
        <f>Table1[[#This Row],[Substrate SF]]*SWISSCR*3</f>
        <v>14.96</v>
      </c>
      <c r="AE2188" s="69">
        <f>Materials!I$41</f>
        <v>8</v>
      </c>
      <c r="AF2188" s="548">
        <f>'Cali Frames'!D315</f>
        <v>164.9025</v>
      </c>
      <c r="AG2188" s="540"/>
      <c r="AH2188" s="498">
        <f t="shared" si="793"/>
        <v>23</v>
      </c>
      <c r="AI2188" s="498"/>
      <c r="AJ2188" s="176">
        <f t="shared" si="794"/>
        <v>225.82249999999999</v>
      </c>
      <c r="AK2188" s="650">
        <f t="shared" si="786"/>
        <v>0.50908152173913046</v>
      </c>
      <c r="AL2188" s="225">
        <f>Table1[[#This Row],[WSP/Dealer]]/Table1[[#This Row],[OD Sq Inch]]</f>
        <v>0.1839264294282287</v>
      </c>
      <c r="AM2188" s="173">
        <f>Table1[[#This Row],[OD Wdth]]*Table1[[#This Row],[OD Hgt]]</f>
        <v>2501</v>
      </c>
      <c r="AN2188" s="180" t="str">
        <f>Table1[[#This Row],[Color]]</f>
        <v>BF</v>
      </c>
      <c r="AO2188" s="83" t="str">
        <f>Table1[[#This Row],[Print Type]]</f>
        <v>Reductive+</v>
      </c>
      <c r="AP2188" s="83"/>
      <c r="AQ2188" s="540"/>
      <c r="AR2188" s="540"/>
      <c r="AS2188" s="540"/>
      <c r="AT2188" s="69"/>
      <c r="AU2188" s="1361" t="str">
        <f t="shared" si="784"/>
        <v>-</v>
      </c>
    </row>
    <row r="2189" spans="1:47" s="309" customFormat="1" x14ac:dyDescent="0.2">
      <c r="A2189" s="145" t="s">
        <v>58</v>
      </c>
      <c r="B2189" s="1061" t="s">
        <v>533</v>
      </c>
      <c r="C2189" s="146" t="s">
        <v>4992</v>
      </c>
      <c r="D2189" s="94" t="s">
        <v>4993</v>
      </c>
      <c r="E2189" s="147" t="s">
        <v>4994</v>
      </c>
      <c r="F2189" s="147" t="s">
        <v>1738</v>
      </c>
      <c r="G2189" s="145" t="s">
        <v>925</v>
      </c>
      <c r="H2189" s="145" t="s">
        <v>925</v>
      </c>
      <c r="I2189" s="145" t="s">
        <v>52</v>
      </c>
      <c r="J2189" s="145" t="s">
        <v>53</v>
      </c>
      <c r="K2189" s="145" t="s">
        <v>54</v>
      </c>
      <c r="L2189" s="145" t="s">
        <v>55</v>
      </c>
      <c r="M2189" s="148">
        <v>580</v>
      </c>
      <c r="N2189" s="639">
        <v>580</v>
      </c>
      <c r="O2189" s="145" t="s">
        <v>56</v>
      </c>
      <c r="P2189" s="145">
        <v>36</v>
      </c>
      <c r="Q2189" s="145">
        <v>36</v>
      </c>
      <c r="R2189" s="145">
        <v>36</v>
      </c>
      <c r="S2189" s="144">
        <v>36</v>
      </c>
      <c r="T2189" s="698">
        <f>Table1[[#This Row],[VO Wdth]]</f>
        <v>36</v>
      </c>
      <c r="U2189" s="698">
        <f>Table1[[#This Row],[VO Hgt]]</f>
        <v>36</v>
      </c>
      <c r="V2189" s="149">
        <f t="shared" si="790"/>
        <v>44</v>
      </c>
      <c r="W2189" s="149">
        <f t="shared" si="791"/>
        <v>44</v>
      </c>
      <c r="X2189" s="157">
        <v>53</v>
      </c>
      <c r="Y2189" s="145"/>
      <c r="Z2189" s="145"/>
      <c r="AA2189" s="722">
        <f t="shared" si="792"/>
        <v>13.444444444444445</v>
      </c>
      <c r="AB2189" s="389">
        <f>AA2189*IncaG</f>
        <v>282.87111111111108</v>
      </c>
      <c r="AC2189" s="143">
        <f>Table1[[#This Row],[Substrate SF]]*Paper</f>
        <v>18.190333333333335</v>
      </c>
      <c r="AD2189" s="150">
        <f>AA2189*IncaC</f>
        <v>22.629688888888889</v>
      </c>
      <c r="AE2189" s="104">
        <f>IF(Table1[[#This Row],[Work Center]]="SwissQ",Materials!G$37,IF(Table1[[#This Row],[Work Center]]="Inca",Materials!G$29,IF(Table1[[#This Row],[Work Center]]="Canon",Materials!G$49,Materials!G$45)))</f>
        <v>8</v>
      </c>
      <c r="AF2189" s="143">
        <f>'Cali FPS'!C$67</f>
        <v>83.46</v>
      </c>
      <c r="AG2189" s="115"/>
      <c r="AH2189" s="112">
        <f t="shared" si="793"/>
        <v>29</v>
      </c>
      <c r="AI2189" s="112"/>
      <c r="AJ2189" s="143">
        <f t="shared" si="794"/>
        <v>161.28002222222221</v>
      </c>
      <c r="AK2189" s="62">
        <f t="shared" si="786"/>
        <v>0.72193099616858236</v>
      </c>
      <c r="AL2189" s="225">
        <f>Table1[[#This Row],[WSP/Dealer]]/Table1[[#This Row],[OD Sq Inch]]</f>
        <v>0.44753086419753085</v>
      </c>
      <c r="AM2189" s="218">
        <f>Table1[[#This Row],[OD Wdth]]*Table1[[#This Row],[OD Hgt]]</f>
        <v>1296</v>
      </c>
      <c r="AN2189" s="216">
        <f>Table1[[#This Row],[Min VO]]+Table1[[#This Row],[Max VO]]</f>
        <v>72</v>
      </c>
      <c r="AO2189" s="144"/>
      <c r="AP2189" s="145"/>
      <c r="AQ2189" s="143"/>
      <c r="AR2189" s="143"/>
      <c r="AS2189" s="143"/>
      <c r="AT2189" s="143"/>
      <c r="AU2189" s="1814" t="str">
        <f t="shared" si="784"/>
        <v>-</v>
      </c>
    </row>
    <row r="2190" spans="1:47" s="309" customFormat="1" hidden="1" x14ac:dyDescent="0.2">
      <c r="A2190" s="470" t="s">
        <v>318</v>
      </c>
      <c r="B2190" s="279" t="s">
        <v>96</v>
      </c>
      <c r="C2190" s="79" t="s">
        <v>4995</v>
      </c>
      <c r="D2190" s="94">
        <v>195202</v>
      </c>
      <c r="E2190" s="83" t="s">
        <v>4996</v>
      </c>
      <c r="F2190" s="83" t="s">
        <v>571</v>
      </c>
      <c r="G2190" s="60" t="s">
        <v>637</v>
      </c>
      <c r="H2190" s="60" t="s">
        <v>1119</v>
      </c>
      <c r="I2190" s="60" t="s">
        <v>574</v>
      </c>
      <c r="J2190" s="60" t="s">
        <v>53</v>
      </c>
      <c r="K2190" s="60" t="s">
        <v>69</v>
      </c>
      <c r="L2190" s="60" t="s">
        <v>70</v>
      </c>
      <c r="M2190" s="544">
        <v>575</v>
      </c>
      <c r="N2190" s="786">
        <v>1300</v>
      </c>
      <c r="O2190" s="145" t="s">
        <v>575</v>
      </c>
      <c r="P2190" s="60">
        <v>60</v>
      </c>
      <c r="Q2190" s="60">
        <v>48</v>
      </c>
      <c r="R2190" s="60">
        <v>48</v>
      </c>
      <c r="S2190" s="60">
        <v>60</v>
      </c>
      <c r="T2190" s="60">
        <v>61</v>
      </c>
      <c r="U2190" s="60">
        <v>49</v>
      </c>
      <c r="V2190" s="947">
        <f t="shared" si="790"/>
        <v>68</v>
      </c>
      <c r="W2190" s="947">
        <f t="shared" si="791"/>
        <v>56</v>
      </c>
      <c r="X2190" s="138">
        <v>69</v>
      </c>
      <c r="Y2190" s="60">
        <v>68</v>
      </c>
      <c r="Z2190" s="60">
        <v>56</v>
      </c>
      <c r="AA2190" s="678">
        <f t="shared" si="792"/>
        <v>26.444444444444443</v>
      </c>
      <c r="AB2190" s="329">
        <f>Table1[[#This Row],[Substrate SF]]*SWISSMLR*3</f>
        <v>158.66666666666666</v>
      </c>
      <c r="AC2190" s="176">
        <f>AA2190*Canvas</f>
        <v>17.453333333333333</v>
      </c>
      <c r="AD2190" s="176">
        <f>Table1[[#This Row],[Substrate SF]]*SWISSCR*3</f>
        <v>17.453333333333333</v>
      </c>
      <c r="AE2190" s="69">
        <f>Materials!I$41</f>
        <v>8</v>
      </c>
      <c r="AF2190" s="72">
        <f>'Cali Frames'!D335</f>
        <v>258.27999999999997</v>
      </c>
      <c r="AG2190" s="540"/>
      <c r="AH2190" s="498">
        <f t="shared" si="793"/>
        <v>28.75</v>
      </c>
      <c r="AI2190" s="498"/>
      <c r="AJ2190" s="176">
        <f t="shared" si="794"/>
        <v>329.93666666666661</v>
      </c>
      <c r="AK2190" s="650">
        <f t="shared" si="786"/>
        <v>0.42619710144927547</v>
      </c>
      <c r="AL2190" s="225">
        <f>Table1[[#This Row],[WSP/Dealer]]/Table1[[#This Row],[OD Sq Inch]]</f>
        <v>0.19237203077952492</v>
      </c>
      <c r="AM2190" s="173">
        <f>Table1[[#This Row],[OD Wdth]]*Table1[[#This Row],[OD Hgt]]</f>
        <v>2989</v>
      </c>
      <c r="AN2190" s="180" t="str">
        <f>Table1[[#This Row],[Color]]</f>
        <v>BF</v>
      </c>
      <c r="AO2190" s="95" t="str">
        <f>Table1[[#This Row],[Print Type]]</f>
        <v>Reductive+</v>
      </c>
      <c r="AP2190" s="83"/>
      <c r="AQ2190" s="540"/>
      <c r="AR2190" s="540"/>
      <c r="AS2190" s="540"/>
      <c r="AT2190" s="69"/>
      <c r="AU2190" s="1355" t="str">
        <f t="shared" si="784"/>
        <v>-</v>
      </c>
    </row>
    <row r="2191" spans="1:47" s="309" customFormat="1" hidden="1" x14ac:dyDescent="0.2">
      <c r="A2191" s="101" t="s">
        <v>110</v>
      </c>
      <c r="B2191" s="1322" t="s">
        <v>102</v>
      </c>
      <c r="C2191" s="168" t="s">
        <v>4997</v>
      </c>
      <c r="D2191" s="168"/>
      <c r="E2191" s="115" t="s">
        <v>4998</v>
      </c>
      <c r="F2191" s="115" t="s">
        <v>571</v>
      </c>
      <c r="G2191" s="101" t="s">
        <v>731</v>
      </c>
      <c r="H2191" s="101" t="s">
        <v>732</v>
      </c>
      <c r="I2191" s="101" t="s">
        <v>108</v>
      </c>
      <c r="J2191" s="101" t="s">
        <v>53</v>
      </c>
      <c r="K2191" s="101" t="s">
        <v>69</v>
      </c>
      <c r="L2191" s="101" t="s">
        <v>70</v>
      </c>
      <c r="M2191" s="299">
        <v>250</v>
      </c>
      <c r="N2191" s="102"/>
      <c r="O2191" s="101" t="s">
        <v>64</v>
      </c>
      <c r="P2191" s="101">
        <v>30</v>
      </c>
      <c r="Q2191" s="101">
        <v>20</v>
      </c>
      <c r="R2191" s="101">
        <v>20</v>
      </c>
      <c r="S2191" s="101">
        <v>30</v>
      </c>
      <c r="T2191" s="101">
        <v>31</v>
      </c>
      <c r="U2191" s="101">
        <v>21</v>
      </c>
      <c r="V2191" s="918">
        <f t="shared" si="790"/>
        <v>38</v>
      </c>
      <c r="W2191" s="918">
        <f t="shared" si="791"/>
        <v>28</v>
      </c>
      <c r="X2191" s="137"/>
      <c r="Y2191" s="101">
        <v>56</v>
      </c>
      <c r="Z2191" s="101">
        <v>28</v>
      </c>
      <c r="AA2191" s="724">
        <f t="shared" si="792"/>
        <v>7.3888888888888893</v>
      </c>
      <c r="AB2191" s="633">
        <f>Table1[[#This Row],[Substrate SF]]*SWISSMLR</f>
        <v>14.777777777777779</v>
      </c>
      <c r="AC2191" s="406">
        <f>AA2191*Canvas</f>
        <v>4.8766666666666669</v>
      </c>
      <c r="AD2191" s="406">
        <f>Table1[[#This Row],[Substrate SF]]*SWISSCR</f>
        <v>1.6255555555555556</v>
      </c>
      <c r="AE2191" s="104">
        <f>Materials!I$41</f>
        <v>8</v>
      </c>
      <c r="AF2191" s="102">
        <f>'Cali Frames'!D274</f>
        <v>89.16</v>
      </c>
      <c r="AG2191" s="121"/>
      <c r="AH2191" s="104">
        <f t="shared" si="793"/>
        <v>12.5</v>
      </c>
      <c r="AI2191" s="104"/>
      <c r="AJ2191" s="406">
        <f t="shared" si="794"/>
        <v>116.16222222222223</v>
      </c>
      <c r="AK2191" s="830">
        <f t="shared" ref="AK2191:AK2222" si="795">(M2191-AJ2191)/M2191</f>
        <v>0.53535111111111111</v>
      </c>
      <c r="AL2191" s="660">
        <f>Table1[[#This Row],[WSP/Dealer]]/Table1[[#This Row],[OD Sq Inch]]</f>
        <v>0.38402457757296465</v>
      </c>
      <c r="AM2191" s="399">
        <f>Table1[[#This Row],[OD Wdth]]*Table1[[#This Row],[OD Hgt]]</f>
        <v>651</v>
      </c>
      <c r="AN2191" s="400" t="str">
        <f>Table1[[#This Row],[Color]]</f>
        <v>BF</v>
      </c>
      <c r="AO2191" s="113" t="str">
        <f>Table1[[#This Row],[Print Type]]</f>
        <v>Reductive</v>
      </c>
      <c r="AP2191" s="1383">
        <v>500</v>
      </c>
      <c r="AQ2191" s="121">
        <f>(Table1[[#This Row],[Desgnr/Retail P]]*0.05)</f>
        <v>25</v>
      </c>
      <c r="AR2191" s="121">
        <f>IF(A2191="Codarus",(AP2191*0.13))</f>
        <v>65</v>
      </c>
      <c r="AS2191" s="121">
        <f>SUM(Table1[[#This Row],[Substrate $]:[GP FINISH]])+Table1[[#This Row],[Retail Royalty]]+Table1[[#This Row],[Retail$Comm]]</f>
        <v>193.66222222222223</v>
      </c>
      <c r="AT2191" s="830">
        <f>IF(AP2191=0,"-",(AP2191-AS2191)/AP2191)</f>
        <v>0.61267555555555553</v>
      </c>
      <c r="AU2191" s="1367">
        <f t="shared" si="784"/>
        <v>0.97549297777777777</v>
      </c>
    </row>
    <row r="2192" spans="1:47" s="309" customFormat="1" hidden="1" x14ac:dyDescent="0.2">
      <c r="A2192" s="101"/>
      <c r="B2192" s="279"/>
      <c r="C2192" s="77" t="s">
        <v>4999</v>
      </c>
      <c r="D2192" s="94"/>
      <c r="E2192" s="115" t="s">
        <v>5000</v>
      </c>
      <c r="F2192" s="115" t="s">
        <v>5001</v>
      </c>
      <c r="G2192" s="101" t="s">
        <v>5002</v>
      </c>
      <c r="H2192" s="101"/>
      <c r="I2192" s="60" t="s">
        <v>108</v>
      </c>
      <c r="J2192" s="59" t="s">
        <v>257</v>
      </c>
      <c r="K2192" s="101" t="s">
        <v>258</v>
      </c>
      <c r="L2192" s="101" t="s">
        <v>259</v>
      </c>
      <c r="M2192" s="299">
        <v>500</v>
      </c>
      <c r="N2192" s="71"/>
      <c r="O2192" s="101" t="s">
        <v>260</v>
      </c>
      <c r="P2192" s="60">
        <v>20</v>
      </c>
      <c r="Q2192" s="60">
        <v>27</v>
      </c>
      <c r="R2192" s="60">
        <v>20</v>
      </c>
      <c r="S2192" s="60">
        <v>27</v>
      </c>
      <c r="T2192" s="101">
        <v>22</v>
      </c>
      <c r="U2192" s="101">
        <v>29</v>
      </c>
      <c r="V2192" s="946">
        <f>Table1[[#This Row],[VO Wdth]]+Materials!$C$50</f>
        <v>22</v>
      </c>
      <c r="W2192" s="946">
        <f>Table1[[#This Row],[VO Hgt]]+Materials!$C$50</f>
        <v>29</v>
      </c>
      <c r="X2192" s="137" t="s">
        <v>257</v>
      </c>
      <c r="Y2192" s="101"/>
      <c r="Z2192" s="101"/>
      <c r="AA2192" s="717">
        <f t="shared" si="792"/>
        <v>4.4305555555555554</v>
      </c>
      <c r="AB2192" s="125">
        <f>AA2192*canonML</f>
        <v>21.266666666666666</v>
      </c>
      <c r="AC2192" s="69">
        <f>Table1[[#This Row],[Print Wth]]*paper60</f>
        <v>7.48</v>
      </c>
      <c r="AD2192" s="48">
        <f>Table1[[#This Row],[Ink g/mL]]*CanonC</f>
        <v>5.742</v>
      </c>
      <c r="AE2192" s="104">
        <f>IF(Table1[[#This Row],[Work Center]]="SwissQ",Materials!G$37,IF(Table1[[#This Row],[Work Center]]="Inca",Materials!G$29,IF(Table1[[#This Row],[Work Center]]="Canon",Materials!G$49,Materials!G$45)))</f>
        <v>7</v>
      </c>
      <c r="AF2192" s="102">
        <f>'Cali Frames'!D35</f>
        <v>110.5475</v>
      </c>
      <c r="AG2192" s="121"/>
      <c r="AH2192" s="498">
        <f t="shared" si="793"/>
        <v>25</v>
      </c>
      <c r="AI2192" s="112"/>
      <c r="AJ2192" s="104">
        <f t="shared" si="794"/>
        <v>155.76949999999999</v>
      </c>
      <c r="AK2192" s="650">
        <f t="shared" si="795"/>
        <v>0.68846099999999999</v>
      </c>
      <c r="AL2192" s="225" t="e">
        <f>Table1[[#This Row],[WSP/Dealer]]/Table1[[#This Row],[OD Sq Inch]]</f>
        <v>#DIV/0!</v>
      </c>
      <c r="AM2192" s="115"/>
      <c r="AN2192" s="216">
        <f>Table1[[#This Row],[Min VO]]+Table1[[#This Row],[Max VO]]</f>
        <v>47</v>
      </c>
      <c r="AO2192" s="115"/>
      <c r="AP2192" s="115"/>
      <c r="AQ2192" s="121"/>
      <c r="AR2192" s="121"/>
      <c r="AS2192" s="121"/>
      <c r="AT2192" s="104"/>
      <c r="AU2192" s="1359" t="str">
        <f t="shared" si="784"/>
        <v>-</v>
      </c>
    </row>
    <row r="2193" spans="1:47" s="309" customFormat="1" hidden="1" x14ac:dyDescent="0.2">
      <c r="A2193" s="101"/>
      <c r="B2193" s="1061"/>
      <c r="C2193" s="77" t="s">
        <v>5003</v>
      </c>
      <c r="D2193" s="94"/>
      <c r="E2193" s="115" t="s">
        <v>5000</v>
      </c>
      <c r="F2193" s="115" t="s">
        <v>5001</v>
      </c>
      <c r="G2193" s="101" t="s">
        <v>5002</v>
      </c>
      <c r="H2193" s="101"/>
      <c r="I2193" s="60" t="s">
        <v>108</v>
      </c>
      <c r="J2193" s="59" t="s">
        <v>257</v>
      </c>
      <c r="K2193" s="101" t="s">
        <v>258</v>
      </c>
      <c r="L2193" s="101" t="s">
        <v>269</v>
      </c>
      <c r="M2193" s="299">
        <v>525</v>
      </c>
      <c r="N2193" s="71"/>
      <c r="O2193" s="101" t="s">
        <v>260</v>
      </c>
      <c r="P2193" s="60">
        <v>20</v>
      </c>
      <c r="Q2193" s="60">
        <v>27</v>
      </c>
      <c r="R2193" s="60">
        <v>20</v>
      </c>
      <c r="S2193" s="60">
        <v>27</v>
      </c>
      <c r="T2193" s="101">
        <v>22</v>
      </c>
      <c r="U2193" s="101">
        <v>29</v>
      </c>
      <c r="V2193" s="47">
        <f>Table1[[#This Row],[VO Wdth]]+Materials!$C$50</f>
        <v>22</v>
      </c>
      <c r="W2193" s="47">
        <f>Table1[[#This Row],[VO Hgt]]+Materials!$C$50</f>
        <v>29</v>
      </c>
      <c r="X2193" s="137" t="s">
        <v>257</v>
      </c>
      <c r="Y2193" s="101"/>
      <c r="Z2193" s="101"/>
      <c r="AA2193" s="717">
        <f t="shared" si="792"/>
        <v>4.4305555555555554</v>
      </c>
      <c r="AB2193" s="125">
        <f>AA2193*canonML</f>
        <v>21.266666666666666</v>
      </c>
      <c r="AC2193" s="69">
        <f>Table1[[#This Row],[Print Wth]]*paper60</f>
        <v>7.48</v>
      </c>
      <c r="AD2193" s="48">
        <f>Table1[[#This Row],[Ink g/mL]]*CanonC</f>
        <v>5.742</v>
      </c>
      <c r="AE2193" s="104">
        <f>IF(Table1[[#This Row],[Work Center]]="SwissQ",Materials!G$37,IF(Table1[[#This Row],[Work Center]]="Inca",Materials!G$29,IF(Table1[[#This Row],[Work Center]]="Canon",Materials!G$49,Materials!G$45)))</f>
        <v>7</v>
      </c>
      <c r="AF2193" s="102">
        <f>'Cali Frames'!D63</f>
        <v>123.0425</v>
      </c>
      <c r="AG2193" s="121"/>
      <c r="AH2193" s="498">
        <f t="shared" si="793"/>
        <v>26.25</v>
      </c>
      <c r="AI2193" s="498"/>
      <c r="AJ2193" s="104">
        <f t="shared" si="794"/>
        <v>169.5145</v>
      </c>
      <c r="AK2193" s="650">
        <f t="shared" si="795"/>
        <v>0.6771152380952381</v>
      </c>
      <c r="AL2193" s="225" t="e">
        <f>Table1[[#This Row],[WSP/Dealer]]/Table1[[#This Row],[OD Sq Inch]]</f>
        <v>#DIV/0!</v>
      </c>
      <c r="AM2193" s="113"/>
      <c r="AN2193" s="216">
        <f>Table1[[#This Row],[Min VO]]+Table1[[#This Row],[Max VO]]</f>
        <v>47</v>
      </c>
      <c r="AO2193" s="115"/>
      <c r="AP2193" s="115"/>
      <c r="AQ2193" s="121"/>
      <c r="AR2193" s="121"/>
      <c r="AS2193" s="121"/>
      <c r="AT2193" s="104"/>
      <c r="AU2193" s="1359" t="str">
        <f t="shared" si="784"/>
        <v>-</v>
      </c>
    </row>
    <row r="2194" spans="1:47" s="309" customFormat="1" x14ac:dyDescent="0.2">
      <c r="A2194" s="86" t="s">
        <v>58</v>
      </c>
      <c r="B2194" s="1061" t="s">
        <v>591</v>
      </c>
      <c r="C2194" s="75" t="s">
        <v>5004</v>
      </c>
      <c r="D2194" s="94" t="s">
        <v>5005</v>
      </c>
      <c r="E2194" s="85" t="s">
        <v>5006</v>
      </c>
      <c r="F2194" s="85" t="s">
        <v>1834</v>
      </c>
      <c r="G2194" s="86" t="s">
        <v>2809</v>
      </c>
      <c r="H2194" s="86" t="s">
        <v>2809</v>
      </c>
      <c r="I2194" s="86" t="s">
        <v>52</v>
      </c>
      <c r="J2194" s="86" t="s">
        <v>53</v>
      </c>
      <c r="K2194" s="86" t="s">
        <v>54</v>
      </c>
      <c r="L2194" s="86" t="s">
        <v>55</v>
      </c>
      <c r="M2194" s="87">
        <v>1350</v>
      </c>
      <c r="N2194" s="639">
        <v>1350</v>
      </c>
      <c r="O2194" s="101" t="s">
        <v>64</v>
      </c>
      <c r="P2194" s="273">
        <v>80</v>
      </c>
      <c r="Q2194" s="273">
        <v>58</v>
      </c>
      <c r="R2194" s="60">
        <v>58</v>
      </c>
      <c r="S2194" s="273">
        <v>80</v>
      </c>
      <c r="T2194" s="273">
        <f>Table1[[#This Row],[VO Wdth]]</f>
        <v>80</v>
      </c>
      <c r="U2194" s="273">
        <f>Table1[[#This Row],[VO Hgt]]</f>
        <v>58</v>
      </c>
      <c r="V2194" s="106">
        <f>IF(J2194="Canvas",P2194+BorderL,P2194)</f>
        <v>91</v>
      </c>
      <c r="W2194" s="106">
        <f>IF(J2194="Canvas",Q2194+BorderL,Q2194)</f>
        <v>69</v>
      </c>
      <c r="X2194" s="68">
        <v>122</v>
      </c>
      <c r="Y2194" s="101"/>
      <c r="Z2194" s="101"/>
      <c r="AA2194" s="649">
        <f t="shared" si="792"/>
        <v>43.604166666666664</v>
      </c>
      <c r="AB2194" s="125">
        <f>AA2194*Swiss1</f>
        <v>1233.9979166666667</v>
      </c>
      <c r="AC2194" s="104">
        <f>AA2194*Canvas</f>
        <v>28.778749999999999</v>
      </c>
      <c r="AD2194" s="48">
        <f>Table1[[#This Row],[Substrate SF]]*Materials!C$37</f>
        <v>122.09166666666665</v>
      </c>
      <c r="AE2194" s="104">
        <f>IF(Table1[[#This Row],[Work Center]]="SwissQ",Materials!G$37,IF(Table1[[#This Row],[Work Center]]="Inca",Materials!G$29,IF(Table1[[#This Row],[Work Center]]="Canon",Materials!G$49,Materials!G$45)))</f>
        <v>20</v>
      </c>
      <c r="AF2194" s="74">
        <f>'Cali FPS'!C$158</f>
        <v>196.875</v>
      </c>
      <c r="AG2194" s="115"/>
      <c r="AH2194" s="112">
        <f t="shared" si="793"/>
        <v>67.5</v>
      </c>
      <c r="AI2194" s="112"/>
      <c r="AJ2194" s="104">
        <f t="shared" si="794"/>
        <v>435.24541666666664</v>
      </c>
      <c r="AK2194" s="62">
        <f t="shared" si="795"/>
        <v>0.67759598765432105</v>
      </c>
      <c r="AL2194" s="225">
        <f>Table1[[#This Row],[WSP/Dealer]]/Table1[[#This Row],[OD Sq Inch]]</f>
        <v>0.29094827586206895</v>
      </c>
      <c r="AM2194" s="218">
        <f>Table1[[#This Row],[OD Wdth]]*Table1[[#This Row],[OD Hgt]]</f>
        <v>4640</v>
      </c>
      <c r="AN2194" s="216">
        <f>Table1[[#This Row],[Min VO]]+Table1[[#This Row],[Max VO]]</f>
        <v>138</v>
      </c>
      <c r="AO2194" s="101"/>
      <c r="AP2194" s="101"/>
      <c r="AQ2194" s="104"/>
      <c r="AR2194" s="104"/>
      <c r="AS2194" s="104"/>
      <c r="AT2194" s="104"/>
      <c r="AU2194" s="830" t="str">
        <f t="shared" si="784"/>
        <v>-</v>
      </c>
    </row>
    <row r="2195" spans="1:47" s="309" customFormat="1" x14ac:dyDescent="0.2">
      <c r="A2195" s="86" t="s">
        <v>58</v>
      </c>
      <c r="B2195" s="279" t="s">
        <v>591</v>
      </c>
      <c r="C2195" s="75" t="s">
        <v>5007</v>
      </c>
      <c r="D2195" s="94" t="s">
        <v>5008</v>
      </c>
      <c r="E2195" s="85" t="s">
        <v>5009</v>
      </c>
      <c r="F2195" s="85" t="s">
        <v>1834</v>
      </c>
      <c r="G2195" s="86" t="s">
        <v>2809</v>
      </c>
      <c r="H2195" s="86" t="s">
        <v>2809</v>
      </c>
      <c r="I2195" s="86" t="s">
        <v>52</v>
      </c>
      <c r="J2195" s="86" t="s">
        <v>53</v>
      </c>
      <c r="K2195" s="86" t="s">
        <v>54</v>
      </c>
      <c r="L2195" s="86" t="s">
        <v>55</v>
      </c>
      <c r="M2195" s="87">
        <v>1350</v>
      </c>
      <c r="N2195" s="639">
        <v>1350</v>
      </c>
      <c r="O2195" s="101" t="s">
        <v>64</v>
      </c>
      <c r="P2195" s="273">
        <v>80</v>
      </c>
      <c r="Q2195" s="273">
        <v>58</v>
      </c>
      <c r="R2195" s="60">
        <v>58</v>
      </c>
      <c r="S2195" s="273">
        <v>80</v>
      </c>
      <c r="T2195" s="273">
        <f>Table1[[#This Row],[VO Wdth]]</f>
        <v>80</v>
      </c>
      <c r="U2195" s="273">
        <f>Table1[[#This Row],[VO Hgt]]</f>
        <v>58</v>
      </c>
      <c r="V2195" s="608">
        <f>IF(J2195="Canvas",P2195+BorderL,P2195)</f>
        <v>91</v>
      </c>
      <c r="W2195" s="608">
        <f>IF(J2195="Canvas",Q2195+BorderL,Q2195)</f>
        <v>69</v>
      </c>
      <c r="X2195" s="68">
        <v>122</v>
      </c>
      <c r="Y2195" s="101"/>
      <c r="Z2195" s="101"/>
      <c r="AA2195" s="649">
        <f t="shared" si="792"/>
        <v>43.604166666666664</v>
      </c>
      <c r="AB2195" s="125">
        <f>AA2195*Swiss1</f>
        <v>1233.9979166666667</v>
      </c>
      <c r="AC2195" s="104">
        <f>AA2195*Canvas</f>
        <v>28.778749999999999</v>
      </c>
      <c r="AD2195" s="104">
        <f>Table1[[#This Row],[Substrate SF]]*Materials!C$37</f>
        <v>122.09166666666665</v>
      </c>
      <c r="AE2195" s="104">
        <f>IF(Table1[[#This Row],[Work Center]]="SwissQ",Materials!G$37,IF(Table1[[#This Row],[Work Center]]="Inca",Materials!G$29,IF(Table1[[#This Row],[Work Center]]="Canon",Materials!G$49,Materials!G$45)))</f>
        <v>20</v>
      </c>
      <c r="AF2195" s="74">
        <f>'Cali FPS'!C$158</f>
        <v>196.875</v>
      </c>
      <c r="AG2195" s="115"/>
      <c r="AH2195" s="498">
        <f t="shared" si="793"/>
        <v>67.5</v>
      </c>
      <c r="AI2195" s="498"/>
      <c r="AJ2195" s="104">
        <f t="shared" si="794"/>
        <v>435.24541666666664</v>
      </c>
      <c r="AK2195" s="650">
        <f t="shared" si="795"/>
        <v>0.67759598765432105</v>
      </c>
      <c r="AL2195" s="225">
        <f>Table1[[#This Row],[WSP/Dealer]]/Table1[[#This Row],[OD Sq Inch]]</f>
        <v>0.29094827586206895</v>
      </c>
      <c r="AM2195" s="101">
        <f>Table1[[#This Row],[OD Wdth]]*Table1[[#This Row],[OD Hgt]]</f>
        <v>4640</v>
      </c>
      <c r="AN2195" s="216">
        <f>Table1[[#This Row],[Min VO]]+Table1[[#This Row],[Max VO]]</f>
        <v>138</v>
      </c>
      <c r="AO2195" s="101"/>
      <c r="AP2195" s="101"/>
      <c r="AQ2195" s="104"/>
      <c r="AR2195" s="104"/>
      <c r="AS2195" s="104"/>
      <c r="AT2195" s="104"/>
      <c r="AU2195" s="830" t="str">
        <f t="shared" si="784"/>
        <v>-</v>
      </c>
    </row>
    <row r="2196" spans="1:47" s="309" customFormat="1" x14ac:dyDescent="0.2">
      <c r="A2196" s="68" t="s">
        <v>58</v>
      </c>
      <c r="B2196" s="1061" t="s">
        <v>599</v>
      </c>
      <c r="C2196" s="257" t="s">
        <v>5010</v>
      </c>
      <c r="D2196" s="94" t="s">
        <v>5011</v>
      </c>
      <c r="E2196" s="84" t="s">
        <v>5009</v>
      </c>
      <c r="F2196" s="84" t="s">
        <v>1834</v>
      </c>
      <c r="G2196" s="68" t="s">
        <v>2809</v>
      </c>
      <c r="H2196" s="68" t="s">
        <v>5012</v>
      </c>
      <c r="I2196" s="68" t="s">
        <v>52</v>
      </c>
      <c r="J2196" s="140" t="s">
        <v>53</v>
      </c>
      <c r="K2196" s="68" t="s">
        <v>82</v>
      </c>
      <c r="L2196" s="68" t="s">
        <v>334</v>
      </c>
      <c r="M2196" s="93">
        <v>1600</v>
      </c>
      <c r="N2196" s="93"/>
      <c r="O2196" s="68" t="s">
        <v>64</v>
      </c>
      <c r="P2196" s="623">
        <v>80</v>
      </c>
      <c r="Q2196" s="623">
        <v>58</v>
      </c>
      <c r="R2196" s="68">
        <v>58</v>
      </c>
      <c r="S2196" s="623">
        <v>80</v>
      </c>
      <c r="T2196" s="623">
        <v>82</v>
      </c>
      <c r="U2196" s="623">
        <v>60</v>
      </c>
      <c r="V2196" s="917">
        <f>IF(J2196="Canvas",P2196+BorderL,P2196)</f>
        <v>91</v>
      </c>
      <c r="W2196" s="917">
        <f>IF(J2196="Canvas",Q2196+BorderL,Q2196)</f>
        <v>69</v>
      </c>
      <c r="X2196" s="68">
        <v>122</v>
      </c>
      <c r="Y2196" s="68">
        <v>91</v>
      </c>
      <c r="Z2196" s="68">
        <v>69</v>
      </c>
      <c r="AA2196" s="699">
        <f t="shared" si="792"/>
        <v>43.604166666666664</v>
      </c>
      <c r="AB2196" s="297">
        <f>AA2196*Swiss1</f>
        <v>1233.9979166666667</v>
      </c>
      <c r="AC2196" s="74">
        <f>AA2196*Canvas</f>
        <v>28.778749999999999</v>
      </c>
      <c r="AD2196" s="74">
        <f>Table1[[#This Row],[Substrate SF]]*Materials!C$37</f>
        <v>122.09166666666665</v>
      </c>
      <c r="AE2196" s="74">
        <f>IF(Table1[[#This Row],[Work Center]]="SwissQ",Materials!G$37,IF(Table1[[#This Row],[Work Center]]="Inca",Materials!G$29,IF(Table1[[#This Row],[Work Center]]="Canon",Materials!G$49,Materials!G$45)))</f>
        <v>20</v>
      </c>
      <c r="AF2196" s="73">
        <f>'Cali Frames'!D217</f>
        <v>370</v>
      </c>
      <c r="AG2196" s="84"/>
      <c r="AH2196" s="278">
        <f t="shared" si="793"/>
        <v>80</v>
      </c>
      <c r="AI2196" s="278"/>
      <c r="AJ2196" s="278">
        <f t="shared" si="794"/>
        <v>620.87041666666664</v>
      </c>
      <c r="AK2196" s="1192">
        <f t="shared" si="795"/>
        <v>0.6119559895833333</v>
      </c>
      <c r="AL2196" s="278">
        <f>Table1[[#This Row],[WSP/Dealer]]/Table1[[#This Row],[OD Sq Inch]]</f>
        <v>0.32520325203252032</v>
      </c>
      <c r="AM2196" s="170">
        <f>Table1[[#This Row],[OD Wdth]]*Table1[[#This Row],[OD Hgt]]</f>
        <v>4920</v>
      </c>
      <c r="AN2196" s="274">
        <f>Table1[[#This Row],[Min VO]]+Table1[[#This Row],[Max VO]]</f>
        <v>138</v>
      </c>
      <c r="AO2196" s="84"/>
      <c r="AP2196" s="84"/>
      <c r="AQ2196" s="74"/>
      <c r="AR2196" s="74"/>
      <c r="AS2196" s="74"/>
      <c r="AT2196" s="74"/>
      <c r="AU2196" s="1357" t="str">
        <f t="shared" si="784"/>
        <v>-</v>
      </c>
    </row>
    <row r="2197" spans="1:47" s="309" customFormat="1" x14ac:dyDescent="0.2">
      <c r="A2197" s="86" t="s">
        <v>58</v>
      </c>
      <c r="B2197" s="1061" t="s">
        <v>591</v>
      </c>
      <c r="C2197" s="75" t="s">
        <v>5013</v>
      </c>
      <c r="D2197" s="94" t="s">
        <v>5014</v>
      </c>
      <c r="E2197" s="85" t="s">
        <v>5015</v>
      </c>
      <c r="F2197" s="85" t="s">
        <v>1834</v>
      </c>
      <c r="G2197" s="86" t="s">
        <v>2809</v>
      </c>
      <c r="H2197" s="86" t="s">
        <v>2809</v>
      </c>
      <c r="I2197" s="86" t="s">
        <v>52</v>
      </c>
      <c r="J2197" s="86" t="s">
        <v>53</v>
      </c>
      <c r="K2197" s="86" t="s">
        <v>54</v>
      </c>
      <c r="L2197" s="86" t="s">
        <v>55</v>
      </c>
      <c r="M2197" s="87">
        <v>1350</v>
      </c>
      <c r="N2197" s="639">
        <v>1350</v>
      </c>
      <c r="O2197" s="101" t="s">
        <v>64</v>
      </c>
      <c r="P2197" s="273">
        <v>80</v>
      </c>
      <c r="Q2197" s="273">
        <v>58</v>
      </c>
      <c r="R2197" s="60">
        <v>58</v>
      </c>
      <c r="S2197" s="273">
        <v>80</v>
      </c>
      <c r="T2197" s="273">
        <f>Table1[[#This Row],[VO Wdth]]</f>
        <v>80</v>
      </c>
      <c r="U2197" s="273">
        <f>Table1[[#This Row],[VO Hgt]]</f>
        <v>58</v>
      </c>
      <c r="V2197" s="608">
        <f>IF(J2197="Canvas",P2197+BorderL,P2197)</f>
        <v>91</v>
      </c>
      <c r="W2197" s="608">
        <f>IF(J2197="Canvas",Q2197+BorderL,Q2197)</f>
        <v>69</v>
      </c>
      <c r="X2197" s="68">
        <v>122</v>
      </c>
      <c r="Y2197" s="101"/>
      <c r="Z2197" s="101"/>
      <c r="AA2197" s="649">
        <f t="shared" si="792"/>
        <v>43.604166666666664</v>
      </c>
      <c r="AB2197" s="125">
        <f>AA2197*Swiss1</f>
        <v>1233.9979166666667</v>
      </c>
      <c r="AC2197" s="104">
        <f>AA2197*Canvas</f>
        <v>28.778749999999999</v>
      </c>
      <c r="AD2197" s="104">
        <f>Table1[[#This Row],[Substrate SF]]*Materials!C$37</f>
        <v>122.09166666666665</v>
      </c>
      <c r="AE2197" s="104">
        <f>IF(Table1[[#This Row],[Work Center]]="SwissQ",Materials!G$37,IF(Table1[[#This Row],[Work Center]]="Inca",Materials!G$29,IF(Table1[[#This Row],[Work Center]]="Canon",Materials!G$49,Materials!G$45)))</f>
        <v>20</v>
      </c>
      <c r="AF2197" s="74">
        <f>'Cali FPS'!C$158</f>
        <v>196.875</v>
      </c>
      <c r="AG2197" s="115"/>
      <c r="AH2197" s="498">
        <f t="shared" si="793"/>
        <v>67.5</v>
      </c>
      <c r="AI2197" s="498"/>
      <c r="AJ2197" s="104">
        <f t="shared" si="794"/>
        <v>435.24541666666664</v>
      </c>
      <c r="AK2197" s="650">
        <f t="shared" si="795"/>
        <v>0.67759598765432105</v>
      </c>
      <c r="AL2197" s="225">
        <f>Table1[[#This Row],[WSP/Dealer]]/Table1[[#This Row],[OD Sq Inch]]</f>
        <v>0.29094827586206895</v>
      </c>
      <c r="AM2197" s="103">
        <f>Table1[[#This Row],[OD Wdth]]*Table1[[#This Row],[OD Hgt]]</f>
        <v>4640</v>
      </c>
      <c r="AN2197" s="216">
        <f>Table1[[#This Row],[Min VO]]+Table1[[#This Row],[Max VO]]</f>
        <v>138</v>
      </c>
      <c r="AO2197" s="101"/>
      <c r="AP2197" s="101"/>
      <c r="AQ2197" s="104"/>
      <c r="AR2197" s="104"/>
      <c r="AS2197" s="104"/>
      <c r="AT2197" s="104"/>
      <c r="AU2197" s="830" t="str">
        <f t="shared" si="784"/>
        <v>-</v>
      </c>
    </row>
    <row r="2198" spans="1:47" s="309" customFormat="1" x14ac:dyDescent="0.2">
      <c r="A2198" s="86" t="s">
        <v>58</v>
      </c>
      <c r="B2198" s="1061" t="s">
        <v>591</v>
      </c>
      <c r="C2198" s="75" t="s">
        <v>5016</v>
      </c>
      <c r="D2198" s="94" t="s">
        <v>5017</v>
      </c>
      <c r="E2198" s="85" t="s">
        <v>5018</v>
      </c>
      <c r="F2198" s="85" t="s">
        <v>1834</v>
      </c>
      <c r="G2198" s="86" t="s">
        <v>2809</v>
      </c>
      <c r="H2198" s="86" t="s">
        <v>2809</v>
      </c>
      <c r="I2198" s="86" t="s">
        <v>52</v>
      </c>
      <c r="J2198" s="86" t="s">
        <v>53</v>
      </c>
      <c r="K2198" s="86" t="s">
        <v>54</v>
      </c>
      <c r="L2198" s="86" t="s">
        <v>55</v>
      </c>
      <c r="M2198" s="87">
        <v>1350</v>
      </c>
      <c r="N2198" s="639">
        <v>1350</v>
      </c>
      <c r="O2198" s="101" t="s">
        <v>64</v>
      </c>
      <c r="P2198" s="273">
        <v>80</v>
      </c>
      <c r="Q2198" s="273">
        <v>58</v>
      </c>
      <c r="R2198" s="60">
        <v>58</v>
      </c>
      <c r="S2198" s="273">
        <v>80</v>
      </c>
      <c r="T2198" s="273">
        <f>Table1[[#This Row],[VO Wdth]]</f>
        <v>80</v>
      </c>
      <c r="U2198" s="273">
        <f>Table1[[#This Row],[VO Hgt]]</f>
        <v>58</v>
      </c>
      <c r="V2198" s="608">
        <f>IF(J2198="Canvas",P2198+BorderL,P2198)</f>
        <v>91</v>
      </c>
      <c r="W2198" s="608">
        <f>IF(J2198="Canvas",Q2198+BorderL,Q2198)</f>
        <v>69</v>
      </c>
      <c r="X2198" s="68">
        <v>122</v>
      </c>
      <c r="Y2198" s="101"/>
      <c r="Z2198" s="101"/>
      <c r="AA2198" s="649">
        <f t="shared" si="792"/>
        <v>43.604166666666664</v>
      </c>
      <c r="AB2198" s="125">
        <f>AA2198*Swiss1</f>
        <v>1233.9979166666667</v>
      </c>
      <c r="AC2198" s="104">
        <f>AA2198*Canvas</f>
        <v>28.778749999999999</v>
      </c>
      <c r="AD2198" s="107">
        <f>Table1[[#This Row],[Substrate SF]]*Materials!C$37</f>
        <v>122.09166666666665</v>
      </c>
      <c r="AE2198" s="104">
        <f>IF(Table1[[#This Row],[Work Center]]="SwissQ",Materials!G$37,IF(Table1[[#This Row],[Work Center]]="Inca",Materials!G$29,IF(Table1[[#This Row],[Work Center]]="Canon",Materials!G$49,Materials!G$45)))</f>
        <v>20</v>
      </c>
      <c r="AF2198" s="74">
        <f>'Cali FPS'!C$158</f>
        <v>196.875</v>
      </c>
      <c r="AG2198" s="115"/>
      <c r="AH2198" s="112">
        <f t="shared" si="793"/>
        <v>67.5</v>
      </c>
      <c r="AI2198" s="112"/>
      <c r="AJ2198" s="107">
        <f t="shared" si="794"/>
        <v>435.24541666666664</v>
      </c>
      <c r="AK2198" s="62">
        <f t="shared" si="795"/>
        <v>0.67759598765432105</v>
      </c>
      <c r="AL2198" s="225">
        <f>Table1[[#This Row],[WSP/Dealer]]/Table1[[#This Row],[OD Sq Inch]]</f>
        <v>0.29094827586206895</v>
      </c>
      <c r="AM2198" s="103">
        <f>Table1[[#This Row],[OD Wdth]]*Table1[[#This Row],[OD Hgt]]</f>
        <v>4640</v>
      </c>
      <c r="AN2198" s="216">
        <f>Table1[[#This Row],[Min VO]]+Table1[[#This Row],[Max VO]]</f>
        <v>138</v>
      </c>
      <c r="AO2198" s="101"/>
      <c r="AP2198" s="101"/>
      <c r="AQ2198" s="104"/>
      <c r="AR2198" s="104"/>
      <c r="AS2198" s="104"/>
      <c r="AT2198" s="104"/>
      <c r="AU2198" s="830" t="str">
        <f t="shared" si="784"/>
        <v>-</v>
      </c>
    </row>
    <row r="2199" spans="1:47" s="309" customFormat="1" hidden="1" x14ac:dyDescent="0.2">
      <c r="A2199" s="373" t="s">
        <v>187</v>
      </c>
      <c r="B2199" s="1061" t="s">
        <v>261</v>
      </c>
      <c r="C2199" s="257" t="s">
        <v>5019</v>
      </c>
      <c r="D2199" s="94"/>
      <c r="E2199" s="84" t="s">
        <v>5020</v>
      </c>
      <c r="F2199" s="84" t="s">
        <v>1129</v>
      </c>
      <c r="G2199" s="68" t="s">
        <v>93</v>
      </c>
      <c r="H2199" s="68" t="s">
        <v>94</v>
      </c>
      <c r="I2199" s="68" t="s">
        <v>108</v>
      </c>
      <c r="J2199" s="68" t="s">
        <v>257</v>
      </c>
      <c r="K2199" s="68" t="s">
        <v>258</v>
      </c>
      <c r="L2199" s="68" t="s">
        <v>259</v>
      </c>
      <c r="M2199" s="141"/>
      <c r="N2199" s="71"/>
      <c r="O2199" s="68" t="s">
        <v>260</v>
      </c>
      <c r="P2199" s="623">
        <v>48</v>
      </c>
      <c r="Q2199" s="623">
        <v>55</v>
      </c>
      <c r="R2199" s="68">
        <v>48</v>
      </c>
      <c r="S2199" s="623">
        <v>55</v>
      </c>
      <c r="T2199" s="623">
        <f>Table1[[#This Row],[VO Wdth]]</f>
        <v>48</v>
      </c>
      <c r="U2199" s="623">
        <f>Table1[[#This Row],[VO Hgt]]</f>
        <v>55</v>
      </c>
      <c r="V2199" s="917">
        <f>IF(J2199="Canvas",P2199+BorderGW,P2199)</f>
        <v>48</v>
      </c>
      <c r="W2199" s="917">
        <f>IF(J2199="Canvas",Q2199+BorderGW,Q2199)</f>
        <v>55</v>
      </c>
      <c r="X2199" s="189">
        <v>122</v>
      </c>
      <c r="Y2199" s="68"/>
      <c r="Z2199" s="68"/>
      <c r="AA2199" s="699">
        <f t="shared" si="792"/>
        <v>18.333333333333332</v>
      </c>
      <c r="AB2199" s="297">
        <f>AA2199*IncaG</f>
        <v>385.73333333333329</v>
      </c>
      <c r="AC2199" s="278">
        <f>Table1[[#This Row],[Substrate SF]]*Paper</f>
        <v>24.805</v>
      </c>
      <c r="AD2199" s="67">
        <f>AA2199*IncaC</f>
        <v>30.858666666666664</v>
      </c>
      <c r="AE2199" s="104">
        <f>IF(Table1[[#This Row],[Work Center]]="SwissQ",Materials!G$37,IF(Table1[[#This Row],[Work Center]]="Inca",Materials!G$29,IF(Table1[[#This Row],[Work Center]]="Canon",Materials!G$49,Materials!G$45)))</f>
        <v>7</v>
      </c>
      <c r="AF2199" s="74">
        <f>'Cali FPS'!C$119</f>
        <v>172.1825</v>
      </c>
      <c r="AG2199" s="115"/>
      <c r="AH2199" s="112">
        <f t="shared" si="793"/>
        <v>0</v>
      </c>
      <c r="AI2199" s="112"/>
      <c r="AJ2199" s="67">
        <f t="shared" si="794"/>
        <v>234.84616666666668</v>
      </c>
      <c r="AK2199" s="62" t="e">
        <f t="shared" si="795"/>
        <v>#DIV/0!</v>
      </c>
      <c r="AL2199" s="225">
        <f>Table1[[#This Row],[WSP/Dealer]]/Table1[[#This Row],[OD Sq Inch]]</f>
        <v>0</v>
      </c>
      <c r="AM2199" s="218">
        <f>Table1[[#This Row],[OD Wdth]]*Table1[[#This Row],[OD Hgt]]</f>
        <v>2640</v>
      </c>
      <c r="AN2199" s="216">
        <f>Table1[[#This Row],[Min VO]]+Table1[[#This Row],[Max VO]]</f>
        <v>103</v>
      </c>
      <c r="AO2199" s="68"/>
      <c r="AP2199" s="68"/>
      <c r="AQ2199" s="74"/>
      <c r="AR2199" s="74"/>
      <c r="AS2199" s="74"/>
      <c r="AT2199" s="74"/>
      <c r="AU2199" s="1001" t="str">
        <f t="shared" si="784"/>
        <v>-</v>
      </c>
    </row>
    <row r="2200" spans="1:47" s="309" customFormat="1" x14ac:dyDescent="0.2">
      <c r="A2200" s="86" t="s">
        <v>58</v>
      </c>
      <c r="B2200" s="1061" t="s">
        <v>450</v>
      </c>
      <c r="C2200" s="75" t="s">
        <v>5021</v>
      </c>
      <c r="D2200" s="94" t="s">
        <v>5022</v>
      </c>
      <c r="E2200" s="85" t="s">
        <v>5020</v>
      </c>
      <c r="F2200" s="85" t="s">
        <v>1129</v>
      </c>
      <c r="G2200" s="86" t="s">
        <v>93</v>
      </c>
      <c r="H2200" s="86" t="s">
        <v>93</v>
      </c>
      <c r="I2200" s="86" t="s">
        <v>52</v>
      </c>
      <c r="J2200" s="86" t="s">
        <v>53</v>
      </c>
      <c r="K2200" s="86" t="s">
        <v>54</v>
      </c>
      <c r="L2200" s="86" t="s">
        <v>55</v>
      </c>
      <c r="M2200" s="87">
        <v>850</v>
      </c>
      <c r="N2200" s="639">
        <v>890</v>
      </c>
      <c r="O2200" s="101" t="s">
        <v>64</v>
      </c>
      <c r="P2200" s="273">
        <v>48</v>
      </c>
      <c r="Q2200" s="273">
        <v>55</v>
      </c>
      <c r="R2200" s="60">
        <v>48</v>
      </c>
      <c r="S2200" s="61">
        <v>55</v>
      </c>
      <c r="T2200" s="61">
        <f>Table1[[#This Row],[VO Wdth]]</f>
        <v>48</v>
      </c>
      <c r="U2200" s="61">
        <f>Table1[[#This Row],[VO Hgt]]</f>
        <v>55</v>
      </c>
      <c r="V2200" s="106">
        <f>IF(J2200="Canvas",P2200+BorderGW,P2200)</f>
        <v>56</v>
      </c>
      <c r="W2200" s="106">
        <f>IF(J2200="Canvas",Q2200+BorderGW,Q2200)</f>
        <v>63</v>
      </c>
      <c r="X2200" s="137">
        <v>122</v>
      </c>
      <c r="Y2200" s="101"/>
      <c r="Z2200" s="101"/>
      <c r="AA2200" s="649">
        <f t="shared" si="792"/>
        <v>24.5</v>
      </c>
      <c r="AB2200" s="184">
        <f>Table1[[#This Row],[Substrate SF]]*Swiss1</f>
        <v>693.35</v>
      </c>
      <c r="AC2200" s="104">
        <f>AA2200*Canvas</f>
        <v>16.170000000000002</v>
      </c>
      <c r="AD2200" s="107">
        <f>Table1[[#This Row],[Substrate SF]]*Materials!C$37</f>
        <v>68.599999999999994</v>
      </c>
      <c r="AE2200" s="104">
        <f>IF(Table1[[#This Row],[Work Center]]="SwissQ",Materials!G$37,IF(Table1[[#This Row],[Work Center]]="Inca",Materials!G$29,IF(Table1[[#This Row],[Work Center]]="Canon",Materials!G$49,Materials!G$45)))</f>
        <v>20</v>
      </c>
      <c r="AF2200" s="74">
        <f>'Cali FPS'!C$119</f>
        <v>172.1825</v>
      </c>
      <c r="AG2200" s="115"/>
      <c r="AH2200" s="112">
        <f t="shared" si="793"/>
        <v>42.5</v>
      </c>
      <c r="AI2200" s="112"/>
      <c r="AJ2200" s="104">
        <f t="shared" si="794"/>
        <v>319.45249999999999</v>
      </c>
      <c r="AK2200" s="62">
        <f t="shared" si="795"/>
        <v>0.62417352941176474</v>
      </c>
      <c r="AL2200" s="225">
        <f>Table1[[#This Row],[WSP/Dealer]]/Table1[[#This Row],[OD Sq Inch]]</f>
        <v>0.32196969696969696</v>
      </c>
      <c r="AM2200" s="218">
        <f>Table1[[#This Row],[OD Wdth]]*Table1[[#This Row],[OD Hgt]]</f>
        <v>2640</v>
      </c>
      <c r="AN2200" s="216">
        <f>Table1[[#This Row],[Min VO]]+Table1[[#This Row],[Max VO]]</f>
        <v>103</v>
      </c>
      <c r="AO2200" s="101"/>
      <c r="AP2200" s="101"/>
      <c r="AQ2200" s="104"/>
      <c r="AR2200" s="104"/>
      <c r="AS2200" s="104"/>
      <c r="AT2200" s="104"/>
      <c r="AU2200" s="830" t="str">
        <f t="shared" si="784"/>
        <v>-</v>
      </c>
    </row>
    <row r="2201" spans="1:47" s="309" customFormat="1" hidden="1" x14ac:dyDescent="0.2">
      <c r="A2201" s="373" t="s">
        <v>187</v>
      </c>
      <c r="B2201" s="1061" t="s">
        <v>261</v>
      </c>
      <c r="C2201" s="430" t="s">
        <v>5023</v>
      </c>
      <c r="D2201" s="94"/>
      <c r="E2201" s="430" t="s">
        <v>5024</v>
      </c>
      <c r="F2201" s="450" t="s">
        <v>1129</v>
      </c>
      <c r="G2201" s="431" t="s">
        <v>191</v>
      </c>
      <c r="H2201" s="431" t="s">
        <v>193</v>
      </c>
      <c r="I2201" s="431" t="s">
        <v>52</v>
      </c>
      <c r="J2201" s="421" t="s">
        <v>53</v>
      </c>
      <c r="K2201" s="431" t="s">
        <v>1410</v>
      </c>
      <c r="L2201" s="421" t="s">
        <v>70</v>
      </c>
      <c r="M2201" s="429">
        <v>2950</v>
      </c>
      <c r="N2201" s="71"/>
      <c r="O2201" s="68" t="s">
        <v>64</v>
      </c>
      <c r="P2201" s="63">
        <v>48</v>
      </c>
      <c r="Q2201" s="63">
        <v>60</v>
      </c>
      <c r="R2201" s="68">
        <v>48</v>
      </c>
      <c r="S2201" s="63">
        <v>60</v>
      </c>
      <c r="T2201" s="63">
        <v>48</v>
      </c>
      <c r="U2201" s="63">
        <v>60</v>
      </c>
      <c r="V2201" s="66">
        <f>IF(J2201="Canvas",P2201+BorderGW,P2201)</f>
        <v>56</v>
      </c>
      <c r="W2201" s="66">
        <f>IF(J2201="Canvas",Q2201+BorderGW,Q2201)</f>
        <v>68</v>
      </c>
      <c r="X2201" s="189">
        <v>69</v>
      </c>
      <c r="Y2201" s="68"/>
      <c r="Z2201" s="68"/>
      <c r="AA2201" s="729">
        <f t="shared" si="792"/>
        <v>26.444444444444443</v>
      </c>
      <c r="AB2201" s="372">
        <f>AA2201*Swiss1</f>
        <v>748.37777777777774</v>
      </c>
      <c r="AC2201" s="240">
        <f>AA2201*Canvas</f>
        <v>17.453333333333333</v>
      </c>
      <c r="AD2201" s="259">
        <f>Table1[[#This Row],[Substrate SF]]*SWISSC2</f>
        <v>119</v>
      </c>
      <c r="AE2201" s="74">
        <f>IF(Table1[[#This Row],[Work Center]]="SwissQ",Materials!G$37,IF(Table1[[#This Row],[Work Center]]="Inca",Materials!G$29,IF(Table1[[#This Row],[Work Center]]="Canon",Materials!G$49,Materials!G$45)))</f>
        <v>20</v>
      </c>
      <c r="AF2201" s="609">
        <f>'Cali Frames'!D335</f>
        <v>258.27999999999997</v>
      </c>
      <c r="AG2201" s="240"/>
      <c r="AH2201" s="112">
        <f t="shared" si="793"/>
        <v>147.5</v>
      </c>
      <c r="AI2201" s="112"/>
      <c r="AJ2201" s="240">
        <f t="shared" si="794"/>
        <v>562.23333333333335</v>
      </c>
      <c r="AK2201" s="62">
        <f t="shared" si="795"/>
        <v>0.80941242937853097</v>
      </c>
      <c r="AL2201" s="225">
        <f>Table1[[#This Row],[WSP/Dealer]]/Table1[[#This Row],[OD Sq Inch]]</f>
        <v>1.0243055555555556</v>
      </c>
      <c r="AM2201" s="235">
        <f>Table1[[#This Row],[OD Wdth]]*Table1[[#This Row],[OD Hgt]]</f>
        <v>2880</v>
      </c>
      <c r="AN2201" s="238">
        <f>Table1[[#This Row],[Min VO]]+Table1[[#This Row],[Max VO]]</f>
        <v>108</v>
      </c>
      <c r="AO2201" s="84"/>
      <c r="AP2201" s="84"/>
      <c r="AQ2201" s="126"/>
      <c r="AR2201" s="126"/>
      <c r="AS2201" s="126"/>
      <c r="AT2201" s="74"/>
      <c r="AU2201" s="1356" t="str">
        <f t="shared" si="784"/>
        <v>-</v>
      </c>
    </row>
    <row r="2202" spans="1:47" s="361" customFormat="1" hidden="1" x14ac:dyDescent="0.2">
      <c r="A2202" s="373" t="s">
        <v>187</v>
      </c>
      <c r="B2202" s="1061" t="s">
        <v>261</v>
      </c>
      <c r="C2202" s="444" t="s">
        <v>5025</v>
      </c>
      <c r="D2202" s="94"/>
      <c r="E2202" s="444" t="s">
        <v>5024</v>
      </c>
      <c r="F2202" s="84" t="s">
        <v>1129</v>
      </c>
      <c r="G2202" s="439" t="s">
        <v>191</v>
      </c>
      <c r="H2202" s="439" t="s">
        <v>191</v>
      </c>
      <c r="I2202" s="439" t="s">
        <v>52</v>
      </c>
      <c r="J2202" s="68" t="s">
        <v>53</v>
      </c>
      <c r="K2202" s="439" t="s">
        <v>281</v>
      </c>
      <c r="L2202" s="68" t="s">
        <v>55</v>
      </c>
      <c r="M2202" s="445">
        <v>2550</v>
      </c>
      <c r="N2202" s="71"/>
      <c r="O2202" s="68" t="s">
        <v>64</v>
      </c>
      <c r="P2202" s="68">
        <v>48</v>
      </c>
      <c r="Q2202" s="68">
        <v>60</v>
      </c>
      <c r="R2202" s="68">
        <v>48</v>
      </c>
      <c r="S2202" s="63">
        <v>60</v>
      </c>
      <c r="T2202" s="68">
        <v>48</v>
      </c>
      <c r="U2202" s="68">
        <v>60</v>
      </c>
      <c r="V2202" s="66">
        <f>IF(J2202="Canvas",P2202+BorderGW,P2202)</f>
        <v>56</v>
      </c>
      <c r="W2202" s="66">
        <f>IF(J2202="Canvas",Q2202+BorderGW,Q2202)</f>
        <v>68</v>
      </c>
      <c r="X2202" s="189">
        <v>69</v>
      </c>
      <c r="Y2202" s="68"/>
      <c r="Z2202" s="68"/>
      <c r="AA2202" s="729">
        <f t="shared" si="792"/>
        <v>26.444444444444443</v>
      </c>
      <c r="AB2202" s="372">
        <f>AA2202*Swiss1</f>
        <v>748.37777777777774</v>
      </c>
      <c r="AC2202" s="240">
        <f>AA2202*Canvas</f>
        <v>17.453333333333333</v>
      </c>
      <c r="AD2202" s="259">
        <f>Table1[[#This Row],[Substrate SF]]*SWISSC2</f>
        <v>119</v>
      </c>
      <c r="AE2202" s="74">
        <f>IF(Table1[[#This Row],[Work Center]]="SwissQ",Materials!G$37,IF(Table1[[#This Row],[Work Center]]="Inca",Materials!G$29,IF(Table1[[#This Row],[Work Center]]="Canon",Materials!G$49,Materials!G$45)))</f>
        <v>20</v>
      </c>
      <c r="AF2202" s="609">
        <f>'Cali FPS'!C121</f>
        <v>188.18</v>
      </c>
      <c r="AG2202" s="240"/>
      <c r="AH2202" s="112">
        <f t="shared" si="793"/>
        <v>127.5</v>
      </c>
      <c r="AI2202" s="112"/>
      <c r="AJ2202" s="240">
        <f t="shared" si="794"/>
        <v>472.13333333333333</v>
      </c>
      <c r="AK2202" s="62">
        <f t="shared" si="795"/>
        <v>0.81484967320261448</v>
      </c>
      <c r="AL2202" s="225">
        <f>Table1[[#This Row],[WSP/Dealer]]/Table1[[#This Row],[OD Sq Inch]]</f>
        <v>0.88541666666666663</v>
      </c>
      <c r="AM2202" s="235">
        <f>Table1[[#This Row],[OD Wdth]]*Table1[[#This Row],[OD Hgt]]</f>
        <v>2880</v>
      </c>
      <c r="AN2202" s="238">
        <f>Table1[[#This Row],[Min VO]]+Table1[[#This Row],[Max VO]]</f>
        <v>108</v>
      </c>
      <c r="AO2202" s="84"/>
      <c r="AP2202" s="84"/>
      <c r="AQ2202" s="126"/>
      <c r="AR2202" s="126"/>
      <c r="AS2202" s="126"/>
      <c r="AT2202" s="74"/>
      <c r="AU2202" s="1357" t="str">
        <f t="shared" si="784"/>
        <v>-</v>
      </c>
    </row>
    <row r="2203" spans="1:47" s="309" customFormat="1" hidden="1" x14ac:dyDescent="0.2">
      <c r="A2203" s="373" t="s">
        <v>187</v>
      </c>
      <c r="B2203" s="279" t="s">
        <v>261</v>
      </c>
      <c r="C2203" s="436" t="s">
        <v>5026</v>
      </c>
      <c r="D2203" s="94"/>
      <c r="E2203" s="436" t="s">
        <v>5024</v>
      </c>
      <c r="F2203" s="84" t="s">
        <v>1129</v>
      </c>
      <c r="G2203" s="258" t="s">
        <v>191</v>
      </c>
      <c r="H2203" s="258" t="s">
        <v>193</v>
      </c>
      <c r="I2203" s="258" t="s">
        <v>52</v>
      </c>
      <c r="J2203" s="68" t="s">
        <v>53</v>
      </c>
      <c r="K2203" s="258" t="s">
        <v>1412</v>
      </c>
      <c r="L2203" s="68" t="s">
        <v>73</v>
      </c>
      <c r="M2203" s="420">
        <v>2950</v>
      </c>
      <c r="N2203" s="71"/>
      <c r="O2203" s="68" t="s">
        <v>64</v>
      </c>
      <c r="P2203" s="68">
        <v>48</v>
      </c>
      <c r="Q2203" s="68">
        <v>60</v>
      </c>
      <c r="R2203" s="68">
        <v>48</v>
      </c>
      <c r="S2203" s="68">
        <v>60</v>
      </c>
      <c r="T2203" s="68">
        <v>48</v>
      </c>
      <c r="U2203" s="68">
        <v>60</v>
      </c>
      <c r="V2203" s="917">
        <f>IF(J2203="Canvas",P2203+BorderGW,P2203)</f>
        <v>56</v>
      </c>
      <c r="W2203" s="917">
        <f>IF(J2203="Canvas",Q2203+BorderGW,Q2203)</f>
        <v>68</v>
      </c>
      <c r="X2203" s="189">
        <v>69</v>
      </c>
      <c r="Y2203" s="68"/>
      <c r="Z2203" s="68"/>
      <c r="AA2203" s="729">
        <f t="shared" si="792"/>
        <v>26.444444444444443</v>
      </c>
      <c r="AB2203" s="372">
        <f>AA2203*Swiss1</f>
        <v>748.37777777777774</v>
      </c>
      <c r="AC2203" s="240">
        <f>AA2203*Canvas</f>
        <v>17.453333333333333</v>
      </c>
      <c r="AD2203" s="260">
        <f>Table1[[#This Row],[Substrate SF]]*SWISSC2</f>
        <v>119</v>
      </c>
      <c r="AE2203" s="74">
        <f>IF(Table1[[#This Row],[Work Center]]="SwissQ",Materials!G$37,IF(Table1[[#This Row],[Work Center]]="Inca",Materials!G$29,IF(Table1[[#This Row],[Work Center]]="Canon",Materials!G$49,Materials!G$45)))</f>
        <v>20</v>
      </c>
      <c r="AF2203" s="609">
        <f>'Cali Frames'!D470</f>
        <v>263.70999999999998</v>
      </c>
      <c r="AG2203" s="240"/>
      <c r="AH2203" s="498">
        <f t="shared" si="793"/>
        <v>147.5</v>
      </c>
      <c r="AI2203" s="498"/>
      <c r="AJ2203" s="240">
        <f t="shared" si="794"/>
        <v>567.6633333333333</v>
      </c>
      <c r="AK2203" s="650">
        <f t="shared" si="795"/>
        <v>0.80757175141242932</v>
      </c>
      <c r="AL2203" s="225">
        <f>Table1[[#This Row],[WSP/Dealer]]/Table1[[#This Row],[OD Sq Inch]]</f>
        <v>1.0243055555555556</v>
      </c>
      <c r="AM2203" s="238">
        <f>Table1[[#This Row],[OD Wdth]]*Table1[[#This Row],[OD Hgt]]</f>
        <v>2880</v>
      </c>
      <c r="AN2203" s="238">
        <f>Table1[[#This Row],[Min VO]]+Table1[[#This Row],[Max VO]]</f>
        <v>108</v>
      </c>
      <c r="AO2203" s="84"/>
      <c r="AP2203" s="84"/>
      <c r="AQ2203" s="126"/>
      <c r="AR2203" s="126"/>
      <c r="AS2203" s="126"/>
      <c r="AT2203" s="74"/>
      <c r="AU2203" s="1357" t="str">
        <f t="shared" si="784"/>
        <v>-</v>
      </c>
    </row>
    <row r="2204" spans="1:47" s="399" customFormat="1" hidden="1" x14ac:dyDescent="0.2">
      <c r="A2204" s="373" t="s">
        <v>187</v>
      </c>
      <c r="B2204" s="1061" t="s">
        <v>261</v>
      </c>
      <c r="C2204" s="436" t="s">
        <v>5027</v>
      </c>
      <c r="D2204" s="94"/>
      <c r="E2204" s="436" t="s">
        <v>5028</v>
      </c>
      <c r="F2204" s="84" t="s">
        <v>1129</v>
      </c>
      <c r="G2204" s="258" t="s">
        <v>191</v>
      </c>
      <c r="H2204" s="258" t="s">
        <v>191</v>
      </c>
      <c r="I2204" s="274" t="s">
        <v>108</v>
      </c>
      <c r="J2204" s="68" t="s">
        <v>197</v>
      </c>
      <c r="K2204" s="274" t="s">
        <v>198</v>
      </c>
      <c r="L2204" s="274" t="s">
        <v>199</v>
      </c>
      <c r="M2204" s="696">
        <v>120</v>
      </c>
      <c r="N2204" s="71"/>
      <c r="O2204" s="68" t="s">
        <v>64</v>
      </c>
      <c r="P2204" s="68">
        <v>48</v>
      </c>
      <c r="Q2204" s="68">
        <v>60</v>
      </c>
      <c r="R2204" s="68">
        <v>48</v>
      </c>
      <c r="S2204" s="63">
        <v>60</v>
      </c>
      <c r="T2204" s="63">
        <v>48</v>
      </c>
      <c r="U2204" s="63">
        <v>60</v>
      </c>
      <c r="V2204" s="277">
        <f>Table1[[#This Row],[VO Wdth]]+Materials!$C$7</f>
        <v>50</v>
      </c>
      <c r="W2204" s="277">
        <f>Table1[[#This Row],[VO Hgt]]+Materials!$C$7</f>
        <v>62</v>
      </c>
      <c r="X2204" s="343" t="s">
        <v>197</v>
      </c>
      <c r="Y2204" s="68"/>
      <c r="Z2204" s="68"/>
      <c r="AA2204" s="699">
        <f t="shared" si="792"/>
        <v>21.527777777777779</v>
      </c>
      <c r="AB2204" s="341">
        <f>AA2204*SWISSRML</f>
        <v>43.055555555555557</v>
      </c>
      <c r="AC2204" s="74">
        <f>Table1[[#This Row],[Substrate SF]]*POster</f>
        <v>16.016666666666666</v>
      </c>
      <c r="AD2204" s="263">
        <f>Table1[[#This Row],[Substrate SF]]*SWISSRC</f>
        <v>4.7361111111111116</v>
      </c>
      <c r="AE2204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204" s="73">
        <v>0</v>
      </c>
      <c r="AG2204" s="126">
        <f>Materials!D$76</f>
        <v>10.82</v>
      </c>
      <c r="AH2204" s="498">
        <f t="shared" si="793"/>
        <v>6</v>
      </c>
      <c r="AI2204" s="498"/>
      <c r="AJ2204" s="278">
        <f t="shared" si="794"/>
        <v>47.572777777777773</v>
      </c>
      <c r="AK2204" s="650">
        <f t="shared" si="795"/>
        <v>0.60356018518518517</v>
      </c>
      <c r="AL2204" s="225">
        <f>Table1[[#This Row],[WSP/Dealer]]/Table1[[#This Row],[OD Sq Inch]]</f>
        <v>4.1666666666666664E-2</v>
      </c>
      <c r="AM2204" s="170">
        <f>Table1[[#This Row],[OD Wdth]]*Table1[[#This Row],[OD Hgt]]</f>
        <v>2880</v>
      </c>
      <c r="AN2204" s="84"/>
      <c r="AO2204" s="119"/>
      <c r="AP2204" s="84"/>
      <c r="AQ2204" s="126"/>
      <c r="AR2204" s="126"/>
      <c r="AS2204" s="126"/>
      <c r="AT2204" s="74"/>
      <c r="AU2204" s="1356" t="str">
        <f t="shared" si="784"/>
        <v>-</v>
      </c>
    </row>
    <row r="2205" spans="1:47" s="309" customFormat="1" hidden="1" x14ac:dyDescent="0.2">
      <c r="A2205" s="101"/>
      <c r="B2205" s="1061"/>
      <c r="C2205" s="77" t="s">
        <v>5029</v>
      </c>
      <c r="D2205" s="94"/>
      <c r="E2205" s="115" t="s">
        <v>5030</v>
      </c>
      <c r="F2205" s="115" t="s">
        <v>114</v>
      </c>
      <c r="G2205" s="101" t="s">
        <v>4238</v>
      </c>
      <c r="H2205" s="101" t="s">
        <v>379</v>
      </c>
      <c r="I2205" s="60" t="s">
        <v>52</v>
      </c>
      <c r="J2205" s="86" t="s">
        <v>283</v>
      </c>
      <c r="K2205" s="60" t="s">
        <v>281</v>
      </c>
      <c r="L2205" s="101" t="s">
        <v>282</v>
      </c>
      <c r="M2205" s="299">
        <v>700</v>
      </c>
      <c r="N2205" s="71"/>
      <c r="O2205" s="101" t="s">
        <v>64</v>
      </c>
      <c r="P2205" s="60">
        <v>48</v>
      </c>
      <c r="Q2205" s="60">
        <v>72</v>
      </c>
      <c r="R2205" s="60">
        <v>48</v>
      </c>
      <c r="S2205" s="46">
        <v>72</v>
      </c>
      <c r="T2205" s="46">
        <v>48</v>
      </c>
      <c r="U2205" s="46">
        <v>72</v>
      </c>
      <c r="V2205" s="106">
        <f>IF(J2205="Canvas",P2205+Border,P2205)</f>
        <v>48</v>
      </c>
      <c r="W2205" s="106">
        <f>IF(J2205="Canvas",Q2205+Border,Q2205)</f>
        <v>72</v>
      </c>
      <c r="X2205" s="137" t="str">
        <f>J2205</f>
        <v>MDF</v>
      </c>
      <c r="Y2205" s="101">
        <v>48</v>
      </c>
      <c r="Z2205" s="101">
        <v>72</v>
      </c>
      <c r="AA2205" s="678">
        <f t="shared" si="792"/>
        <v>24</v>
      </c>
      <c r="AB2205" s="184">
        <f>Table1[[#This Row],[Substrate SF]]*Swiss1</f>
        <v>679.2</v>
      </c>
      <c r="AC2205" s="104">
        <f>MDFSHEET</f>
        <v>24.35</v>
      </c>
      <c r="AD2205" s="107">
        <f>Table1[[#This Row],[Substrate SF]]*Materials!C$37</f>
        <v>67.199999999999989</v>
      </c>
      <c r="AE2205" s="104">
        <f>IF(Table1[[#This Row],[Work Center]]="SwissQ",Materials!G$37,IF(Table1[[#This Row],[Work Center]]="Inca",Materials!G$29,IF(Table1[[#This Row],[Work Center]]="Canon",Materials!G$49,Materials!G$45)))</f>
        <v>20</v>
      </c>
      <c r="AF2205" s="102">
        <f>'Cali Frames'!D553</f>
        <v>186.04250000000002</v>
      </c>
      <c r="AG2205" s="121"/>
      <c r="AH2205" s="498">
        <f t="shared" si="793"/>
        <v>35</v>
      </c>
      <c r="AI2205" s="498"/>
      <c r="AJ2205" s="107">
        <f t="shared" si="794"/>
        <v>332.59249999999997</v>
      </c>
      <c r="AK2205" s="650">
        <f t="shared" si="795"/>
        <v>0.52486785714285722</v>
      </c>
      <c r="AL2205" s="225">
        <f>Table1[[#This Row],[WSP/Dealer]]/Table1[[#This Row],[OD Sq Inch]]</f>
        <v>0.20254629629629631</v>
      </c>
      <c r="AM2205" s="103">
        <f>Table1[[#This Row],[OD Wdth]]*Table1[[#This Row],[OD Hgt]]</f>
        <v>3456</v>
      </c>
      <c r="AN2205" s="216">
        <f>Table1[[#This Row],[Min VO]]+Table1[[#This Row],[Max VO]]</f>
        <v>120</v>
      </c>
      <c r="AO2205" s="113"/>
      <c r="AP2205" s="115"/>
      <c r="AQ2205" s="121"/>
      <c r="AR2205" s="121"/>
      <c r="AS2205" s="121"/>
      <c r="AT2205" s="104"/>
      <c r="AU2205" s="1367" t="str">
        <f t="shared" si="784"/>
        <v>-</v>
      </c>
    </row>
    <row r="2206" spans="1:47" s="309" customFormat="1" hidden="1" x14ac:dyDescent="0.2">
      <c r="A2206" s="373" t="s">
        <v>187</v>
      </c>
      <c r="B2206" s="170"/>
      <c r="C2206" s="257" t="s">
        <v>5031</v>
      </c>
      <c r="D2206" s="94"/>
      <c r="E2206" s="84" t="s">
        <v>5032</v>
      </c>
      <c r="F2206" s="84" t="s">
        <v>1129</v>
      </c>
      <c r="G2206" s="68" t="s">
        <v>519</v>
      </c>
      <c r="H2206" s="68" t="s">
        <v>688</v>
      </c>
      <c r="I2206" s="68" t="s">
        <v>52</v>
      </c>
      <c r="J2206" s="68" t="s">
        <v>53</v>
      </c>
      <c r="K2206" s="68" t="s">
        <v>69</v>
      </c>
      <c r="L2206" s="68" t="s">
        <v>73</v>
      </c>
      <c r="M2206" s="141"/>
      <c r="N2206" s="71"/>
      <c r="O2206" s="68" t="s">
        <v>56</v>
      </c>
      <c r="P2206" s="65">
        <v>16</v>
      </c>
      <c r="Q2206" s="65">
        <v>20</v>
      </c>
      <c r="R2206" s="68">
        <v>16</v>
      </c>
      <c r="S2206" s="65">
        <v>20</v>
      </c>
      <c r="T2206" s="65">
        <v>17</v>
      </c>
      <c r="U2206" s="65">
        <v>21</v>
      </c>
      <c r="V2206" s="917">
        <f>IF(J2206="Canvas",P2206+BorderGW,P2206)</f>
        <v>24</v>
      </c>
      <c r="W2206" s="917">
        <f>IF(J2206="Canvas",Q2206+BorderGW,Q2206)</f>
        <v>28</v>
      </c>
      <c r="X2206" s="189">
        <v>40</v>
      </c>
      <c r="Y2206" s="63"/>
      <c r="Z2206" s="63"/>
      <c r="AA2206" s="699">
        <f t="shared" si="792"/>
        <v>4.666666666666667</v>
      </c>
      <c r="AB2206" s="297">
        <f>AA2206*IncaG</f>
        <v>98.186666666666667</v>
      </c>
      <c r="AC2206" s="74">
        <f>AA2206*Canvas</f>
        <v>3.0800000000000005</v>
      </c>
      <c r="AD2206" s="67">
        <f>AA2206*IncaC</f>
        <v>7.8549333333333342</v>
      </c>
      <c r="AE2206" s="74">
        <f>IF(Table1[[#This Row],[Work Center]]="SwissQ",Materials!G$37,IF(Table1[[#This Row],[Work Center]]="Inca",Materials!G$29,IF(Table1[[#This Row],[Work Center]]="Canon",Materials!G$49,Materials!G$45)))</f>
        <v>8</v>
      </c>
      <c r="AF2206" s="74">
        <f>'Cali Frames'!D414</f>
        <v>89.83</v>
      </c>
      <c r="AG2206" s="84"/>
      <c r="AH2206" s="112">
        <f t="shared" si="793"/>
        <v>0</v>
      </c>
      <c r="AI2206" s="112"/>
      <c r="AJ2206" s="74">
        <f t="shared" si="794"/>
        <v>108.76493333333333</v>
      </c>
      <c r="AK2206" s="62" t="e">
        <f t="shared" si="795"/>
        <v>#DIV/0!</v>
      </c>
      <c r="AL2206" s="225">
        <f>Table1[[#This Row],[WSP/Dealer]]/Table1[[#This Row],[OD Sq Inch]]</f>
        <v>0</v>
      </c>
      <c r="AM2206" s="63">
        <f>Table1[[#This Row],[OD Wdth]]*Table1[[#This Row],[OD Hgt]]</f>
        <v>357</v>
      </c>
      <c r="AN2206" s="238">
        <f>Table1[[#This Row],[Min VO]]+Table1[[#This Row],[Max VO]]</f>
        <v>36</v>
      </c>
      <c r="AO2206" s="63"/>
      <c r="AP2206" s="68"/>
      <c r="AQ2206" s="74"/>
      <c r="AR2206" s="74"/>
      <c r="AS2206" s="74"/>
      <c r="AT2206" s="74"/>
      <c r="AU2206" s="1001" t="str">
        <f t="shared" si="784"/>
        <v>-</v>
      </c>
    </row>
    <row r="2207" spans="1:47" s="309" customFormat="1" x14ac:dyDescent="0.2">
      <c r="A2207" s="86" t="s">
        <v>58</v>
      </c>
      <c r="B2207" s="1061" t="s">
        <v>450</v>
      </c>
      <c r="C2207" s="75" t="s">
        <v>5033</v>
      </c>
      <c r="D2207" s="94" t="s">
        <v>5034</v>
      </c>
      <c r="E2207" s="85" t="s">
        <v>5035</v>
      </c>
      <c r="F2207" s="85" t="s">
        <v>1129</v>
      </c>
      <c r="G2207" s="86" t="s">
        <v>4581</v>
      </c>
      <c r="H2207" s="86" t="s">
        <v>4581</v>
      </c>
      <c r="I2207" s="86" t="s">
        <v>52</v>
      </c>
      <c r="J2207" s="86" t="s">
        <v>53</v>
      </c>
      <c r="K2207" s="86" t="s">
        <v>54</v>
      </c>
      <c r="L2207" s="86" t="s">
        <v>55</v>
      </c>
      <c r="M2207" s="87">
        <v>1250</v>
      </c>
      <c r="N2207" s="639">
        <v>1250</v>
      </c>
      <c r="O2207" s="101" t="s">
        <v>56</v>
      </c>
      <c r="P2207" s="273">
        <v>54</v>
      </c>
      <c r="Q2207" s="273">
        <v>70</v>
      </c>
      <c r="R2207" s="60">
        <v>54</v>
      </c>
      <c r="S2207" s="273">
        <v>70</v>
      </c>
      <c r="T2207" s="273">
        <f>Table1[[#This Row],[VO Wdth]]</f>
        <v>54</v>
      </c>
      <c r="U2207" s="273">
        <f>Table1[[#This Row],[VO Hgt]]</f>
        <v>70</v>
      </c>
      <c r="V2207" s="106">
        <f>IF(J2207="Canvas",P2207+BorderGW,P2207)</f>
        <v>62</v>
      </c>
      <c r="W2207" s="106">
        <f>IF(J2207="Canvas",Q2207+BorderGW,Q2207)</f>
        <v>78</v>
      </c>
      <c r="X2207" s="137">
        <v>122</v>
      </c>
      <c r="Y2207" s="101"/>
      <c r="Z2207" s="101"/>
      <c r="AA2207" s="649">
        <f t="shared" si="792"/>
        <v>33.583333333333336</v>
      </c>
      <c r="AB2207" s="184">
        <f>AA2207*IncaG</f>
        <v>706.59333333333336</v>
      </c>
      <c r="AC2207" s="104">
        <f>AA2207*Canvas</f>
        <v>22.165000000000003</v>
      </c>
      <c r="AD2207" s="107">
        <f>AA2207*IncaC</f>
        <v>56.527466666666669</v>
      </c>
      <c r="AE2207" s="104">
        <f>IF(Table1[[#This Row],[Work Center]]="SwissQ",Materials!G$37,IF(Table1[[#This Row],[Work Center]]="Inca",Materials!G$29,IF(Table1[[#This Row],[Work Center]]="Canon",Materials!G$49,Materials!G$45)))</f>
        <v>8</v>
      </c>
      <c r="AF2207" s="74">
        <f>'Cali FPS'!C$149</f>
        <v>231.14000000000001</v>
      </c>
      <c r="AG2207" s="115"/>
      <c r="AH2207" s="112">
        <f t="shared" si="793"/>
        <v>62.5</v>
      </c>
      <c r="AI2207" s="112"/>
      <c r="AJ2207" s="104">
        <f t="shared" si="794"/>
        <v>380.33246666666668</v>
      </c>
      <c r="AK2207" s="62">
        <f t="shared" si="795"/>
        <v>0.69573402666666662</v>
      </c>
      <c r="AL2207" s="225">
        <f>Table1[[#This Row],[WSP/Dealer]]/Table1[[#This Row],[OD Sq Inch]]</f>
        <v>0.3306878306878307</v>
      </c>
      <c r="AM2207" s="103">
        <f>Table1[[#This Row],[OD Wdth]]*Table1[[#This Row],[OD Hgt]]</f>
        <v>3780</v>
      </c>
      <c r="AN2207" s="216">
        <f>Table1[[#This Row],[Min VO]]+Table1[[#This Row],[Max VO]]</f>
        <v>124</v>
      </c>
      <c r="AO2207" s="101"/>
      <c r="AP2207" s="101"/>
      <c r="AQ2207" s="104"/>
      <c r="AR2207" s="104"/>
      <c r="AS2207" s="104"/>
      <c r="AT2207" s="104"/>
      <c r="AU2207" s="830" t="str">
        <f t="shared" si="784"/>
        <v>-</v>
      </c>
    </row>
    <row r="2208" spans="1:47" s="309" customFormat="1" x14ac:dyDescent="0.2">
      <c r="A2208" s="60" t="s">
        <v>58</v>
      </c>
      <c r="B2208" s="1071" t="s">
        <v>486</v>
      </c>
      <c r="C2208" s="75" t="s">
        <v>5036</v>
      </c>
      <c r="D2208" s="79"/>
      <c r="E2208" s="83" t="s">
        <v>5035</v>
      </c>
      <c r="F2208" s="83" t="s">
        <v>1129</v>
      </c>
      <c r="G2208" s="60" t="s">
        <v>4581</v>
      </c>
      <c r="H2208" s="60" t="s">
        <v>4582</v>
      </c>
      <c r="I2208" s="60" t="s">
        <v>52</v>
      </c>
      <c r="J2208" s="59" t="s">
        <v>53</v>
      </c>
      <c r="K2208" s="60" t="s">
        <v>69</v>
      </c>
      <c r="L2208" s="60" t="s">
        <v>73</v>
      </c>
      <c r="M2208" s="124">
        <v>1350</v>
      </c>
      <c r="N2208" s="124"/>
      <c r="O2208" s="60" t="s">
        <v>56</v>
      </c>
      <c r="P2208" s="273">
        <v>54</v>
      </c>
      <c r="Q2208" s="273">
        <v>70</v>
      </c>
      <c r="R2208" s="60">
        <v>54</v>
      </c>
      <c r="S2208" s="273">
        <v>70</v>
      </c>
      <c r="T2208" s="273">
        <v>55</v>
      </c>
      <c r="U2208" s="273">
        <v>71</v>
      </c>
      <c r="V2208" s="946">
        <f>IF(J2208="Canvas",P2208+BorderGW,P2208)</f>
        <v>62</v>
      </c>
      <c r="W2208" s="946">
        <f>IF(J2208="Canvas",Q2208+BorderGW,Q2208)</f>
        <v>78</v>
      </c>
      <c r="X2208" s="138">
        <v>122</v>
      </c>
      <c r="Y2208" s="60">
        <v>62</v>
      </c>
      <c r="Z2208" s="60">
        <v>78</v>
      </c>
      <c r="AA2208" s="717">
        <f t="shared" si="792"/>
        <v>33.583333333333336</v>
      </c>
      <c r="AB2208" s="125">
        <f>AA2208*IncaG</f>
        <v>706.59333333333336</v>
      </c>
      <c r="AC2208" s="69">
        <f>AA2208*Canvas</f>
        <v>22.165000000000003</v>
      </c>
      <c r="AD2208" s="69">
        <f>AA2208*IncaC</f>
        <v>56.527466666666669</v>
      </c>
      <c r="AE2208" s="69">
        <f>IF(Table1[[#This Row],[Work Center]]="SwissQ",Materials!G$37,IF(Table1[[#This Row],[Work Center]]="Inca",Materials!G$29,IF(Table1[[#This Row],[Work Center]]="Canon",Materials!G$49,Materials!G$45)))</f>
        <v>8</v>
      </c>
      <c r="AF2208" s="72">
        <f>'Cali Frames'!D478</f>
        <v>307</v>
      </c>
      <c r="AG2208" s="83"/>
      <c r="AH2208" s="176">
        <f t="shared" si="793"/>
        <v>67.5</v>
      </c>
      <c r="AI2208" s="176"/>
      <c r="AJ2208" s="176">
        <f t="shared" si="794"/>
        <v>461.19246666666669</v>
      </c>
      <c r="AK2208" s="1201">
        <f t="shared" si="795"/>
        <v>0.65837595061728393</v>
      </c>
      <c r="AL2208" s="176">
        <f>Table1[[#This Row],[WSP/Dealer]]/Table1[[#This Row],[OD Sq Inch]]</f>
        <v>0.34571062740076824</v>
      </c>
      <c r="AM2208" s="180">
        <f>Table1[[#This Row],[OD Wdth]]*Table1[[#This Row],[OD Hgt]]</f>
        <v>3905</v>
      </c>
      <c r="AN2208" s="180">
        <f>Table1[[#This Row],[Min VO]]+Table1[[#This Row],[Max VO]]</f>
        <v>124</v>
      </c>
      <c r="AO2208" s="83"/>
      <c r="AP2208" s="83"/>
      <c r="AQ2208" s="69">
        <f>(Table1[[#This Row],[Desgnr/Retail P]]*0.05)</f>
        <v>0</v>
      </c>
      <c r="AR2208" s="69" t="b">
        <f>IF(A2208="Codarus",(AP2208*0.13))</f>
        <v>0</v>
      </c>
      <c r="AS2208" s="69" t="e" cm="1">
        <f t="array" ref="AS2208">SUM(AC2208:AG2208+AQ+AR)</f>
        <v>#NAME?</v>
      </c>
      <c r="AT2208" s="69" t="e">
        <f>(AP2208-AS2208)/AP2208</f>
        <v>#NAME?</v>
      </c>
      <c r="AU2208" s="1361" t="str">
        <f t="shared" si="784"/>
        <v>-</v>
      </c>
    </row>
    <row r="2209" spans="1:47" s="361" customFormat="1" hidden="1" x14ac:dyDescent="0.2">
      <c r="A2209" s="373" t="s">
        <v>187</v>
      </c>
      <c r="B2209" s="1061" t="s">
        <v>261</v>
      </c>
      <c r="C2209" s="444" t="s">
        <v>5037</v>
      </c>
      <c r="D2209" s="94"/>
      <c r="E2209" s="444" t="s">
        <v>5038</v>
      </c>
      <c r="F2209" s="84" t="s">
        <v>1834</v>
      </c>
      <c r="G2209" s="439" t="s">
        <v>1290</v>
      </c>
      <c r="H2209" s="439" t="s">
        <v>5039</v>
      </c>
      <c r="I2209" s="439" t="s">
        <v>2028</v>
      </c>
      <c r="J2209" s="140" t="s">
        <v>257</v>
      </c>
      <c r="K2209" s="439" t="s">
        <v>512</v>
      </c>
      <c r="L2209" s="68" t="s">
        <v>4259</v>
      </c>
      <c r="M2209" s="445">
        <v>990</v>
      </c>
      <c r="N2209" s="71"/>
      <c r="O2209" s="68" t="s">
        <v>260</v>
      </c>
      <c r="P2209" s="68">
        <v>20</v>
      </c>
      <c r="Q2209" s="68">
        <v>30</v>
      </c>
      <c r="R2209" s="68">
        <v>20</v>
      </c>
      <c r="S2209" s="68">
        <v>30</v>
      </c>
      <c r="T2209" s="68">
        <v>24</v>
      </c>
      <c r="U2209" s="63">
        <v>34</v>
      </c>
      <c r="V2209" s="917">
        <f>IF(J2209="Canvas",P2209+BorderGW,P2209)</f>
        <v>20</v>
      </c>
      <c r="W2209" s="917">
        <f>IF(J2209="Canvas",Q2209+BorderGW,Q2209)</f>
        <v>30</v>
      </c>
      <c r="X2209" s="189">
        <v>24</v>
      </c>
      <c r="Y2209" s="68"/>
      <c r="Z2209" s="68"/>
      <c r="AA2209" s="699">
        <f t="shared" si="792"/>
        <v>4.166666666666667</v>
      </c>
      <c r="AB2209" s="297">
        <f t="shared" ref="AB2209:AB2214" si="796">AA2209*canonML</f>
        <v>20</v>
      </c>
      <c r="AC2209" s="278">
        <f>Table1[[#This Row],[Substrate SF]]*Paper</f>
        <v>5.6375000000000002</v>
      </c>
      <c r="AD2209" s="67">
        <f>Table1[[#This Row],[Ink g/mL]]*CanonC</f>
        <v>5.4</v>
      </c>
      <c r="AE2209" s="74">
        <f>IF(Table1[[#This Row],[Work Center]]="SwissQ",Materials!G$37,IF(Table1[[#This Row],[Work Center]]="Inca",Materials!G$29,IF(Table1[[#This Row],[Work Center]]="Canon",Materials!G$49,Materials!G$45)))</f>
        <v>7</v>
      </c>
      <c r="AF2209" s="74">
        <f>'Cali Frames'!D589</f>
        <v>130</v>
      </c>
      <c r="AG2209" s="84"/>
      <c r="AH2209" s="498">
        <f t="shared" si="793"/>
        <v>49.5</v>
      </c>
      <c r="AI2209" s="498"/>
      <c r="AJ2209" s="74">
        <f t="shared" si="794"/>
        <v>197.53749999999999</v>
      </c>
      <c r="AK2209" s="650">
        <f t="shared" si="795"/>
        <v>0.80046717171717174</v>
      </c>
      <c r="AL2209" s="225">
        <f>Table1[[#This Row],[WSP/Dealer]]/Table1[[#This Row],[OD Sq Inch]]</f>
        <v>1.213235294117647</v>
      </c>
      <c r="AM2209" s="63">
        <f>Table1[[#This Row],[OD Wdth]]*Table1[[#This Row],[OD Hgt]]</f>
        <v>816</v>
      </c>
      <c r="AN2209" s="238">
        <f>Table1[[#This Row],[Min VO]]+Table1[[#This Row],[Max VO]]</f>
        <v>50</v>
      </c>
      <c r="AO2209" s="84"/>
      <c r="AP2209" s="84"/>
      <c r="AQ2209" s="126"/>
      <c r="AR2209" s="126"/>
      <c r="AS2209" s="126"/>
      <c r="AT2209" s="74"/>
      <c r="AU2209" s="1357" t="str">
        <f t="shared" si="784"/>
        <v>-</v>
      </c>
    </row>
    <row r="2210" spans="1:47" s="361" customFormat="1" hidden="1" x14ac:dyDescent="0.2">
      <c r="A2210" s="373" t="s">
        <v>187</v>
      </c>
      <c r="B2210" s="1061" t="s">
        <v>261</v>
      </c>
      <c r="C2210" s="430" t="s">
        <v>5040</v>
      </c>
      <c r="D2210" s="94"/>
      <c r="E2210" s="430" t="s">
        <v>5038</v>
      </c>
      <c r="F2210" s="450" t="s">
        <v>1834</v>
      </c>
      <c r="G2210" s="431" t="s">
        <v>1290</v>
      </c>
      <c r="H2210" s="431" t="s">
        <v>5039</v>
      </c>
      <c r="I2210" s="431" t="s">
        <v>2028</v>
      </c>
      <c r="J2210" s="451" t="s">
        <v>257</v>
      </c>
      <c r="K2210" s="431" t="s">
        <v>515</v>
      </c>
      <c r="L2210" s="421" t="s">
        <v>5041</v>
      </c>
      <c r="M2210" s="429">
        <v>990</v>
      </c>
      <c r="N2210" s="71"/>
      <c r="O2210" s="68" t="s">
        <v>260</v>
      </c>
      <c r="P2210" s="68">
        <v>20</v>
      </c>
      <c r="Q2210" s="68">
        <v>30</v>
      </c>
      <c r="R2210" s="68">
        <v>20</v>
      </c>
      <c r="S2210" s="68">
        <v>30</v>
      </c>
      <c r="T2210" s="68">
        <v>24</v>
      </c>
      <c r="U2210" s="68">
        <v>34</v>
      </c>
      <c r="V2210" s="917">
        <f>IF(J2210="Canvas",P2210+BorderGW,P2210)</f>
        <v>20</v>
      </c>
      <c r="W2210" s="917">
        <f>IF(J2210="Canvas",Q2210+BorderGW,Q2210)</f>
        <v>30</v>
      </c>
      <c r="X2210" s="189">
        <v>24</v>
      </c>
      <c r="Y2210" s="68"/>
      <c r="Z2210" s="68"/>
      <c r="AA2210" s="699">
        <f t="shared" si="792"/>
        <v>4.166666666666667</v>
      </c>
      <c r="AB2210" s="297">
        <f t="shared" si="796"/>
        <v>20</v>
      </c>
      <c r="AC2210" s="278">
        <f>Table1[[#This Row],[Substrate SF]]*Paper</f>
        <v>5.6375000000000002</v>
      </c>
      <c r="AD2210" s="74">
        <f>Table1[[#This Row],[Ink g/mL]]*CanonC</f>
        <v>5.4</v>
      </c>
      <c r="AE2210" s="74">
        <f>IF(Table1[[#This Row],[Work Center]]="SwissQ",Materials!G$37,IF(Table1[[#This Row],[Work Center]]="Inca",Materials!G$29,IF(Table1[[#This Row],[Work Center]]="Canon",Materials!G$49,Materials!G$45)))</f>
        <v>7</v>
      </c>
      <c r="AF2210" s="74">
        <f>'Cali Frames'!D597</f>
        <v>0</v>
      </c>
      <c r="AG2210" s="84"/>
      <c r="AH2210" s="498">
        <f t="shared" si="793"/>
        <v>49.5</v>
      </c>
      <c r="AI2210" s="498"/>
      <c r="AJ2210" s="74">
        <f t="shared" si="794"/>
        <v>67.537499999999994</v>
      </c>
      <c r="AK2210" s="650">
        <f t="shared" si="795"/>
        <v>0.93178030303030301</v>
      </c>
      <c r="AL2210" s="225">
        <f>Table1[[#This Row],[WSP/Dealer]]/Table1[[#This Row],[OD Sq Inch]]</f>
        <v>1.213235294117647</v>
      </c>
      <c r="AM2210" s="68">
        <f>Table1[[#This Row],[OD Wdth]]*Table1[[#This Row],[OD Hgt]]</f>
        <v>816</v>
      </c>
      <c r="AN2210" s="238">
        <f>Table1[[#This Row],[Min VO]]+Table1[[#This Row],[Max VO]]</f>
        <v>50</v>
      </c>
      <c r="AO2210" s="84"/>
      <c r="AP2210" s="84"/>
      <c r="AQ2210" s="126"/>
      <c r="AR2210" s="126"/>
      <c r="AS2210" s="126"/>
      <c r="AT2210" s="74"/>
      <c r="AU2210" s="1357" t="str">
        <f t="shared" si="784"/>
        <v>-</v>
      </c>
    </row>
    <row r="2211" spans="1:47" s="170" customFormat="1" x14ac:dyDescent="0.2">
      <c r="A2211" s="60" t="s">
        <v>58</v>
      </c>
      <c r="B2211" s="1061" t="s">
        <v>4794</v>
      </c>
      <c r="C2211" s="123" t="s">
        <v>5042</v>
      </c>
      <c r="D2211" s="94" t="s">
        <v>5043</v>
      </c>
      <c r="E2211" s="85" t="s">
        <v>5044</v>
      </c>
      <c r="F2211" s="85" t="s">
        <v>1834</v>
      </c>
      <c r="G2211" s="86" t="s">
        <v>2194</v>
      </c>
      <c r="H2211" s="86" t="s">
        <v>3136</v>
      </c>
      <c r="I2211" s="238" t="s">
        <v>2028</v>
      </c>
      <c r="J2211" s="60" t="s">
        <v>257</v>
      </c>
      <c r="K2211" s="68" t="s">
        <v>2159</v>
      </c>
      <c r="L2211" s="68" t="s">
        <v>4259</v>
      </c>
      <c r="M2211" s="87">
        <v>470</v>
      </c>
      <c r="N2211" s="639">
        <v>517</v>
      </c>
      <c r="O2211" s="68" t="s">
        <v>260</v>
      </c>
      <c r="P2211" s="60">
        <v>22</v>
      </c>
      <c r="Q2211" s="60">
        <v>30</v>
      </c>
      <c r="R2211" s="60">
        <v>22</v>
      </c>
      <c r="S2211" s="61">
        <v>30</v>
      </c>
      <c r="T2211" s="60">
        <f>Table1[[#This Row],[VO Wdth]]+4</f>
        <v>26</v>
      </c>
      <c r="U2211" s="46">
        <f>Table1[[#This Row],[VO Hgt]]+4</f>
        <v>34</v>
      </c>
      <c r="V2211" s="47">
        <f>Table1[[#This Row],[VO Wdth]]+Materials!$C$50</f>
        <v>24</v>
      </c>
      <c r="W2211" s="47">
        <f>Table1[[#This Row],[VO Hgt]]+Materials!$C$50</f>
        <v>32</v>
      </c>
      <c r="X2211" s="138">
        <v>24</v>
      </c>
      <c r="Y2211" s="60"/>
      <c r="Z2211" s="60"/>
      <c r="AA2211" s="717">
        <f t="shared" si="792"/>
        <v>5.333333333333333</v>
      </c>
      <c r="AB2211" s="125">
        <f t="shared" si="796"/>
        <v>25.599999999999998</v>
      </c>
      <c r="AC2211" s="69">
        <f>Table1[[#This Row],[Print Ht]]*paper24</f>
        <v>4.16</v>
      </c>
      <c r="AD2211" s="48">
        <f>Table1[[#This Row],[Ink g/mL]]*CanonC</f>
        <v>6.9119999999999999</v>
      </c>
      <c r="AE2211" s="104">
        <f>IF(Table1[[#This Row],[Work Center]]="SwissQ",Materials!G$37,IF(Table1[[#This Row],[Work Center]]="Inca",Materials!G$29,IF(Table1[[#This Row],[Work Center]]="Canon",Materials!G$49,Materials!G$45)))</f>
        <v>7</v>
      </c>
      <c r="AF2211" s="69">
        <f>'Cali Frames'!D$590</f>
        <v>136.85</v>
      </c>
      <c r="AG2211" s="115"/>
      <c r="AH2211" s="112">
        <f t="shared" si="793"/>
        <v>23.5</v>
      </c>
      <c r="AI2211" s="112"/>
      <c r="AJ2211" s="69">
        <f t="shared" si="794"/>
        <v>178.422</v>
      </c>
      <c r="AK2211" s="62">
        <f t="shared" si="795"/>
        <v>0.62037872340425526</v>
      </c>
      <c r="AL2211" s="225">
        <f>Table1[[#This Row],[WSP/Dealer]]/Table1[[#This Row],[OD Sq Inch]]</f>
        <v>0.53167420814479638</v>
      </c>
      <c r="AM2211" s="218">
        <f>Table1[[#This Row],[OD Wdth]]*Table1[[#This Row],[OD Hgt]]</f>
        <v>884</v>
      </c>
      <c r="AN2211" s="216">
        <f>Table1[[#This Row],[Min VO]]+Table1[[#This Row],[Max VO]]</f>
        <v>52</v>
      </c>
      <c r="AO2211" s="46"/>
      <c r="AP2211" s="60"/>
      <c r="AQ2211" s="69"/>
      <c r="AR2211" s="69"/>
      <c r="AS2211" s="69"/>
      <c r="AT2211" s="69"/>
      <c r="AU2211" s="1001" t="str">
        <f t="shared" si="784"/>
        <v>-</v>
      </c>
    </row>
    <row r="2212" spans="1:47" s="173" customFormat="1" x14ac:dyDescent="0.2">
      <c r="A2212" s="60" t="s">
        <v>58</v>
      </c>
      <c r="B2212" s="1061" t="s">
        <v>4794</v>
      </c>
      <c r="C2212" s="123" t="s">
        <v>5045</v>
      </c>
      <c r="D2212" s="94" t="s">
        <v>5046</v>
      </c>
      <c r="E2212" s="83" t="s">
        <v>5047</v>
      </c>
      <c r="F2212" s="83" t="s">
        <v>1834</v>
      </c>
      <c r="G2212" s="60" t="s">
        <v>3167</v>
      </c>
      <c r="H2212" s="60" t="s">
        <v>948</v>
      </c>
      <c r="I2212" s="238" t="s">
        <v>2028</v>
      </c>
      <c r="J2212" s="60" t="s">
        <v>257</v>
      </c>
      <c r="K2212" s="68" t="s">
        <v>2159</v>
      </c>
      <c r="L2212" s="68" t="s">
        <v>4259</v>
      </c>
      <c r="M2212" s="124">
        <v>1200</v>
      </c>
      <c r="N2212" s="639">
        <v>1200</v>
      </c>
      <c r="O2212" s="60" t="s">
        <v>260</v>
      </c>
      <c r="P2212" s="60">
        <v>44</v>
      </c>
      <c r="Q2212" s="60">
        <v>60</v>
      </c>
      <c r="R2212" s="60">
        <v>44</v>
      </c>
      <c r="S2212" s="273">
        <v>60</v>
      </c>
      <c r="T2212" s="60">
        <f>Table1[[#This Row],[VO Wdth]]+4</f>
        <v>48</v>
      </c>
      <c r="U2212" s="60">
        <f>Table1[[#This Row],[VO Hgt]]+4</f>
        <v>64</v>
      </c>
      <c r="V2212" s="946">
        <f>Table1[[#This Row],[VO Wdth]]+Materials!$C$50</f>
        <v>46</v>
      </c>
      <c r="W2212" s="946">
        <f>Table1[[#This Row],[VO Hgt]]+Materials!$C$50</f>
        <v>62</v>
      </c>
      <c r="X2212" s="138">
        <v>60</v>
      </c>
      <c r="Y2212" s="60"/>
      <c r="Z2212" s="60"/>
      <c r="AA2212" s="717">
        <f t="shared" si="792"/>
        <v>19.805555555555557</v>
      </c>
      <c r="AB2212" s="125">
        <f t="shared" si="796"/>
        <v>95.066666666666677</v>
      </c>
      <c r="AC2212" s="69">
        <f>Table1[[#This Row],[Print Ht]]*paper60</f>
        <v>21.080000000000002</v>
      </c>
      <c r="AD2212" s="69">
        <f>Table1[[#This Row],[Ink g/mL]]*CanonC</f>
        <v>25.668000000000003</v>
      </c>
      <c r="AE2212" s="104">
        <f>IF(Table1[[#This Row],[Work Center]]="SwissQ",Materials!G$37,IF(Table1[[#This Row],[Work Center]]="Inca",Materials!G$29,IF(Table1[[#This Row],[Work Center]]="Canon",Materials!G$49,Materials!G$45)))</f>
        <v>7</v>
      </c>
      <c r="AF2212" s="69">
        <v>150</v>
      </c>
      <c r="AG2212" s="115"/>
      <c r="AH2212" s="112">
        <f t="shared" si="793"/>
        <v>60</v>
      </c>
      <c r="AI2212" s="112"/>
      <c r="AJ2212" s="69">
        <f t="shared" si="794"/>
        <v>263.74799999999999</v>
      </c>
      <c r="AK2212" s="62">
        <f t="shared" si="795"/>
        <v>0.78020999999999996</v>
      </c>
      <c r="AL2212" s="225">
        <f>Table1[[#This Row],[WSP/Dealer]]/Table1[[#This Row],[OD Sq Inch]]</f>
        <v>0.390625</v>
      </c>
      <c r="AM2212" s="110">
        <f>Table1[[#This Row],[OD Wdth]]*Table1[[#This Row],[OD Hgt]]</f>
        <v>3072</v>
      </c>
      <c r="AN2212" s="216">
        <f>Table1[[#This Row],[Min VO]]+Table1[[#This Row],[Max VO]]</f>
        <v>104</v>
      </c>
      <c r="AO2212" s="60"/>
      <c r="AP2212" s="60"/>
      <c r="AQ2212" s="69"/>
      <c r="AR2212" s="69"/>
      <c r="AS2212" s="69"/>
      <c r="AT2212" s="69"/>
      <c r="AU2212" s="1001" t="str">
        <f t="shared" si="784"/>
        <v>-</v>
      </c>
    </row>
    <row r="2213" spans="1:47" s="173" customFormat="1" x14ac:dyDescent="0.2">
      <c r="A2213" s="60" t="s">
        <v>58</v>
      </c>
      <c r="B2213" s="1061" t="s">
        <v>4794</v>
      </c>
      <c r="C2213" s="123" t="s">
        <v>5048</v>
      </c>
      <c r="D2213" s="94" t="s">
        <v>5049</v>
      </c>
      <c r="E2213" s="85" t="s">
        <v>5050</v>
      </c>
      <c r="F2213" s="85" t="s">
        <v>1834</v>
      </c>
      <c r="G2213" s="86" t="s">
        <v>2194</v>
      </c>
      <c r="H2213" s="86" t="s">
        <v>3136</v>
      </c>
      <c r="I2213" s="238" t="s">
        <v>2028</v>
      </c>
      <c r="J2213" s="60" t="s">
        <v>257</v>
      </c>
      <c r="K2213" s="68" t="s">
        <v>2159</v>
      </c>
      <c r="L2213" s="68" t="s">
        <v>4259</v>
      </c>
      <c r="M2213" s="87">
        <v>470</v>
      </c>
      <c r="N2213" s="639">
        <v>517</v>
      </c>
      <c r="O2213" s="101" t="s">
        <v>260</v>
      </c>
      <c r="P2213" s="60">
        <v>22</v>
      </c>
      <c r="Q2213" s="60">
        <v>30</v>
      </c>
      <c r="R2213" s="60">
        <v>22</v>
      </c>
      <c r="S2213" s="273">
        <v>30</v>
      </c>
      <c r="T2213" s="60">
        <f>Table1[[#This Row],[VO Wdth]]+4</f>
        <v>26</v>
      </c>
      <c r="U2213" s="60">
        <f>Table1[[#This Row],[VO Hgt]]+4</f>
        <v>34</v>
      </c>
      <c r="V2213" s="946">
        <f>Table1[[#This Row],[VO Wdth]]+Materials!$C$50</f>
        <v>24</v>
      </c>
      <c r="W2213" s="946">
        <f>Table1[[#This Row],[VO Hgt]]+Materials!$C$50</f>
        <v>32</v>
      </c>
      <c r="X2213" s="138">
        <v>24</v>
      </c>
      <c r="Y2213" s="60"/>
      <c r="Z2213" s="60"/>
      <c r="AA2213" s="717">
        <f t="shared" si="792"/>
        <v>5.333333333333333</v>
      </c>
      <c r="AB2213" s="125">
        <f t="shared" si="796"/>
        <v>25.599999999999998</v>
      </c>
      <c r="AC2213" s="69">
        <f>Table1[[#This Row],[Print Ht]]*paper24</f>
        <v>4.16</v>
      </c>
      <c r="AD2213" s="69">
        <f>Table1[[#This Row],[Ink g/mL]]*CanonC</f>
        <v>6.9119999999999999</v>
      </c>
      <c r="AE2213" s="104">
        <f>IF(Table1[[#This Row],[Work Center]]="SwissQ",Materials!G$37,IF(Table1[[#This Row],[Work Center]]="Inca",Materials!G$29,IF(Table1[[#This Row],[Work Center]]="Canon",Materials!G$49,Materials!G$45)))</f>
        <v>7</v>
      </c>
      <c r="AF2213" s="69">
        <f>'Cali Frames'!D$590</f>
        <v>136.85</v>
      </c>
      <c r="AG2213" s="115"/>
      <c r="AH2213" s="498">
        <f t="shared" si="793"/>
        <v>23.5</v>
      </c>
      <c r="AI2213" s="498"/>
      <c r="AJ2213" s="69">
        <f t="shared" si="794"/>
        <v>178.422</v>
      </c>
      <c r="AK2213" s="650">
        <f t="shared" si="795"/>
        <v>0.62037872340425526</v>
      </c>
      <c r="AL2213" s="225">
        <f>Table1[[#This Row],[WSP/Dealer]]/Table1[[#This Row],[OD Sq Inch]]</f>
        <v>0.53167420814479638</v>
      </c>
      <c r="AM2213" s="97">
        <f>Table1[[#This Row],[OD Wdth]]*Table1[[#This Row],[OD Hgt]]</f>
        <v>884</v>
      </c>
      <c r="AN2213" s="216">
        <f>Table1[[#This Row],[Min VO]]+Table1[[#This Row],[Max VO]]</f>
        <v>52</v>
      </c>
      <c r="AO2213" s="60"/>
      <c r="AP2213" s="60"/>
      <c r="AQ2213" s="69"/>
      <c r="AR2213" s="69"/>
      <c r="AS2213" s="69"/>
      <c r="AT2213" s="69"/>
      <c r="AU2213" s="1001" t="str">
        <f t="shared" si="784"/>
        <v>-</v>
      </c>
    </row>
    <row r="2214" spans="1:47" s="170" customFormat="1" x14ac:dyDescent="0.2">
      <c r="A2214" s="60" t="s">
        <v>58</v>
      </c>
      <c r="B2214" s="1061" t="s">
        <v>4794</v>
      </c>
      <c r="C2214" s="123" t="s">
        <v>5051</v>
      </c>
      <c r="D2214" s="94" t="s">
        <v>5052</v>
      </c>
      <c r="E2214" s="83" t="s">
        <v>5053</v>
      </c>
      <c r="F2214" s="83" t="s">
        <v>1834</v>
      </c>
      <c r="G2214" s="60" t="s">
        <v>3167</v>
      </c>
      <c r="H2214" s="60" t="s">
        <v>948</v>
      </c>
      <c r="I2214" s="238" t="s">
        <v>2028</v>
      </c>
      <c r="J2214" s="60" t="s">
        <v>257</v>
      </c>
      <c r="K2214" s="68" t="s">
        <v>2159</v>
      </c>
      <c r="L2214" s="68" t="s">
        <v>4259</v>
      </c>
      <c r="M2214" s="124">
        <v>1200</v>
      </c>
      <c r="N2214" s="639">
        <v>1200</v>
      </c>
      <c r="O2214" s="60" t="s">
        <v>260</v>
      </c>
      <c r="P2214" s="60">
        <v>44</v>
      </c>
      <c r="Q2214" s="60">
        <v>60</v>
      </c>
      <c r="R2214" s="60">
        <v>44</v>
      </c>
      <c r="S2214" s="273">
        <v>60</v>
      </c>
      <c r="T2214" s="60">
        <f>Table1[[#This Row],[VO Wdth]]+4</f>
        <v>48</v>
      </c>
      <c r="U2214" s="60">
        <f>Table1[[#This Row],[VO Hgt]]+4</f>
        <v>64</v>
      </c>
      <c r="V2214" s="946">
        <f>Table1[[#This Row],[VO Wdth]]+Materials!$C$50</f>
        <v>46</v>
      </c>
      <c r="W2214" s="946">
        <f>Table1[[#This Row],[VO Hgt]]+Materials!$C$50</f>
        <v>62</v>
      </c>
      <c r="X2214" s="138">
        <v>60</v>
      </c>
      <c r="Y2214" s="60"/>
      <c r="Z2214" s="60"/>
      <c r="AA2214" s="717">
        <f t="shared" si="792"/>
        <v>19.805555555555557</v>
      </c>
      <c r="AB2214" s="125">
        <f t="shared" si="796"/>
        <v>95.066666666666677</v>
      </c>
      <c r="AC2214" s="69">
        <f>Table1[[#This Row],[Print Ht]]*paper60</f>
        <v>21.080000000000002</v>
      </c>
      <c r="AD2214" s="69">
        <f>Table1[[#This Row],[Ink g/mL]]*CanonC</f>
        <v>25.668000000000003</v>
      </c>
      <c r="AE2214" s="104">
        <f>IF(Table1[[#This Row],[Work Center]]="SwissQ",Materials!G$37,IF(Table1[[#This Row],[Work Center]]="Inca",Materials!G$29,IF(Table1[[#This Row],[Work Center]]="Canon",Materials!G$49,Materials!G$45)))</f>
        <v>7</v>
      </c>
      <c r="AF2214" s="69">
        <f>'Cali Frames'!D$595</f>
        <v>335.14249999999998</v>
      </c>
      <c r="AG2214" s="115"/>
      <c r="AH2214" s="498">
        <f t="shared" si="793"/>
        <v>60</v>
      </c>
      <c r="AI2214" s="498"/>
      <c r="AJ2214" s="69">
        <f t="shared" si="794"/>
        <v>448.89049999999997</v>
      </c>
      <c r="AK2214" s="650">
        <f t="shared" si="795"/>
        <v>0.62592458333333334</v>
      </c>
      <c r="AL2214" s="225">
        <f>Table1[[#This Row],[WSP/Dealer]]/Table1[[#This Row],[OD Sq Inch]]</f>
        <v>0.390625</v>
      </c>
      <c r="AM2214" s="110">
        <f>Table1[[#This Row],[OD Wdth]]*Table1[[#This Row],[OD Hgt]]</f>
        <v>3072</v>
      </c>
      <c r="AN2214" s="216">
        <f>Table1[[#This Row],[Min VO]]+Table1[[#This Row],[Max VO]]</f>
        <v>104</v>
      </c>
      <c r="AO2214" s="60"/>
      <c r="AP2214" s="60"/>
      <c r="AQ2214" s="69"/>
      <c r="AR2214" s="69"/>
      <c r="AS2214" s="69"/>
      <c r="AT2214" s="69"/>
      <c r="AU2214" s="1001" t="str">
        <f t="shared" si="784"/>
        <v>-</v>
      </c>
    </row>
    <row r="2215" spans="1:47" s="173" customFormat="1" hidden="1" x14ac:dyDescent="0.2">
      <c r="A2215" s="216" t="s">
        <v>272</v>
      </c>
      <c r="B2215" s="1061" t="s">
        <v>273</v>
      </c>
      <c r="C2215" s="243" t="s">
        <v>5054</v>
      </c>
      <c r="D2215" s="94"/>
      <c r="E2215" s="217" t="s">
        <v>5055</v>
      </c>
      <c r="F2215" s="217" t="s">
        <v>1834</v>
      </c>
      <c r="G2215" s="216" t="s">
        <v>5056</v>
      </c>
      <c r="H2215" s="216" t="s">
        <v>5056</v>
      </c>
      <c r="I2215" s="216" t="s">
        <v>108</v>
      </c>
      <c r="J2215" s="216" t="s">
        <v>53</v>
      </c>
      <c r="K2215" s="216" t="s">
        <v>54</v>
      </c>
      <c r="L2215" s="216" t="s">
        <v>55</v>
      </c>
      <c r="M2215" s="219">
        <v>400</v>
      </c>
      <c r="N2215" s="219"/>
      <c r="O2215" s="216" t="s">
        <v>64</v>
      </c>
      <c r="P2215" s="216">
        <v>60</v>
      </c>
      <c r="Q2215" s="216">
        <v>57</v>
      </c>
      <c r="R2215" s="216">
        <v>57</v>
      </c>
      <c r="S2215" s="626">
        <v>60</v>
      </c>
      <c r="T2215" s="216">
        <f>P2215</f>
        <v>60</v>
      </c>
      <c r="U2215" s="216">
        <f>Q2215</f>
        <v>57</v>
      </c>
      <c r="V2215" s="907">
        <f>IF(J2215="Canvas",P2215+BorderGW,P2215)</f>
        <v>68</v>
      </c>
      <c r="W2215" s="907">
        <f>IF(J2215="Canvas",Q2215+BorderGW,Q2215)</f>
        <v>65</v>
      </c>
      <c r="X2215" s="223">
        <v>69</v>
      </c>
      <c r="Y2215" s="216"/>
      <c r="Z2215" s="216"/>
      <c r="AA2215" s="718">
        <f t="shared" si="792"/>
        <v>30.694444444444443</v>
      </c>
      <c r="AB2215" s="233">
        <f>AA2215*SWISSRML</f>
        <v>61.388888888888886</v>
      </c>
      <c r="AC2215" s="225">
        <f>AA2215*Canvas</f>
        <v>20.258333333333333</v>
      </c>
      <c r="AD2215" s="923">
        <f>AA2215*SWISSRC</f>
        <v>6.7527777777777773</v>
      </c>
      <c r="AE2215" s="104">
        <f>IF(Table1[[#This Row],[Work Center]]="SwissQ",Materials!G$37,IF(Table1[[#This Row],[Work Center]]="Inca",Materials!G$29,IF(Table1[[#This Row],[Work Center]]="Canon",Materials!G$49,Materials!G$45)))</f>
        <v>20</v>
      </c>
      <c r="AF2215" s="226">
        <f>'CALI_SONDER '!H34</f>
        <v>149.86000000000001</v>
      </c>
      <c r="AG2215" s="225"/>
      <c r="AH2215" s="112">
        <f t="shared" si="793"/>
        <v>20</v>
      </c>
      <c r="AI2215" s="112"/>
      <c r="AJ2215" s="225">
        <f t="shared" si="794"/>
        <v>216.87111111111113</v>
      </c>
      <c r="AK2215" s="62">
        <f t="shared" si="795"/>
        <v>0.45782222222222219</v>
      </c>
      <c r="AL2215" s="225">
        <f>Table1[[#This Row],[WSP/Dealer]]/Table1[[#This Row],[OD Sq Inch]]</f>
        <v>0.11695906432748537</v>
      </c>
      <c r="AM2215" s="216">
        <f>Table1[[#This Row],[OD Wdth]]*Table1[[#This Row],[OD Hgt]]</f>
        <v>3420</v>
      </c>
      <c r="AN2215" s="216">
        <f>Table1[[#This Row],[Min VO]]+Table1[[#This Row],[Max VO]]</f>
        <v>117</v>
      </c>
      <c r="AO2215" s="216" t="s">
        <v>683</v>
      </c>
      <c r="AP2215" s="226"/>
      <c r="AQ2215" s="226"/>
      <c r="AR2215" s="226"/>
      <c r="AS2215" s="226"/>
      <c r="AT2215" s="226"/>
      <c r="AU2215" s="1363" t="str">
        <f t="shared" si="784"/>
        <v>-</v>
      </c>
    </row>
    <row r="2216" spans="1:47" s="173" customFormat="1" hidden="1" x14ac:dyDescent="0.2">
      <c r="A2216" s="216" t="s">
        <v>272</v>
      </c>
      <c r="B2216" s="1061" t="s">
        <v>273</v>
      </c>
      <c r="C2216" s="232" t="s">
        <v>5057</v>
      </c>
      <c r="D2216" s="94"/>
      <c r="E2216" s="217" t="s">
        <v>5058</v>
      </c>
      <c r="F2216" s="217" t="s">
        <v>1834</v>
      </c>
      <c r="G2216" s="216" t="s">
        <v>5056</v>
      </c>
      <c r="H2216" s="216" t="s">
        <v>5056</v>
      </c>
      <c r="I2216" s="216" t="s">
        <v>52</v>
      </c>
      <c r="J2216" s="216" t="s">
        <v>53</v>
      </c>
      <c r="K2216" s="216" t="s">
        <v>54</v>
      </c>
      <c r="L2216" s="216" t="s">
        <v>55</v>
      </c>
      <c r="M2216" s="219">
        <f>Table1[[#This Row],[Desgnr/Retail P]]</f>
        <v>0</v>
      </c>
      <c r="N2216" s="219"/>
      <c r="O2216" s="216" t="s">
        <v>64</v>
      </c>
      <c r="P2216" s="216">
        <v>60</v>
      </c>
      <c r="Q2216" s="216">
        <v>57</v>
      </c>
      <c r="R2216" s="216">
        <v>57</v>
      </c>
      <c r="S2216" s="626">
        <v>60</v>
      </c>
      <c r="T2216" s="216">
        <f>P2216</f>
        <v>60</v>
      </c>
      <c r="U2216" s="216">
        <f>Q2216</f>
        <v>57</v>
      </c>
      <c r="V2216" s="907">
        <f>IF(J2216="Canvas",P2216+BorderGW,P2216)</f>
        <v>68</v>
      </c>
      <c r="W2216" s="907">
        <f>IF(J2216="Canvas",Q2216+BorderGW,Q2216)</f>
        <v>65</v>
      </c>
      <c r="X2216" s="223">
        <v>69</v>
      </c>
      <c r="Y2216" s="216"/>
      <c r="Z2216" s="216"/>
      <c r="AA2216" s="718">
        <f t="shared" si="792"/>
        <v>30.694444444444443</v>
      </c>
      <c r="AB2216" s="233">
        <f>AA2216*Swiss1</f>
        <v>868.65277777777771</v>
      </c>
      <c r="AC2216" s="225">
        <f>AA2216*Canvas</f>
        <v>20.258333333333333</v>
      </c>
      <c r="AD2216" s="986">
        <f>Table1[[#This Row],[Substrate SF]]*SWISSC2</f>
        <v>138.125</v>
      </c>
      <c r="AE2216" s="104">
        <f>IF(Table1[[#This Row],[Work Center]]="SwissQ",Materials!G$37,IF(Table1[[#This Row],[Work Center]]="Inca",Materials!G$29,IF(Table1[[#This Row],[Work Center]]="Canon",Materials!G$49,Materials!G$45)))</f>
        <v>20</v>
      </c>
      <c r="AF2216" s="226">
        <f>'CALI_SONDER '!H34</f>
        <v>149.86000000000001</v>
      </c>
      <c r="AG2216" s="225"/>
      <c r="AH2216" s="498">
        <f t="shared" si="793"/>
        <v>0</v>
      </c>
      <c r="AI2216" s="498"/>
      <c r="AJ2216" s="225">
        <f t="shared" si="794"/>
        <v>328.24333333333334</v>
      </c>
      <c r="AK2216" s="650" t="e">
        <f t="shared" si="795"/>
        <v>#DIV/0!</v>
      </c>
      <c r="AL2216" s="225">
        <f>Table1[[#This Row],[WSP/Dealer]]/Table1[[#This Row],[OD Sq Inch]]</f>
        <v>0</v>
      </c>
      <c r="AM2216" s="216">
        <f>Table1[[#This Row],[OD Wdth]]*Table1[[#This Row],[OD Hgt]]</f>
        <v>3420</v>
      </c>
      <c r="AN2216" s="216">
        <f>Table1[[#This Row],[Min VO]]+Table1[[#This Row],[Max VO]]</f>
        <v>117</v>
      </c>
      <c r="AO2216" s="216" t="s">
        <v>683</v>
      </c>
      <c r="AP2216" s="226"/>
      <c r="AQ2216" s="226"/>
      <c r="AR2216" s="226"/>
      <c r="AS2216" s="226"/>
      <c r="AT2216" s="226"/>
      <c r="AU2216" s="1365" t="str">
        <f t="shared" si="784"/>
        <v>-</v>
      </c>
    </row>
    <row r="2217" spans="1:47" s="170" customFormat="1" x14ac:dyDescent="0.2">
      <c r="A2217" s="60" t="s">
        <v>58</v>
      </c>
      <c r="B2217" s="1061" t="s">
        <v>4794</v>
      </c>
      <c r="C2217" s="123" t="s">
        <v>5059</v>
      </c>
      <c r="D2217" s="94" t="s">
        <v>5060</v>
      </c>
      <c r="E2217" s="85" t="s">
        <v>5061</v>
      </c>
      <c r="F2217" s="85" t="s">
        <v>1834</v>
      </c>
      <c r="G2217" s="86" t="s">
        <v>2194</v>
      </c>
      <c r="H2217" s="86" t="s">
        <v>3136</v>
      </c>
      <c r="I2217" s="238" t="s">
        <v>2028</v>
      </c>
      <c r="J2217" s="60" t="s">
        <v>257</v>
      </c>
      <c r="K2217" s="68" t="s">
        <v>2159</v>
      </c>
      <c r="L2217" s="68" t="s">
        <v>4259</v>
      </c>
      <c r="M2217" s="87">
        <v>470</v>
      </c>
      <c r="N2217" s="639">
        <v>517</v>
      </c>
      <c r="O2217" s="101" t="s">
        <v>260</v>
      </c>
      <c r="P2217" s="60">
        <v>22</v>
      </c>
      <c r="Q2217" s="60">
        <v>30</v>
      </c>
      <c r="R2217" s="60">
        <v>22</v>
      </c>
      <c r="S2217" s="273">
        <v>30</v>
      </c>
      <c r="T2217" s="60">
        <f>Table1[[#This Row],[VO Wdth]]+4</f>
        <v>26</v>
      </c>
      <c r="U2217" s="60">
        <f>Table1[[#This Row],[VO Hgt]]+4</f>
        <v>34</v>
      </c>
      <c r="V2217" s="946">
        <f>Table1[[#This Row],[VO Wdth]]+Materials!$C$50</f>
        <v>24</v>
      </c>
      <c r="W2217" s="946">
        <f>Table1[[#This Row],[VO Hgt]]+Materials!$C$50</f>
        <v>32</v>
      </c>
      <c r="X2217" s="138">
        <v>24</v>
      </c>
      <c r="Y2217" s="60">
        <v>24</v>
      </c>
      <c r="Z2217" s="60">
        <v>32</v>
      </c>
      <c r="AA2217" s="717">
        <f t="shared" si="792"/>
        <v>5.333333333333333</v>
      </c>
      <c r="AB2217" s="125">
        <f>AA2217*canonML</f>
        <v>25.599999999999998</v>
      </c>
      <c r="AC2217" s="69">
        <f>Table1[[#This Row],[Print Ht]]*paper24</f>
        <v>4.16</v>
      </c>
      <c r="AD2217" s="69">
        <f>Table1[[#This Row],[Ink g/mL]]*CanonC</f>
        <v>6.9119999999999999</v>
      </c>
      <c r="AE2217" s="104">
        <f>IF(Table1[[#This Row],[Work Center]]="SwissQ",Materials!G$37,IF(Table1[[#This Row],[Work Center]]="Inca",Materials!G$29,IF(Table1[[#This Row],[Work Center]]="Canon",Materials!G$49,Materials!G$45)))</f>
        <v>7</v>
      </c>
      <c r="AF2217" s="69">
        <f>'Cali Frames'!D$590</f>
        <v>136.85</v>
      </c>
      <c r="AG2217" s="115"/>
      <c r="AH2217" s="498">
        <f t="shared" si="793"/>
        <v>23.5</v>
      </c>
      <c r="AI2217" s="498"/>
      <c r="AJ2217" s="69">
        <f t="shared" si="794"/>
        <v>178.422</v>
      </c>
      <c r="AK2217" s="650">
        <f t="shared" si="795"/>
        <v>0.62037872340425526</v>
      </c>
      <c r="AL2217" s="225">
        <f>Table1[[#This Row],[WSP/Dealer]]/Table1[[#This Row],[OD Sq Inch]]</f>
        <v>0.53167420814479638</v>
      </c>
      <c r="AM2217" s="216">
        <f>Table1[[#This Row],[OD Wdth]]*Table1[[#This Row],[OD Hgt]]</f>
        <v>884</v>
      </c>
      <c r="AN2217" s="216">
        <f>Table1[[#This Row],[Min VO]]+Table1[[#This Row],[Max VO]]</f>
        <v>52</v>
      </c>
      <c r="AO2217" s="60"/>
      <c r="AP2217" s="60"/>
      <c r="AQ2217" s="69"/>
      <c r="AR2217" s="69"/>
      <c r="AS2217" s="69"/>
      <c r="AT2217" s="69"/>
      <c r="AU2217" s="1001" t="str">
        <f t="shared" si="784"/>
        <v>-</v>
      </c>
    </row>
    <row r="2218" spans="1:47" s="170" customFormat="1" x14ac:dyDescent="0.2">
      <c r="A2218" s="60" t="s">
        <v>58</v>
      </c>
      <c r="B2218" s="1061" t="s">
        <v>4794</v>
      </c>
      <c r="C2218" s="123" t="s">
        <v>5062</v>
      </c>
      <c r="D2218" s="94" t="s">
        <v>5063</v>
      </c>
      <c r="E2218" s="83" t="s">
        <v>5064</v>
      </c>
      <c r="F2218" s="83" t="s">
        <v>1834</v>
      </c>
      <c r="G2218" s="60" t="s">
        <v>3167</v>
      </c>
      <c r="H2218" s="60" t="s">
        <v>948</v>
      </c>
      <c r="I2218" s="238" t="s">
        <v>2028</v>
      </c>
      <c r="J2218" s="60" t="s">
        <v>257</v>
      </c>
      <c r="K2218" s="68" t="s">
        <v>2159</v>
      </c>
      <c r="L2218" s="68" t="s">
        <v>4259</v>
      </c>
      <c r="M2218" s="124">
        <v>1200</v>
      </c>
      <c r="N2218" s="639">
        <v>1200</v>
      </c>
      <c r="O2218" s="60" t="s">
        <v>260</v>
      </c>
      <c r="P2218" s="60">
        <v>44</v>
      </c>
      <c r="Q2218" s="60">
        <v>60</v>
      </c>
      <c r="R2218" s="60">
        <v>44</v>
      </c>
      <c r="S2218" s="273">
        <v>60</v>
      </c>
      <c r="T2218" s="60">
        <f>Table1[[#This Row],[VO Wdth]]+4</f>
        <v>48</v>
      </c>
      <c r="U2218" s="60">
        <f>Table1[[#This Row],[VO Hgt]]+4</f>
        <v>64</v>
      </c>
      <c r="V2218" s="946">
        <f>Table1[[#This Row],[VO Wdth]]+Materials!$C$50</f>
        <v>46</v>
      </c>
      <c r="W2218" s="946">
        <f>Table1[[#This Row],[VO Hgt]]+Materials!$C$50</f>
        <v>62</v>
      </c>
      <c r="X2218" s="138">
        <v>60</v>
      </c>
      <c r="Y2218" s="60">
        <v>46</v>
      </c>
      <c r="Z2218" s="60">
        <v>62</v>
      </c>
      <c r="AA2218" s="717">
        <f t="shared" si="792"/>
        <v>19.805555555555557</v>
      </c>
      <c r="AB2218" s="125">
        <f>AA2218*canonML</f>
        <v>95.066666666666677</v>
      </c>
      <c r="AC2218" s="69">
        <f>Table1[[#This Row],[Print Ht]]*paper60</f>
        <v>21.080000000000002</v>
      </c>
      <c r="AD2218" s="69">
        <f>Table1[[#This Row],[Ink g/mL]]*CanonC</f>
        <v>25.668000000000003</v>
      </c>
      <c r="AE2218" s="104">
        <f>IF(Table1[[#This Row],[Work Center]]="SwissQ",Materials!G$37,IF(Table1[[#This Row],[Work Center]]="Inca",Materials!G$29,IF(Table1[[#This Row],[Work Center]]="Canon",Materials!G$49,Materials!G$45)))</f>
        <v>7</v>
      </c>
      <c r="AF2218" s="69">
        <f>'Cali Frames'!D$595</f>
        <v>335.14249999999998</v>
      </c>
      <c r="AG2218" s="115"/>
      <c r="AH2218" s="498">
        <f t="shared" ref="AH2218:AH2249" si="797">(M2218*0.05)</f>
        <v>60</v>
      </c>
      <c r="AI2218" s="498"/>
      <c r="AJ2218" s="69">
        <f t="shared" si="794"/>
        <v>448.89049999999997</v>
      </c>
      <c r="AK2218" s="650">
        <f t="shared" si="795"/>
        <v>0.62592458333333334</v>
      </c>
      <c r="AL2218" s="225">
        <f>Table1[[#This Row],[WSP/Dealer]]/Table1[[#This Row],[OD Sq Inch]]</f>
        <v>0.390625</v>
      </c>
      <c r="AM2218" s="101">
        <f>Table1[[#This Row],[OD Wdth]]*Table1[[#This Row],[OD Hgt]]</f>
        <v>3072</v>
      </c>
      <c r="AN2218" s="216">
        <f>Table1[[#This Row],[Min VO]]+Table1[[#This Row],[Max VO]]</f>
        <v>104</v>
      </c>
      <c r="AO2218" s="60"/>
      <c r="AP2218" s="60"/>
      <c r="AQ2218" s="69"/>
      <c r="AR2218" s="69"/>
      <c r="AS2218" s="69"/>
      <c r="AT2218" s="69"/>
      <c r="AU2218" s="1001" t="str">
        <f t="shared" ref="AU2218:AU2281" si="798">IF(AQ2218=0,"-",(AQ2218-AT2218)/AQ2218)</f>
        <v>-</v>
      </c>
    </row>
    <row r="2219" spans="1:47" s="170" customFormat="1" x14ac:dyDescent="0.2">
      <c r="A2219" s="101" t="s">
        <v>581</v>
      </c>
      <c r="B2219" s="1061" t="s">
        <v>292</v>
      </c>
      <c r="C2219" s="1094" t="s">
        <v>5065</v>
      </c>
      <c r="D2219" s="94" t="s">
        <v>5066</v>
      </c>
      <c r="E2219" s="115" t="s">
        <v>5064</v>
      </c>
      <c r="F2219" s="115" t="s">
        <v>1834</v>
      </c>
      <c r="G2219" s="101" t="s">
        <v>3167</v>
      </c>
      <c r="H2219" s="101" t="s">
        <v>5067</v>
      </c>
      <c r="I2219" s="266" t="s">
        <v>5068</v>
      </c>
      <c r="J2219" s="101" t="s">
        <v>257</v>
      </c>
      <c r="K2219" s="101" t="s">
        <v>1011</v>
      </c>
      <c r="L2219" s="101" t="s">
        <v>1012</v>
      </c>
      <c r="M2219" s="114">
        <v>1200</v>
      </c>
      <c r="N2219" s="114">
        <v>1200</v>
      </c>
      <c r="O2219" s="101" t="s">
        <v>260</v>
      </c>
      <c r="P2219" s="101">
        <v>44</v>
      </c>
      <c r="Q2219" s="101">
        <v>60</v>
      </c>
      <c r="R2219" s="101">
        <v>44</v>
      </c>
      <c r="S2219" s="697">
        <v>60</v>
      </c>
      <c r="T2219" s="101">
        <v>47</v>
      </c>
      <c r="U2219" s="101">
        <v>63</v>
      </c>
      <c r="V2219" s="608">
        <f>Table1[[#This Row],[VO Wdth]]+Materials!$C$50</f>
        <v>46</v>
      </c>
      <c r="W2219" s="608">
        <f>Table1[[#This Row],[VO Hgt]]+Materials!$C$50</f>
        <v>62</v>
      </c>
      <c r="X2219" s="101">
        <v>62</v>
      </c>
      <c r="Y2219" s="101">
        <v>46</v>
      </c>
      <c r="Z2219" s="101">
        <v>62</v>
      </c>
      <c r="AA2219" s="724">
        <f t="shared" si="792"/>
        <v>19.805555555555557</v>
      </c>
      <c r="AB2219" s="184">
        <f>Table1[[#This Row],[Substrate SF]]*canonML</f>
        <v>95.066666666666677</v>
      </c>
      <c r="AC2219" s="104">
        <f>Table1[[#This Row],[Print Ht]]*paper60</f>
        <v>21.080000000000002</v>
      </c>
      <c r="AD2219" s="104">
        <f>Table1[[#This Row],[Ink g/mL]]*CanonC</f>
        <v>25.668000000000003</v>
      </c>
      <c r="AE2219" s="104">
        <f>IF(Table1[[#This Row],[Work Center]]="SwissQ",Materials!G$37,IF(Table1[[#This Row],[Work Center]]="Inca",Materials!G$29,IF(Table1[[#This Row],[Work Center]]="Canon",Materials!G$49,Materials!G$45)))</f>
        <v>7</v>
      </c>
      <c r="AF2219" s="102">
        <f>'Cali Frames'!D569</f>
        <v>340</v>
      </c>
      <c r="AG2219" s="540"/>
      <c r="AH2219" s="104">
        <f t="shared" si="797"/>
        <v>60</v>
      </c>
      <c r="AI2219" s="104"/>
      <c r="AJ2219" s="406">
        <f t="shared" si="794"/>
        <v>453.74799999999999</v>
      </c>
      <c r="AK2219" s="830">
        <f t="shared" si="795"/>
        <v>0.62187666666666663</v>
      </c>
      <c r="AL2219" s="660">
        <f>Table1[[#This Row],[WSP/Dealer]]/Table1[[#This Row],[OD Sq Inch]]</f>
        <v>0.40526849037487334</v>
      </c>
      <c r="AM2219" s="399">
        <f>Table1[[#This Row],[OD Wdth]]*Table1[[#This Row],[OD Hgt]]</f>
        <v>2961</v>
      </c>
      <c r="AN2219" s="400">
        <f>Table1[[#This Row],[Min VO]]+Table1[[#This Row],[Max VO]]</f>
        <v>104</v>
      </c>
      <c r="AO2219" s="115"/>
      <c r="AP2219" s="115"/>
      <c r="AQ2219" s="121"/>
      <c r="AR2219" s="121"/>
      <c r="AS2219" s="121"/>
      <c r="AT2219" s="104"/>
      <c r="AU2219" s="1359" t="str">
        <f t="shared" si="798"/>
        <v>-</v>
      </c>
    </row>
    <row r="2220" spans="1:47" s="170" customFormat="1" x14ac:dyDescent="0.2">
      <c r="A2220" s="60" t="s">
        <v>58</v>
      </c>
      <c r="B2220" s="1061" t="s">
        <v>4794</v>
      </c>
      <c r="C2220" s="123" t="s">
        <v>5069</v>
      </c>
      <c r="D2220" s="94" t="s">
        <v>5070</v>
      </c>
      <c r="E2220" s="85" t="s">
        <v>5071</v>
      </c>
      <c r="F2220" s="85" t="s">
        <v>1834</v>
      </c>
      <c r="G2220" s="86" t="s">
        <v>2194</v>
      </c>
      <c r="H2220" s="86" t="s">
        <v>3136</v>
      </c>
      <c r="I2220" s="238" t="s">
        <v>2028</v>
      </c>
      <c r="J2220" s="60" t="s">
        <v>257</v>
      </c>
      <c r="K2220" s="68" t="s">
        <v>2159</v>
      </c>
      <c r="L2220" s="68" t="s">
        <v>4259</v>
      </c>
      <c r="M2220" s="87">
        <v>470</v>
      </c>
      <c r="N2220" s="639">
        <v>517</v>
      </c>
      <c r="O2220" s="101" t="s">
        <v>260</v>
      </c>
      <c r="P2220" s="60">
        <v>22</v>
      </c>
      <c r="Q2220" s="60">
        <v>30</v>
      </c>
      <c r="R2220" s="60">
        <v>22</v>
      </c>
      <c r="S2220" s="273">
        <v>30</v>
      </c>
      <c r="T2220" s="60">
        <f>Table1[[#This Row],[VO Wdth]]+4</f>
        <v>26</v>
      </c>
      <c r="U2220" s="60">
        <f>Table1[[#This Row],[VO Hgt]]+4</f>
        <v>34</v>
      </c>
      <c r="V2220" s="946">
        <f>Table1[[#This Row],[VO Wdth]]+Materials!$C$50</f>
        <v>24</v>
      </c>
      <c r="W2220" s="946">
        <f>Table1[[#This Row],[VO Hgt]]+Materials!$C$50</f>
        <v>32</v>
      </c>
      <c r="X2220" s="138">
        <v>24</v>
      </c>
      <c r="Y2220" s="60"/>
      <c r="Z2220" s="60"/>
      <c r="AA2220" s="717">
        <f t="shared" si="792"/>
        <v>5.333333333333333</v>
      </c>
      <c r="AB2220" s="125">
        <f>AA2220*canonML</f>
        <v>25.599999999999998</v>
      </c>
      <c r="AC2220" s="69">
        <f>Table1[[#This Row],[Print Ht]]*paper24</f>
        <v>4.16</v>
      </c>
      <c r="AD2220" s="69">
        <f>Table1[[#This Row],[Ink g/mL]]*CanonC</f>
        <v>6.9119999999999999</v>
      </c>
      <c r="AE2220" s="104">
        <f>IF(Table1[[#This Row],[Work Center]]="SwissQ",Materials!G$37,IF(Table1[[#This Row],[Work Center]]="Inca",Materials!G$29,IF(Table1[[#This Row],[Work Center]]="Canon",Materials!G$49,Materials!G$45)))</f>
        <v>7</v>
      </c>
      <c r="AF2220" s="69">
        <f>'Cali Frames'!D$590</f>
        <v>136.85</v>
      </c>
      <c r="AG2220" s="115"/>
      <c r="AH2220" s="498">
        <f t="shared" si="797"/>
        <v>23.5</v>
      </c>
      <c r="AI2220" s="498"/>
      <c r="AJ2220" s="69">
        <f t="shared" si="794"/>
        <v>178.422</v>
      </c>
      <c r="AK2220" s="650">
        <f t="shared" si="795"/>
        <v>0.62037872340425526</v>
      </c>
      <c r="AL2220" s="225">
        <f>Table1[[#This Row],[WSP/Dealer]]/Table1[[#This Row],[OD Sq Inch]]</f>
        <v>0.53167420814479638</v>
      </c>
      <c r="AM2220" s="101">
        <f>Table1[[#This Row],[OD Wdth]]*Table1[[#This Row],[OD Hgt]]</f>
        <v>884</v>
      </c>
      <c r="AN2220" s="216">
        <f>Table1[[#This Row],[Min VO]]+Table1[[#This Row],[Max VO]]</f>
        <v>52</v>
      </c>
      <c r="AO2220" s="60"/>
      <c r="AP2220" s="60"/>
      <c r="AQ2220" s="69"/>
      <c r="AR2220" s="69"/>
      <c r="AS2220" s="69"/>
      <c r="AT2220" s="69"/>
      <c r="AU2220" s="1001" t="str">
        <f t="shared" si="798"/>
        <v>-</v>
      </c>
    </row>
    <row r="2221" spans="1:47" s="173" customFormat="1" x14ac:dyDescent="0.2">
      <c r="A2221" s="60" t="s">
        <v>58</v>
      </c>
      <c r="B2221" s="279" t="s">
        <v>4794</v>
      </c>
      <c r="C2221" s="123" t="s">
        <v>5072</v>
      </c>
      <c r="D2221" s="94" t="s">
        <v>5073</v>
      </c>
      <c r="E2221" s="83" t="s">
        <v>5074</v>
      </c>
      <c r="F2221" s="83" t="s">
        <v>1834</v>
      </c>
      <c r="G2221" s="60" t="s">
        <v>3167</v>
      </c>
      <c r="H2221" s="60" t="s">
        <v>948</v>
      </c>
      <c r="I2221" s="238" t="s">
        <v>2028</v>
      </c>
      <c r="J2221" s="60" t="s">
        <v>257</v>
      </c>
      <c r="K2221" s="68" t="s">
        <v>2159</v>
      </c>
      <c r="L2221" s="68" t="s">
        <v>4259</v>
      </c>
      <c r="M2221" s="124">
        <v>1200</v>
      </c>
      <c r="N2221" s="639">
        <v>1200</v>
      </c>
      <c r="O2221" s="60" t="s">
        <v>260</v>
      </c>
      <c r="P2221" s="60">
        <v>44</v>
      </c>
      <c r="Q2221" s="60">
        <v>60</v>
      </c>
      <c r="R2221" s="60">
        <v>44</v>
      </c>
      <c r="S2221" s="273">
        <v>60</v>
      </c>
      <c r="T2221" s="60">
        <f>Table1[[#This Row],[VO Wdth]]+4</f>
        <v>48</v>
      </c>
      <c r="U2221" s="60">
        <f>Table1[[#This Row],[VO Hgt]]+4</f>
        <v>64</v>
      </c>
      <c r="V2221" s="946">
        <f>Table1[[#This Row],[VO Wdth]]+Materials!$C$50</f>
        <v>46</v>
      </c>
      <c r="W2221" s="946">
        <f>Table1[[#This Row],[VO Hgt]]+Materials!$C$50</f>
        <v>62</v>
      </c>
      <c r="X2221" s="138">
        <v>60</v>
      </c>
      <c r="Y2221" s="60"/>
      <c r="Z2221" s="60"/>
      <c r="AA2221" s="717">
        <f t="shared" si="792"/>
        <v>19.805555555555557</v>
      </c>
      <c r="AB2221" s="125">
        <f>AA2221*canonML</f>
        <v>95.066666666666677</v>
      </c>
      <c r="AC2221" s="69">
        <f>Table1[[#This Row],[Print Ht]]*paper60</f>
        <v>21.080000000000002</v>
      </c>
      <c r="AD2221" s="69">
        <f>Table1[[#This Row],[Ink g/mL]]*CanonC</f>
        <v>25.668000000000003</v>
      </c>
      <c r="AE2221" s="104">
        <f>IF(Table1[[#This Row],[Work Center]]="SwissQ",Materials!G$37,IF(Table1[[#This Row],[Work Center]]="Inca",Materials!G$29,IF(Table1[[#This Row],[Work Center]]="Canon",Materials!G$49,Materials!G$45)))</f>
        <v>7</v>
      </c>
      <c r="AF2221" s="69">
        <f>'Cali Frames'!D$595</f>
        <v>335.14249999999998</v>
      </c>
      <c r="AG2221" s="115"/>
      <c r="AH2221" s="112">
        <f t="shared" si="797"/>
        <v>60</v>
      </c>
      <c r="AI2221" s="112"/>
      <c r="AJ2221" s="69">
        <f t="shared" si="794"/>
        <v>448.89049999999997</v>
      </c>
      <c r="AK2221" s="62">
        <f t="shared" si="795"/>
        <v>0.62592458333333334</v>
      </c>
      <c r="AL2221" s="225">
        <f>Table1[[#This Row],[WSP/Dealer]]/Table1[[#This Row],[OD Sq Inch]]</f>
        <v>0.390625</v>
      </c>
      <c r="AM2221" s="216">
        <f>Table1[[#This Row],[OD Wdth]]*Table1[[#This Row],[OD Hgt]]</f>
        <v>3072</v>
      </c>
      <c r="AN2221" s="216">
        <f>Table1[[#This Row],[Min VO]]+Table1[[#This Row],[Max VO]]</f>
        <v>104</v>
      </c>
      <c r="AO2221" s="60"/>
      <c r="AP2221" s="60"/>
      <c r="AQ2221" s="69"/>
      <c r="AR2221" s="69"/>
      <c r="AS2221" s="69"/>
      <c r="AT2221" s="69"/>
      <c r="AU2221" s="1001" t="str">
        <f t="shared" si="798"/>
        <v>-</v>
      </c>
    </row>
    <row r="2222" spans="1:47" s="173" customFormat="1" x14ac:dyDescent="0.2">
      <c r="A2222" s="60" t="s">
        <v>58</v>
      </c>
      <c r="B2222" s="279" t="s">
        <v>4794</v>
      </c>
      <c r="C2222" s="123" t="s">
        <v>5075</v>
      </c>
      <c r="D2222" s="94" t="s">
        <v>5076</v>
      </c>
      <c r="E2222" s="83" t="s">
        <v>5077</v>
      </c>
      <c r="F2222" s="83" t="s">
        <v>1834</v>
      </c>
      <c r="G2222" s="60" t="s">
        <v>2194</v>
      </c>
      <c r="H2222" s="60" t="s">
        <v>3136</v>
      </c>
      <c r="I2222" s="238" t="s">
        <v>2028</v>
      </c>
      <c r="J2222" s="60" t="s">
        <v>257</v>
      </c>
      <c r="K2222" s="68" t="s">
        <v>2159</v>
      </c>
      <c r="L2222" s="68" t="s">
        <v>4259</v>
      </c>
      <c r="M2222" s="124">
        <v>470</v>
      </c>
      <c r="N2222" s="639">
        <v>517</v>
      </c>
      <c r="O2222" s="60" t="s">
        <v>260</v>
      </c>
      <c r="P2222" s="60">
        <v>22</v>
      </c>
      <c r="Q2222" s="60">
        <v>30</v>
      </c>
      <c r="R2222" s="60">
        <v>22</v>
      </c>
      <c r="S2222" s="273">
        <v>30</v>
      </c>
      <c r="T2222" s="60">
        <f>Table1[[#This Row],[VO Wdth]]+4</f>
        <v>26</v>
      </c>
      <c r="U2222" s="60">
        <f>Table1[[#This Row],[VO Hgt]]+4</f>
        <v>34</v>
      </c>
      <c r="V2222" s="47">
        <f>Table1[[#This Row],[VO Wdth]]+Materials!$C$50</f>
        <v>24</v>
      </c>
      <c r="W2222" s="47">
        <f>Table1[[#This Row],[VO Hgt]]+Materials!$C$50</f>
        <v>32</v>
      </c>
      <c r="X2222" s="138">
        <v>24</v>
      </c>
      <c r="Y2222" s="60"/>
      <c r="Z2222" s="60"/>
      <c r="AA2222" s="717">
        <f t="shared" si="792"/>
        <v>5.333333333333333</v>
      </c>
      <c r="AB2222" s="125">
        <f>AA2222*canonML</f>
        <v>25.599999999999998</v>
      </c>
      <c r="AC2222" s="69">
        <f>Table1[[#This Row],[Print Ht]]*paper24</f>
        <v>4.16</v>
      </c>
      <c r="AD2222" s="48">
        <f>Table1[[#This Row],[Ink g/mL]]*CanonC</f>
        <v>6.9119999999999999</v>
      </c>
      <c r="AE2222" s="104">
        <f>IF(Table1[[#This Row],[Work Center]]="SwissQ",Materials!G$37,IF(Table1[[#This Row],[Work Center]]="Inca",Materials!G$29,IF(Table1[[#This Row],[Work Center]]="Canon",Materials!G$49,Materials!G$45)))</f>
        <v>7</v>
      </c>
      <c r="AF2222" s="69">
        <f>'Cali Frames'!D$590</f>
        <v>136.85</v>
      </c>
      <c r="AG2222" s="115"/>
      <c r="AH2222" s="498">
        <f t="shared" si="797"/>
        <v>23.5</v>
      </c>
      <c r="AI2222" s="498"/>
      <c r="AJ2222" s="69">
        <f t="shared" si="794"/>
        <v>178.422</v>
      </c>
      <c r="AK2222" s="650">
        <f t="shared" si="795"/>
        <v>0.62037872340425526</v>
      </c>
      <c r="AL2222" s="225">
        <f>Table1[[#This Row],[WSP/Dealer]]/Table1[[#This Row],[OD Sq Inch]]</f>
        <v>0.53167420814479638</v>
      </c>
      <c r="AM2222" s="103">
        <f>Table1[[#This Row],[OD Wdth]]*Table1[[#This Row],[OD Hgt]]</f>
        <v>884</v>
      </c>
      <c r="AN2222" s="216">
        <f>Table1[[#This Row],[Min VO]]+Table1[[#This Row],[Max VO]]</f>
        <v>52</v>
      </c>
      <c r="AO2222" s="60"/>
      <c r="AP2222" s="60"/>
      <c r="AQ2222" s="69"/>
      <c r="AR2222" s="69"/>
      <c r="AS2222" s="69"/>
      <c r="AT2222" s="69"/>
      <c r="AU2222" s="1001" t="str">
        <f t="shared" si="798"/>
        <v>-</v>
      </c>
    </row>
    <row r="2223" spans="1:47" s="170" customFormat="1" x14ac:dyDescent="0.2">
      <c r="A2223" s="60" t="s">
        <v>58</v>
      </c>
      <c r="B2223" s="279" t="s">
        <v>4794</v>
      </c>
      <c r="C2223" s="123" t="s">
        <v>5078</v>
      </c>
      <c r="D2223" s="94" t="s">
        <v>5079</v>
      </c>
      <c r="E2223" s="83" t="s">
        <v>5080</v>
      </c>
      <c r="F2223" s="83" t="s">
        <v>1834</v>
      </c>
      <c r="G2223" s="60" t="s">
        <v>3167</v>
      </c>
      <c r="H2223" s="60" t="s">
        <v>948</v>
      </c>
      <c r="I2223" s="238" t="s">
        <v>2028</v>
      </c>
      <c r="J2223" s="60" t="s">
        <v>257</v>
      </c>
      <c r="K2223" s="68" t="s">
        <v>2159</v>
      </c>
      <c r="L2223" s="68" t="s">
        <v>4259</v>
      </c>
      <c r="M2223" s="124">
        <v>1200</v>
      </c>
      <c r="N2223" s="639">
        <v>1200</v>
      </c>
      <c r="O2223" s="60" t="s">
        <v>260</v>
      </c>
      <c r="P2223" s="60">
        <v>44</v>
      </c>
      <c r="Q2223" s="60">
        <v>60</v>
      </c>
      <c r="R2223" s="60">
        <v>44</v>
      </c>
      <c r="S2223" s="61">
        <v>60</v>
      </c>
      <c r="T2223" s="60">
        <f>Table1[[#This Row],[VO Wdth]]+4</f>
        <v>48</v>
      </c>
      <c r="U2223" s="60">
        <f>Table1[[#This Row],[VO Hgt]]+4</f>
        <v>64</v>
      </c>
      <c r="V2223" s="47">
        <f>Table1[[#This Row],[VO Wdth]]+Materials!$C$50</f>
        <v>46</v>
      </c>
      <c r="W2223" s="47">
        <f>Table1[[#This Row],[VO Hgt]]+Materials!$C$50</f>
        <v>62</v>
      </c>
      <c r="X2223" s="138">
        <v>60</v>
      </c>
      <c r="Y2223" s="60"/>
      <c r="Z2223" s="60"/>
      <c r="AA2223" s="717">
        <f t="shared" si="792"/>
        <v>19.805555555555557</v>
      </c>
      <c r="AB2223" s="125">
        <f>AA2223*canonML</f>
        <v>95.066666666666677</v>
      </c>
      <c r="AC2223" s="69">
        <f>Table1[[#This Row],[Print Ht]]*paper60</f>
        <v>21.080000000000002</v>
      </c>
      <c r="AD2223" s="48">
        <f>Table1[[#This Row],[Ink g/mL]]*CanonC</f>
        <v>25.668000000000003</v>
      </c>
      <c r="AE2223" s="104">
        <f>IF(Table1[[#This Row],[Work Center]]="SwissQ",Materials!G$37,IF(Table1[[#This Row],[Work Center]]="Inca",Materials!G$29,IF(Table1[[#This Row],[Work Center]]="Canon",Materials!G$49,Materials!G$45)))</f>
        <v>7</v>
      </c>
      <c r="AF2223" s="69">
        <f>'Cali Frames'!D$595</f>
        <v>335.14249999999998</v>
      </c>
      <c r="AG2223" s="115"/>
      <c r="AH2223" s="112">
        <f t="shared" si="797"/>
        <v>60</v>
      </c>
      <c r="AI2223" s="112"/>
      <c r="AJ2223" s="69">
        <f t="shared" si="794"/>
        <v>448.89049999999997</v>
      </c>
      <c r="AK2223" s="62">
        <f t="shared" ref="AK2223:AK2254" si="799">(M2223-AJ2223)/M2223</f>
        <v>0.62592458333333334</v>
      </c>
      <c r="AL2223" s="225">
        <f>Table1[[#This Row],[WSP/Dealer]]/Table1[[#This Row],[OD Sq Inch]]</f>
        <v>0.390625</v>
      </c>
      <c r="AM2223" s="103">
        <f>Table1[[#This Row],[OD Wdth]]*Table1[[#This Row],[OD Hgt]]</f>
        <v>3072</v>
      </c>
      <c r="AN2223" s="216">
        <f>Table1[[#This Row],[Min VO]]+Table1[[#This Row],[Max VO]]</f>
        <v>104</v>
      </c>
      <c r="AO2223" s="60"/>
      <c r="AP2223" s="60"/>
      <c r="AQ2223" s="69"/>
      <c r="AR2223" s="69"/>
      <c r="AS2223" s="69"/>
      <c r="AT2223" s="69"/>
      <c r="AU2223" s="1001" t="str">
        <f t="shared" si="798"/>
        <v>-</v>
      </c>
    </row>
    <row r="2224" spans="1:47" s="170" customFormat="1" hidden="1" x14ac:dyDescent="0.2">
      <c r="A2224" s="373" t="s">
        <v>187</v>
      </c>
      <c r="B2224" s="279" t="s">
        <v>188</v>
      </c>
      <c r="C2224" s="298" t="s">
        <v>5081</v>
      </c>
      <c r="D2224" s="94"/>
      <c r="E2224" s="84" t="s">
        <v>5082</v>
      </c>
      <c r="F2224" s="84" t="s">
        <v>1834</v>
      </c>
      <c r="G2224" s="68" t="s">
        <v>637</v>
      </c>
      <c r="H2224" s="68" t="s">
        <v>1119</v>
      </c>
      <c r="I2224" s="68" t="s">
        <v>52</v>
      </c>
      <c r="J2224" s="140" t="s">
        <v>53</v>
      </c>
      <c r="K2224" s="68" t="s">
        <v>69</v>
      </c>
      <c r="L2224" s="68" t="s">
        <v>73</v>
      </c>
      <c r="M2224" s="93">
        <v>2950</v>
      </c>
      <c r="N2224" s="71"/>
      <c r="O2224" s="68" t="s">
        <v>56</v>
      </c>
      <c r="P2224" s="68"/>
      <c r="Q2224" s="68"/>
      <c r="R2224" s="68"/>
      <c r="S2224" s="623"/>
      <c r="T2224" s="623"/>
      <c r="U2224" s="623"/>
      <c r="V2224" s="66"/>
      <c r="W2224" s="66"/>
      <c r="X2224" s="189"/>
      <c r="Y2224" s="68"/>
      <c r="Z2224" s="68"/>
      <c r="AA2224" s="699"/>
      <c r="AB2224" s="297"/>
      <c r="AC2224" s="74"/>
      <c r="AD2224" s="118"/>
      <c r="AE2224" s="126"/>
      <c r="AF2224" s="73"/>
      <c r="AG2224" s="84"/>
      <c r="AH2224" s="498">
        <f t="shared" si="797"/>
        <v>147.5</v>
      </c>
      <c r="AI2224" s="498"/>
      <c r="AJ2224" s="126"/>
      <c r="AK2224" s="650">
        <f t="shared" si="799"/>
        <v>1</v>
      </c>
      <c r="AL2224" s="225" t="e">
        <f>Table1[[#This Row],[WSP/Dealer]]/Table1[[#This Row],[OD Sq Inch]]</f>
        <v>#DIV/0!</v>
      </c>
      <c r="AM2224" s="119"/>
      <c r="AN2224" s="84"/>
      <c r="AO2224" s="84"/>
      <c r="AP2224" s="84"/>
      <c r="AQ2224" s="126"/>
      <c r="AR2224" s="126"/>
      <c r="AS2224" s="126"/>
      <c r="AT2224" s="74"/>
      <c r="AU2224" s="1357" t="str">
        <f t="shared" si="798"/>
        <v>-</v>
      </c>
    </row>
    <row r="2225" spans="1:47" s="170" customFormat="1" hidden="1" x14ac:dyDescent="0.2">
      <c r="A2225" s="373" t="s">
        <v>187</v>
      </c>
      <c r="B2225" s="279" t="s">
        <v>188</v>
      </c>
      <c r="C2225" s="78" t="s">
        <v>5083</v>
      </c>
      <c r="D2225" s="94"/>
      <c r="E2225" s="84" t="s">
        <v>5082</v>
      </c>
      <c r="F2225" s="84" t="s">
        <v>1834</v>
      </c>
      <c r="G2225" s="68" t="s">
        <v>637</v>
      </c>
      <c r="H2225" s="68" t="s">
        <v>637</v>
      </c>
      <c r="I2225" s="68" t="s">
        <v>52</v>
      </c>
      <c r="J2225" s="140" t="s">
        <v>53</v>
      </c>
      <c r="K2225" s="68" t="s">
        <v>54</v>
      </c>
      <c r="L2225" s="68" t="s">
        <v>55</v>
      </c>
      <c r="M2225" s="93">
        <v>2550</v>
      </c>
      <c r="N2225" s="71"/>
      <c r="O2225" s="68" t="s">
        <v>56</v>
      </c>
      <c r="P2225" s="68"/>
      <c r="Q2225" s="68"/>
      <c r="R2225" s="68"/>
      <c r="S2225" s="623"/>
      <c r="T2225" s="65"/>
      <c r="U2225" s="65"/>
      <c r="V2225" s="917"/>
      <c r="W2225" s="917"/>
      <c r="X2225" s="189"/>
      <c r="Y2225" s="68"/>
      <c r="Z2225" s="68"/>
      <c r="AA2225" s="699"/>
      <c r="AB2225" s="297"/>
      <c r="AC2225" s="74"/>
      <c r="AD2225" s="118"/>
      <c r="AE2225" s="126"/>
      <c r="AF2225" s="73"/>
      <c r="AG2225" s="84"/>
      <c r="AH2225" s="498">
        <f t="shared" si="797"/>
        <v>127.5</v>
      </c>
      <c r="AI2225" s="498"/>
      <c r="AJ2225" s="126"/>
      <c r="AK2225" s="650">
        <f t="shared" si="799"/>
        <v>1</v>
      </c>
      <c r="AL2225" s="225" t="e">
        <f>Table1[[#This Row],[WSP/Dealer]]/Table1[[#This Row],[OD Sq Inch]]</f>
        <v>#DIV/0!</v>
      </c>
      <c r="AM2225" s="119"/>
      <c r="AN2225" s="84"/>
      <c r="AO2225" s="119"/>
      <c r="AP2225" s="84"/>
      <c r="AQ2225" s="126"/>
      <c r="AR2225" s="126"/>
      <c r="AS2225" s="126"/>
      <c r="AT2225" s="74"/>
      <c r="AU2225" s="1356" t="str">
        <f t="shared" si="798"/>
        <v>-</v>
      </c>
    </row>
    <row r="2226" spans="1:47" s="170" customFormat="1" hidden="1" x14ac:dyDescent="0.2">
      <c r="A2226" s="373" t="s">
        <v>187</v>
      </c>
      <c r="B2226" s="1061" t="s">
        <v>188</v>
      </c>
      <c r="C2226" s="298" t="s">
        <v>5084</v>
      </c>
      <c r="D2226" s="94"/>
      <c r="E2226" s="84" t="s">
        <v>5082</v>
      </c>
      <c r="F2226" s="84" t="s">
        <v>1834</v>
      </c>
      <c r="G2226" s="68" t="s">
        <v>637</v>
      </c>
      <c r="H2226" s="68" t="s">
        <v>1119</v>
      </c>
      <c r="I2226" s="68" t="s">
        <v>52</v>
      </c>
      <c r="J2226" s="140" t="s">
        <v>53</v>
      </c>
      <c r="K2226" s="68" t="s">
        <v>69</v>
      </c>
      <c r="L2226" s="68" t="s">
        <v>70</v>
      </c>
      <c r="M2226" s="93">
        <v>2950</v>
      </c>
      <c r="N2226" s="71"/>
      <c r="O2226" s="68" t="s">
        <v>56</v>
      </c>
      <c r="P2226" s="68"/>
      <c r="Q2226" s="68"/>
      <c r="R2226" s="68"/>
      <c r="S2226" s="623"/>
      <c r="T2226" s="623"/>
      <c r="U2226" s="623"/>
      <c r="V2226" s="66"/>
      <c r="W2226" s="66"/>
      <c r="X2226" s="189"/>
      <c r="Y2226" s="68"/>
      <c r="Z2226" s="68"/>
      <c r="AA2226" s="699"/>
      <c r="AB2226" s="297"/>
      <c r="AC2226" s="74"/>
      <c r="AD2226" s="118"/>
      <c r="AE2226" s="126"/>
      <c r="AF2226" s="73"/>
      <c r="AG2226" s="84"/>
      <c r="AH2226" s="112">
        <f t="shared" si="797"/>
        <v>147.5</v>
      </c>
      <c r="AI2226" s="112"/>
      <c r="AJ2226" s="118"/>
      <c r="AK2226" s="62">
        <f t="shared" si="799"/>
        <v>1</v>
      </c>
      <c r="AL2226" s="225" t="e">
        <f>Table1[[#This Row],[WSP/Dealer]]/Table1[[#This Row],[OD Sq Inch]]</f>
        <v>#DIV/0!</v>
      </c>
      <c r="AM2226" s="119"/>
      <c r="AN2226" s="84"/>
      <c r="AO2226" s="84"/>
      <c r="AP2226" s="84"/>
      <c r="AQ2226" s="126"/>
      <c r="AR2226" s="126"/>
      <c r="AS2226" s="126"/>
      <c r="AT2226" s="74"/>
      <c r="AU2226" s="1357" t="str">
        <f t="shared" si="798"/>
        <v>-</v>
      </c>
    </row>
    <row r="2227" spans="1:47" s="170" customFormat="1" x14ac:dyDescent="0.2">
      <c r="A2227" s="86" t="s">
        <v>58</v>
      </c>
      <c r="B2227" s="279" t="s">
        <v>406</v>
      </c>
      <c r="C2227" s="100" t="s">
        <v>5085</v>
      </c>
      <c r="D2227" s="94" t="s">
        <v>5086</v>
      </c>
      <c r="E2227" s="85" t="s">
        <v>5087</v>
      </c>
      <c r="F2227" s="85" t="s">
        <v>1834</v>
      </c>
      <c r="G2227" s="86" t="s">
        <v>296</v>
      </c>
      <c r="H2227" s="86" t="s">
        <v>296</v>
      </c>
      <c r="I2227" s="86" t="s">
        <v>52</v>
      </c>
      <c r="J2227" s="86" t="s">
        <v>53</v>
      </c>
      <c r="K2227" s="86" t="s">
        <v>54</v>
      </c>
      <c r="L2227" s="86" t="s">
        <v>55</v>
      </c>
      <c r="M2227" s="87">
        <v>1540</v>
      </c>
      <c r="N2227" s="639">
        <v>1540</v>
      </c>
      <c r="O2227" s="101" t="s">
        <v>64</v>
      </c>
      <c r="P2227" s="101">
        <v>80</v>
      </c>
      <c r="Q2227" s="101">
        <v>64</v>
      </c>
      <c r="R2227" s="60">
        <v>64</v>
      </c>
      <c r="S2227" s="273">
        <v>80</v>
      </c>
      <c r="T2227" s="61">
        <f>Table1[[#This Row],[VO Wdth]]</f>
        <v>80</v>
      </c>
      <c r="U2227" s="61">
        <f>Table1[[#This Row],[VO Hgt]]</f>
        <v>64</v>
      </c>
      <c r="V2227" s="106">
        <f>IF(J2227="Canvas",P2227+BorderL,P2227)</f>
        <v>91</v>
      </c>
      <c r="W2227" s="106">
        <f>IF(J2227="Canvas",Q2227+BorderL,Q2227)</f>
        <v>75</v>
      </c>
      <c r="X2227" s="137" t="s">
        <v>1462</v>
      </c>
      <c r="Y2227" s="101"/>
      <c r="Z2227" s="101"/>
      <c r="AA2227" s="649">
        <f t="shared" ref="AA2227:AA2234" si="800">V2227*W2227/144</f>
        <v>47.395833333333336</v>
      </c>
      <c r="AB2227" s="125">
        <f>AA2227*Swiss1</f>
        <v>1341.3020833333335</v>
      </c>
      <c r="AC2227" s="104">
        <f>AA2227*Canvas</f>
        <v>31.281250000000004</v>
      </c>
      <c r="AD2227" s="107">
        <f>Table1[[#This Row],[Substrate SF]]*Materials!C$37</f>
        <v>132.70833333333334</v>
      </c>
      <c r="AE2227" s="104">
        <f>IF(Table1[[#This Row],[Work Center]]="SwissQ",Materials!G$37,IF(Table1[[#This Row],[Work Center]]="Inca",Materials!G$29,IF(Table1[[#This Row],[Work Center]]="Canon",Materials!G$49,Materials!G$45)))</f>
        <v>20</v>
      </c>
      <c r="AF2227" s="104">
        <f>'Cali FPS'!C$165</f>
        <v>258.52749999999997</v>
      </c>
      <c r="AG2227" s="115"/>
      <c r="AH2227" s="498">
        <f t="shared" si="797"/>
        <v>77</v>
      </c>
      <c r="AI2227" s="498"/>
      <c r="AJ2227" s="104">
        <f t="shared" ref="AJ2227:AJ2234" si="801">SUM(AC2227:AH2227)</f>
        <v>519.51708333333329</v>
      </c>
      <c r="AK2227" s="650">
        <f t="shared" si="799"/>
        <v>0.66265124458874458</v>
      </c>
      <c r="AL2227" s="225">
        <f>Table1[[#This Row],[WSP/Dealer]]/Table1[[#This Row],[OD Sq Inch]]</f>
        <v>0.30078125</v>
      </c>
      <c r="AM2227" s="46">
        <f>Table1[[#This Row],[OD Wdth]]*Table1[[#This Row],[OD Hgt]]</f>
        <v>5120</v>
      </c>
      <c r="AN2227" s="216">
        <f>Table1[[#This Row],[Min VO]]+Table1[[#This Row],[Max VO]]</f>
        <v>144</v>
      </c>
      <c r="AO2227" s="103"/>
      <c r="AP2227" s="101"/>
      <c r="AQ2227" s="104"/>
      <c r="AR2227" s="104"/>
      <c r="AS2227" s="104"/>
      <c r="AT2227" s="104"/>
      <c r="AU2227" s="830" t="str">
        <f t="shared" si="798"/>
        <v>-</v>
      </c>
    </row>
    <row r="2228" spans="1:47" s="170" customFormat="1" x14ac:dyDescent="0.2">
      <c r="A2228" s="60" t="s">
        <v>581</v>
      </c>
      <c r="B2228" s="1061" t="s">
        <v>292</v>
      </c>
      <c r="C2228" s="76" t="s">
        <v>5088</v>
      </c>
      <c r="D2228" s="79" t="s">
        <v>5089</v>
      </c>
      <c r="E2228" s="83" t="s">
        <v>5090</v>
      </c>
      <c r="F2228" s="83" t="s">
        <v>1834</v>
      </c>
      <c r="G2228" s="60" t="s">
        <v>3592</v>
      </c>
      <c r="H2228" s="60" t="s">
        <v>3698</v>
      </c>
      <c r="I2228" s="60" t="s">
        <v>52</v>
      </c>
      <c r="J2228" s="59" t="s">
        <v>53</v>
      </c>
      <c r="K2228" s="60" t="s">
        <v>82</v>
      </c>
      <c r="L2228" s="60" t="s">
        <v>298</v>
      </c>
      <c r="M2228" s="124">
        <v>1300</v>
      </c>
      <c r="N2228" s="124"/>
      <c r="O2228" s="60" t="s">
        <v>64</v>
      </c>
      <c r="P2228" s="60">
        <v>51</v>
      </c>
      <c r="Q2228" s="60">
        <v>64</v>
      </c>
      <c r="R2228" s="60">
        <v>51</v>
      </c>
      <c r="S2228" s="273">
        <v>64</v>
      </c>
      <c r="T2228" s="273">
        <f>Table1[[#This Row],[VO Wdth]]</f>
        <v>51</v>
      </c>
      <c r="U2228" s="273">
        <f>Table1[[#This Row],[VO Hgt]]</f>
        <v>64</v>
      </c>
      <c r="V2228" s="47">
        <f>IF(J2228="Canvas",P2228+BorderL,P2228)</f>
        <v>62</v>
      </c>
      <c r="W2228" s="47">
        <f>IF(J2228="Canvas",Q2228+BorderL,Q2228)</f>
        <v>75</v>
      </c>
      <c r="X2228" s="60">
        <v>62</v>
      </c>
      <c r="Y2228" s="60">
        <v>62</v>
      </c>
      <c r="Z2228" s="60">
        <v>75</v>
      </c>
      <c r="AA2228" s="717">
        <f t="shared" si="800"/>
        <v>32.291666666666664</v>
      </c>
      <c r="AB2228" s="125">
        <f>AA2228*Swiss1</f>
        <v>913.85416666666663</v>
      </c>
      <c r="AC2228" s="69">
        <f>AA2228*Canvas</f>
        <v>21.3125</v>
      </c>
      <c r="AD2228" s="48">
        <f>Table1[[#This Row],[Substrate SF]]*Materials!C$37</f>
        <v>90.416666666666657</v>
      </c>
      <c r="AE2228" s="69">
        <f>IF(Table1[[#This Row],[Work Center]]="SwissQ",Materials!G$37,IF(Table1[[#This Row],[Work Center]]="Inca",Materials!G$29,IF(Table1[[#This Row],[Work Center]]="Canon",Materials!G$49,Materials!G$45)))</f>
        <v>20</v>
      </c>
      <c r="AF2228" s="72">
        <f>'Cali Frames'!D239</f>
        <v>248.72749999999999</v>
      </c>
      <c r="AG2228" s="540"/>
      <c r="AH2228" s="176">
        <f t="shared" si="797"/>
        <v>65</v>
      </c>
      <c r="AI2228" s="176"/>
      <c r="AJ2228" s="176">
        <f t="shared" si="801"/>
        <v>445.45666666666665</v>
      </c>
      <c r="AK2228" s="1201">
        <f t="shared" si="799"/>
        <v>0.65734102564102559</v>
      </c>
      <c r="AL2228" s="176">
        <f>Table1[[#This Row],[WSP/Dealer]]/Table1[[#This Row],[OD Sq Inch]]</f>
        <v>0.39828431372549017</v>
      </c>
      <c r="AM2228" s="180">
        <f>Table1[[#This Row],[OD Wdth]]*Table1[[#This Row],[OD Hgt]]</f>
        <v>3264</v>
      </c>
      <c r="AN2228" s="180">
        <f>Table1[[#This Row],[Min VO]]+Table1[[#This Row],[Max VO]]</f>
        <v>115</v>
      </c>
      <c r="AO2228" s="83"/>
      <c r="AP2228" s="83"/>
      <c r="AQ2228" s="540"/>
      <c r="AR2228" s="540"/>
      <c r="AS2228" s="540"/>
      <c r="AT2228" s="69"/>
      <c r="AU2228" s="1361" t="str">
        <f t="shared" si="798"/>
        <v>-</v>
      </c>
    </row>
    <row r="2229" spans="1:47" s="170" customFormat="1" hidden="1" x14ac:dyDescent="0.2">
      <c r="A2229" s="373" t="s">
        <v>187</v>
      </c>
      <c r="B2229" s="1061" t="s">
        <v>188</v>
      </c>
      <c r="C2229" s="78" t="s">
        <v>5091</v>
      </c>
      <c r="D2229" s="94"/>
      <c r="E2229" s="84" t="s">
        <v>5092</v>
      </c>
      <c r="F2229" s="84" t="s">
        <v>1834</v>
      </c>
      <c r="G2229" s="68" t="s">
        <v>637</v>
      </c>
      <c r="H2229" s="68" t="s">
        <v>637</v>
      </c>
      <c r="I2229" s="68" t="s">
        <v>108</v>
      </c>
      <c r="J2229" s="140" t="s">
        <v>197</v>
      </c>
      <c r="K2229" s="68" t="s">
        <v>198</v>
      </c>
      <c r="L2229" s="68" t="s">
        <v>199</v>
      </c>
      <c r="M2229" s="93">
        <v>120</v>
      </c>
      <c r="N2229" s="71"/>
      <c r="O2229" s="68" t="s">
        <v>56</v>
      </c>
      <c r="P2229" s="68">
        <v>60</v>
      </c>
      <c r="Q2229" s="68">
        <v>48</v>
      </c>
      <c r="R2229" s="68">
        <v>48</v>
      </c>
      <c r="S2229" s="63">
        <v>60</v>
      </c>
      <c r="T2229" s="68">
        <v>60</v>
      </c>
      <c r="U2229" s="68">
        <v>48</v>
      </c>
      <c r="V2229" s="277">
        <f>Table1[[#This Row],[VO Wdth]]+Materials!$C$7</f>
        <v>62</v>
      </c>
      <c r="W2229" s="277">
        <f>Table1[[#This Row],[VO Hgt]]+Materials!$C$7</f>
        <v>50</v>
      </c>
      <c r="X2229" s="343" t="s">
        <v>197</v>
      </c>
      <c r="Y2229" s="68"/>
      <c r="Z2229" s="68"/>
      <c r="AA2229" s="699">
        <f t="shared" si="800"/>
        <v>21.527777777777779</v>
      </c>
      <c r="AB2229" s="297">
        <f>AA2229*IncaGR</f>
        <v>21.958333333333336</v>
      </c>
      <c r="AC2229" s="74">
        <f>Table1[[#This Row],[Substrate SF]]*POster</f>
        <v>16.016666666666666</v>
      </c>
      <c r="AD2229" s="208">
        <f>Table1[[#This Row],[Ink g/mL]]*IncaCR</f>
        <v>1.7566666666666668</v>
      </c>
      <c r="AE2229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229" s="73">
        <v>0</v>
      </c>
      <c r="AG2229" s="126">
        <f>Materials!D$76</f>
        <v>10.82</v>
      </c>
      <c r="AH2229" s="112">
        <f t="shared" si="797"/>
        <v>6</v>
      </c>
      <c r="AI2229" s="112"/>
      <c r="AJ2229" s="278">
        <f t="shared" si="801"/>
        <v>44.593333333333334</v>
      </c>
      <c r="AK2229" s="62">
        <f t="shared" si="799"/>
        <v>0.62838888888888889</v>
      </c>
      <c r="AL2229" s="225">
        <f>Table1[[#This Row],[WSP/Dealer]]/Table1[[#This Row],[OD Sq Inch]]</f>
        <v>4.1666666666666664E-2</v>
      </c>
      <c r="AM2229" s="170">
        <f>Table1[[#This Row],[OD Wdth]]*Table1[[#This Row],[OD Hgt]]</f>
        <v>2880</v>
      </c>
      <c r="AN2229" s="84"/>
      <c r="AO2229" s="84"/>
      <c r="AP2229" s="84"/>
      <c r="AQ2229" s="126"/>
      <c r="AR2229" s="126"/>
      <c r="AS2229" s="126"/>
      <c r="AT2229" s="74"/>
      <c r="AU2229" s="1357" t="str">
        <f t="shared" si="798"/>
        <v>-</v>
      </c>
    </row>
    <row r="2230" spans="1:47" s="170" customFormat="1" x14ac:dyDescent="0.2">
      <c r="A2230" s="68" t="s">
        <v>58</v>
      </c>
      <c r="C2230" s="78" t="s">
        <v>5093</v>
      </c>
      <c r="D2230" s="94" t="s">
        <v>5094</v>
      </c>
      <c r="E2230" s="84" t="s">
        <v>5095</v>
      </c>
      <c r="F2230" s="84" t="s">
        <v>1834</v>
      </c>
      <c r="G2230" s="68" t="s">
        <v>5096</v>
      </c>
      <c r="H2230" s="68" t="s">
        <v>5096</v>
      </c>
      <c r="I2230" s="68" t="s">
        <v>52</v>
      </c>
      <c r="J2230" s="68" t="s">
        <v>53</v>
      </c>
      <c r="K2230" s="68" t="s">
        <v>69</v>
      </c>
      <c r="L2230" s="68" t="s">
        <v>70</v>
      </c>
      <c r="M2230" s="141">
        <v>1800</v>
      </c>
      <c r="N2230" s="639">
        <v>1300</v>
      </c>
      <c r="O2230" s="68" t="s">
        <v>64</v>
      </c>
      <c r="P2230" s="63">
        <v>64</v>
      </c>
      <c r="Q2230" s="63">
        <v>51</v>
      </c>
      <c r="R2230" s="68">
        <v>51</v>
      </c>
      <c r="S2230" s="65">
        <v>64</v>
      </c>
      <c r="T2230" s="65">
        <f>Table1[[#This Row],[VO Wdth]]</f>
        <v>64</v>
      </c>
      <c r="U2230" s="65">
        <f>Table1[[#This Row],[VO Hgt]]</f>
        <v>51</v>
      </c>
      <c r="V2230" s="917">
        <f>IF(J2230="Canvas",P2230+BorderL,P2230)</f>
        <v>75</v>
      </c>
      <c r="W2230" s="917">
        <f>IF(J2230="Canvas",Q2230+BorderL,Q2230)</f>
        <v>62</v>
      </c>
      <c r="X2230" s="189" t="s">
        <v>3095</v>
      </c>
      <c r="Y2230" s="68"/>
      <c r="Z2230" s="68"/>
      <c r="AA2230" s="699">
        <f t="shared" si="800"/>
        <v>32.291666666666664</v>
      </c>
      <c r="AB2230" s="297">
        <f>AA2230*Swiss1</f>
        <v>913.85416666666663</v>
      </c>
      <c r="AC2230" s="74">
        <f>AA2230*Canvas</f>
        <v>21.3125</v>
      </c>
      <c r="AD2230" s="67">
        <f>Table1[[#This Row],[Substrate SF]]*Materials!C$37</f>
        <v>90.416666666666657</v>
      </c>
      <c r="AE2230" s="74">
        <f>IF(Table1[[#This Row],[Work Center]]="SwissQ",Materials!G$37,IF(Table1[[#This Row],[Work Center]]="Inca",Materials!G$29,IF(Table1[[#This Row],[Work Center]]="Canon",Materials!G$49,Materials!G$45)))</f>
        <v>20</v>
      </c>
      <c r="AF2230" s="74">
        <v>400</v>
      </c>
      <c r="AG2230" s="84"/>
      <c r="AH2230" s="498">
        <f t="shared" si="797"/>
        <v>90</v>
      </c>
      <c r="AI2230" s="498"/>
      <c r="AJ2230" s="74">
        <f t="shared" si="801"/>
        <v>621.72916666666663</v>
      </c>
      <c r="AK2230" s="650">
        <f t="shared" si="799"/>
        <v>0.65459490740740744</v>
      </c>
      <c r="AL2230" s="225">
        <f>Table1[[#This Row],[WSP/Dealer]]/Table1[[#This Row],[OD Sq Inch]]</f>
        <v>0.55147058823529416</v>
      </c>
      <c r="AM2230" s="63">
        <f>Table1[[#This Row],[OD Wdth]]*Table1[[#This Row],[OD Hgt]]</f>
        <v>3264</v>
      </c>
      <c r="AN2230" s="238">
        <f>Table1[[#This Row],[Min VO]]+Table1[[#This Row],[Max VO]]</f>
        <v>115</v>
      </c>
      <c r="AO2230" s="68"/>
      <c r="AP2230" s="68"/>
      <c r="AQ2230" s="74"/>
      <c r="AR2230" s="74"/>
      <c r="AS2230" s="74"/>
      <c r="AT2230" s="74"/>
      <c r="AU2230" s="1001" t="str">
        <f t="shared" si="798"/>
        <v>-</v>
      </c>
    </row>
    <row r="2231" spans="1:47" s="170" customFormat="1" x14ac:dyDescent="0.2">
      <c r="A2231" s="86" t="s">
        <v>58</v>
      </c>
      <c r="B2231" s="1061" t="s">
        <v>406</v>
      </c>
      <c r="C2231" s="100" t="s">
        <v>5097</v>
      </c>
      <c r="D2231" s="94" t="s">
        <v>5098</v>
      </c>
      <c r="E2231" s="85" t="s">
        <v>5095</v>
      </c>
      <c r="F2231" s="85" t="s">
        <v>1834</v>
      </c>
      <c r="G2231" s="86" t="s">
        <v>5096</v>
      </c>
      <c r="H2231" s="86" t="s">
        <v>5096</v>
      </c>
      <c r="I2231" s="86" t="s">
        <v>52</v>
      </c>
      <c r="J2231" s="86" t="s">
        <v>53</v>
      </c>
      <c r="K2231" s="86" t="s">
        <v>54</v>
      </c>
      <c r="L2231" s="86" t="s">
        <v>55</v>
      </c>
      <c r="M2231" s="87">
        <v>1265</v>
      </c>
      <c r="N2231" s="639">
        <v>1100</v>
      </c>
      <c r="O2231" s="551" t="s">
        <v>64</v>
      </c>
      <c r="P2231" s="101">
        <v>64</v>
      </c>
      <c r="Q2231" s="101">
        <v>51</v>
      </c>
      <c r="R2231" s="60">
        <v>51</v>
      </c>
      <c r="S2231" s="273">
        <v>64</v>
      </c>
      <c r="T2231" s="273">
        <f>Table1[[#This Row],[VO Wdth]]</f>
        <v>64</v>
      </c>
      <c r="U2231" s="273">
        <f>Table1[[#This Row],[VO Hgt]]</f>
        <v>51</v>
      </c>
      <c r="V2231" s="106">
        <f>IF(J2231="Canvas",P2231+BorderL,P2231)</f>
        <v>75</v>
      </c>
      <c r="W2231" s="106">
        <f>IF(J2231="Canvas",Q2231+BorderL,Q2231)</f>
        <v>62</v>
      </c>
      <c r="X2231" s="137" t="s">
        <v>3095</v>
      </c>
      <c r="Y2231" s="101"/>
      <c r="Z2231" s="101"/>
      <c r="AA2231" s="649">
        <f t="shared" si="800"/>
        <v>32.291666666666664</v>
      </c>
      <c r="AB2231" s="125">
        <f>AA2231*Swiss1</f>
        <v>913.85416666666663</v>
      </c>
      <c r="AC2231" s="104">
        <f>AA2231*Canvas</f>
        <v>21.3125</v>
      </c>
      <c r="AD2231" s="107">
        <f>Table1[[#This Row],[Substrate SF]]*Materials!C$37</f>
        <v>90.416666666666657</v>
      </c>
      <c r="AE2231" s="104">
        <f>IF(Table1[[#This Row],[Work Center]]="SwissQ",Materials!G$37,IF(Table1[[#This Row],[Work Center]]="Inca",Materials!G$29,IF(Table1[[#This Row],[Work Center]]="Canon",Materials!G$49,Materials!G$45)))</f>
        <v>20</v>
      </c>
      <c r="AF2231" s="74">
        <f>'Cali FPS'!C$135</f>
        <v>177.32749999999999</v>
      </c>
      <c r="AG2231" s="115"/>
      <c r="AH2231" s="112">
        <f t="shared" si="797"/>
        <v>63.25</v>
      </c>
      <c r="AI2231" s="112"/>
      <c r="AJ2231" s="104">
        <f t="shared" si="801"/>
        <v>372.30666666666662</v>
      </c>
      <c r="AK2231" s="62">
        <f t="shared" si="799"/>
        <v>0.70568642951251648</v>
      </c>
      <c r="AL2231" s="225">
        <f>Table1[[#This Row],[WSP/Dealer]]/Table1[[#This Row],[OD Sq Inch]]</f>
        <v>0.38756127450980393</v>
      </c>
      <c r="AM2231" s="97">
        <f>Table1[[#This Row],[OD Wdth]]*Table1[[#This Row],[OD Hgt]]</f>
        <v>3264</v>
      </c>
      <c r="AN2231" s="216">
        <f>Table1[[#This Row],[Min VO]]+Table1[[#This Row],[Max VO]]</f>
        <v>115</v>
      </c>
      <c r="AO2231" s="103"/>
      <c r="AP2231" s="101"/>
      <c r="AQ2231" s="104"/>
      <c r="AR2231" s="104"/>
      <c r="AS2231" s="104"/>
      <c r="AT2231" s="104"/>
      <c r="AU2231" s="108" t="str">
        <f t="shared" si="798"/>
        <v>-</v>
      </c>
    </row>
    <row r="2232" spans="1:47" s="170" customFormat="1" hidden="1" x14ac:dyDescent="0.2">
      <c r="A2232" s="216" t="s">
        <v>272</v>
      </c>
      <c r="B2232" s="1061" t="s">
        <v>273</v>
      </c>
      <c r="C2232" s="232" t="s">
        <v>5099</v>
      </c>
      <c r="D2232" s="94"/>
      <c r="E2232" s="217" t="s">
        <v>5100</v>
      </c>
      <c r="F2232" s="217" t="s">
        <v>1834</v>
      </c>
      <c r="G2232" s="216" t="s">
        <v>5101</v>
      </c>
      <c r="H2232" s="216" t="s">
        <v>5101</v>
      </c>
      <c r="I2232" s="216" t="s">
        <v>108</v>
      </c>
      <c r="J2232" s="216" t="s">
        <v>53</v>
      </c>
      <c r="K2232" s="216" t="s">
        <v>54</v>
      </c>
      <c r="L2232" s="216" t="s">
        <v>55</v>
      </c>
      <c r="M2232" s="219">
        <v>350</v>
      </c>
      <c r="N2232" s="219"/>
      <c r="O2232" s="216" t="s">
        <v>64</v>
      </c>
      <c r="P2232" s="216">
        <v>60</v>
      </c>
      <c r="Q2232" s="216">
        <v>47</v>
      </c>
      <c r="R2232" s="216">
        <v>47</v>
      </c>
      <c r="S2232" s="626">
        <v>60</v>
      </c>
      <c r="T2232" s="216">
        <f>P2232</f>
        <v>60</v>
      </c>
      <c r="U2232" s="216">
        <f>Q2232</f>
        <v>47</v>
      </c>
      <c r="V2232" s="907">
        <f>IF(J2232="Canvas",P2232+BorderGW,P2232)</f>
        <v>68</v>
      </c>
      <c r="W2232" s="907">
        <f>IF(J2232="Canvas",Q2232+BorderGW,Q2232)</f>
        <v>55</v>
      </c>
      <c r="X2232" s="223" t="s">
        <v>2722</v>
      </c>
      <c r="Y2232" s="216"/>
      <c r="Z2232" s="216"/>
      <c r="AA2232" s="718">
        <f t="shared" si="800"/>
        <v>25.972222222222221</v>
      </c>
      <c r="AB2232" s="233">
        <f>AA2232*SWISSRML</f>
        <v>51.944444444444443</v>
      </c>
      <c r="AC2232" s="225">
        <f>AA2232*Canvas</f>
        <v>17.141666666666666</v>
      </c>
      <c r="AD2232" s="209">
        <f>AA2232*SWISSRC</f>
        <v>5.7138888888888886</v>
      </c>
      <c r="AE2232" s="104">
        <f>IF(Table1[[#This Row],[Work Center]]="SwissQ",Materials!G$37,IF(Table1[[#This Row],[Work Center]]="Inca",Materials!G$29,IF(Table1[[#This Row],[Work Center]]="Canon",Materials!G$49,Materials!G$45)))</f>
        <v>20</v>
      </c>
      <c r="AF2232" s="226">
        <f>'CALI_SONDER '!H29</f>
        <v>142.44999999999999</v>
      </c>
      <c r="AG2232" s="225"/>
      <c r="AH2232" s="498">
        <f t="shared" si="797"/>
        <v>17.5</v>
      </c>
      <c r="AI2232" s="498"/>
      <c r="AJ2232" s="225">
        <f t="shared" si="801"/>
        <v>202.80555555555554</v>
      </c>
      <c r="AK2232" s="650">
        <f t="shared" si="799"/>
        <v>0.42055555555555557</v>
      </c>
      <c r="AL2232" s="225">
        <f>Table1[[#This Row],[WSP/Dealer]]/Table1[[#This Row],[OD Sq Inch]]</f>
        <v>0.12411347517730496</v>
      </c>
      <c r="AM2232" s="46">
        <f>Table1[[#This Row],[OD Wdth]]*Table1[[#This Row],[OD Hgt]]</f>
        <v>2820</v>
      </c>
      <c r="AN2232" s="216">
        <f>Table1[[#This Row],[Min VO]]+Table1[[#This Row],[Max VO]]</f>
        <v>107</v>
      </c>
      <c r="AO2232" s="216" t="s">
        <v>683</v>
      </c>
      <c r="AP2232" s="226"/>
      <c r="AQ2232" s="226"/>
      <c r="AR2232" s="226"/>
      <c r="AS2232" s="226"/>
      <c r="AT2232" s="226"/>
      <c r="AU2232" s="1363" t="str">
        <f t="shared" si="798"/>
        <v>-</v>
      </c>
    </row>
    <row r="2233" spans="1:47" s="170" customFormat="1" x14ac:dyDescent="0.2">
      <c r="A2233" s="145" t="s">
        <v>58</v>
      </c>
      <c r="B2233" s="1061" t="s">
        <v>533</v>
      </c>
      <c r="C2233" s="146" t="s">
        <v>5102</v>
      </c>
      <c r="D2233" s="94" t="s">
        <v>5103</v>
      </c>
      <c r="E2233" s="146" t="s">
        <v>5104</v>
      </c>
      <c r="F2233" s="154" t="s">
        <v>1834</v>
      </c>
      <c r="G2233" s="145" t="s">
        <v>5105</v>
      </c>
      <c r="H2233" s="145" t="s">
        <v>5105</v>
      </c>
      <c r="I2233" s="145" t="s">
        <v>52</v>
      </c>
      <c r="J2233" s="632" t="s">
        <v>53</v>
      </c>
      <c r="K2233" s="145" t="s">
        <v>54</v>
      </c>
      <c r="L2233" s="145" t="s">
        <v>55</v>
      </c>
      <c r="M2233" s="148">
        <v>975</v>
      </c>
      <c r="N2233" s="639">
        <v>1000</v>
      </c>
      <c r="O2233" s="145" t="s">
        <v>64</v>
      </c>
      <c r="P2233" s="145">
        <v>62</v>
      </c>
      <c r="Q2233" s="145">
        <v>48</v>
      </c>
      <c r="R2233" s="145">
        <v>62</v>
      </c>
      <c r="S2233" s="145">
        <v>48</v>
      </c>
      <c r="T2233" s="698">
        <v>62</v>
      </c>
      <c r="U2233" s="698">
        <v>48</v>
      </c>
      <c r="V2233" s="913">
        <f>IF(J2233="Canvas",P2233+Border,P2233)</f>
        <v>70</v>
      </c>
      <c r="W2233" s="913">
        <f>IF(J2233="Canvas",Q2233+Border,Q2233)</f>
        <v>56</v>
      </c>
      <c r="X2233" s="157" t="s">
        <v>2722</v>
      </c>
      <c r="Y2233" s="145"/>
      <c r="Z2233" s="145"/>
      <c r="AA2233" s="722">
        <f t="shared" si="800"/>
        <v>27.222222222222221</v>
      </c>
      <c r="AB2233" s="389">
        <f>AA2233*Swiss1</f>
        <v>770.38888888888891</v>
      </c>
      <c r="AC2233" s="606">
        <f>AA2233*Canvas</f>
        <v>17.966666666666669</v>
      </c>
      <c r="AD2233" s="143">
        <f>Table1[[#This Row],[Substrate SF]]*Materials!C$37</f>
        <v>76.222222222222214</v>
      </c>
      <c r="AE2233" s="104">
        <f>IF(Table1[[#This Row],[Work Center]]="SwissQ",Materials!G$37,IF(Table1[[#This Row],[Work Center]]="Inca",Materials!G$29,IF(Table1[[#This Row],[Work Center]]="Canon",Materials!G$49,Materials!G$45)))</f>
        <v>20</v>
      </c>
      <c r="AF2233" s="635">
        <f>'Cali FPS'!C124</f>
        <v>176.785</v>
      </c>
      <c r="AG2233" s="115"/>
      <c r="AH2233" s="498">
        <f t="shared" si="797"/>
        <v>48.75</v>
      </c>
      <c r="AI2233" s="498"/>
      <c r="AJ2233" s="143">
        <f t="shared" si="801"/>
        <v>339.72388888888889</v>
      </c>
      <c r="AK2233" s="650">
        <f t="shared" si="799"/>
        <v>0.65156524216524214</v>
      </c>
      <c r="AL2233" s="225">
        <f>Table1[[#This Row],[WSP/Dealer]]/Table1[[#This Row],[OD Sq Inch]]</f>
        <v>0.3276209677419355</v>
      </c>
      <c r="AM2233" s="216">
        <f>Table1[[#This Row],[OD Wdth]]*Table1[[#This Row],[OD Hgt]]</f>
        <v>2976</v>
      </c>
      <c r="AN2233" s="216">
        <f>Table1[[#This Row],[Min VO]]+Table1[[#This Row],[Max VO]]</f>
        <v>110</v>
      </c>
      <c r="AO2233" s="147"/>
      <c r="AP2233" s="147"/>
      <c r="AQ2233" s="635"/>
      <c r="AR2233" s="635"/>
      <c r="AS2233" s="635"/>
      <c r="AT2233" s="143"/>
      <c r="AU2233" s="1370" t="str">
        <f t="shared" si="798"/>
        <v>-</v>
      </c>
    </row>
    <row r="2234" spans="1:47" s="170" customFormat="1" x14ac:dyDescent="0.2">
      <c r="A2234" s="145" t="s">
        <v>58</v>
      </c>
      <c r="B2234" s="1061" t="s">
        <v>533</v>
      </c>
      <c r="C2234" s="146" t="s">
        <v>5106</v>
      </c>
      <c r="D2234" s="94" t="s">
        <v>5107</v>
      </c>
      <c r="E2234" s="146" t="s">
        <v>5108</v>
      </c>
      <c r="F2234" s="154" t="s">
        <v>1834</v>
      </c>
      <c r="G2234" s="145" t="s">
        <v>5109</v>
      </c>
      <c r="H2234" s="145" t="s">
        <v>5109</v>
      </c>
      <c r="I2234" s="145" t="s">
        <v>52</v>
      </c>
      <c r="J2234" s="145" t="s">
        <v>53</v>
      </c>
      <c r="K2234" s="145" t="s">
        <v>54</v>
      </c>
      <c r="L2234" s="145" t="s">
        <v>55</v>
      </c>
      <c r="M2234" s="151">
        <v>1425</v>
      </c>
      <c r="N2234" s="639">
        <v>1450</v>
      </c>
      <c r="O2234" s="145" t="s">
        <v>64</v>
      </c>
      <c r="P2234" s="145">
        <v>80</v>
      </c>
      <c r="Q2234" s="145">
        <v>62</v>
      </c>
      <c r="R2234" s="145">
        <v>62</v>
      </c>
      <c r="S2234" s="145">
        <v>80</v>
      </c>
      <c r="T2234" s="698">
        <f>Table1[[#This Row],[VO Wdth]]</f>
        <v>80</v>
      </c>
      <c r="U2234" s="698">
        <f>Table1[[#This Row],[VO Hgt]]</f>
        <v>62</v>
      </c>
      <c r="V2234" s="913">
        <f>IF(J2234="Canvas",P2234+Border,P2234)</f>
        <v>88</v>
      </c>
      <c r="W2234" s="913">
        <f>IF(J2234="Canvas",Q2234+Border,Q2234)</f>
        <v>70</v>
      </c>
      <c r="X2234" s="157">
        <v>82</v>
      </c>
      <c r="Y2234" s="145"/>
      <c r="Z2234" s="145"/>
      <c r="AA2234" s="722">
        <f t="shared" si="800"/>
        <v>42.777777777777779</v>
      </c>
      <c r="AB2234" s="389">
        <f>AA2234*Swiss1</f>
        <v>1210.6111111111111</v>
      </c>
      <c r="AC2234" s="606">
        <f>AA2234*Canvas</f>
        <v>28.233333333333334</v>
      </c>
      <c r="AD2234" s="143">
        <f>Table1[[#This Row],[Substrate SF]]*Materials!C$37</f>
        <v>119.77777777777777</v>
      </c>
      <c r="AE2234" s="104">
        <f>IF(Table1[[#This Row],[Work Center]]="SwissQ",Materials!G$37,IF(Table1[[#This Row],[Work Center]]="Inca",Materials!G$29,IF(Table1[[#This Row],[Work Center]]="Canon",Materials!G$49,Materials!G$45)))</f>
        <v>20</v>
      </c>
      <c r="AF2234" s="143">
        <f>'Cali FPS'!C$164</f>
        <v>254.5025</v>
      </c>
      <c r="AG2234" s="115"/>
      <c r="AH2234" s="112">
        <f t="shared" si="797"/>
        <v>71.25</v>
      </c>
      <c r="AI2234" s="112"/>
      <c r="AJ2234" s="143">
        <f t="shared" si="801"/>
        <v>493.76361111111112</v>
      </c>
      <c r="AK2234" s="62">
        <f t="shared" si="799"/>
        <v>0.65349922027290452</v>
      </c>
      <c r="AL2234" s="225">
        <f>Table1[[#This Row],[WSP/Dealer]]/Table1[[#This Row],[OD Sq Inch]]</f>
        <v>0.28729838709677419</v>
      </c>
      <c r="AM2234" s="101">
        <f>Table1[[#This Row],[OD Wdth]]*Table1[[#This Row],[OD Hgt]]</f>
        <v>4960</v>
      </c>
      <c r="AN2234" s="216">
        <f>Table1[[#This Row],[Min VO]]+Table1[[#This Row],[Max VO]]</f>
        <v>142</v>
      </c>
      <c r="AO2234" s="145"/>
      <c r="AP2234" s="145"/>
      <c r="AQ2234" s="143"/>
      <c r="AR2234" s="143"/>
      <c r="AS2234" s="143"/>
      <c r="AT2234" s="143"/>
      <c r="AU2234" s="1371" t="str">
        <f t="shared" si="798"/>
        <v>-</v>
      </c>
    </row>
    <row r="2235" spans="1:47" s="170" customFormat="1" hidden="1" x14ac:dyDescent="0.2">
      <c r="A2235" s="68"/>
      <c r="B2235" s="1061"/>
      <c r="C2235" s="94" t="s">
        <v>5110</v>
      </c>
      <c r="D2235" s="94"/>
      <c r="E2235" s="84" t="s">
        <v>5111</v>
      </c>
      <c r="F2235" s="84" t="s">
        <v>3036</v>
      </c>
      <c r="G2235" s="68" t="s">
        <v>132</v>
      </c>
      <c r="H2235" s="68"/>
      <c r="I2235" s="68" t="s">
        <v>304</v>
      </c>
      <c r="J2235" s="68" t="s">
        <v>257</v>
      </c>
      <c r="K2235" s="68" t="s">
        <v>258</v>
      </c>
      <c r="L2235" s="68" t="s">
        <v>83</v>
      </c>
      <c r="M2235" s="93"/>
      <c r="N2235" s="71"/>
      <c r="O2235" s="68"/>
      <c r="P2235" s="68"/>
      <c r="Q2235" s="68"/>
      <c r="R2235" s="68"/>
      <c r="S2235" s="68"/>
      <c r="T2235" s="68"/>
      <c r="U2235" s="68"/>
      <c r="V2235" s="917"/>
      <c r="W2235" s="917"/>
      <c r="X2235" s="189"/>
      <c r="Y2235" s="68"/>
      <c r="Z2235" s="68"/>
      <c r="AA2235" s="699"/>
      <c r="AB2235" s="297"/>
      <c r="AC2235" s="74"/>
      <c r="AD2235" s="126"/>
      <c r="AE2235" s="126"/>
      <c r="AF2235" s="73"/>
      <c r="AG2235" s="126"/>
      <c r="AH2235" s="112">
        <f t="shared" si="797"/>
        <v>0</v>
      </c>
      <c r="AI2235" s="112"/>
      <c r="AJ2235" s="126"/>
      <c r="AK2235" s="62" t="e">
        <f t="shared" si="799"/>
        <v>#DIV/0!</v>
      </c>
      <c r="AL2235" s="225" t="e">
        <f>Table1[[#This Row],[WSP/Dealer]]/Table1[[#This Row],[OD Sq Inch]]</f>
        <v>#DIV/0!</v>
      </c>
      <c r="AM2235" s="84"/>
      <c r="AN2235" s="216">
        <f>Table1[[#This Row],[Min VO]]+Table1[[#This Row],[Max VO]]</f>
        <v>0</v>
      </c>
      <c r="AO2235" s="84"/>
      <c r="AP2235" s="84"/>
      <c r="AQ2235" s="126"/>
      <c r="AR2235" s="126"/>
      <c r="AS2235" s="126"/>
      <c r="AT2235" s="74"/>
      <c r="AU2235" s="1357" t="str">
        <f t="shared" si="798"/>
        <v>-</v>
      </c>
    </row>
    <row r="2236" spans="1:47" s="170" customFormat="1" hidden="1" x14ac:dyDescent="0.2">
      <c r="A2236" s="68"/>
      <c r="B2236" s="1061"/>
      <c r="C2236" s="94" t="s">
        <v>5112</v>
      </c>
      <c r="D2236" s="94"/>
      <c r="E2236" s="84" t="s">
        <v>5113</v>
      </c>
      <c r="F2236" s="84" t="s">
        <v>3036</v>
      </c>
      <c r="G2236" s="68" t="s">
        <v>132</v>
      </c>
      <c r="H2236" s="68"/>
      <c r="I2236" s="68" t="s">
        <v>304</v>
      </c>
      <c r="J2236" s="68" t="s">
        <v>257</v>
      </c>
      <c r="K2236" s="68" t="s">
        <v>258</v>
      </c>
      <c r="L2236" s="68" t="s">
        <v>83</v>
      </c>
      <c r="M2236" s="93"/>
      <c r="N2236" s="71"/>
      <c r="O2236" s="68"/>
      <c r="P2236" s="68"/>
      <c r="Q2236" s="68"/>
      <c r="R2236" s="68"/>
      <c r="S2236" s="68"/>
      <c r="T2236" s="68"/>
      <c r="U2236" s="68"/>
      <c r="V2236" s="917"/>
      <c r="W2236" s="917"/>
      <c r="X2236" s="189"/>
      <c r="Y2236" s="68"/>
      <c r="Z2236" s="68"/>
      <c r="AA2236" s="699"/>
      <c r="AB2236" s="297"/>
      <c r="AC2236" s="74"/>
      <c r="AD2236" s="126"/>
      <c r="AE2236" s="126"/>
      <c r="AF2236" s="73"/>
      <c r="AG2236" s="126"/>
      <c r="AH2236" s="112">
        <f t="shared" si="797"/>
        <v>0</v>
      </c>
      <c r="AI2236" s="112"/>
      <c r="AJ2236" s="126"/>
      <c r="AK2236" s="62" t="e">
        <f t="shared" si="799"/>
        <v>#DIV/0!</v>
      </c>
      <c r="AL2236" s="225" t="e">
        <f>Table1[[#This Row],[WSP/Dealer]]/Table1[[#This Row],[OD Sq Inch]]</f>
        <v>#DIV/0!</v>
      </c>
      <c r="AM2236" s="84"/>
      <c r="AN2236" s="216">
        <f>Table1[[#This Row],[Min VO]]+Table1[[#This Row],[Max VO]]</f>
        <v>0</v>
      </c>
      <c r="AO2236" s="84"/>
      <c r="AP2236" s="84"/>
      <c r="AQ2236" s="126"/>
      <c r="AR2236" s="126"/>
      <c r="AS2236" s="126"/>
      <c r="AT2236" s="74"/>
      <c r="AU2236" s="1357" t="str">
        <f t="shared" si="798"/>
        <v>-</v>
      </c>
    </row>
    <row r="2237" spans="1:47" s="170" customFormat="1" x14ac:dyDescent="0.2">
      <c r="A2237" s="60" t="s">
        <v>58</v>
      </c>
      <c r="B2237" s="1061" t="s">
        <v>4794</v>
      </c>
      <c r="C2237" s="123" t="s">
        <v>5114</v>
      </c>
      <c r="D2237" s="94" t="s">
        <v>5115</v>
      </c>
      <c r="E2237" s="83" t="s">
        <v>5116</v>
      </c>
      <c r="F2237" s="83" t="s">
        <v>1834</v>
      </c>
      <c r="G2237" s="60" t="s">
        <v>2194</v>
      </c>
      <c r="H2237" s="60" t="s">
        <v>3136</v>
      </c>
      <c r="I2237" s="238" t="s">
        <v>2028</v>
      </c>
      <c r="J2237" s="60" t="s">
        <v>257</v>
      </c>
      <c r="K2237" s="68" t="s">
        <v>2159</v>
      </c>
      <c r="L2237" s="68" t="s">
        <v>4259</v>
      </c>
      <c r="M2237" s="124">
        <v>470</v>
      </c>
      <c r="N2237" s="639">
        <v>517</v>
      </c>
      <c r="O2237" s="60" t="s">
        <v>260</v>
      </c>
      <c r="P2237" s="60">
        <v>22</v>
      </c>
      <c r="Q2237" s="60">
        <v>30</v>
      </c>
      <c r="R2237" s="60">
        <v>22</v>
      </c>
      <c r="S2237" s="273">
        <v>30</v>
      </c>
      <c r="T2237" s="60">
        <f>Table1[[#This Row],[VO Wdth]]+4</f>
        <v>26</v>
      </c>
      <c r="U2237" s="60">
        <f>Table1[[#This Row],[VO Hgt]]+4</f>
        <v>34</v>
      </c>
      <c r="V2237" s="946">
        <f>Table1[[#This Row],[VO Wdth]]+Materials!$C$50</f>
        <v>24</v>
      </c>
      <c r="W2237" s="946">
        <f>Table1[[#This Row],[VO Hgt]]+Materials!$C$50</f>
        <v>32</v>
      </c>
      <c r="X2237" s="138">
        <v>24</v>
      </c>
      <c r="Y2237" s="60"/>
      <c r="Z2237" s="60"/>
      <c r="AA2237" s="717">
        <f>V2237*W2237/144</f>
        <v>5.333333333333333</v>
      </c>
      <c r="AB2237" s="125">
        <f>AA2237*canonML</f>
        <v>25.599999999999998</v>
      </c>
      <c r="AC2237" s="69">
        <f>Table1[[#This Row],[Print Ht]]*paper24</f>
        <v>4.16</v>
      </c>
      <c r="AD2237" s="48">
        <f>Table1[[#This Row],[Ink g/mL]]*CanonC</f>
        <v>6.9119999999999999</v>
      </c>
      <c r="AE2237" s="104">
        <f>IF(Table1[[#This Row],[Work Center]]="SwissQ",Materials!G$37,IF(Table1[[#This Row],[Work Center]]="Inca",Materials!G$29,IF(Table1[[#This Row],[Work Center]]="Canon",Materials!G$49,Materials!G$45)))</f>
        <v>7</v>
      </c>
      <c r="AF2237" s="69">
        <f>'Cali Frames'!D$590</f>
        <v>136.85</v>
      </c>
      <c r="AG2237" s="115"/>
      <c r="AH2237" s="498">
        <f t="shared" si="797"/>
        <v>23.5</v>
      </c>
      <c r="AI2237" s="498"/>
      <c r="AJ2237" s="69">
        <f>SUM(AC2237:AH2237)</f>
        <v>178.422</v>
      </c>
      <c r="AK2237" s="650">
        <f t="shared" si="799"/>
        <v>0.62037872340425526</v>
      </c>
      <c r="AL2237" s="225">
        <f>Table1[[#This Row],[WSP/Dealer]]/Table1[[#This Row],[OD Sq Inch]]</f>
        <v>0.53167420814479638</v>
      </c>
      <c r="AM2237" s="101">
        <f>Table1[[#This Row],[OD Wdth]]*Table1[[#This Row],[OD Hgt]]</f>
        <v>884</v>
      </c>
      <c r="AN2237" s="216">
        <f>Table1[[#This Row],[Min VO]]+Table1[[#This Row],[Max VO]]</f>
        <v>52</v>
      </c>
      <c r="AO2237" s="60"/>
      <c r="AP2237" s="60"/>
      <c r="AQ2237" s="69"/>
      <c r="AR2237" s="69"/>
      <c r="AS2237" s="69"/>
      <c r="AT2237" s="69"/>
      <c r="AU2237" s="1001" t="str">
        <f t="shared" si="798"/>
        <v>-</v>
      </c>
    </row>
    <row r="2238" spans="1:47" s="170" customFormat="1" x14ac:dyDescent="0.2">
      <c r="A2238" s="60" t="s">
        <v>58</v>
      </c>
      <c r="B2238" s="1061" t="s">
        <v>4794</v>
      </c>
      <c r="C2238" s="123" t="s">
        <v>5117</v>
      </c>
      <c r="D2238" s="94" t="s">
        <v>5118</v>
      </c>
      <c r="E2238" s="83" t="s">
        <v>5119</v>
      </c>
      <c r="F2238" s="83" t="s">
        <v>1834</v>
      </c>
      <c r="G2238" s="60" t="s">
        <v>3167</v>
      </c>
      <c r="H2238" s="60" t="s">
        <v>948</v>
      </c>
      <c r="I2238" s="238" t="s">
        <v>2028</v>
      </c>
      <c r="J2238" s="60" t="s">
        <v>257</v>
      </c>
      <c r="K2238" s="68" t="s">
        <v>2159</v>
      </c>
      <c r="L2238" s="68" t="s">
        <v>4259</v>
      </c>
      <c r="M2238" s="124">
        <v>1200</v>
      </c>
      <c r="N2238" s="639">
        <v>1200</v>
      </c>
      <c r="O2238" s="60" t="s">
        <v>260</v>
      </c>
      <c r="P2238" s="60">
        <v>44</v>
      </c>
      <c r="Q2238" s="60">
        <v>60</v>
      </c>
      <c r="R2238" s="60">
        <v>44</v>
      </c>
      <c r="S2238" s="273">
        <v>60</v>
      </c>
      <c r="T2238" s="60">
        <f>Table1[[#This Row],[VO Wdth]]+4</f>
        <v>48</v>
      </c>
      <c r="U2238" s="60">
        <f>Table1[[#This Row],[VO Hgt]]+4</f>
        <v>64</v>
      </c>
      <c r="V2238" s="47">
        <f>Table1[[#This Row],[VO Wdth]]+Materials!$C$50</f>
        <v>46</v>
      </c>
      <c r="W2238" s="47">
        <f>Table1[[#This Row],[VO Hgt]]+Materials!$C$50</f>
        <v>62</v>
      </c>
      <c r="X2238" s="138">
        <v>60</v>
      </c>
      <c r="Y2238" s="60"/>
      <c r="Z2238" s="60"/>
      <c r="AA2238" s="717">
        <f>V2238*W2238/144</f>
        <v>19.805555555555557</v>
      </c>
      <c r="AB2238" s="125">
        <f>AA2238*canonML</f>
        <v>95.066666666666677</v>
      </c>
      <c r="AC2238" s="69">
        <f>Table1[[#This Row],[Print Ht]]*paper60</f>
        <v>21.080000000000002</v>
      </c>
      <c r="AD2238" s="48">
        <f>Table1[[#This Row],[Ink g/mL]]*CanonC</f>
        <v>25.668000000000003</v>
      </c>
      <c r="AE2238" s="104">
        <f>IF(Table1[[#This Row],[Work Center]]="SwissQ",Materials!G$37,IF(Table1[[#This Row],[Work Center]]="Inca",Materials!G$29,IF(Table1[[#This Row],[Work Center]]="Canon",Materials!G$49,Materials!G$45)))</f>
        <v>7</v>
      </c>
      <c r="AF2238" s="69">
        <f>'Cali Frames'!D$595</f>
        <v>335.14249999999998</v>
      </c>
      <c r="AG2238" s="115"/>
      <c r="AH2238" s="112">
        <f t="shared" si="797"/>
        <v>60</v>
      </c>
      <c r="AI2238" s="112"/>
      <c r="AJ2238" s="69">
        <f>SUM(AC2238:AH2238)</f>
        <v>448.89049999999997</v>
      </c>
      <c r="AK2238" s="62">
        <f t="shared" si="799"/>
        <v>0.62592458333333334</v>
      </c>
      <c r="AL2238" s="225">
        <f>Table1[[#This Row],[WSP/Dealer]]/Table1[[#This Row],[OD Sq Inch]]</f>
        <v>0.390625</v>
      </c>
      <c r="AM2238" s="103">
        <f>Table1[[#This Row],[OD Wdth]]*Table1[[#This Row],[OD Hgt]]</f>
        <v>3072</v>
      </c>
      <c r="AN2238" s="216">
        <f>Table1[[#This Row],[Min VO]]+Table1[[#This Row],[Max VO]]</f>
        <v>104</v>
      </c>
      <c r="AO2238" s="60"/>
      <c r="AP2238" s="60"/>
      <c r="AQ2238" s="69"/>
      <c r="AR2238" s="69"/>
      <c r="AS2238" s="69"/>
      <c r="AT2238" s="69"/>
      <c r="AU2238" s="1001" t="str">
        <f t="shared" si="798"/>
        <v>-</v>
      </c>
    </row>
    <row r="2239" spans="1:47" s="170" customFormat="1" x14ac:dyDescent="0.2">
      <c r="A2239" s="60" t="s">
        <v>58</v>
      </c>
      <c r="B2239" s="1061" t="s">
        <v>4794</v>
      </c>
      <c r="C2239" s="123" t="s">
        <v>5120</v>
      </c>
      <c r="D2239" s="94" t="s">
        <v>5121</v>
      </c>
      <c r="E2239" s="83" t="s">
        <v>5122</v>
      </c>
      <c r="F2239" s="83" t="s">
        <v>1834</v>
      </c>
      <c r="G2239" s="60" t="s">
        <v>2194</v>
      </c>
      <c r="H2239" s="60" t="s">
        <v>3136</v>
      </c>
      <c r="I2239" s="238" t="s">
        <v>2028</v>
      </c>
      <c r="J2239" s="60" t="s">
        <v>257</v>
      </c>
      <c r="K2239" s="68" t="s">
        <v>2159</v>
      </c>
      <c r="L2239" s="68" t="s">
        <v>4259</v>
      </c>
      <c r="M2239" s="124">
        <v>470</v>
      </c>
      <c r="N2239" s="639">
        <v>517</v>
      </c>
      <c r="O2239" s="60" t="s">
        <v>260</v>
      </c>
      <c r="P2239" s="60">
        <v>22</v>
      </c>
      <c r="Q2239" s="60">
        <v>30</v>
      </c>
      <c r="R2239" s="60">
        <v>22</v>
      </c>
      <c r="S2239" s="273">
        <v>30</v>
      </c>
      <c r="T2239" s="60">
        <f>Table1[[#This Row],[VO Wdth]]+4</f>
        <v>26</v>
      </c>
      <c r="U2239" s="60">
        <f>Table1[[#This Row],[VO Hgt]]+4</f>
        <v>34</v>
      </c>
      <c r="V2239" s="47">
        <f>Table1[[#This Row],[VO Wdth]]+Materials!$C$50</f>
        <v>24</v>
      </c>
      <c r="W2239" s="47">
        <f>Table1[[#This Row],[VO Hgt]]+Materials!$C$50</f>
        <v>32</v>
      </c>
      <c r="X2239" s="138">
        <v>24</v>
      </c>
      <c r="Y2239" s="60"/>
      <c r="Z2239" s="60"/>
      <c r="AA2239" s="717">
        <f>V2239*W2239/144</f>
        <v>5.333333333333333</v>
      </c>
      <c r="AB2239" s="125">
        <f>AA2239*canonML</f>
        <v>25.599999999999998</v>
      </c>
      <c r="AC2239" s="69">
        <f>Table1[[#This Row],[Print Ht]]*paper24</f>
        <v>4.16</v>
      </c>
      <c r="AD2239" s="48">
        <f>Table1[[#This Row],[Ink g/mL]]*CanonC</f>
        <v>6.9119999999999999</v>
      </c>
      <c r="AE2239" s="104">
        <f>IF(Table1[[#This Row],[Work Center]]="SwissQ",Materials!G$37,IF(Table1[[#This Row],[Work Center]]="Inca",Materials!G$29,IF(Table1[[#This Row],[Work Center]]="Canon",Materials!G$49,Materials!G$45)))</f>
        <v>7</v>
      </c>
      <c r="AF2239" s="69">
        <f>'Cali Frames'!D$590</f>
        <v>136.85</v>
      </c>
      <c r="AG2239" s="115"/>
      <c r="AH2239" s="112">
        <f t="shared" si="797"/>
        <v>23.5</v>
      </c>
      <c r="AI2239" s="112"/>
      <c r="AJ2239" s="48">
        <f>SUM(AC2239:AH2239)</f>
        <v>178.422</v>
      </c>
      <c r="AK2239" s="62">
        <f t="shared" si="799"/>
        <v>0.62037872340425526</v>
      </c>
      <c r="AL2239" s="225">
        <f>Table1[[#This Row],[WSP/Dealer]]/Table1[[#This Row],[OD Sq Inch]]</f>
        <v>0.53167420814479638</v>
      </c>
      <c r="AM2239" s="218">
        <f>Table1[[#This Row],[OD Wdth]]*Table1[[#This Row],[OD Hgt]]</f>
        <v>884</v>
      </c>
      <c r="AN2239" s="216">
        <f>Table1[[#This Row],[Min VO]]+Table1[[#This Row],[Max VO]]</f>
        <v>52</v>
      </c>
      <c r="AO2239" s="60"/>
      <c r="AP2239" s="60"/>
      <c r="AQ2239" s="69"/>
      <c r="AR2239" s="69"/>
      <c r="AS2239" s="69"/>
      <c r="AT2239" s="69"/>
      <c r="AU2239" s="1001" t="str">
        <f t="shared" si="798"/>
        <v>-</v>
      </c>
    </row>
    <row r="2240" spans="1:47" s="170" customFormat="1" x14ac:dyDescent="0.2">
      <c r="A2240" s="60" t="s">
        <v>58</v>
      </c>
      <c r="B2240" s="1061" t="s">
        <v>4794</v>
      </c>
      <c r="C2240" s="123" t="s">
        <v>5123</v>
      </c>
      <c r="D2240" s="94" t="s">
        <v>5124</v>
      </c>
      <c r="E2240" s="83" t="s">
        <v>5125</v>
      </c>
      <c r="F2240" s="83" t="s">
        <v>1834</v>
      </c>
      <c r="G2240" s="60" t="s">
        <v>3167</v>
      </c>
      <c r="H2240" s="60" t="s">
        <v>948</v>
      </c>
      <c r="I2240" s="238" t="s">
        <v>2028</v>
      </c>
      <c r="J2240" s="60" t="s">
        <v>257</v>
      </c>
      <c r="K2240" s="68" t="s">
        <v>2159</v>
      </c>
      <c r="L2240" s="68" t="s">
        <v>4259</v>
      </c>
      <c r="M2240" s="124">
        <v>1200</v>
      </c>
      <c r="N2240" s="639">
        <v>1200</v>
      </c>
      <c r="O2240" s="60" t="s">
        <v>260</v>
      </c>
      <c r="P2240" s="60">
        <v>44</v>
      </c>
      <c r="Q2240" s="60">
        <v>60</v>
      </c>
      <c r="R2240" s="60">
        <v>44</v>
      </c>
      <c r="S2240" s="61">
        <v>60</v>
      </c>
      <c r="T2240" s="60">
        <f>Table1[[#This Row],[VO Wdth]]+4</f>
        <v>48</v>
      </c>
      <c r="U2240" s="60">
        <f>Table1[[#This Row],[VO Hgt]]+4</f>
        <v>64</v>
      </c>
      <c r="V2240" s="946">
        <f>Table1[[#This Row],[VO Wdth]]+Materials!$C$50</f>
        <v>46</v>
      </c>
      <c r="W2240" s="946">
        <f>Table1[[#This Row],[VO Hgt]]+Materials!$C$50</f>
        <v>62</v>
      </c>
      <c r="X2240" s="138">
        <v>60</v>
      </c>
      <c r="Y2240" s="60"/>
      <c r="Z2240" s="60"/>
      <c r="AA2240" s="717">
        <f>V2240*W2240/144</f>
        <v>19.805555555555557</v>
      </c>
      <c r="AB2240" s="125">
        <f>AA2240*canonML</f>
        <v>95.066666666666677</v>
      </c>
      <c r="AC2240" s="69">
        <f>Table1[[#This Row],[Print Ht]]*paper60</f>
        <v>21.080000000000002</v>
      </c>
      <c r="AD2240" s="48">
        <f>Table1[[#This Row],[Ink g/mL]]*CanonC</f>
        <v>25.668000000000003</v>
      </c>
      <c r="AE2240" s="104">
        <f>IF(Table1[[#This Row],[Work Center]]="SwissQ",Materials!G$37,IF(Table1[[#This Row],[Work Center]]="Inca",Materials!G$29,IF(Table1[[#This Row],[Work Center]]="Canon",Materials!G$49,Materials!G$45)))</f>
        <v>7</v>
      </c>
      <c r="AF2240" s="69">
        <f>'Cali Frames'!D$595</f>
        <v>335.14249999999998</v>
      </c>
      <c r="AG2240" s="115"/>
      <c r="AH2240" s="112">
        <f t="shared" si="797"/>
        <v>60</v>
      </c>
      <c r="AI2240" s="112"/>
      <c r="AJ2240" s="48">
        <f>SUM(AC2240:AH2240)</f>
        <v>448.89049999999997</v>
      </c>
      <c r="AK2240" s="62">
        <f t="shared" si="799"/>
        <v>0.62592458333333334</v>
      </c>
      <c r="AL2240" s="225">
        <f>Table1[[#This Row],[WSP/Dealer]]/Table1[[#This Row],[OD Sq Inch]]</f>
        <v>0.390625</v>
      </c>
      <c r="AM2240" s="103">
        <f>Table1[[#This Row],[OD Wdth]]*Table1[[#This Row],[OD Hgt]]</f>
        <v>3072</v>
      </c>
      <c r="AN2240" s="216">
        <f>Table1[[#This Row],[Min VO]]+Table1[[#This Row],[Max VO]]</f>
        <v>104</v>
      </c>
      <c r="AO2240" s="46"/>
      <c r="AP2240" s="60"/>
      <c r="AQ2240" s="69"/>
      <c r="AR2240" s="69"/>
      <c r="AS2240" s="69"/>
      <c r="AT2240" s="69"/>
      <c r="AU2240" s="661" t="str">
        <f t="shared" si="798"/>
        <v>-</v>
      </c>
    </row>
    <row r="2241" spans="1:47" s="170" customFormat="1" hidden="1" x14ac:dyDescent="0.2">
      <c r="A2241" s="68"/>
      <c r="B2241" s="1061"/>
      <c r="C2241" s="94" t="s">
        <v>5126</v>
      </c>
      <c r="D2241" s="94"/>
      <c r="E2241" s="84" t="s">
        <v>5127</v>
      </c>
      <c r="F2241" s="84" t="s">
        <v>3036</v>
      </c>
      <c r="G2241" s="68" t="s">
        <v>132</v>
      </c>
      <c r="H2241" s="68"/>
      <c r="I2241" s="68" t="s">
        <v>304</v>
      </c>
      <c r="J2241" s="68" t="s">
        <v>257</v>
      </c>
      <c r="K2241" s="68" t="s">
        <v>258</v>
      </c>
      <c r="L2241" s="68" t="s">
        <v>83</v>
      </c>
      <c r="M2241" s="93"/>
      <c r="N2241" s="71"/>
      <c r="O2241" s="68"/>
      <c r="P2241" s="68"/>
      <c r="Q2241" s="68"/>
      <c r="R2241" s="68"/>
      <c r="S2241" s="63"/>
      <c r="T2241" s="63"/>
      <c r="U2241" s="63"/>
      <c r="V2241" s="66"/>
      <c r="W2241" s="66"/>
      <c r="X2241" s="189"/>
      <c r="Y2241" s="68"/>
      <c r="Z2241" s="68"/>
      <c r="AA2241" s="699"/>
      <c r="AB2241" s="297"/>
      <c r="AC2241" s="74"/>
      <c r="AD2241" s="118"/>
      <c r="AE2241" s="126"/>
      <c r="AF2241" s="73"/>
      <c r="AG2241" s="126"/>
      <c r="AH2241" s="112">
        <f t="shared" si="797"/>
        <v>0</v>
      </c>
      <c r="AI2241" s="112"/>
      <c r="AJ2241" s="126"/>
      <c r="AK2241" s="62" t="e">
        <f t="shared" si="799"/>
        <v>#DIV/0!</v>
      </c>
      <c r="AL2241" s="225" t="e">
        <f>Table1[[#This Row],[WSP/Dealer]]/Table1[[#This Row],[OD Sq Inch]]</f>
        <v>#DIV/0!</v>
      </c>
      <c r="AM2241" s="119"/>
      <c r="AN2241" s="216">
        <f>Table1[[#This Row],[Min VO]]+Table1[[#This Row],[Max VO]]</f>
        <v>0</v>
      </c>
      <c r="AO2241" s="84"/>
      <c r="AP2241" s="84"/>
      <c r="AQ2241" s="126"/>
      <c r="AR2241" s="126"/>
      <c r="AS2241" s="126"/>
      <c r="AT2241" s="74"/>
      <c r="AU2241" s="1357" t="str">
        <f t="shared" si="798"/>
        <v>-</v>
      </c>
    </row>
    <row r="2242" spans="1:47" s="170" customFormat="1" x14ac:dyDescent="0.2">
      <c r="A2242" s="60" t="s">
        <v>58</v>
      </c>
      <c r="B2242" s="1061" t="s">
        <v>4794</v>
      </c>
      <c r="C2242" s="123" t="s">
        <v>5128</v>
      </c>
      <c r="D2242" s="94" t="s">
        <v>5129</v>
      </c>
      <c r="E2242" s="83" t="s">
        <v>5130</v>
      </c>
      <c r="F2242" s="83" t="s">
        <v>1834</v>
      </c>
      <c r="G2242" s="60" t="s">
        <v>2194</v>
      </c>
      <c r="H2242" s="60" t="s">
        <v>3136</v>
      </c>
      <c r="I2242" s="238" t="s">
        <v>2028</v>
      </c>
      <c r="J2242" s="60" t="s">
        <v>257</v>
      </c>
      <c r="K2242" s="68" t="s">
        <v>2159</v>
      </c>
      <c r="L2242" s="68" t="s">
        <v>4259</v>
      </c>
      <c r="M2242" s="124">
        <v>470</v>
      </c>
      <c r="N2242" s="639">
        <v>517</v>
      </c>
      <c r="O2242" s="60" t="s">
        <v>260</v>
      </c>
      <c r="P2242" s="60">
        <v>22</v>
      </c>
      <c r="Q2242" s="60">
        <v>30</v>
      </c>
      <c r="R2242" s="60">
        <v>22</v>
      </c>
      <c r="S2242" s="273">
        <v>30</v>
      </c>
      <c r="T2242" s="60">
        <f>Table1[[#This Row],[VO Wdth]]+4</f>
        <v>26</v>
      </c>
      <c r="U2242" s="60">
        <f>Table1[[#This Row],[VO Hgt]]+4</f>
        <v>34</v>
      </c>
      <c r="V2242" s="946">
        <f>Table1[[#This Row],[VO Wdth]]+Materials!$C$50</f>
        <v>24</v>
      </c>
      <c r="W2242" s="946">
        <f>Table1[[#This Row],[VO Hgt]]+Materials!$C$50</f>
        <v>32</v>
      </c>
      <c r="X2242" s="138">
        <v>24</v>
      </c>
      <c r="Y2242" s="60"/>
      <c r="Z2242" s="60"/>
      <c r="AA2242" s="717">
        <f t="shared" ref="AA2242:AA2247" si="802">V2242*W2242/144</f>
        <v>5.333333333333333</v>
      </c>
      <c r="AB2242" s="125">
        <f>AA2242*canonML</f>
        <v>25.599999999999998</v>
      </c>
      <c r="AC2242" s="69">
        <f>Table1[[#This Row],[Print Ht]]*paper24</f>
        <v>4.16</v>
      </c>
      <c r="AD2242" s="69">
        <f>Table1[[#This Row],[Ink g/mL]]*CanonC</f>
        <v>6.9119999999999999</v>
      </c>
      <c r="AE2242" s="104">
        <f>IF(Table1[[#This Row],[Work Center]]="SwissQ",Materials!G$37,IF(Table1[[#This Row],[Work Center]]="Inca",Materials!G$29,IF(Table1[[#This Row],[Work Center]]="Canon",Materials!G$49,Materials!G$45)))</f>
        <v>7</v>
      </c>
      <c r="AF2242" s="69">
        <f>'Cali Frames'!D$590</f>
        <v>136.85</v>
      </c>
      <c r="AG2242" s="115"/>
      <c r="AH2242" s="498">
        <f t="shared" si="797"/>
        <v>23.5</v>
      </c>
      <c r="AI2242" s="498"/>
      <c r="AJ2242" s="69">
        <f t="shared" ref="AJ2242:AJ2247" si="803">SUM(AC2242:AH2242)</f>
        <v>178.422</v>
      </c>
      <c r="AK2242" s="650">
        <f t="shared" si="799"/>
        <v>0.62037872340425526</v>
      </c>
      <c r="AL2242" s="225">
        <f>Table1[[#This Row],[WSP/Dealer]]/Table1[[#This Row],[OD Sq Inch]]</f>
        <v>0.53167420814479638</v>
      </c>
      <c r="AM2242" s="216">
        <f>Table1[[#This Row],[OD Wdth]]*Table1[[#This Row],[OD Hgt]]</f>
        <v>884</v>
      </c>
      <c r="AN2242" s="216">
        <f>Table1[[#This Row],[Min VO]]+Table1[[#This Row],[Max VO]]</f>
        <v>52</v>
      </c>
      <c r="AO2242" s="60"/>
      <c r="AP2242" s="60"/>
      <c r="AQ2242" s="69"/>
      <c r="AR2242" s="69"/>
      <c r="AS2242" s="69"/>
      <c r="AT2242" s="69"/>
      <c r="AU2242" s="1001" t="str">
        <f t="shared" si="798"/>
        <v>-</v>
      </c>
    </row>
    <row r="2243" spans="1:47" s="170" customFormat="1" hidden="1" x14ac:dyDescent="0.2">
      <c r="A2243" s="216" t="s">
        <v>272</v>
      </c>
      <c r="B2243" s="1061" t="s">
        <v>595</v>
      </c>
      <c r="C2243" s="1324" t="s">
        <v>5131</v>
      </c>
      <c r="D2243" s="94"/>
      <c r="E2243" s="217" t="s">
        <v>5132</v>
      </c>
      <c r="F2243" s="217" t="s">
        <v>1834</v>
      </c>
      <c r="G2243" s="216" t="s">
        <v>738</v>
      </c>
      <c r="H2243" s="216" t="s">
        <v>5133</v>
      </c>
      <c r="I2243" s="238" t="s">
        <v>2028</v>
      </c>
      <c r="J2243" s="216" t="s">
        <v>257</v>
      </c>
      <c r="K2243" s="68" t="s">
        <v>2159</v>
      </c>
      <c r="L2243" s="68" t="s">
        <v>4259</v>
      </c>
      <c r="M2243" s="219">
        <v>450</v>
      </c>
      <c r="N2243" s="219"/>
      <c r="O2243" s="216" t="s">
        <v>260</v>
      </c>
      <c r="P2243" s="216">
        <v>36</v>
      </c>
      <c r="Q2243" s="216">
        <v>45</v>
      </c>
      <c r="R2243" s="216">
        <v>36</v>
      </c>
      <c r="S2243" s="626">
        <v>45</v>
      </c>
      <c r="T2243" s="216">
        <v>38</v>
      </c>
      <c r="U2243" s="216">
        <v>47</v>
      </c>
      <c r="V2243" s="222">
        <f>Table1[[#This Row],[VO Wdth]]+Materials!$C$50</f>
        <v>38</v>
      </c>
      <c r="W2243" s="222">
        <f>Table1[[#This Row],[VO Hgt]]+Materials!$C$50</f>
        <v>47</v>
      </c>
      <c r="X2243" s="223">
        <v>44</v>
      </c>
      <c r="Y2243" s="216"/>
      <c r="Z2243" s="216"/>
      <c r="AA2243" s="718">
        <f t="shared" si="802"/>
        <v>12.402777777777779</v>
      </c>
      <c r="AB2243" s="233">
        <f>AA2243*canonML</f>
        <v>59.533333333333331</v>
      </c>
      <c r="AC2243" s="225">
        <f>Table1[[#This Row],[Print Ht]]*paper60</f>
        <v>15.98</v>
      </c>
      <c r="AD2243" s="207">
        <f>Table1[[#This Row],[Ink g/mL]]*CanonC</f>
        <v>16.074000000000002</v>
      </c>
      <c r="AE2243" s="104">
        <f>IF(Table1[[#This Row],[Work Center]]="SwissQ",Materials!G$37,IF(Table1[[#This Row],[Work Center]]="Inca",Materials!G$29,IF(Table1[[#This Row],[Work Center]]="Canon",Materials!G$49,Materials!G$45)))</f>
        <v>7</v>
      </c>
      <c r="AF2243" s="225"/>
      <c r="AG2243" s="115"/>
      <c r="AH2243" s="498">
        <f t="shared" si="797"/>
        <v>22.5</v>
      </c>
      <c r="AI2243" s="498"/>
      <c r="AJ2243" s="225">
        <f t="shared" si="803"/>
        <v>61.554000000000002</v>
      </c>
      <c r="AK2243" s="650">
        <f t="shared" si="799"/>
        <v>0.86321333333333339</v>
      </c>
      <c r="AL2243" s="225">
        <f>Table1[[#This Row],[WSP/Dealer]]/Table1[[#This Row],[OD Sq Inch]]</f>
        <v>0.25195968645016797</v>
      </c>
      <c r="AM2243" s="103">
        <f>Table1[[#This Row],[OD Wdth]]*Table1[[#This Row],[OD Hgt]]</f>
        <v>1786</v>
      </c>
      <c r="AN2243" s="216">
        <f>Table1[[#This Row],[Min VO]]+Table1[[#This Row],[Max VO]]</f>
        <v>81</v>
      </c>
      <c r="AO2243" s="217"/>
      <c r="AP2243" s="217"/>
      <c r="AQ2243" s="986"/>
      <c r="AR2243" s="986"/>
      <c r="AS2243" s="986"/>
      <c r="AT2243" s="225"/>
      <c r="AU2243" s="1365" t="str">
        <f t="shared" si="798"/>
        <v>-</v>
      </c>
    </row>
    <row r="2244" spans="1:47" s="170" customFormat="1" hidden="1" x14ac:dyDescent="0.2">
      <c r="A2244" s="216" t="s">
        <v>272</v>
      </c>
      <c r="B2244" s="1061" t="s">
        <v>595</v>
      </c>
      <c r="C2244" s="1324" t="s">
        <v>5134</v>
      </c>
      <c r="D2244" s="94"/>
      <c r="E2244" s="217" t="s">
        <v>5135</v>
      </c>
      <c r="F2244" s="217" t="s">
        <v>1834</v>
      </c>
      <c r="G2244" s="216" t="s">
        <v>738</v>
      </c>
      <c r="H2244" s="216" t="s">
        <v>5133</v>
      </c>
      <c r="I2244" s="216" t="s">
        <v>108</v>
      </c>
      <c r="J2244" s="216" t="s">
        <v>53</v>
      </c>
      <c r="K2244" s="216" t="s">
        <v>54</v>
      </c>
      <c r="L2244" s="216" t="s">
        <v>55</v>
      </c>
      <c r="M2244" s="219">
        <v>400</v>
      </c>
      <c r="N2244" s="219"/>
      <c r="O2244" s="216" t="s">
        <v>109</v>
      </c>
      <c r="P2244" s="216">
        <v>36</v>
      </c>
      <c r="Q2244" s="216">
        <v>45</v>
      </c>
      <c r="R2244" s="216">
        <v>36</v>
      </c>
      <c r="S2244" s="626">
        <v>45</v>
      </c>
      <c r="T2244" s="216">
        <v>38</v>
      </c>
      <c r="U2244" s="216">
        <v>47</v>
      </c>
      <c r="V2244" s="907">
        <f>IF(J2244="Canvas",P2244+BorderGW,P2244)</f>
        <v>44</v>
      </c>
      <c r="W2244" s="907">
        <f>IF(J2244="Canvas",Q2244+BorderGW,Q2244)</f>
        <v>53</v>
      </c>
      <c r="X2244" s="223">
        <v>53</v>
      </c>
      <c r="Y2244" s="216"/>
      <c r="Z2244" s="216"/>
      <c r="AA2244" s="718">
        <f t="shared" si="802"/>
        <v>16.194444444444443</v>
      </c>
      <c r="AB2244" s="233">
        <f>AA2244*EPSONM</f>
        <v>72.875</v>
      </c>
      <c r="AC2244" s="225">
        <f>AA2244*Canvas</f>
        <v>10.688333333333333</v>
      </c>
      <c r="AD2244" s="225">
        <f>Table1[[#This Row],[Ink g/mL]]*EPSONC</f>
        <v>16.032499999999999</v>
      </c>
      <c r="AE2244" s="104">
        <f>IF(Table1[[#This Row],[Work Center]]="SwissQ",Materials!G$37,IF(Table1[[#This Row],[Work Center]]="Inca",Materials!G$29,IF(Table1[[#This Row],[Work Center]]="Canon",Materials!G$49,Materials!G$45)))</f>
        <v>5</v>
      </c>
      <c r="AF2244" s="225">
        <f>'Cali FPS'!C69</f>
        <v>106.575</v>
      </c>
      <c r="AG2244" s="115"/>
      <c r="AH2244" s="112">
        <f t="shared" si="797"/>
        <v>20</v>
      </c>
      <c r="AI2244" s="112"/>
      <c r="AJ2244" s="225">
        <f t="shared" si="803"/>
        <v>158.29583333333335</v>
      </c>
      <c r="AK2244" s="62">
        <f t="shared" si="799"/>
        <v>0.60426041666666663</v>
      </c>
      <c r="AL2244" s="225">
        <f>Table1[[#This Row],[WSP/Dealer]]/Table1[[#This Row],[OD Sq Inch]]</f>
        <v>0.22396416573348266</v>
      </c>
      <c r="AM2244" s="101">
        <f>Table1[[#This Row],[OD Wdth]]*Table1[[#This Row],[OD Hgt]]</f>
        <v>1786</v>
      </c>
      <c r="AN2244" s="216">
        <f>Table1[[#This Row],[Min VO]]+Table1[[#This Row],[Max VO]]</f>
        <v>81</v>
      </c>
      <c r="AO2244" s="217"/>
      <c r="AP2244" s="217"/>
      <c r="AQ2244" s="986"/>
      <c r="AR2244" s="986"/>
      <c r="AS2244" s="986"/>
      <c r="AT2244" s="225"/>
      <c r="AU2244" s="1363" t="str">
        <f t="shared" si="798"/>
        <v>-</v>
      </c>
    </row>
    <row r="2245" spans="1:47" s="170" customFormat="1" x14ac:dyDescent="0.2">
      <c r="A2245" s="60" t="s">
        <v>58</v>
      </c>
      <c r="B2245" s="1061" t="s">
        <v>4794</v>
      </c>
      <c r="C2245" s="123" t="s">
        <v>5136</v>
      </c>
      <c r="D2245" s="94" t="s">
        <v>5137</v>
      </c>
      <c r="E2245" s="83" t="s">
        <v>5138</v>
      </c>
      <c r="F2245" s="83" t="s">
        <v>1834</v>
      </c>
      <c r="G2245" s="60" t="s">
        <v>3167</v>
      </c>
      <c r="H2245" s="60" t="s">
        <v>948</v>
      </c>
      <c r="I2245" s="238" t="s">
        <v>2028</v>
      </c>
      <c r="J2245" s="60" t="s">
        <v>257</v>
      </c>
      <c r="K2245" s="68" t="s">
        <v>2159</v>
      </c>
      <c r="L2245" s="68" t="s">
        <v>4259</v>
      </c>
      <c r="M2245" s="124">
        <v>1200</v>
      </c>
      <c r="N2245" s="639">
        <v>1200</v>
      </c>
      <c r="O2245" s="60" t="s">
        <v>260</v>
      </c>
      <c r="P2245" s="60">
        <v>44</v>
      </c>
      <c r="Q2245" s="60">
        <v>60</v>
      </c>
      <c r="R2245" s="60">
        <v>44</v>
      </c>
      <c r="S2245" s="273">
        <v>60</v>
      </c>
      <c r="T2245" s="60">
        <f>Table1[[#This Row],[VO Wdth]]+4</f>
        <v>48</v>
      </c>
      <c r="U2245" s="60">
        <f>Table1[[#This Row],[VO Hgt]]+4</f>
        <v>64</v>
      </c>
      <c r="V2245" s="47">
        <f>Table1[[#This Row],[VO Wdth]]+Materials!$C$50</f>
        <v>46</v>
      </c>
      <c r="W2245" s="47">
        <f>Table1[[#This Row],[VO Hgt]]+Materials!$C$50</f>
        <v>62</v>
      </c>
      <c r="X2245" s="138">
        <v>60</v>
      </c>
      <c r="Y2245" s="60"/>
      <c r="Z2245" s="60"/>
      <c r="AA2245" s="717">
        <f t="shared" si="802"/>
        <v>19.805555555555557</v>
      </c>
      <c r="AB2245" s="125">
        <f>AA2245*canonML</f>
        <v>95.066666666666677</v>
      </c>
      <c r="AC2245" s="69">
        <f>Table1[[#This Row],[Print Ht]]*paper60</f>
        <v>21.080000000000002</v>
      </c>
      <c r="AD2245" s="48">
        <f>Table1[[#This Row],[Ink g/mL]]*CanonC</f>
        <v>25.668000000000003</v>
      </c>
      <c r="AE2245" s="104">
        <f>IF(Table1[[#This Row],[Work Center]]="SwissQ",Materials!G$37,IF(Table1[[#This Row],[Work Center]]="Inca",Materials!G$29,IF(Table1[[#This Row],[Work Center]]="Canon",Materials!G$49,Materials!G$45)))</f>
        <v>7</v>
      </c>
      <c r="AF2245" s="69">
        <f>'Cali Frames'!D$595</f>
        <v>335.14249999999998</v>
      </c>
      <c r="AG2245" s="115"/>
      <c r="AH2245" s="498">
        <f t="shared" si="797"/>
        <v>60</v>
      </c>
      <c r="AI2245" s="498"/>
      <c r="AJ2245" s="69">
        <f t="shared" si="803"/>
        <v>448.89049999999997</v>
      </c>
      <c r="AK2245" s="650">
        <f t="shared" si="799"/>
        <v>0.62592458333333334</v>
      </c>
      <c r="AL2245" s="225">
        <f>Table1[[#This Row],[WSP/Dealer]]/Table1[[#This Row],[OD Sq Inch]]</f>
        <v>0.390625</v>
      </c>
      <c r="AM2245" s="103">
        <f>Table1[[#This Row],[OD Wdth]]*Table1[[#This Row],[OD Hgt]]</f>
        <v>3072</v>
      </c>
      <c r="AN2245" s="216">
        <f>Table1[[#This Row],[Min VO]]+Table1[[#This Row],[Max VO]]</f>
        <v>104</v>
      </c>
      <c r="AO2245" s="60"/>
      <c r="AP2245" s="60"/>
      <c r="AQ2245" s="69"/>
      <c r="AR2245" s="69"/>
      <c r="AS2245" s="69"/>
      <c r="AT2245" s="69"/>
      <c r="AU2245" s="1001" t="str">
        <f t="shared" si="798"/>
        <v>-</v>
      </c>
    </row>
    <row r="2246" spans="1:47" s="170" customFormat="1" x14ac:dyDescent="0.2">
      <c r="A2246" s="60" t="s">
        <v>58</v>
      </c>
      <c r="B2246" s="1061" t="s">
        <v>4794</v>
      </c>
      <c r="C2246" s="123" t="s">
        <v>5139</v>
      </c>
      <c r="D2246" s="94" t="s">
        <v>5140</v>
      </c>
      <c r="E2246" s="83" t="s">
        <v>5141</v>
      </c>
      <c r="F2246" s="83" t="s">
        <v>1834</v>
      </c>
      <c r="G2246" s="60" t="s">
        <v>2194</v>
      </c>
      <c r="H2246" s="60" t="s">
        <v>3136</v>
      </c>
      <c r="I2246" s="238" t="s">
        <v>2028</v>
      </c>
      <c r="J2246" s="60" t="s">
        <v>257</v>
      </c>
      <c r="K2246" s="68" t="s">
        <v>2159</v>
      </c>
      <c r="L2246" s="68" t="s">
        <v>4259</v>
      </c>
      <c r="M2246" s="124">
        <v>470</v>
      </c>
      <c r="N2246" s="639">
        <v>517</v>
      </c>
      <c r="O2246" s="60" t="s">
        <v>260</v>
      </c>
      <c r="P2246" s="60">
        <v>22</v>
      </c>
      <c r="Q2246" s="60">
        <v>30</v>
      </c>
      <c r="R2246" s="60">
        <v>22</v>
      </c>
      <c r="S2246" s="273">
        <v>30</v>
      </c>
      <c r="T2246" s="60">
        <f>Table1[[#This Row],[VO Wdth]]+4</f>
        <v>26</v>
      </c>
      <c r="U2246" s="60">
        <f>Table1[[#This Row],[VO Hgt]]+4</f>
        <v>34</v>
      </c>
      <c r="V2246" s="946">
        <f>Table1[[#This Row],[VO Wdth]]+Materials!$C$50</f>
        <v>24</v>
      </c>
      <c r="W2246" s="946">
        <f>Table1[[#This Row],[VO Hgt]]+Materials!$C$50</f>
        <v>32</v>
      </c>
      <c r="X2246" s="138">
        <v>24</v>
      </c>
      <c r="Y2246" s="60"/>
      <c r="Z2246" s="60"/>
      <c r="AA2246" s="717">
        <f t="shared" si="802"/>
        <v>5.333333333333333</v>
      </c>
      <c r="AB2246" s="125">
        <f>AA2246*canonML</f>
        <v>25.599999999999998</v>
      </c>
      <c r="AC2246" s="69">
        <f>Table1[[#This Row],[Print Ht]]*paper24</f>
        <v>4.16</v>
      </c>
      <c r="AD2246" s="48">
        <f>Table1[[#This Row],[Ink g/mL]]*CanonC</f>
        <v>6.9119999999999999</v>
      </c>
      <c r="AE2246" s="104">
        <f>IF(Table1[[#This Row],[Work Center]]="SwissQ",Materials!G$37,IF(Table1[[#This Row],[Work Center]]="Inca",Materials!G$29,IF(Table1[[#This Row],[Work Center]]="Canon",Materials!G$49,Materials!G$45)))</f>
        <v>7</v>
      </c>
      <c r="AF2246" s="69">
        <f>'Cali Frames'!D$590</f>
        <v>136.85</v>
      </c>
      <c r="AG2246" s="115"/>
      <c r="AH2246" s="498">
        <f t="shared" si="797"/>
        <v>23.5</v>
      </c>
      <c r="AI2246" s="498"/>
      <c r="AJ2246" s="69">
        <f t="shared" si="803"/>
        <v>178.422</v>
      </c>
      <c r="AK2246" s="650">
        <f t="shared" si="799"/>
        <v>0.62037872340425526</v>
      </c>
      <c r="AL2246" s="225">
        <f>Table1[[#This Row],[WSP/Dealer]]/Table1[[#This Row],[OD Sq Inch]]</f>
        <v>0.53167420814479638</v>
      </c>
      <c r="AM2246" s="218">
        <f>Table1[[#This Row],[OD Wdth]]*Table1[[#This Row],[OD Hgt]]</f>
        <v>884</v>
      </c>
      <c r="AN2246" s="216">
        <f>Table1[[#This Row],[Min VO]]+Table1[[#This Row],[Max VO]]</f>
        <v>52</v>
      </c>
      <c r="AO2246" s="60"/>
      <c r="AP2246" s="60"/>
      <c r="AQ2246" s="69"/>
      <c r="AR2246" s="69"/>
      <c r="AS2246" s="69"/>
      <c r="AT2246" s="69"/>
      <c r="AU2246" s="1001" t="str">
        <f t="shared" si="798"/>
        <v>-</v>
      </c>
    </row>
    <row r="2247" spans="1:47" s="170" customFormat="1" x14ac:dyDescent="0.2">
      <c r="A2247" s="60" t="s">
        <v>58</v>
      </c>
      <c r="B2247" s="1061" t="s">
        <v>4794</v>
      </c>
      <c r="C2247" s="123" t="s">
        <v>5142</v>
      </c>
      <c r="D2247" s="94" t="s">
        <v>5143</v>
      </c>
      <c r="E2247" s="83" t="s">
        <v>5144</v>
      </c>
      <c r="F2247" s="83" t="s">
        <v>1834</v>
      </c>
      <c r="G2247" s="60" t="s">
        <v>3167</v>
      </c>
      <c r="H2247" s="60" t="s">
        <v>948</v>
      </c>
      <c r="I2247" s="238" t="s">
        <v>2028</v>
      </c>
      <c r="J2247" s="60" t="s">
        <v>257</v>
      </c>
      <c r="K2247" s="68" t="s">
        <v>2159</v>
      </c>
      <c r="L2247" s="68" t="s">
        <v>4259</v>
      </c>
      <c r="M2247" s="124">
        <v>1200</v>
      </c>
      <c r="N2247" s="639">
        <v>1200</v>
      </c>
      <c r="O2247" s="60" t="s">
        <v>260</v>
      </c>
      <c r="P2247" s="60">
        <v>44</v>
      </c>
      <c r="Q2247" s="60">
        <v>60</v>
      </c>
      <c r="R2247" s="60">
        <v>44</v>
      </c>
      <c r="S2247" s="273">
        <v>60</v>
      </c>
      <c r="T2247" s="60">
        <f>Table1[[#This Row],[VO Wdth]]+4</f>
        <v>48</v>
      </c>
      <c r="U2247" s="60">
        <f>Table1[[#This Row],[VO Hgt]]+4</f>
        <v>64</v>
      </c>
      <c r="V2247" s="946">
        <f>Table1[[#This Row],[VO Wdth]]+Materials!$C$50</f>
        <v>46</v>
      </c>
      <c r="W2247" s="946">
        <f>Table1[[#This Row],[VO Hgt]]+Materials!$C$50</f>
        <v>62</v>
      </c>
      <c r="X2247" s="138">
        <v>60</v>
      </c>
      <c r="Y2247" s="60"/>
      <c r="Z2247" s="60"/>
      <c r="AA2247" s="717">
        <f t="shared" si="802"/>
        <v>19.805555555555557</v>
      </c>
      <c r="AB2247" s="125">
        <f>AA2247*canonML</f>
        <v>95.066666666666677</v>
      </c>
      <c r="AC2247" s="69">
        <f>Table1[[#This Row],[Print Ht]]*paper60</f>
        <v>21.080000000000002</v>
      </c>
      <c r="AD2247" s="48">
        <f>Table1[[#This Row],[Ink g/mL]]*CanonC</f>
        <v>25.668000000000003</v>
      </c>
      <c r="AE2247" s="104">
        <f>IF(Table1[[#This Row],[Work Center]]="SwissQ",Materials!G$37,IF(Table1[[#This Row],[Work Center]]="Inca",Materials!G$29,IF(Table1[[#This Row],[Work Center]]="Canon",Materials!G$49,Materials!G$45)))</f>
        <v>7</v>
      </c>
      <c r="AF2247" s="69">
        <f>'Cali Frames'!D$595</f>
        <v>335.14249999999998</v>
      </c>
      <c r="AG2247" s="115"/>
      <c r="AH2247" s="112">
        <f t="shared" si="797"/>
        <v>60</v>
      </c>
      <c r="AI2247" s="112"/>
      <c r="AJ2247" s="69">
        <f t="shared" si="803"/>
        <v>448.89049999999997</v>
      </c>
      <c r="AK2247" s="62">
        <f t="shared" si="799"/>
        <v>0.62592458333333334</v>
      </c>
      <c r="AL2247" s="225">
        <f>Table1[[#This Row],[WSP/Dealer]]/Table1[[#This Row],[OD Sq Inch]]</f>
        <v>0.390625</v>
      </c>
      <c r="AM2247" s="103">
        <f>Table1[[#This Row],[OD Wdth]]*Table1[[#This Row],[OD Hgt]]</f>
        <v>3072</v>
      </c>
      <c r="AN2247" s="216">
        <f>Table1[[#This Row],[Min VO]]+Table1[[#This Row],[Max VO]]</f>
        <v>104</v>
      </c>
      <c r="AO2247" s="60"/>
      <c r="AP2247" s="60"/>
      <c r="AQ2247" s="69"/>
      <c r="AR2247" s="69"/>
      <c r="AS2247" s="69"/>
      <c r="AT2247" s="69"/>
      <c r="AU2247" s="1001" t="str">
        <f t="shared" si="798"/>
        <v>-</v>
      </c>
    </row>
    <row r="2248" spans="1:47" s="170" customFormat="1" hidden="1" x14ac:dyDescent="0.2">
      <c r="A2248" s="68"/>
      <c r="B2248" s="1061"/>
      <c r="C2248" s="94" t="s">
        <v>5145</v>
      </c>
      <c r="D2248" s="94"/>
      <c r="E2248" s="84" t="s">
        <v>5146</v>
      </c>
      <c r="F2248" s="84" t="s">
        <v>3036</v>
      </c>
      <c r="G2248" s="68" t="s">
        <v>132</v>
      </c>
      <c r="H2248" s="68"/>
      <c r="I2248" s="68" t="s">
        <v>304</v>
      </c>
      <c r="J2248" s="68" t="s">
        <v>257</v>
      </c>
      <c r="K2248" s="68" t="s">
        <v>258</v>
      </c>
      <c r="L2248" s="68" t="s">
        <v>83</v>
      </c>
      <c r="M2248" s="93"/>
      <c r="N2248" s="71"/>
      <c r="O2248" s="68"/>
      <c r="P2248" s="68"/>
      <c r="Q2248" s="68"/>
      <c r="R2248" s="68"/>
      <c r="S2248" s="68"/>
      <c r="T2248" s="68"/>
      <c r="U2248" s="68"/>
      <c r="V2248" s="917"/>
      <c r="W2248" s="917"/>
      <c r="X2248" s="189"/>
      <c r="Y2248" s="68"/>
      <c r="Z2248" s="68"/>
      <c r="AA2248" s="699"/>
      <c r="AB2248" s="297"/>
      <c r="AC2248" s="74"/>
      <c r="AD2248" s="126"/>
      <c r="AE2248" s="126"/>
      <c r="AF2248" s="73"/>
      <c r="AG2248" s="126"/>
      <c r="AH2248" s="112">
        <f t="shared" si="797"/>
        <v>0</v>
      </c>
      <c r="AI2248" s="112"/>
      <c r="AJ2248" s="126"/>
      <c r="AK2248" s="62" t="e">
        <f t="shared" si="799"/>
        <v>#DIV/0!</v>
      </c>
      <c r="AL2248" s="225" t="e">
        <f>Table1[[#This Row],[WSP/Dealer]]/Table1[[#This Row],[OD Sq Inch]]</f>
        <v>#DIV/0!</v>
      </c>
      <c r="AM2248" s="84"/>
      <c r="AN2248" s="216">
        <f>Table1[[#This Row],[Min VO]]+Table1[[#This Row],[Max VO]]</f>
        <v>0</v>
      </c>
      <c r="AO2248" s="84"/>
      <c r="AP2248" s="84"/>
      <c r="AQ2248" s="126"/>
      <c r="AR2248" s="126"/>
      <c r="AS2248" s="126"/>
      <c r="AT2248" s="74"/>
      <c r="AU2248" s="1357" t="str">
        <f t="shared" si="798"/>
        <v>-</v>
      </c>
    </row>
    <row r="2249" spans="1:47" s="170" customFormat="1" x14ac:dyDescent="0.2">
      <c r="A2249" s="60" t="s">
        <v>58</v>
      </c>
      <c r="B2249" s="1061" t="s">
        <v>4794</v>
      </c>
      <c r="C2249" s="123" t="s">
        <v>5147</v>
      </c>
      <c r="D2249" s="94" t="s">
        <v>5148</v>
      </c>
      <c r="E2249" s="83" t="s">
        <v>5149</v>
      </c>
      <c r="F2249" s="83" t="s">
        <v>1834</v>
      </c>
      <c r="G2249" s="60" t="s">
        <v>2194</v>
      </c>
      <c r="H2249" s="60" t="s">
        <v>3136</v>
      </c>
      <c r="I2249" s="238" t="s">
        <v>2028</v>
      </c>
      <c r="J2249" s="60" t="s">
        <v>257</v>
      </c>
      <c r="K2249" s="68" t="s">
        <v>2159</v>
      </c>
      <c r="L2249" s="68" t="s">
        <v>4259</v>
      </c>
      <c r="M2249" s="124">
        <v>470</v>
      </c>
      <c r="N2249" s="639">
        <v>517</v>
      </c>
      <c r="O2249" s="60" t="s">
        <v>260</v>
      </c>
      <c r="P2249" s="60">
        <v>22</v>
      </c>
      <c r="Q2249" s="60">
        <v>30</v>
      </c>
      <c r="R2249" s="60">
        <v>22</v>
      </c>
      <c r="S2249" s="61">
        <v>30</v>
      </c>
      <c r="T2249" s="46">
        <f>Table1[[#This Row],[VO Wdth]]+4</f>
        <v>26</v>
      </c>
      <c r="U2249" s="46">
        <f>Table1[[#This Row],[VO Hgt]]+4</f>
        <v>34</v>
      </c>
      <c r="V2249" s="47">
        <f>Table1[[#This Row],[VO Wdth]]+Materials!$C$50</f>
        <v>24</v>
      </c>
      <c r="W2249" s="47">
        <f>Table1[[#This Row],[VO Hgt]]+Materials!$C$50</f>
        <v>32</v>
      </c>
      <c r="X2249" s="138">
        <v>24</v>
      </c>
      <c r="Y2249" s="60"/>
      <c r="Z2249" s="60"/>
      <c r="AA2249" s="717">
        <f t="shared" ref="AA2249:AA2258" si="804">V2249*W2249/144</f>
        <v>5.333333333333333</v>
      </c>
      <c r="AB2249" s="125">
        <f t="shared" ref="AB2249:AB2258" si="805">AA2249*canonML</f>
        <v>25.599999999999998</v>
      </c>
      <c r="AC2249" s="69">
        <f>Table1[[#This Row],[Print Ht]]*paper24</f>
        <v>4.16</v>
      </c>
      <c r="AD2249" s="48">
        <f>Table1[[#This Row],[Ink g/mL]]*CanonC</f>
        <v>6.9119999999999999</v>
      </c>
      <c r="AE2249" s="104">
        <f>IF(Table1[[#This Row],[Work Center]]="SwissQ",Materials!G$37,IF(Table1[[#This Row],[Work Center]]="Inca",Materials!G$29,IF(Table1[[#This Row],[Work Center]]="Canon",Materials!G$49,Materials!G$45)))</f>
        <v>7</v>
      </c>
      <c r="AF2249" s="69">
        <f>'Cali Frames'!D$590</f>
        <v>136.85</v>
      </c>
      <c r="AG2249" s="115"/>
      <c r="AH2249" s="498">
        <f t="shared" si="797"/>
        <v>23.5</v>
      </c>
      <c r="AI2249" s="498"/>
      <c r="AJ2249" s="69">
        <f t="shared" ref="AJ2249:AJ2275" si="806">SUM(AC2249:AH2249)</f>
        <v>178.422</v>
      </c>
      <c r="AK2249" s="650">
        <f t="shared" si="799"/>
        <v>0.62037872340425526</v>
      </c>
      <c r="AL2249" s="225">
        <f>Table1[[#This Row],[WSP/Dealer]]/Table1[[#This Row],[OD Sq Inch]]</f>
        <v>0.53167420814479638</v>
      </c>
      <c r="AM2249" s="218">
        <f>Table1[[#This Row],[OD Wdth]]*Table1[[#This Row],[OD Hgt]]</f>
        <v>884</v>
      </c>
      <c r="AN2249" s="216">
        <f>Table1[[#This Row],[Min VO]]+Table1[[#This Row],[Max VO]]</f>
        <v>52</v>
      </c>
      <c r="AO2249" s="46"/>
      <c r="AP2249" s="60"/>
      <c r="AQ2249" s="69"/>
      <c r="AR2249" s="69"/>
      <c r="AS2249" s="69"/>
      <c r="AT2249" s="69"/>
      <c r="AU2249" s="661" t="str">
        <f t="shared" si="798"/>
        <v>-</v>
      </c>
    </row>
    <row r="2250" spans="1:47" s="170" customFormat="1" x14ac:dyDescent="0.2">
      <c r="A2250" s="60" t="s">
        <v>58</v>
      </c>
      <c r="B2250" s="1061" t="s">
        <v>4794</v>
      </c>
      <c r="C2250" s="123" t="s">
        <v>5150</v>
      </c>
      <c r="D2250" s="94" t="s">
        <v>5151</v>
      </c>
      <c r="E2250" s="83" t="s">
        <v>5152</v>
      </c>
      <c r="F2250" s="83" t="s">
        <v>1834</v>
      </c>
      <c r="G2250" s="60" t="s">
        <v>3167</v>
      </c>
      <c r="H2250" s="60" t="s">
        <v>948</v>
      </c>
      <c r="I2250" s="238" t="s">
        <v>2028</v>
      </c>
      <c r="J2250" s="60" t="s">
        <v>257</v>
      </c>
      <c r="K2250" s="68" t="s">
        <v>2159</v>
      </c>
      <c r="L2250" s="68" t="s">
        <v>4259</v>
      </c>
      <c r="M2250" s="124">
        <v>1200</v>
      </c>
      <c r="N2250" s="639">
        <v>1200</v>
      </c>
      <c r="O2250" s="60" t="s">
        <v>260</v>
      </c>
      <c r="P2250" s="60">
        <v>44</v>
      </c>
      <c r="Q2250" s="60">
        <v>60</v>
      </c>
      <c r="R2250" s="60">
        <v>44</v>
      </c>
      <c r="S2250" s="273">
        <v>60</v>
      </c>
      <c r="T2250" s="60">
        <f>Table1[[#This Row],[VO Wdth]]+4</f>
        <v>48</v>
      </c>
      <c r="U2250" s="60">
        <f>Table1[[#This Row],[VO Hgt]]+4</f>
        <v>64</v>
      </c>
      <c r="V2250" s="946">
        <f>Table1[[#This Row],[VO Wdth]]+Materials!$C$50</f>
        <v>46</v>
      </c>
      <c r="W2250" s="946">
        <f>Table1[[#This Row],[VO Hgt]]+Materials!$C$50</f>
        <v>62</v>
      </c>
      <c r="X2250" s="138">
        <v>60</v>
      </c>
      <c r="Y2250" s="60"/>
      <c r="Z2250" s="60"/>
      <c r="AA2250" s="717">
        <f t="shared" si="804"/>
        <v>19.805555555555557</v>
      </c>
      <c r="AB2250" s="125">
        <f t="shared" si="805"/>
        <v>95.066666666666677</v>
      </c>
      <c r="AC2250" s="69">
        <f>Table1[[#This Row],[Print Ht]]*paper60</f>
        <v>21.080000000000002</v>
      </c>
      <c r="AD2250" s="69">
        <f>Table1[[#This Row],[Ink g/mL]]*CanonC</f>
        <v>25.668000000000003</v>
      </c>
      <c r="AE2250" s="104">
        <f>IF(Table1[[#This Row],[Work Center]]="SwissQ",Materials!G$37,IF(Table1[[#This Row],[Work Center]]="Inca",Materials!G$29,IF(Table1[[#This Row],[Work Center]]="Canon",Materials!G$49,Materials!G$45)))</f>
        <v>7</v>
      </c>
      <c r="AF2250" s="69">
        <f>'Cali Frames'!D$595</f>
        <v>335.14249999999998</v>
      </c>
      <c r="AG2250" s="115"/>
      <c r="AH2250" s="112">
        <f t="shared" ref="AH2250:AH2277" si="807">(M2250*0.05)</f>
        <v>60</v>
      </c>
      <c r="AI2250" s="112"/>
      <c r="AJ2250" s="69">
        <f t="shared" si="806"/>
        <v>448.89049999999997</v>
      </c>
      <c r="AK2250" s="62">
        <f t="shared" si="799"/>
        <v>0.62592458333333334</v>
      </c>
      <c r="AL2250" s="225">
        <f>Table1[[#This Row],[WSP/Dealer]]/Table1[[#This Row],[OD Sq Inch]]</f>
        <v>0.390625</v>
      </c>
      <c r="AM2250" s="216">
        <f>Table1[[#This Row],[OD Wdth]]*Table1[[#This Row],[OD Hgt]]</f>
        <v>3072</v>
      </c>
      <c r="AN2250" s="216">
        <f>Table1[[#This Row],[Min VO]]+Table1[[#This Row],[Max VO]]</f>
        <v>104</v>
      </c>
      <c r="AO2250" s="60"/>
      <c r="AP2250" s="60"/>
      <c r="AQ2250" s="69"/>
      <c r="AR2250" s="69"/>
      <c r="AS2250" s="69"/>
      <c r="AT2250" s="69"/>
      <c r="AU2250" s="1001" t="str">
        <f t="shared" si="798"/>
        <v>-</v>
      </c>
    </row>
    <row r="2251" spans="1:47" s="170" customFormat="1" x14ac:dyDescent="0.2">
      <c r="A2251" s="60" t="s">
        <v>58</v>
      </c>
      <c r="B2251" s="1061" t="s">
        <v>4794</v>
      </c>
      <c r="C2251" s="123" t="s">
        <v>5153</v>
      </c>
      <c r="D2251" s="94" t="s">
        <v>5154</v>
      </c>
      <c r="E2251" s="83" t="s">
        <v>5155</v>
      </c>
      <c r="F2251" s="83" t="s">
        <v>1834</v>
      </c>
      <c r="G2251" s="60" t="s">
        <v>2194</v>
      </c>
      <c r="H2251" s="60" t="s">
        <v>3136</v>
      </c>
      <c r="I2251" s="238" t="s">
        <v>2028</v>
      </c>
      <c r="J2251" s="60" t="s">
        <v>257</v>
      </c>
      <c r="K2251" s="68" t="s">
        <v>2159</v>
      </c>
      <c r="L2251" s="68" t="s">
        <v>4259</v>
      </c>
      <c r="M2251" s="124">
        <v>470</v>
      </c>
      <c r="N2251" s="639">
        <v>517</v>
      </c>
      <c r="O2251" s="60" t="s">
        <v>260</v>
      </c>
      <c r="P2251" s="60">
        <v>22</v>
      </c>
      <c r="Q2251" s="60">
        <v>30</v>
      </c>
      <c r="R2251" s="60">
        <v>22</v>
      </c>
      <c r="S2251" s="273">
        <v>30</v>
      </c>
      <c r="T2251" s="60">
        <f>Table1[[#This Row],[VO Wdth]]+4</f>
        <v>26</v>
      </c>
      <c r="U2251" s="60">
        <f>Table1[[#This Row],[VO Hgt]]+4</f>
        <v>34</v>
      </c>
      <c r="V2251" s="47">
        <f>Table1[[#This Row],[VO Wdth]]+Materials!$C$50</f>
        <v>24</v>
      </c>
      <c r="W2251" s="47">
        <f>Table1[[#This Row],[VO Hgt]]+Materials!$C$50</f>
        <v>32</v>
      </c>
      <c r="X2251" s="138">
        <v>24</v>
      </c>
      <c r="Y2251" s="60"/>
      <c r="Z2251" s="60"/>
      <c r="AA2251" s="717">
        <f t="shared" si="804"/>
        <v>5.333333333333333</v>
      </c>
      <c r="AB2251" s="125">
        <f t="shared" si="805"/>
        <v>25.599999999999998</v>
      </c>
      <c r="AC2251" s="69">
        <f>Table1[[#This Row],[Print Ht]]*paper24</f>
        <v>4.16</v>
      </c>
      <c r="AD2251" s="48">
        <f>Table1[[#This Row],[Ink g/mL]]*CanonC</f>
        <v>6.9119999999999999</v>
      </c>
      <c r="AE2251" s="104">
        <f>IF(Table1[[#This Row],[Work Center]]="SwissQ",Materials!G$37,IF(Table1[[#This Row],[Work Center]]="Inca",Materials!G$29,IF(Table1[[#This Row],[Work Center]]="Canon",Materials!G$49,Materials!G$45)))</f>
        <v>7</v>
      </c>
      <c r="AF2251" s="69">
        <f>'Cali Frames'!D$590</f>
        <v>136.85</v>
      </c>
      <c r="AG2251" s="115"/>
      <c r="AH2251" s="112">
        <f t="shared" si="807"/>
        <v>23.5</v>
      </c>
      <c r="AI2251" s="112"/>
      <c r="AJ2251" s="69">
        <f t="shared" si="806"/>
        <v>178.422</v>
      </c>
      <c r="AK2251" s="62">
        <f t="shared" si="799"/>
        <v>0.62037872340425526</v>
      </c>
      <c r="AL2251" s="225">
        <f>Table1[[#This Row],[WSP/Dealer]]/Table1[[#This Row],[OD Sq Inch]]</f>
        <v>0.53167420814479638</v>
      </c>
      <c r="AM2251" s="103">
        <f>Table1[[#This Row],[OD Wdth]]*Table1[[#This Row],[OD Hgt]]</f>
        <v>884</v>
      </c>
      <c r="AN2251" s="216">
        <f>Table1[[#This Row],[Min VO]]+Table1[[#This Row],[Max VO]]</f>
        <v>52</v>
      </c>
      <c r="AO2251" s="60"/>
      <c r="AP2251" s="60"/>
      <c r="AQ2251" s="69"/>
      <c r="AR2251" s="69"/>
      <c r="AS2251" s="69"/>
      <c r="AT2251" s="69"/>
      <c r="AU2251" s="1001" t="str">
        <f t="shared" si="798"/>
        <v>-</v>
      </c>
    </row>
    <row r="2252" spans="1:47" s="170" customFormat="1" x14ac:dyDescent="0.2">
      <c r="A2252" s="60" t="s">
        <v>58</v>
      </c>
      <c r="B2252" s="1061" t="s">
        <v>4794</v>
      </c>
      <c r="C2252" s="123" t="s">
        <v>5156</v>
      </c>
      <c r="D2252" s="94" t="s">
        <v>5157</v>
      </c>
      <c r="E2252" s="83" t="s">
        <v>5158</v>
      </c>
      <c r="F2252" s="83" t="s">
        <v>1834</v>
      </c>
      <c r="G2252" s="60" t="s">
        <v>3167</v>
      </c>
      <c r="H2252" s="60" t="s">
        <v>948</v>
      </c>
      <c r="I2252" s="238" t="s">
        <v>2028</v>
      </c>
      <c r="J2252" s="60" t="s">
        <v>257</v>
      </c>
      <c r="K2252" s="68" t="s">
        <v>2159</v>
      </c>
      <c r="L2252" s="68" t="s">
        <v>4259</v>
      </c>
      <c r="M2252" s="124">
        <v>1200</v>
      </c>
      <c r="N2252" s="639">
        <v>1200</v>
      </c>
      <c r="O2252" s="60" t="s">
        <v>260</v>
      </c>
      <c r="P2252" s="60">
        <v>44</v>
      </c>
      <c r="Q2252" s="60">
        <v>60</v>
      </c>
      <c r="R2252" s="60">
        <v>44</v>
      </c>
      <c r="S2252" s="273">
        <v>60</v>
      </c>
      <c r="T2252" s="60">
        <f>Table1[[#This Row],[VO Wdth]]+4</f>
        <v>48</v>
      </c>
      <c r="U2252" s="60">
        <f>Table1[[#This Row],[VO Hgt]]+4</f>
        <v>64</v>
      </c>
      <c r="V2252" s="946">
        <f>Table1[[#This Row],[VO Wdth]]+Materials!$C$50</f>
        <v>46</v>
      </c>
      <c r="W2252" s="946">
        <f>Table1[[#This Row],[VO Hgt]]+Materials!$C$50</f>
        <v>62</v>
      </c>
      <c r="X2252" s="138">
        <v>60</v>
      </c>
      <c r="Y2252" s="60"/>
      <c r="Z2252" s="60"/>
      <c r="AA2252" s="717">
        <f t="shared" si="804"/>
        <v>19.805555555555557</v>
      </c>
      <c r="AB2252" s="125">
        <f t="shared" si="805"/>
        <v>95.066666666666677</v>
      </c>
      <c r="AC2252" s="69">
        <f>Table1[[#This Row],[Print Ht]]*paper60</f>
        <v>21.080000000000002</v>
      </c>
      <c r="AD2252" s="69">
        <f>Table1[[#This Row],[Ink g/mL]]*CanonC</f>
        <v>25.668000000000003</v>
      </c>
      <c r="AE2252" s="104">
        <f>IF(Table1[[#This Row],[Work Center]]="SwissQ",Materials!G$37,IF(Table1[[#This Row],[Work Center]]="Inca",Materials!G$29,IF(Table1[[#This Row],[Work Center]]="Canon",Materials!G$49,Materials!G$45)))</f>
        <v>7</v>
      </c>
      <c r="AF2252" s="69">
        <f>'Cali Frames'!D$595</f>
        <v>335.14249999999998</v>
      </c>
      <c r="AG2252" s="115"/>
      <c r="AH2252" s="498">
        <f t="shared" si="807"/>
        <v>60</v>
      </c>
      <c r="AI2252" s="498"/>
      <c r="AJ2252" s="69">
        <f t="shared" si="806"/>
        <v>448.89049999999997</v>
      </c>
      <c r="AK2252" s="650">
        <f t="shared" si="799"/>
        <v>0.62592458333333334</v>
      </c>
      <c r="AL2252" s="225">
        <f>Table1[[#This Row],[WSP/Dealer]]/Table1[[#This Row],[OD Sq Inch]]</f>
        <v>0.390625</v>
      </c>
      <c r="AM2252" s="216">
        <f>Table1[[#This Row],[OD Wdth]]*Table1[[#This Row],[OD Hgt]]</f>
        <v>3072</v>
      </c>
      <c r="AN2252" s="216">
        <f>Table1[[#This Row],[Min VO]]+Table1[[#This Row],[Max VO]]</f>
        <v>104</v>
      </c>
      <c r="AO2252" s="60"/>
      <c r="AP2252" s="60"/>
      <c r="AQ2252" s="69"/>
      <c r="AR2252" s="69"/>
      <c r="AS2252" s="69"/>
      <c r="AT2252" s="69"/>
      <c r="AU2252" s="1001" t="str">
        <f t="shared" si="798"/>
        <v>-</v>
      </c>
    </row>
    <row r="2253" spans="1:47" s="170" customFormat="1" x14ac:dyDescent="0.2">
      <c r="A2253" s="60" t="s">
        <v>58</v>
      </c>
      <c r="B2253" s="1061" t="s">
        <v>4794</v>
      </c>
      <c r="C2253" s="123" t="s">
        <v>5159</v>
      </c>
      <c r="D2253" s="94" t="s">
        <v>5160</v>
      </c>
      <c r="E2253" s="83" t="s">
        <v>5161</v>
      </c>
      <c r="F2253" s="83" t="s">
        <v>1834</v>
      </c>
      <c r="G2253" s="60" t="s">
        <v>2194</v>
      </c>
      <c r="H2253" s="60" t="s">
        <v>3136</v>
      </c>
      <c r="I2253" s="238" t="s">
        <v>2028</v>
      </c>
      <c r="J2253" s="60" t="s">
        <v>257</v>
      </c>
      <c r="K2253" s="68" t="s">
        <v>2159</v>
      </c>
      <c r="L2253" s="68" t="s">
        <v>4259</v>
      </c>
      <c r="M2253" s="124">
        <v>470</v>
      </c>
      <c r="N2253" s="639">
        <v>517</v>
      </c>
      <c r="O2253" s="60" t="s">
        <v>260</v>
      </c>
      <c r="P2253" s="60">
        <v>22</v>
      </c>
      <c r="Q2253" s="60">
        <v>30</v>
      </c>
      <c r="R2253" s="60">
        <v>22</v>
      </c>
      <c r="S2253" s="273">
        <v>30</v>
      </c>
      <c r="T2253" s="60">
        <f>Table1[[#This Row],[VO Wdth]]+4</f>
        <v>26</v>
      </c>
      <c r="U2253" s="60">
        <f>Table1[[#This Row],[VO Hgt]]+4</f>
        <v>34</v>
      </c>
      <c r="V2253" s="47">
        <f>Table1[[#This Row],[VO Wdth]]+Materials!$C$50</f>
        <v>24</v>
      </c>
      <c r="W2253" s="47">
        <f>Table1[[#This Row],[VO Hgt]]+Materials!$C$50</f>
        <v>32</v>
      </c>
      <c r="X2253" s="138">
        <v>24</v>
      </c>
      <c r="Y2253" s="60"/>
      <c r="Z2253" s="60"/>
      <c r="AA2253" s="717">
        <f t="shared" si="804"/>
        <v>5.333333333333333</v>
      </c>
      <c r="AB2253" s="125">
        <f t="shared" si="805"/>
        <v>25.599999999999998</v>
      </c>
      <c r="AC2253" s="69">
        <f>Table1[[#This Row],[Print Ht]]*paper24</f>
        <v>4.16</v>
      </c>
      <c r="AD2253" s="48">
        <f>Table1[[#This Row],[Ink g/mL]]*CanonC</f>
        <v>6.9119999999999999</v>
      </c>
      <c r="AE2253" s="104">
        <f>IF(Table1[[#This Row],[Work Center]]="SwissQ",Materials!G$37,IF(Table1[[#This Row],[Work Center]]="Inca",Materials!G$29,IF(Table1[[#This Row],[Work Center]]="Canon",Materials!G$49,Materials!G$45)))</f>
        <v>7</v>
      </c>
      <c r="AF2253" s="69">
        <f>'Cali Frames'!D$590</f>
        <v>136.85</v>
      </c>
      <c r="AG2253" s="115"/>
      <c r="AH2253" s="498">
        <f t="shared" si="807"/>
        <v>23.5</v>
      </c>
      <c r="AI2253" s="498"/>
      <c r="AJ2253" s="69">
        <f t="shared" si="806"/>
        <v>178.422</v>
      </c>
      <c r="AK2253" s="650">
        <f t="shared" si="799"/>
        <v>0.62037872340425526</v>
      </c>
      <c r="AL2253" s="225">
        <f>Table1[[#This Row],[WSP/Dealer]]/Table1[[#This Row],[OD Sq Inch]]</f>
        <v>0.53167420814479638</v>
      </c>
      <c r="AM2253" s="97">
        <f>Table1[[#This Row],[OD Wdth]]*Table1[[#This Row],[OD Hgt]]</f>
        <v>884</v>
      </c>
      <c r="AN2253" s="216">
        <f>Table1[[#This Row],[Min VO]]+Table1[[#This Row],[Max VO]]</f>
        <v>52</v>
      </c>
      <c r="AO2253" s="60"/>
      <c r="AP2253" s="60"/>
      <c r="AQ2253" s="69"/>
      <c r="AR2253" s="69"/>
      <c r="AS2253" s="69"/>
      <c r="AT2253" s="69"/>
      <c r="AU2253" s="1001" t="str">
        <f t="shared" si="798"/>
        <v>-</v>
      </c>
    </row>
    <row r="2254" spans="1:47" s="170" customFormat="1" x14ac:dyDescent="0.2">
      <c r="A2254" s="60" t="s">
        <v>58</v>
      </c>
      <c r="B2254" s="1061" t="s">
        <v>4794</v>
      </c>
      <c r="C2254" s="123" t="s">
        <v>5162</v>
      </c>
      <c r="D2254" s="94" t="s">
        <v>5163</v>
      </c>
      <c r="E2254" s="83" t="s">
        <v>5164</v>
      </c>
      <c r="F2254" s="83" t="s">
        <v>1834</v>
      </c>
      <c r="G2254" s="60" t="s">
        <v>3167</v>
      </c>
      <c r="H2254" s="60" t="s">
        <v>948</v>
      </c>
      <c r="I2254" s="238" t="s">
        <v>2028</v>
      </c>
      <c r="J2254" s="60" t="s">
        <v>257</v>
      </c>
      <c r="K2254" s="68" t="s">
        <v>2159</v>
      </c>
      <c r="L2254" s="68" t="s">
        <v>4259</v>
      </c>
      <c r="M2254" s="124">
        <v>1200</v>
      </c>
      <c r="N2254" s="639">
        <v>1200</v>
      </c>
      <c r="O2254" s="60" t="s">
        <v>260</v>
      </c>
      <c r="P2254" s="60">
        <v>44</v>
      </c>
      <c r="Q2254" s="60">
        <v>60</v>
      </c>
      <c r="R2254" s="60">
        <v>44</v>
      </c>
      <c r="S2254" s="273">
        <v>60</v>
      </c>
      <c r="T2254" s="60">
        <f>Table1[[#This Row],[VO Wdth]]+4</f>
        <v>48</v>
      </c>
      <c r="U2254" s="60">
        <f>Table1[[#This Row],[VO Hgt]]+4</f>
        <v>64</v>
      </c>
      <c r="V2254" s="946">
        <f>Table1[[#This Row],[VO Wdth]]+Materials!$C$50</f>
        <v>46</v>
      </c>
      <c r="W2254" s="946">
        <f>Table1[[#This Row],[VO Hgt]]+Materials!$C$50</f>
        <v>62</v>
      </c>
      <c r="X2254" s="138">
        <v>60</v>
      </c>
      <c r="Y2254" s="60"/>
      <c r="Z2254" s="60"/>
      <c r="AA2254" s="717">
        <f t="shared" si="804"/>
        <v>19.805555555555557</v>
      </c>
      <c r="AB2254" s="125">
        <f t="shared" si="805"/>
        <v>95.066666666666677</v>
      </c>
      <c r="AC2254" s="69">
        <f>Table1[[#This Row],[Print Ht]]*paper60</f>
        <v>21.080000000000002</v>
      </c>
      <c r="AD2254" s="48">
        <f>Table1[[#This Row],[Ink g/mL]]*CanonC</f>
        <v>25.668000000000003</v>
      </c>
      <c r="AE2254" s="104">
        <f>IF(Table1[[#This Row],[Work Center]]="SwissQ",Materials!G$37,IF(Table1[[#This Row],[Work Center]]="Inca",Materials!G$29,IF(Table1[[#This Row],[Work Center]]="Canon",Materials!G$49,Materials!G$45)))</f>
        <v>7</v>
      </c>
      <c r="AF2254" s="69">
        <f>'Cali Frames'!D$595</f>
        <v>335.14249999999998</v>
      </c>
      <c r="AG2254" s="115"/>
      <c r="AH2254" s="498">
        <f t="shared" si="807"/>
        <v>60</v>
      </c>
      <c r="AI2254" s="498"/>
      <c r="AJ2254" s="69">
        <f t="shared" si="806"/>
        <v>448.89049999999997</v>
      </c>
      <c r="AK2254" s="650">
        <f t="shared" si="799"/>
        <v>0.62592458333333334</v>
      </c>
      <c r="AL2254" s="225">
        <f>Table1[[#This Row],[WSP/Dealer]]/Table1[[#This Row],[OD Sq Inch]]</f>
        <v>0.390625</v>
      </c>
      <c r="AM2254" s="97">
        <f>Table1[[#This Row],[OD Wdth]]*Table1[[#This Row],[OD Hgt]]</f>
        <v>3072</v>
      </c>
      <c r="AN2254" s="216">
        <f>Table1[[#This Row],[Min VO]]+Table1[[#This Row],[Max VO]]</f>
        <v>104</v>
      </c>
      <c r="AO2254" s="60"/>
      <c r="AP2254" s="60"/>
      <c r="AQ2254" s="69"/>
      <c r="AR2254" s="69"/>
      <c r="AS2254" s="69"/>
      <c r="AT2254" s="69"/>
      <c r="AU2254" s="1001" t="str">
        <f t="shared" si="798"/>
        <v>-</v>
      </c>
    </row>
    <row r="2255" spans="1:47" s="170" customFormat="1" x14ac:dyDescent="0.2">
      <c r="A2255" s="60" t="s">
        <v>58</v>
      </c>
      <c r="B2255" s="1061" t="s">
        <v>4794</v>
      </c>
      <c r="C2255" s="123" t="s">
        <v>5165</v>
      </c>
      <c r="D2255" s="94" t="s">
        <v>5166</v>
      </c>
      <c r="E2255" s="83" t="s">
        <v>5167</v>
      </c>
      <c r="F2255" s="83" t="s">
        <v>1834</v>
      </c>
      <c r="G2255" s="60" t="s">
        <v>2194</v>
      </c>
      <c r="H2255" s="60" t="s">
        <v>3136</v>
      </c>
      <c r="I2255" s="238" t="s">
        <v>2028</v>
      </c>
      <c r="J2255" s="60" t="s">
        <v>257</v>
      </c>
      <c r="K2255" s="68" t="s">
        <v>2159</v>
      </c>
      <c r="L2255" s="68" t="s">
        <v>4259</v>
      </c>
      <c r="M2255" s="124">
        <v>470</v>
      </c>
      <c r="N2255" s="639">
        <v>517</v>
      </c>
      <c r="O2255" s="60" t="s">
        <v>260</v>
      </c>
      <c r="P2255" s="60">
        <v>22</v>
      </c>
      <c r="Q2255" s="60">
        <v>30</v>
      </c>
      <c r="R2255" s="60">
        <v>22</v>
      </c>
      <c r="S2255" s="61">
        <v>30</v>
      </c>
      <c r="T2255" s="60">
        <f>Table1[[#This Row],[VO Wdth]]+4</f>
        <v>26</v>
      </c>
      <c r="U2255" s="60">
        <f>Table1[[#This Row],[VO Hgt]]+4</f>
        <v>34</v>
      </c>
      <c r="V2255" s="47">
        <f>Table1[[#This Row],[VO Wdth]]+Materials!$C$50</f>
        <v>24</v>
      </c>
      <c r="W2255" s="47">
        <f>Table1[[#This Row],[VO Hgt]]+Materials!$C$50</f>
        <v>32</v>
      </c>
      <c r="X2255" s="138">
        <v>24</v>
      </c>
      <c r="Y2255" s="60"/>
      <c r="Z2255" s="60"/>
      <c r="AA2255" s="717">
        <f t="shared" si="804"/>
        <v>5.333333333333333</v>
      </c>
      <c r="AB2255" s="125">
        <f t="shared" si="805"/>
        <v>25.599999999999998</v>
      </c>
      <c r="AC2255" s="69">
        <f>Table1[[#This Row],[Print Ht]]*paper24</f>
        <v>4.16</v>
      </c>
      <c r="AD2255" s="48">
        <f>Table1[[#This Row],[Ink g/mL]]*CanonC</f>
        <v>6.9119999999999999</v>
      </c>
      <c r="AE2255" s="104">
        <f>IF(Table1[[#This Row],[Work Center]]="SwissQ",Materials!G$37,IF(Table1[[#This Row],[Work Center]]="Inca",Materials!G$29,IF(Table1[[#This Row],[Work Center]]="Canon",Materials!G$49,Materials!G$45)))</f>
        <v>7</v>
      </c>
      <c r="AF2255" s="69">
        <f>'Cali Frames'!D$590</f>
        <v>136.85</v>
      </c>
      <c r="AG2255" s="115"/>
      <c r="AH2255" s="112">
        <f t="shared" si="807"/>
        <v>23.5</v>
      </c>
      <c r="AI2255" s="112"/>
      <c r="AJ2255" s="69">
        <f t="shared" si="806"/>
        <v>178.422</v>
      </c>
      <c r="AK2255" s="62">
        <f t="shared" ref="AK2255:AK2286" si="808">(M2255-AJ2255)/M2255</f>
        <v>0.62037872340425526</v>
      </c>
      <c r="AL2255" s="225">
        <f>Table1[[#This Row],[WSP/Dealer]]/Table1[[#This Row],[OD Sq Inch]]</f>
        <v>0.53167420814479638</v>
      </c>
      <c r="AM2255" s="97">
        <f>Table1[[#This Row],[OD Wdth]]*Table1[[#This Row],[OD Hgt]]</f>
        <v>884</v>
      </c>
      <c r="AN2255" s="216">
        <f>Table1[[#This Row],[Min VO]]+Table1[[#This Row],[Max VO]]</f>
        <v>52</v>
      </c>
      <c r="AO2255" s="46"/>
      <c r="AP2255" s="60"/>
      <c r="AQ2255" s="69"/>
      <c r="AR2255" s="69"/>
      <c r="AS2255" s="69"/>
      <c r="AT2255" s="69"/>
      <c r="AU2255" s="661" t="str">
        <f t="shared" si="798"/>
        <v>-</v>
      </c>
    </row>
    <row r="2256" spans="1:47" s="170" customFormat="1" x14ac:dyDescent="0.2">
      <c r="A2256" s="60" t="s">
        <v>58</v>
      </c>
      <c r="B2256" s="1061" t="s">
        <v>4794</v>
      </c>
      <c r="C2256" s="123" t="s">
        <v>5168</v>
      </c>
      <c r="D2256" s="94" t="s">
        <v>5169</v>
      </c>
      <c r="E2256" s="83" t="s">
        <v>5170</v>
      </c>
      <c r="F2256" s="83" t="s">
        <v>1834</v>
      </c>
      <c r="G2256" s="60" t="s">
        <v>3167</v>
      </c>
      <c r="H2256" s="60" t="s">
        <v>948</v>
      </c>
      <c r="I2256" s="238" t="s">
        <v>2028</v>
      </c>
      <c r="J2256" s="60" t="s">
        <v>257</v>
      </c>
      <c r="K2256" s="68" t="s">
        <v>2159</v>
      </c>
      <c r="L2256" s="68" t="s">
        <v>4259</v>
      </c>
      <c r="M2256" s="124">
        <v>1200</v>
      </c>
      <c r="N2256" s="639">
        <v>1200</v>
      </c>
      <c r="O2256" s="60" t="s">
        <v>260</v>
      </c>
      <c r="P2256" s="60">
        <v>44</v>
      </c>
      <c r="Q2256" s="60">
        <v>60</v>
      </c>
      <c r="R2256" s="60">
        <v>44</v>
      </c>
      <c r="S2256" s="273">
        <v>60</v>
      </c>
      <c r="T2256" s="46">
        <f>Table1[[#This Row],[VO Wdth]]+4</f>
        <v>48</v>
      </c>
      <c r="U2256" s="46">
        <f>Table1[[#This Row],[VO Hgt]]+4</f>
        <v>64</v>
      </c>
      <c r="V2256" s="47">
        <f>Table1[[#This Row],[VO Wdth]]+Materials!$C$50</f>
        <v>46</v>
      </c>
      <c r="W2256" s="47">
        <f>Table1[[#This Row],[VO Hgt]]+Materials!$C$50</f>
        <v>62</v>
      </c>
      <c r="X2256" s="138">
        <v>60</v>
      </c>
      <c r="Y2256" s="60"/>
      <c r="Z2256" s="60"/>
      <c r="AA2256" s="717">
        <f t="shared" si="804"/>
        <v>19.805555555555557</v>
      </c>
      <c r="AB2256" s="125">
        <f t="shared" si="805"/>
        <v>95.066666666666677</v>
      </c>
      <c r="AC2256" s="69">
        <f>Table1[[#This Row],[Print Ht]]*paper60</f>
        <v>21.080000000000002</v>
      </c>
      <c r="AD2256" s="48">
        <f>Table1[[#This Row],[Ink g/mL]]*CanonC</f>
        <v>25.668000000000003</v>
      </c>
      <c r="AE2256" s="104">
        <f>IF(Table1[[#This Row],[Work Center]]="SwissQ",Materials!G$37,IF(Table1[[#This Row],[Work Center]]="Inca",Materials!G$29,IF(Table1[[#This Row],[Work Center]]="Canon",Materials!G$49,Materials!G$45)))</f>
        <v>7</v>
      </c>
      <c r="AF2256" s="69">
        <f>'Cali Frames'!D$595</f>
        <v>335.14249999999998</v>
      </c>
      <c r="AG2256" s="115"/>
      <c r="AH2256" s="112">
        <f t="shared" si="807"/>
        <v>60</v>
      </c>
      <c r="AI2256" s="112"/>
      <c r="AJ2256" s="69">
        <f t="shared" si="806"/>
        <v>448.89049999999997</v>
      </c>
      <c r="AK2256" s="62">
        <f t="shared" si="808"/>
        <v>0.62592458333333334</v>
      </c>
      <c r="AL2256" s="225">
        <f>Table1[[#This Row],[WSP/Dealer]]/Table1[[#This Row],[OD Sq Inch]]</f>
        <v>0.390625</v>
      </c>
      <c r="AM2256" s="97">
        <f>Table1[[#This Row],[OD Wdth]]*Table1[[#This Row],[OD Hgt]]</f>
        <v>3072</v>
      </c>
      <c r="AN2256" s="216">
        <f>Table1[[#This Row],[Min VO]]+Table1[[#This Row],[Max VO]]</f>
        <v>104</v>
      </c>
      <c r="AO2256" s="60"/>
      <c r="AP2256" s="60"/>
      <c r="AQ2256" s="69"/>
      <c r="AR2256" s="69"/>
      <c r="AS2256" s="69"/>
      <c r="AT2256" s="69"/>
      <c r="AU2256" s="1001" t="str">
        <f t="shared" si="798"/>
        <v>-</v>
      </c>
    </row>
    <row r="2257" spans="1:47" s="170" customFormat="1" x14ac:dyDescent="0.2">
      <c r="A2257" s="60" t="s">
        <v>58</v>
      </c>
      <c r="B2257" s="1061" t="s">
        <v>4794</v>
      </c>
      <c r="C2257" s="123" t="s">
        <v>5171</v>
      </c>
      <c r="D2257" s="94" t="s">
        <v>5172</v>
      </c>
      <c r="E2257" s="83" t="s">
        <v>5173</v>
      </c>
      <c r="F2257" s="83" t="s">
        <v>1834</v>
      </c>
      <c r="G2257" s="60" t="s">
        <v>2194</v>
      </c>
      <c r="H2257" s="60" t="s">
        <v>3136</v>
      </c>
      <c r="I2257" s="238" t="s">
        <v>2028</v>
      </c>
      <c r="J2257" s="60" t="s">
        <v>257</v>
      </c>
      <c r="K2257" s="68" t="s">
        <v>2159</v>
      </c>
      <c r="L2257" s="68" t="s">
        <v>4259</v>
      </c>
      <c r="M2257" s="124">
        <v>470</v>
      </c>
      <c r="N2257" s="639">
        <v>517</v>
      </c>
      <c r="O2257" s="60" t="s">
        <v>260</v>
      </c>
      <c r="P2257" s="60">
        <v>22</v>
      </c>
      <c r="Q2257" s="60">
        <v>30</v>
      </c>
      <c r="R2257" s="60">
        <v>22</v>
      </c>
      <c r="S2257" s="273">
        <v>30</v>
      </c>
      <c r="T2257" s="60">
        <f>Table1[[#This Row],[VO Wdth]]+4</f>
        <v>26</v>
      </c>
      <c r="U2257" s="60">
        <f>Table1[[#This Row],[VO Hgt]]+4</f>
        <v>34</v>
      </c>
      <c r="V2257" s="47">
        <f>Table1[[#This Row],[VO Wdth]]+Materials!$C$50</f>
        <v>24</v>
      </c>
      <c r="W2257" s="47">
        <f>Table1[[#This Row],[VO Hgt]]+Materials!$C$50</f>
        <v>32</v>
      </c>
      <c r="X2257" s="138">
        <v>24</v>
      </c>
      <c r="Y2257" s="60"/>
      <c r="Z2257" s="60"/>
      <c r="AA2257" s="717">
        <f t="shared" si="804"/>
        <v>5.333333333333333</v>
      </c>
      <c r="AB2257" s="125">
        <f t="shared" si="805"/>
        <v>25.599999999999998</v>
      </c>
      <c r="AC2257" s="69">
        <f>Table1[[#This Row],[Print Ht]]*paper24</f>
        <v>4.16</v>
      </c>
      <c r="AD2257" s="48">
        <f>Table1[[#This Row],[Ink g/mL]]*CanonC</f>
        <v>6.9119999999999999</v>
      </c>
      <c r="AE2257" s="104">
        <f>IF(Table1[[#This Row],[Work Center]]="SwissQ",Materials!G$37,IF(Table1[[#This Row],[Work Center]]="Inca",Materials!G$29,IF(Table1[[#This Row],[Work Center]]="Canon",Materials!G$49,Materials!G$45)))</f>
        <v>7</v>
      </c>
      <c r="AF2257" s="69">
        <f>'Cali Frames'!D$590</f>
        <v>136.85</v>
      </c>
      <c r="AG2257" s="115"/>
      <c r="AH2257" s="112">
        <f t="shared" si="807"/>
        <v>23.5</v>
      </c>
      <c r="AI2257" s="112"/>
      <c r="AJ2257" s="69">
        <f t="shared" si="806"/>
        <v>178.422</v>
      </c>
      <c r="AK2257" s="62">
        <f t="shared" si="808"/>
        <v>0.62037872340425526</v>
      </c>
      <c r="AL2257" s="225">
        <f>Table1[[#This Row],[WSP/Dealer]]/Table1[[#This Row],[OD Sq Inch]]</f>
        <v>0.53167420814479638</v>
      </c>
      <c r="AM2257" s="218">
        <f>Table1[[#This Row],[OD Wdth]]*Table1[[#This Row],[OD Hgt]]</f>
        <v>884</v>
      </c>
      <c r="AN2257" s="216">
        <f>Table1[[#This Row],[Min VO]]+Table1[[#This Row],[Max VO]]</f>
        <v>52</v>
      </c>
      <c r="AO2257" s="60"/>
      <c r="AP2257" s="60"/>
      <c r="AQ2257" s="69"/>
      <c r="AR2257" s="69"/>
      <c r="AS2257" s="69"/>
      <c r="AT2257" s="69"/>
      <c r="AU2257" s="1001" t="str">
        <f t="shared" si="798"/>
        <v>-</v>
      </c>
    </row>
    <row r="2258" spans="1:47" s="170" customFormat="1" x14ac:dyDescent="0.2">
      <c r="A2258" s="60" t="s">
        <v>58</v>
      </c>
      <c r="B2258" s="279" t="s">
        <v>4794</v>
      </c>
      <c r="C2258" s="123" t="s">
        <v>5174</v>
      </c>
      <c r="D2258" s="94" t="s">
        <v>5175</v>
      </c>
      <c r="E2258" s="83" t="s">
        <v>5176</v>
      </c>
      <c r="F2258" s="83" t="s">
        <v>1834</v>
      </c>
      <c r="G2258" s="60" t="s">
        <v>3167</v>
      </c>
      <c r="H2258" s="60" t="s">
        <v>948</v>
      </c>
      <c r="I2258" s="238" t="s">
        <v>2028</v>
      </c>
      <c r="J2258" s="60" t="s">
        <v>257</v>
      </c>
      <c r="K2258" s="68" t="s">
        <v>2159</v>
      </c>
      <c r="L2258" s="68" t="s">
        <v>4259</v>
      </c>
      <c r="M2258" s="124">
        <v>1200</v>
      </c>
      <c r="N2258" s="639">
        <v>1200</v>
      </c>
      <c r="O2258" s="60" t="s">
        <v>260</v>
      </c>
      <c r="P2258" s="60">
        <v>44</v>
      </c>
      <c r="Q2258" s="60">
        <v>60</v>
      </c>
      <c r="R2258" s="60">
        <v>44</v>
      </c>
      <c r="S2258" s="273">
        <v>60</v>
      </c>
      <c r="T2258" s="60">
        <f>Table1[[#This Row],[VO Wdth]]+4</f>
        <v>48</v>
      </c>
      <c r="U2258" s="60">
        <f>Table1[[#This Row],[VO Hgt]]+4</f>
        <v>64</v>
      </c>
      <c r="V2258" s="47">
        <f>Table1[[#This Row],[VO Wdth]]+Materials!$C$50</f>
        <v>46</v>
      </c>
      <c r="W2258" s="47">
        <f>Table1[[#This Row],[VO Hgt]]+Materials!$C$50</f>
        <v>62</v>
      </c>
      <c r="X2258" s="138">
        <v>60</v>
      </c>
      <c r="Y2258" s="60"/>
      <c r="Z2258" s="60"/>
      <c r="AA2258" s="717">
        <f t="shared" si="804"/>
        <v>19.805555555555557</v>
      </c>
      <c r="AB2258" s="125">
        <f t="shared" si="805"/>
        <v>95.066666666666677</v>
      </c>
      <c r="AC2258" s="69">
        <f>Table1[[#This Row],[Print Ht]]*paper60</f>
        <v>21.080000000000002</v>
      </c>
      <c r="AD2258" s="48">
        <f>Table1[[#This Row],[Ink g/mL]]*CanonC</f>
        <v>25.668000000000003</v>
      </c>
      <c r="AE2258" s="104">
        <f>IF(Table1[[#This Row],[Work Center]]="SwissQ",Materials!G$37,IF(Table1[[#This Row],[Work Center]]="Inca",Materials!G$29,IF(Table1[[#This Row],[Work Center]]="Canon",Materials!G$49,Materials!G$45)))</f>
        <v>7</v>
      </c>
      <c r="AF2258" s="69">
        <f>'Cali Frames'!D$595</f>
        <v>335.14249999999998</v>
      </c>
      <c r="AG2258" s="115"/>
      <c r="AH2258" s="498">
        <f t="shared" si="807"/>
        <v>60</v>
      </c>
      <c r="AI2258" s="498"/>
      <c r="AJ2258" s="69">
        <f t="shared" si="806"/>
        <v>448.89049999999997</v>
      </c>
      <c r="AK2258" s="650">
        <f t="shared" si="808"/>
        <v>0.62592458333333334</v>
      </c>
      <c r="AL2258" s="225">
        <f>Table1[[#This Row],[WSP/Dealer]]/Table1[[#This Row],[OD Sq Inch]]</f>
        <v>0.390625</v>
      </c>
      <c r="AM2258" s="218">
        <f>Table1[[#This Row],[OD Wdth]]*Table1[[#This Row],[OD Hgt]]</f>
        <v>3072</v>
      </c>
      <c r="AN2258" s="216">
        <f>Table1[[#This Row],[Min VO]]+Table1[[#This Row],[Max VO]]</f>
        <v>104</v>
      </c>
      <c r="AO2258" s="60"/>
      <c r="AP2258" s="60"/>
      <c r="AQ2258" s="69"/>
      <c r="AR2258" s="69"/>
      <c r="AS2258" s="69"/>
      <c r="AT2258" s="69"/>
      <c r="AU2258" s="1001" t="str">
        <f t="shared" si="798"/>
        <v>-</v>
      </c>
    </row>
    <row r="2259" spans="1:47" s="170" customFormat="1" x14ac:dyDescent="0.2">
      <c r="A2259" s="68" t="s">
        <v>581</v>
      </c>
      <c r="B2259" s="279" t="s">
        <v>292</v>
      </c>
      <c r="C2259" s="123" t="s">
        <v>5177</v>
      </c>
      <c r="D2259" s="94"/>
      <c r="E2259" s="84" t="s">
        <v>5176</v>
      </c>
      <c r="F2259" s="84" t="s">
        <v>1834</v>
      </c>
      <c r="G2259" s="68" t="s">
        <v>3167</v>
      </c>
      <c r="H2259" s="68" t="s">
        <v>5067</v>
      </c>
      <c r="I2259" s="238" t="s">
        <v>5068</v>
      </c>
      <c r="J2259" s="68" t="s">
        <v>257</v>
      </c>
      <c r="K2259" s="68" t="s">
        <v>1011</v>
      </c>
      <c r="L2259" s="974" t="s">
        <v>1012</v>
      </c>
      <c r="M2259" s="141">
        <v>1200</v>
      </c>
      <c r="N2259" s="93">
        <v>1200</v>
      </c>
      <c r="O2259" s="68" t="s">
        <v>260</v>
      </c>
      <c r="P2259" s="68">
        <v>44</v>
      </c>
      <c r="Q2259" s="68">
        <v>60</v>
      </c>
      <c r="R2259" s="68">
        <v>44</v>
      </c>
      <c r="S2259" s="623">
        <v>60</v>
      </c>
      <c r="T2259" s="68">
        <v>47</v>
      </c>
      <c r="U2259" s="68">
        <v>63</v>
      </c>
      <c r="V2259" s="66">
        <f>Table1[[#This Row],[VO Wdth]]+Materials!$C$50</f>
        <v>46</v>
      </c>
      <c r="W2259" s="66">
        <f>Table1[[#This Row],[VO Hgt]]+Materials!$C$50</f>
        <v>62</v>
      </c>
      <c r="X2259" s="189"/>
      <c r="Y2259" s="68"/>
      <c r="Z2259" s="68"/>
      <c r="AA2259" s="699"/>
      <c r="AB2259" s="297"/>
      <c r="AC2259" s="74"/>
      <c r="AD2259" s="118"/>
      <c r="AE2259" s="126"/>
      <c r="AF2259" s="73"/>
      <c r="AG2259" s="540"/>
      <c r="AH2259" s="74">
        <f t="shared" si="807"/>
        <v>60</v>
      </c>
      <c r="AI2259" s="74"/>
      <c r="AJ2259" s="278">
        <f t="shared" si="806"/>
        <v>60</v>
      </c>
      <c r="AK2259" s="1001">
        <f t="shared" si="808"/>
        <v>0.95</v>
      </c>
      <c r="AL2259" s="240">
        <f>Table1[[#This Row],[WSP/Dealer]]/Table1[[#This Row],[OD Sq Inch]]</f>
        <v>0.40526849037487334</v>
      </c>
      <c r="AM2259" s="170">
        <f>Table1[[#This Row],[OD Wdth]]*Table1[[#This Row],[OD Hgt]]</f>
        <v>2961</v>
      </c>
      <c r="AN2259" s="274">
        <f>Table1[[#This Row],[Min VO]]+Table1[[#This Row],[Max VO]]</f>
        <v>104</v>
      </c>
      <c r="AO2259" s="84"/>
      <c r="AP2259" s="84"/>
      <c r="AQ2259" s="126"/>
      <c r="AR2259" s="126"/>
      <c r="AS2259" s="126"/>
      <c r="AT2259" s="74"/>
      <c r="AU2259" s="1357" t="str">
        <f t="shared" si="798"/>
        <v>-</v>
      </c>
    </row>
    <row r="2260" spans="1:47" s="170" customFormat="1" x14ac:dyDescent="0.2">
      <c r="A2260" s="60" t="s">
        <v>58</v>
      </c>
      <c r="B2260" s="1061" t="s">
        <v>4794</v>
      </c>
      <c r="C2260" s="123" t="s">
        <v>5178</v>
      </c>
      <c r="D2260" s="94" t="s">
        <v>5179</v>
      </c>
      <c r="E2260" s="83" t="s">
        <v>5180</v>
      </c>
      <c r="F2260" s="83" t="s">
        <v>1834</v>
      </c>
      <c r="G2260" s="60" t="s">
        <v>2194</v>
      </c>
      <c r="H2260" s="60" t="s">
        <v>3136</v>
      </c>
      <c r="I2260" s="238" t="s">
        <v>2028</v>
      </c>
      <c r="J2260" s="60" t="s">
        <v>257</v>
      </c>
      <c r="K2260" s="68" t="s">
        <v>2159</v>
      </c>
      <c r="L2260" s="68" t="s">
        <v>4259</v>
      </c>
      <c r="M2260" s="124">
        <v>470</v>
      </c>
      <c r="N2260" s="639">
        <v>517</v>
      </c>
      <c r="O2260" s="60" t="s">
        <v>260</v>
      </c>
      <c r="P2260" s="60">
        <v>22</v>
      </c>
      <c r="Q2260" s="60">
        <v>30</v>
      </c>
      <c r="R2260" s="60">
        <v>22</v>
      </c>
      <c r="S2260" s="273">
        <v>30</v>
      </c>
      <c r="T2260" s="60">
        <f>Table1[[#This Row],[VO Wdth]]+4</f>
        <v>26</v>
      </c>
      <c r="U2260" s="60">
        <f>Table1[[#This Row],[VO Hgt]]+4</f>
        <v>34</v>
      </c>
      <c r="V2260" s="47">
        <f>Table1[[#This Row],[VO Wdth]]+Materials!$C$50</f>
        <v>24</v>
      </c>
      <c r="W2260" s="47">
        <f>Table1[[#This Row],[VO Hgt]]+Materials!$C$50</f>
        <v>32</v>
      </c>
      <c r="X2260" s="138">
        <v>24</v>
      </c>
      <c r="Y2260" s="60"/>
      <c r="Z2260" s="60"/>
      <c r="AA2260" s="717">
        <f t="shared" ref="AA2260:AA2275" si="809">V2260*W2260/144</f>
        <v>5.333333333333333</v>
      </c>
      <c r="AB2260" s="125">
        <f t="shared" ref="AB2260:AB2275" si="810">AA2260*canonML</f>
        <v>25.599999999999998</v>
      </c>
      <c r="AC2260" s="69">
        <f>Table1[[#This Row],[Print Ht]]*paper24</f>
        <v>4.16</v>
      </c>
      <c r="AD2260" s="48">
        <f>Table1[[#This Row],[Ink g/mL]]*CanonC</f>
        <v>6.9119999999999999</v>
      </c>
      <c r="AE2260" s="104">
        <f>IF(Table1[[#This Row],[Work Center]]="SwissQ",Materials!G$37,IF(Table1[[#This Row],[Work Center]]="Inca",Materials!G$29,IF(Table1[[#This Row],[Work Center]]="Canon",Materials!G$49,Materials!G$45)))</f>
        <v>7</v>
      </c>
      <c r="AF2260" s="69">
        <f>'Cali Frames'!D$590</f>
        <v>136.85</v>
      </c>
      <c r="AG2260" s="115"/>
      <c r="AH2260" s="498">
        <f t="shared" si="807"/>
        <v>23.5</v>
      </c>
      <c r="AI2260" s="498"/>
      <c r="AJ2260" s="69">
        <f t="shared" si="806"/>
        <v>178.422</v>
      </c>
      <c r="AK2260" s="650">
        <f t="shared" si="808"/>
        <v>0.62037872340425526</v>
      </c>
      <c r="AL2260" s="225">
        <f>Table1[[#This Row],[WSP/Dealer]]/Table1[[#This Row],[OD Sq Inch]]</f>
        <v>0.53167420814479638</v>
      </c>
      <c r="AM2260" s="103">
        <f>Table1[[#This Row],[OD Wdth]]*Table1[[#This Row],[OD Hgt]]</f>
        <v>884</v>
      </c>
      <c r="AN2260" s="216">
        <f>Table1[[#This Row],[Min VO]]+Table1[[#This Row],[Max VO]]</f>
        <v>52</v>
      </c>
      <c r="AO2260" s="60"/>
      <c r="AP2260" s="60"/>
      <c r="AQ2260" s="69"/>
      <c r="AR2260" s="69"/>
      <c r="AS2260" s="69"/>
      <c r="AT2260" s="69"/>
      <c r="AU2260" s="1001" t="str">
        <f t="shared" si="798"/>
        <v>-</v>
      </c>
    </row>
    <row r="2261" spans="1:47" s="170" customFormat="1" x14ac:dyDescent="0.2">
      <c r="A2261" s="60" t="s">
        <v>58</v>
      </c>
      <c r="B2261" s="1061" t="s">
        <v>4794</v>
      </c>
      <c r="C2261" s="123" t="s">
        <v>5181</v>
      </c>
      <c r="D2261" s="94" t="s">
        <v>5182</v>
      </c>
      <c r="E2261" s="83" t="s">
        <v>5183</v>
      </c>
      <c r="F2261" s="83" t="s">
        <v>1834</v>
      </c>
      <c r="G2261" s="60" t="s">
        <v>3167</v>
      </c>
      <c r="H2261" s="60" t="s">
        <v>948</v>
      </c>
      <c r="I2261" s="238" t="s">
        <v>2028</v>
      </c>
      <c r="J2261" s="60" t="s">
        <v>257</v>
      </c>
      <c r="K2261" s="68" t="s">
        <v>2159</v>
      </c>
      <c r="L2261" s="68" t="s">
        <v>4259</v>
      </c>
      <c r="M2261" s="124">
        <v>1200</v>
      </c>
      <c r="N2261" s="639">
        <v>1200</v>
      </c>
      <c r="O2261" s="60" t="s">
        <v>260</v>
      </c>
      <c r="P2261" s="60">
        <v>44</v>
      </c>
      <c r="Q2261" s="60">
        <v>60</v>
      </c>
      <c r="R2261" s="60">
        <v>44</v>
      </c>
      <c r="S2261" s="273">
        <v>60</v>
      </c>
      <c r="T2261" s="60">
        <f>Table1[[#This Row],[VO Wdth]]+4</f>
        <v>48</v>
      </c>
      <c r="U2261" s="60">
        <f>Table1[[#This Row],[VO Hgt]]+4</f>
        <v>64</v>
      </c>
      <c r="V2261" s="946">
        <f>Table1[[#This Row],[VO Wdth]]+Materials!$C$50</f>
        <v>46</v>
      </c>
      <c r="W2261" s="946">
        <f>Table1[[#This Row],[VO Hgt]]+Materials!$C$50</f>
        <v>62</v>
      </c>
      <c r="X2261" s="138">
        <v>60</v>
      </c>
      <c r="Y2261" s="60"/>
      <c r="Z2261" s="60"/>
      <c r="AA2261" s="717">
        <f t="shared" si="809"/>
        <v>19.805555555555557</v>
      </c>
      <c r="AB2261" s="125">
        <f t="shared" si="810"/>
        <v>95.066666666666677</v>
      </c>
      <c r="AC2261" s="69">
        <f>Table1[[#This Row],[Print Ht]]*paper60</f>
        <v>21.080000000000002</v>
      </c>
      <c r="AD2261" s="48">
        <f>Table1[[#This Row],[Ink g/mL]]*CanonC</f>
        <v>25.668000000000003</v>
      </c>
      <c r="AE2261" s="104">
        <f>IF(Table1[[#This Row],[Work Center]]="SwissQ",Materials!G$37,IF(Table1[[#This Row],[Work Center]]="Inca",Materials!G$29,IF(Table1[[#This Row],[Work Center]]="Canon",Materials!G$49,Materials!G$45)))</f>
        <v>7</v>
      </c>
      <c r="AF2261" s="69">
        <f>'Cali Frames'!D$595</f>
        <v>335.14249999999998</v>
      </c>
      <c r="AG2261" s="115"/>
      <c r="AH2261" s="498">
        <f t="shared" si="807"/>
        <v>60</v>
      </c>
      <c r="AI2261" s="498"/>
      <c r="AJ2261" s="69">
        <f t="shared" si="806"/>
        <v>448.89049999999997</v>
      </c>
      <c r="AK2261" s="650">
        <f t="shared" si="808"/>
        <v>0.62592458333333334</v>
      </c>
      <c r="AL2261" s="225">
        <f>Table1[[#This Row],[WSP/Dealer]]/Table1[[#This Row],[OD Sq Inch]]</f>
        <v>0.390625</v>
      </c>
      <c r="AM2261" s="103">
        <f>Table1[[#This Row],[OD Wdth]]*Table1[[#This Row],[OD Hgt]]</f>
        <v>3072</v>
      </c>
      <c r="AN2261" s="216">
        <f>Table1[[#This Row],[Min VO]]+Table1[[#This Row],[Max VO]]</f>
        <v>104</v>
      </c>
      <c r="AO2261" s="60"/>
      <c r="AP2261" s="60"/>
      <c r="AQ2261" s="69"/>
      <c r="AR2261" s="69"/>
      <c r="AS2261" s="69"/>
      <c r="AT2261" s="69"/>
      <c r="AU2261" s="1001" t="str">
        <f t="shared" si="798"/>
        <v>-</v>
      </c>
    </row>
    <row r="2262" spans="1:47" s="170" customFormat="1" x14ac:dyDescent="0.2">
      <c r="A2262" s="60" t="s">
        <v>58</v>
      </c>
      <c r="B2262" s="1061" t="s">
        <v>4794</v>
      </c>
      <c r="C2262" s="123" t="s">
        <v>5184</v>
      </c>
      <c r="D2262" s="94" t="s">
        <v>5185</v>
      </c>
      <c r="E2262" s="83" t="s">
        <v>5186</v>
      </c>
      <c r="F2262" s="83" t="s">
        <v>1834</v>
      </c>
      <c r="G2262" s="60" t="s">
        <v>2194</v>
      </c>
      <c r="H2262" s="60" t="s">
        <v>3136</v>
      </c>
      <c r="I2262" s="238" t="s">
        <v>2028</v>
      </c>
      <c r="J2262" s="60" t="s">
        <v>257</v>
      </c>
      <c r="K2262" s="68" t="s">
        <v>2159</v>
      </c>
      <c r="L2262" s="68" t="s">
        <v>4259</v>
      </c>
      <c r="M2262" s="124">
        <v>470</v>
      </c>
      <c r="N2262" s="639">
        <v>517</v>
      </c>
      <c r="O2262" s="60" t="s">
        <v>260</v>
      </c>
      <c r="P2262" s="60">
        <v>22</v>
      </c>
      <c r="Q2262" s="60">
        <v>30</v>
      </c>
      <c r="R2262" s="60">
        <v>22</v>
      </c>
      <c r="S2262" s="273">
        <v>30</v>
      </c>
      <c r="T2262" s="60">
        <f>Table1[[#This Row],[VO Wdth]]+4</f>
        <v>26</v>
      </c>
      <c r="U2262" s="60">
        <f>Table1[[#This Row],[VO Hgt]]+4</f>
        <v>34</v>
      </c>
      <c r="V2262" s="47">
        <f>Table1[[#This Row],[VO Wdth]]+Materials!$C$50</f>
        <v>24</v>
      </c>
      <c r="W2262" s="47">
        <f>Table1[[#This Row],[VO Hgt]]+Materials!$C$50</f>
        <v>32</v>
      </c>
      <c r="X2262" s="138">
        <v>24</v>
      </c>
      <c r="Y2262" s="60"/>
      <c r="Z2262" s="60"/>
      <c r="AA2262" s="717">
        <f t="shared" si="809"/>
        <v>5.333333333333333</v>
      </c>
      <c r="AB2262" s="125">
        <f t="shared" si="810"/>
        <v>25.599999999999998</v>
      </c>
      <c r="AC2262" s="69">
        <f>Table1[[#This Row],[Print Ht]]*paper24</f>
        <v>4.16</v>
      </c>
      <c r="AD2262" s="48">
        <f>Table1[[#This Row],[Ink g/mL]]*CanonC</f>
        <v>6.9119999999999999</v>
      </c>
      <c r="AE2262" s="104">
        <f>IF(Table1[[#This Row],[Work Center]]="SwissQ",Materials!G$37,IF(Table1[[#This Row],[Work Center]]="Inca",Materials!G$29,IF(Table1[[#This Row],[Work Center]]="Canon",Materials!G$49,Materials!G$45)))</f>
        <v>7</v>
      </c>
      <c r="AF2262" s="69">
        <f>'Cali Frames'!D$590</f>
        <v>136.85</v>
      </c>
      <c r="AG2262" s="115"/>
      <c r="AH2262" s="498">
        <f t="shared" si="807"/>
        <v>23.5</v>
      </c>
      <c r="AI2262" s="498"/>
      <c r="AJ2262" s="69">
        <f t="shared" si="806"/>
        <v>178.422</v>
      </c>
      <c r="AK2262" s="650">
        <f t="shared" si="808"/>
        <v>0.62037872340425526</v>
      </c>
      <c r="AL2262" s="225">
        <f>Table1[[#This Row],[WSP/Dealer]]/Table1[[#This Row],[OD Sq Inch]]</f>
        <v>0.53167420814479638</v>
      </c>
      <c r="AM2262" s="218">
        <f>Table1[[#This Row],[OD Wdth]]*Table1[[#This Row],[OD Hgt]]</f>
        <v>884</v>
      </c>
      <c r="AN2262" s="216">
        <f>Table1[[#This Row],[Min VO]]+Table1[[#This Row],[Max VO]]</f>
        <v>52</v>
      </c>
      <c r="AO2262" s="60"/>
      <c r="AP2262" s="60"/>
      <c r="AQ2262" s="69"/>
      <c r="AR2262" s="69"/>
      <c r="AS2262" s="69"/>
      <c r="AT2262" s="69"/>
      <c r="AU2262" s="1001" t="str">
        <f t="shared" si="798"/>
        <v>-</v>
      </c>
    </row>
    <row r="2263" spans="1:47" s="170" customFormat="1" x14ac:dyDescent="0.2">
      <c r="A2263" s="60" t="s">
        <v>58</v>
      </c>
      <c r="B2263" s="1061" t="s">
        <v>4794</v>
      </c>
      <c r="C2263" s="123" t="s">
        <v>5187</v>
      </c>
      <c r="D2263" s="94" t="s">
        <v>5188</v>
      </c>
      <c r="E2263" s="83" t="s">
        <v>5189</v>
      </c>
      <c r="F2263" s="83" t="s">
        <v>1834</v>
      </c>
      <c r="G2263" s="60" t="s">
        <v>3167</v>
      </c>
      <c r="H2263" s="60" t="s">
        <v>948</v>
      </c>
      <c r="I2263" s="238" t="s">
        <v>2028</v>
      </c>
      <c r="J2263" s="60" t="s">
        <v>257</v>
      </c>
      <c r="K2263" s="68" t="s">
        <v>2159</v>
      </c>
      <c r="L2263" s="68" t="s">
        <v>4259</v>
      </c>
      <c r="M2263" s="124">
        <v>1200</v>
      </c>
      <c r="N2263" s="639">
        <v>1200</v>
      </c>
      <c r="O2263" s="60" t="s">
        <v>260</v>
      </c>
      <c r="P2263" s="60">
        <v>44</v>
      </c>
      <c r="Q2263" s="60">
        <v>60</v>
      </c>
      <c r="R2263" s="60">
        <v>44</v>
      </c>
      <c r="S2263" s="273">
        <v>60</v>
      </c>
      <c r="T2263" s="60">
        <f>Table1[[#This Row],[VO Wdth]]+4</f>
        <v>48</v>
      </c>
      <c r="U2263" s="60">
        <f>Table1[[#This Row],[VO Hgt]]+4</f>
        <v>64</v>
      </c>
      <c r="V2263" s="47">
        <f>Table1[[#This Row],[VO Wdth]]+Materials!$C$50</f>
        <v>46</v>
      </c>
      <c r="W2263" s="47">
        <f>Table1[[#This Row],[VO Hgt]]+Materials!$C$50</f>
        <v>62</v>
      </c>
      <c r="X2263" s="138">
        <v>60</v>
      </c>
      <c r="Y2263" s="60"/>
      <c r="Z2263" s="60"/>
      <c r="AA2263" s="717">
        <f t="shared" si="809"/>
        <v>19.805555555555557</v>
      </c>
      <c r="AB2263" s="125">
        <f t="shared" si="810"/>
        <v>95.066666666666677</v>
      </c>
      <c r="AC2263" s="69">
        <f>Table1[[#This Row],[Print Ht]]*paper60</f>
        <v>21.080000000000002</v>
      </c>
      <c r="AD2263" s="48">
        <f>Table1[[#This Row],[Ink g/mL]]*CanonC</f>
        <v>25.668000000000003</v>
      </c>
      <c r="AE2263" s="104">
        <f>IF(Table1[[#This Row],[Work Center]]="SwissQ",Materials!G$37,IF(Table1[[#This Row],[Work Center]]="Inca",Materials!G$29,IF(Table1[[#This Row],[Work Center]]="Canon",Materials!G$49,Materials!G$45)))</f>
        <v>7</v>
      </c>
      <c r="AF2263" s="69">
        <f>'Cali Frames'!D$595</f>
        <v>335.14249999999998</v>
      </c>
      <c r="AG2263" s="115"/>
      <c r="AH2263" s="498">
        <f t="shared" si="807"/>
        <v>60</v>
      </c>
      <c r="AI2263" s="498"/>
      <c r="AJ2263" s="69">
        <f t="shared" si="806"/>
        <v>448.89049999999997</v>
      </c>
      <c r="AK2263" s="650">
        <f t="shared" si="808"/>
        <v>0.62592458333333334</v>
      </c>
      <c r="AL2263" s="225">
        <f>Table1[[#This Row],[WSP/Dealer]]/Table1[[#This Row],[OD Sq Inch]]</f>
        <v>0.390625</v>
      </c>
      <c r="AM2263" s="103">
        <f>Table1[[#This Row],[OD Wdth]]*Table1[[#This Row],[OD Hgt]]</f>
        <v>3072</v>
      </c>
      <c r="AN2263" s="216">
        <f>Table1[[#This Row],[Min VO]]+Table1[[#This Row],[Max VO]]</f>
        <v>104</v>
      </c>
      <c r="AO2263" s="60"/>
      <c r="AP2263" s="60"/>
      <c r="AQ2263" s="69"/>
      <c r="AR2263" s="69"/>
      <c r="AS2263" s="69"/>
      <c r="AT2263" s="69"/>
      <c r="AU2263" s="1001" t="str">
        <f t="shared" si="798"/>
        <v>-</v>
      </c>
    </row>
    <row r="2264" spans="1:47" s="170" customFormat="1" x14ac:dyDescent="0.2">
      <c r="A2264" s="60" t="s">
        <v>58</v>
      </c>
      <c r="B2264" s="1061" t="s">
        <v>4794</v>
      </c>
      <c r="C2264" s="123" t="s">
        <v>5190</v>
      </c>
      <c r="D2264" s="94" t="s">
        <v>5191</v>
      </c>
      <c r="E2264" s="83" t="s">
        <v>5192</v>
      </c>
      <c r="F2264" s="83" t="s">
        <v>1834</v>
      </c>
      <c r="G2264" s="60" t="s">
        <v>2194</v>
      </c>
      <c r="H2264" s="60" t="s">
        <v>3136</v>
      </c>
      <c r="I2264" s="238" t="s">
        <v>2028</v>
      </c>
      <c r="J2264" s="60" t="s">
        <v>257</v>
      </c>
      <c r="K2264" s="68" t="s">
        <v>2159</v>
      </c>
      <c r="L2264" s="68" t="s">
        <v>4259</v>
      </c>
      <c r="M2264" s="124">
        <v>470</v>
      </c>
      <c r="N2264" s="639">
        <v>517</v>
      </c>
      <c r="O2264" s="60" t="s">
        <v>260</v>
      </c>
      <c r="P2264" s="60">
        <v>22</v>
      </c>
      <c r="Q2264" s="60">
        <v>30</v>
      </c>
      <c r="R2264" s="60">
        <v>22</v>
      </c>
      <c r="S2264" s="273">
        <v>30</v>
      </c>
      <c r="T2264" s="60">
        <f>Table1[[#This Row],[VO Wdth]]+4</f>
        <v>26</v>
      </c>
      <c r="U2264" s="60">
        <f>Table1[[#This Row],[VO Hgt]]+4</f>
        <v>34</v>
      </c>
      <c r="V2264" s="47">
        <f>Table1[[#This Row],[VO Wdth]]+Materials!$C$50</f>
        <v>24</v>
      </c>
      <c r="W2264" s="47">
        <f>Table1[[#This Row],[VO Hgt]]+Materials!$C$50</f>
        <v>32</v>
      </c>
      <c r="X2264" s="138">
        <v>24</v>
      </c>
      <c r="Y2264" s="60"/>
      <c r="Z2264" s="60"/>
      <c r="AA2264" s="717">
        <f t="shared" si="809"/>
        <v>5.333333333333333</v>
      </c>
      <c r="AB2264" s="125">
        <f t="shared" si="810"/>
        <v>25.599999999999998</v>
      </c>
      <c r="AC2264" s="69">
        <f>Table1[[#This Row],[Print Ht]]*paper24</f>
        <v>4.16</v>
      </c>
      <c r="AD2264" s="48">
        <f>Table1[[#This Row],[Ink g/mL]]*CanonC</f>
        <v>6.9119999999999999</v>
      </c>
      <c r="AE2264" s="104">
        <f>IF(Table1[[#This Row],[Work Center]]="SwissQ",Materials!G$37,IF(Table1[[#This Row],[Work Center]]="Inca",Materials!G$29,IF(Table1[[#This Row],[Work Center]]="Canon",Materials!G$49,Materials!G$45)))</f>
        <v>7</v>
      </c>
      <c r="AF2264" s="69">
        <f>'Cali Frames'!D$590</f>
        <v>136.85</v>
      </c>
      <c r="AG2264" s="115"/>
      <c r="AH2264" s="498">
        <f t="shared" si="807"/>
        <v>23.5</v>
      </c>
      <c r="AI2264" s="498"/>
      <c r="AJ2264" s="69">
        <f t="shared" si="806"/>
        <v>178.422</v>
      </c>
      <c r="AK2264" s="650">
        <f t="shared" si="808"/>
        <v>0.62037872340425526</v>
      </c>
      <c r="AL2264" s="225">
        <f>Table1[[#This Row],[WSP/Dealer]]/Table1[[#This Row],[OD Sq Inch]]</f>
        <v>0.53167420814479638</v>
      </c>
      <c r="AM2264" s="103">
        <f>Table1[[#This Row],[OD Wdth]]*Table1[[#This Row],[OD Hgt]]</f>
        <v>884</v>
      </c>
      <c r="AN2264" s="216">
        <f>Table1[[#This Row],[Min VO]]+Table1[[#This Row],[Max VO]]</f>
        <v>52</v>
      </c>
      <c r="AO2264" s="60"/>
      <c r="AP2264" s="60"/>
      <c r="AQ2264" s="69"/>
      <c r="AR2264" s="69"/>
      <c r="AS2264" s="69"/>
      <c r="AT2264" s="69"/>
      <c r="AU2264" s="1001" t="str">
        <f t="shared" si="798"/>
        <v>-</v>
      </c>
    </row>
    <row r="2265" spans="1:47" s="170" customFormat="1" x14ac:dyDescent="0.2">
      <c r="A2265" s="60" t="s">
        <v>58</v>
      </c>
      <c r="B2265" s="1061" t="s">
        <v>4794</v>
      </c>
      <c r="C2265" s="123" t="s">
        <v>5193</v>
      </c>
      <c r="D2265" s="94" t="s">
        <v>5194</v>
      </c>
      <c r="E2265" s="83" t="s">
        <v>5195</v>
      </c>
      <c r="F2265" s="83" t="s">
        <v>1834</v>
      </c>
      <c r="G2265" s="60" t="s">
        <v>3167</v>
      </c>
      <c r="H2265" s="60" t="s">
        <v>948</v>
      </c>
      <c r="I2265" s="238" t="s">
        <v>2028</v>
      </c>
      <c r="J2265" s="60" t="s">
        <v>257</v>
      </c>
      <c r="K2265" s="68" t="s">
        <v>2159</v>
      </c>
      <c r="L2265" s="68" t="s">
        <v>4259</v>
      </c>
      <c r="M2265" s="124">
        <v>1200</v>
      </c>
      <c r="N2265" s="639">
        <v>1200</v>
      </c>
      <c r="O2265" s="60" t="s">
        <v>260</v>
      </c>
      <c r="P2265" s="60">
        <v>44</v>
      </c>
      <c r="Q2265" s="60">
        <v>60</v>
      </c>
      <c r="R2265" s="60">
        <v>44</v>
      </c>
      <c r="S2265" s="273">
        <v>60</v>
      </c>
      <c r="T2265" s="60">
        <f>Table1[[#This Row],[VO Wdth]]+4</f>
        <v>48</v>
      </c>
      <c r="U2265" s="60">
        <f>Table1[[#This Row],[VO Hgt]]+4</f>
        <v>64</v>
      </c>
      <c r="V2265" s="47">
        <f>Table1[[#This Row],[VO Wdth]]+Materials!$C$50</f>
        <v>46</v>
      </c>
      <c r="W2265" s="47">
        <f>Table1[[#This Row],[VO Hgt]]+Materials!$C$50</f>
        <v>62</v>
      </c>
      <c r="X2265" s="138">
        <v>60</v>
      </c>
      <c r="Y2265" s="60"/>
      <c r="Z2265" s="60"/>
      <c r="AA2265" s="717">
        <f t="shared" si="809"/>
        <v>19.805555555555557</v>
      </c>
      <c r="AB2265" s="125">
        <f t="shared" si="810"/>
        <v>95.066666666666677</v>
      </c>
      <c r="AC2265" s="69">
        <f>Table1[[#This Row],[Print Ht]]*paper60</f>
        <v>21.080000000000002</v>
      </c>
      <c r="AD2265" s="48">
        <f>Table1[[#This Row],[Ink g/mL]]*CanonC</f>
        <v>25.668000000000003</v>
      </c>
      <c r="AE2265" s="104">
        <f>IF(Table1[[#This Row],[Work Center]]="SwissQ",Materials!G$37,IF(Table1[[#This Row],[Work Center]]="Inca",Materials!G$29,IF(Table1[[#This Row],[Work Center]]="Canon",Materials!G$49,Materials!G$45)))</f>
        <v>7</v>
      </c>
      <c r="AF2265" s="69">
        <f>'Cali Frames'!D$595</f>
        <v>335.14249999999998</v>
      </c>
      <c r="AG2265" s="115"/>
      <c r="AH2265" s="112">
        <f t="shared" si="807"/>
        <v>60</v>
      </c>
      <c r="AI2265" s="112"/>
      <c r="AJ2265" s="48">
        <f t="shared" si="806"/>
        <v>448.89049999999997</v>
      </c>
      <c r="AK2265" s="62">
        <f t="shared" si="808"/>
        <v>0.62592458333333334</v>
      </c>
      <c r="AL2265" s="225">
        <f>Table1[[#This Row],[WSP/Dealer]]/Table1[[#This Row],[OD Sq Inch]]</f>
        <v>0.390625</v>
      </c>
      <c r="AM2265" s="218">
        <f>Table1[[#This Row],[OD Wdth]]*Table1[[#This Row],[OD Hgt]]</f>
        <v>3072</v>
      </c>
      <c r="AN2265" s="216">
        <f>Table1[[#This Row],[Min VO]]+Table1[[#This Row],[Max VO]]</f>
        <v>104</v>
      </c>
      <c r="AO2265" s="60"/>
      <c r="AP2265" s="60"/>
      <c r="AQ2265" s="69"/>
      <c r="AR2265" s="69"/>
      <c r="AS2265" s="69"/>
      <c r="AT2265" s="69"/>
      <c r="AU2265" s="1001" t="str">
        <f t="shared" si="798"/>
        <v>-</v>
      </c>
    </row>
    <row r="2266" spans="1:47" s="170" customFormat="1" x14ac:dyDescent="0.2">
      <c r="A2266" s="60" t="s">
        <v>58</v>
      </c>
      <c r="B2266" s="1061" t="s">
        <v>4794</v>
      </c>
      <c r="C2266" s="123" t="s">
        <v>5196</v>
      </c>
      <c r="D2266" s="94" t="s">
        <v>5197</v>
      </c>
      <c r="E2266" s="83" t="s">
        <v>5198</v>
      </c>
      <c r="F2266" s="83" t="s">
        <v>1834</v>
      </c>
      <c r="G2266" s="60" t="s">
        <v>2194</v>
      </c>
      <c r="H2266" s="60" t="s">
        <v>3136</v>
      </c>
      <c r="I2266" s="238" t="s">
        <v>2028</v>
      </c>
      <c r="J2266" s="60" t="s">
        <v>257</v>
      </c>
      <c r="K2266" s="68" t="s">
        <v>2159</v>
      </c>
      <c r="L2266" s="68" t="s">
        <v>4259</v>
      </c>
      <c r="M2266" s="124">
        <v>470</v>
      </c>
      <c r="N2266" s="639">
        <v>517</v>
      </c>
      <c r="O2266" s="60" t="s">
        <v>260</v>
      </c>
      <c r="P2266" s="60">
        <v>22</v>
      </c>
      <c r="Q2266" s="60">
        <v>30</v>
      </c>
      <c r="R2266" s="60">
        <v>22</v>
      </c>
      <c r="S2266" s="273">
        <v>30</v>
      </c>
      <c r="T2266" s="46">
        <f>Table1[[#This Row],[VO Wdth]]+4</f>
        <v>26</v>
      </c>
      <c r="U2266" s="46">
        <f>Table1[[#This Row],[VO Hgt]]+4</f>
        <v>34</v>
      </c>
      <c r="V2266" s="946">
        <f>Table1[[#This Row],[VO Wdth]]+Materials!$C$50</f>
        <v>24</v>
      </c>
      <c r="W2266" s="946">
        <f>Table1[[#This Row],[VO Hgt]]+Materials!$C$50</f>
        <v>32</v>
      </c>
      <c r="X2266" s="138">
        <v>24</v>
      </c>
      <c r="Y2266" s="60"/>
      <c r="Z2266" s="60"/>
      <c r="AA2266" s="717">
        <f t="shared" si="809"/>
        <v>5.333333333333333</v>
      </c>
      <c r="AB2266" s="125">
        <f t="shared" si="810"/>
        <v>25.599999999999998</v>
      </c>
      <c r="AC2266" s="69">
        <f>Table1[[#This Row],[Print Ht]]*paper24</f>
        <v>4.16</v>
      </c>
      <c r="AD2266" s="48">
        <f>Table1[[#This Row],[Ink g/mL]]*CanonC</f>
        <v>6.9119999999999999</v>
      </c>
      <c r="AE2266" s="104">
        <f>IF(Table1[[#This Row],[Work Center]]="SwissQ",Materials!G$37,IF(Table1[[#This Row],[Work Center]]="Inca",Materials!G$29,IF(Table1[[#This Row],[Work Center]]="Canon",Materials!G$49,Materials!G$45)))</f>
        <v>7</v>
      </c>
      <c r="AF2266" s="69">
        <f>'Cali Frames'!D$590</f>
        <v>136.85</v>
      </c>
      <c r="AG2266" s="115"/>
      <c r="AH2266" s="498">
        <f t="shared" si="807"/>
        <v>23.5</v>
      </c>
      <c r="AI2266" s="498"/>
      <c r="AJ2266" s="48">
        <f t="shared" si="806"/>
        <v>178.422</v>
      </c>
      <c r="AK2266" s="650">
        <f t="shared" si="808"/>
        <v>0.62037872340425526</v>
      </c>
      <c r="AL2266" s="225">
        <f>Table1[[#This Row],[WSP/Dealer]]/Table1[[#This Row],[OD Sq Inch]]</f>
        <v>0.53167420814479638</v>
      </c>
      <c r="AM2266" s="46">
        <f>Table1[[#This Row],[OD Wdth]]*Table1[[#This Row],[OD Hgt]]</f>
        <v>884</v>
      </c>
      <c r="AN2266" s="216">
        <f>Table1[[#This Row],[Min VO]]+Table1[[#This Row],[Max VO]]</f>
        <v>52</v>
      </c>
      <c r="AO2266" s="60"/>
      <c r="AP2266" s="60"/>
      <c r="AQ2266" s="69"/>
      <c r="AR2266" s="69"/>
      <c r="AS2266" s="69"/>
      <c r="AT2266" s="69"/>
      <c r="AU2266" s="1001" t="str">
        <f t="shared" si="798"/>
        <v>-</v>
      </c>
    </row>
    <row r="2267" spans="1:47" s="170" customFormat="1" x14ac:dyDescent="0.2">
      <c r="A2267" s="60" t="s">
        <v>58</v>
      </c>
      <c r="B2267" s="1061" t="s">
        <v>4794</v>
      </c>
      <c r="C2267" s="123" t="s">
        <v>5199</v>
      </c>
      <c r="D2267" s="94" t="s">
        <v>5200</v>
      </c>
      <c r="E2267" s="83" t="s">
        <v>5201</v>
      </c>
      <c r="F2267" s="83" t="s">
        <v>1834</v>
      </c>
      <c r="G2267" s="60" t="s">
        <v>3167</v>
      </c>
      <c r="H2267" s="60" t="s">
        <v>948</v>
      </c>
      <c r="I2267" s="238" t="s">
        <v>2028</v>
      </c>
      <c r="J2267" s="60" t="s">
        <v>257</v>
      </c>
      <c r="K2267" s="68" t="s">
        <v>2159</v>
      </c>
      <c r="L2267" s="68" t="s">
        <v>4259</v>
      </c>
      <c r="M2267" s="124">
        <v>1200</v>
      </c>
      <c r="N2267" s="639">
        <v>1200</v>
      </c>
      <c r="O2267" s="60" t="s">
        <v>260</v>
      </c>
      <c r="P2267" s="60">
        <v>44</v>
      </c>
      <c r="Q2267" s="60">
        <v>60</v>
      </c>
      <c r="R2267" s="60">
        <v>44</v>
      </c>
      <c r="S2267" s="273">
        <v>60</v>
      </c>
      <c r="T2267" s="60">
        <f>Table1[[#This Row],[VO Wdth]]+4</f>
        <v>48</v>
      </c>
      <c r="U2267" s="60">
        <f>Table1[[#This Row],[VO Hgt]]+4</f>
        <v>64</v>
      </c>
      <c r="V2267" s="946">
        <f>Table1[[#This Row],[VO Wdth]]+Materials!$C$50</f>
        <v>46</v>
      </c>
      <c r="W2267" s="946">
        <f>Table1[[#This Row],[VO Hgt]]+Materials!$C$50</f>
        <v>62</v>
      </c>
      <c r="X2267" s="138">
        <v>60</v>
      </c>
      <c r="Y2267" s="60"/>
      <c r="Z2267" s="60"/>
      <c r="AA2267" s="717">
        <f t="shared" si="809"/>
        <v>19.805555555555557</v>
      </c>
      <c r="AB2267" s="125">
        <f t="shared" si="810"/>
        <v>95.066666666666677</v>
      </c>
      <c r="AC2267" s="69">
        <f>Table1[[#This Row],[Print Ht]]*paper60</f>
        <v>21.080000000000002</v>
      </c>
      <c r="AD2267" s="48">
        <f>Table1[[#This Row],[Ink g/mL]]*CanonC</f>
        <v>25.668000000000003</v>
      </c>
      <c r="AE2267" s="104">
        <f>IF(Table1[[#This Row],[Work Center]]="SwissQ",Materials!G$37,IF(Table1[[#This Row],[Work Center]]="Inca",Materials!G$29,IF(Table1[[#This Row],[Work Center]]="Canon",Materials!G$49,Materials!G$45)))</f>
        <v>7</v>
      </c>
      <c r="AF2267" s="69">
        <f>'Cali Frames'!D$595</f>
        <v>335.14249999999998</v>
      </c>
      <c r="AG2267" s="115"/>
      <c r="AH2267" s="498">
        <f t="shared" si="807"/>
        <v>60</v>
      </c>
      <c r="AI2267" s="498"/>
      <c r="AJ2267" s="69">
        <f t="shared" si="806"/>
        <v>448.89049999999997</v>
      </c>
      <c r="AK2267" s="650">
        <f t="shared" si="808"/>
        <v>0.62592458333333334</v>
      </c>
      <c r="AL2267" s="225">
        <f>Table1[[#This Row],[WSP/Dealer]]/Table1[[#This Row],[OD Sq Inch]]</f>
        <v>0.390625</v>
      </c>
      <c r="AM2267" s="46">
        <f>Table1[[#This Row],[OD Wdth]]*Table1[[#This Row],[OD Hgt]]</f>
        <v>3072</v>
      </c>
      <c r="AN2267" s="216">
        <f>Table1[[#This Row],[Min VO]]+Table1[[#This Row],[Max VO]]</f>
        <v>104</v>
      </c>
      <c r="AO2267" s="60"/>
      <c r="AP2267" s="60"/>
      <c r="AQ2267" s="69"/>
      <c r="AR2267" s="69"/>
      <c r="AS2267" s="69"/>
      <c r="AT2267" s="69"/>
      <c r="AU2267" s="1001" t="str">
        <f t="shared" si="798"/>
        <v>-</v>
      </c>
    </row>
    <row r="2268" spans="1:47" s="456" customFormat="1" x14ac:dyDescent="0.2">
      <c r="A2268" s="60" t="s">
        <v>58</v>
      </c>
      <c r="B2268" s="1061" t="s">
        <v>4794</v>
      </c>
      <c r="C2268" s="123" t="s">
        <v>5202</v>
      </c>
      <c r="D2268" s="94" t="s">
        <v>5203</v>
      </c>
      <c r="E2268" s="83" t="s">
        <v>5204</v>
      </c>
      <c r="F2268" s="83" t="s">
        <v>1834</v>
      </c>
      <c r="G2268" s="60" t="s">
        <v>2194</v>
      </c>
      <c r="H2268" s="60" t="s">
        <v>3136</v>
      </c>
      <c r="I2268" s="238" t="s">
        <v>2028</v>
      </c>
      <c r="J2268" s="60" t="s">
        <v>257</v>
      </c>
      <c r="K2268" s="68" t="s">
        <v>2159</v>
      </c>
      <c r="L2268" s="68" t="s">
        <v>4259</v>
      </c>
      <c r="M2268" s="124">
        <v>470</v>
      </c>
      <c r="N2268" s="639">
        <v>517</v>
      </c>
      <c r="O2268" s="60" t="s">
        <v>260</v>
      </c>
      <c r="P2268" s="60">
        <v>22</v>
      </c>
      <c r="Q2268" s="60">
        <v>30</v>
      </c>
      <c r="R2268" s="60">
        <v>22</v>
      </c>
      <c r="S2268" s="273">
        <v>30</v>
      </c>
      <c r="T2268" s="60">
        <f>Table1[[#This Row],[VO Wdth]]+4</f>
        <v>26</v>
      </c>
      <c r="U2268" s="60">
        <f>Table1[[#This Row],[VO Hgt]]+4</f>
        <v>34</v>
      </c>
      <c r="V2268" s="946">
        <f>Table1[[#This Row],[VO Wdth]]+Materials!$C$50</f>
        <v>24</v>
      </c>
      <c r="W2268" s="946">
        <f>Table1[[#This Row],[VO Hgt]]+Materials!$C$50</f>
        <v>32</v>
      </c>
      <c r="X2268" s="138">
        <v>24</v>
      </c>
      <c r="Y2268" s="60"/>
      <c r="Z2268" s="60"/>
      <c r="AA2268" s="717">
        <f t="shared" si="809"/>
        <v>5.333333333333333</v>
      </c>
      <c r="AB2268" s="125">
        <f t="shared" si="810"/>
        <v>25.599999999999998</v>
      </c>
      <c r="AC2268" s="69">
        <f>Table1[[#This Row],[Print Ht]]*paper24</f>
        <v>4.16</v>
      </c>
      <c r="AD2268" s="48">
        <f>Table1[[#This Row],[Ink g/mL]]*CanonC</f>
        <v>6.9119999999999999</v>
      </c>
      <c r="AE2268" s="104">
        <f>IF(Table1[[#This Row],[Work Center]]="SwissQ",Materials!G$37,IF(Table1[[#This Row],[Work Center]]="Inca",Materials!G$29,IF(Table1[[#This Row],[Work Center]]="Canon",Materials!G$49,Materials!G$45)))</f>
        <v>7</v>
      </c>
      <c r="AF2268" s="69">
        <f>'Cali Frames'!D$590</f>
        <v>136.85</v>
      </c>
      <c r="AG2268" s="115"/>
      <c r="AH2268" s="498">
        <f t="shared" si="807"/>
        <v>23.5</v>
      </c>
      <c r="AI2268" s="498"/>
      <c r="AJ2268" s="69">
        <f t="shared" si="806"/>
        <v>178.422</v>
      </c>
      <c r="AK2268" s="650">
        <f t="shared" si="808"/>
        <v>0.62037872340425526</v>
      </c>
      <c r="AL2268" s="225">
        <f>Table1[[#This Row],[WSP/Dealer]]/Table1[[#This Row],[OD Sq Inch]]</f>
        <v>0.53167420814479638</v>
      </c>
      <c r="AM2268" s="218">
        <f>Table1[[#This Row],[OD Wdth]]*Table1[[#This Row],[OD Hgt]]</f>
        <v>884</v>
      </c>
      <c r="AN2268" s="216">
        <f>Table1[[#This Row],[Min VO]]+Table1[[#This Row],[Max VO]]</f>
        <v>52</v>
      </c>
      <c r="AO2268" s="60"/>
      <c r="AP2268" s="60"/>
      <c r="AQ2268" s="69"/>
      <c r="AR2268" s="69"/>
      <c r="AS2268" s="69"/>
      <c r="AT2268" s="69"/>
      <c r="AU2268" s="1001" t="str">
        <f t="shared" si="798"/>
        <v>-</v>
      </c>
    </row>
    <row r="2269" spans="1:47" s="173" customFormat="1" x14ac:dyDescent="0.2">
      <c r="A2269" s="60" t="s">
        <v>58</v>
      </c>
      <c r="B2269" s="1061" t="s">
        <v>4794</v>
      </c>
      <c r="C2269" s="123" t="s">
        <v>5205</v>
      </c>
      <c r="D2269" s="94" t="s">
        <v>5206</v>
      </c>
      <c r="E2269" s="83" t="s">
        <v>5207</v>
      </c>
      <c r="F2269" s="83" t="s">
        <v>1834</v>
      </c>
      <c r="G2269" s="60" t="s">
        <v>3167</v>
      </c>
      <c r="H2269" s="60" t="s">
        <v>948</v>
      </c>
      <c r="I2269" s="238" t="s">
        <v>2028</v>
      </c>
      <c r="J2269" s="60" t="s">
        <v>257</v>
      </c>
      <c r="K2269" s="68" t="s">
        <v>2159</v>
      </c>
      <c r="L2269" s="68" t="s">
        <v>4259</v>
      </c>
      <c r="M2269" s="124">
        <v>1200</v>
      </c>
      <c r="N2269" s="639">
        <v>1200</v>
      </c>
      <c r="O2269" s="60" t="s">
        <v>260</v>
      </c>
      <c r="P2269" s="60">
        <v>44</v>
      </c>
      <c r="Q2269" s="60">
        <v>60</v>
      </c>
      <c r="R2269" s="60">
        <v>44</v>
      </c>
      <c r="S2269" s="273">
        <v>60</v>
      </c>
      <c r="T2269" s="60">
        <f>Table1[[#This Row],[VO Wdth]]+4</f>
        <v>48</v>
      </c>
      <c r="U2269" s="60">
        <f>Table1[[#This Row],[VO Hgt]]+4</f>
        <v>64</v>
      </c>
      <c r="V2269" s="946">
        <f>Table1[[#This Row],[VO Wdth]]+Materials!$C$50</f>
        <v>46</v>
      </c>
      <c r="W2269" s="946">
        <f>Table1[[#This Row],[VO Hgt]]+Materials!$C$50</f>
        <v>62</v>
      </c>
      <c r="X2269" s="138">
        <v>60</v>
      </c>
      <c r="Y2269" s="60"/>
      <c r="Z2269" s="60"/>
      <c r="AA2269" s="717">
        <f t="shared" si="809"/>
        <v>19.805555555555557</v>
      </c>
      <c r="AB2269" s="125">
        <f t="shared" si="810"/>
        <v>95.066666666666677</v>
      </c>
      <c r="AC2269" s="69">
        <f>Table1[[#This Row],[Print Ht]]*paper60</f>
        <v>21.080000000000002</v>
      </c>
      <c r="AD2269" s="69">
        <f>Table1[[#This Row],[Ink g/mL]]*CanonC</f>
        <v>25.668000000000003</v>
      </c>
      <c r="AE2269" s="104">
        <f>IF(Table1[[#This Row],[Work Center]]="SwissQ",Materials!G$37,IF(Table1[[#This Row],[Work Center]]="Inca",Materials!G$29,IF(Table1[[#This Row],[Work Center]]="Canon",Materials!G$49,Materials!G$45)))</f>
        <v>7</v>
      </c>
      <c r="AF2269" s="69">
        <f>'Cali Frames'!D$595</f>
        <v>335.14249999999998</v>
      </c>
      <c r="AG2269" s="115"/>
      <c r="AH2269" s="112">
        <f t="shared" si="807"/>
        <v>60</v>
      </c>
      <c r="AI2269" s="112"/>
      <c r="AJ2269" s="69">
        <f t="shared" si="806"/>
        <v>448.89049999999997</v>
      </c>
      <c r="AK2269" s="62">
        <f t="shared" si="808"/>
        <v>0.62592458333333334</v>
      </c>
      <c r="AL2269" s="225">
        <f>Table1[[#This Row],[WSP/Dealer]]/Table1[[#This Row],[OD Sq Inch]]</f>
        <v>0.390625</v>
      </c>
      <c r="AM2269" s="101">
        <f>Table1[[#This Row],[OD Wdth]]*Table1[[#This Row],[OD Hgt]]</f>
        <v>3072</v>
      </c>
      <c r="AN2269" s="216">
        <f>Table1[[#This Row],[Min VO]]+Table1[[#This Row],[Max VO]]</f>
        <v>104</v>
      </c>
      <c r="AO2269" s="60"/>
      <c r="AP2269" s="60"/>
      <c r="AQ2269" s="69"/>
      <c r="AR2269" s="69"/>
      <c r="AS2269" s="69"/>
      <c r="AT2269" s="69"/>
      <c r="AU2269" s="1001" t="str">
        <f t="shared" si="798"/>
        <v>-</v>
      </c>
    </row>
    <row r="2270" spans="1:47" s="170" customFormat="1" x14ac:dyDescent="0.2">
      <c r="A2270" s="60" t="s">
        <v>58</v>
      </c>
      <c r="B2270" s="1061" t="s">
        <v>4794</v>
      </c>
      <c r="C2270" s="123" t="s">
        <v>5208</v>
      </c>
      <c r="D2270" s="94" t="s">
        <v>5209</v>
      </c>
      <c r="E2270" s="83" t="s">
        <v>5210</v>
      </c>
      <c r="F2270" s="83" t="s">
        <v>1834</v>
      </c>
      <c r="G2270" s="60" t="s">
        <v>2194</v>
      </c>
      <c r="H2270" s="60" t="s">
        <v>3136</v>
      </c>
      <c r="I2270" s="238" t="s">
        <v>2028</v>
      </c>
      <c r="J2270" s="60" t="s">
        <v>257</v>
      </c>
      <c r="K2270" s="68" t="s">
        <v>2159</v>
      </c>
      <c r="L2270" s="68" t="s">
        <v>4259</v>
      </c>
      <c r="M2270" s="124">
        <v>470</v>
      </c>
      <c r="N2270" s="639">
        <v>517</v>
      </c>
      <c r="O2270" s="60" t="s">
        <v>260</v>
      </c>
      <c r="P2270" s="60">
        <v>22</v>
      </c>
      <c r="Q2270" s="60">
        <v>30</v>
      </c>
      <c r="R2270" s="60">
        <v>22</v>
      </c>
      <c r="S2270" s="273">
        <v>30</v>
      </c>
      <c r="T2270" s="60">
        <f>Table1[[#This Row],[VO Wdth]]+4</f>
        <v>26</v>
      </c>
      <c r="U2270" s="60">
        <f>Table1[[#This Row],[VO Hgt]]+4</f>
        <v>34</v>
      </c>
      <c r="V2270" s="946">
        <f>Table1[[#This Row],[VO Wdth]]+Materials!$C$50</f>
        <v>24</v>
      </c>
      <c r="W2270" s="946">
        <f>Table1[[#This Row],[VO Hgt]]+Materials!$C$50</f>
        <v>32</v>
      </c>
      <c r="X2270" s="138">
        <v>24</v>
      </c>
      <c r="Y2270" s="60"/>
      <c r="Z2270" s="60"/>
      <c r="AA2270" s="717">
        <f t="shared" si="809"/>
        <v>5.333333333333333</v>
      </c>
      <c r="AB2270" s="125">
        <f t="shared" si="810"/>
        <v>25.599999999999998</v>
      </c>
      <c r="AC2270" s="69">
        <f>Table1[[#This Row],[Print Ht]]*paper24</f>
        <v>4.16</v>
      </c>
      <c r="AD2270" s="69">
        <f>Table1[[#This Row],[Ink g/mL]]*CanonC</f>
        <v>6.9119999999999999</v>
      </c>
      <c r="AE2270" s="104">
        <f>IF(Table1[[#This Row],[Work Center]]="SwissQ",Materials!G$37,IF(Table1[[#This Row],[Work Center]]="Inca",Materials!G$29,IF(Table1[[#This Row],[Work Center]]="Canon",Materials!G$49,Materials!G$45)))</f>
        <v>7</v>
      </c>
      <c r="AF2270" s="69">
        <f>'Cali Frames'!D$590</f>
        <v>136.85</v>
      </c>
      <c r="AG2270" s="115"/>
      <c r="AH2270" s="498">
        <f t="shared" si="807"/>
        <v>23.5</v>
      </c>
      <c r="AI2270" s="498"/>
      <c r="AJ2270" s="69">
        <f t="shared" si="806"/>
        <v>178.422</v>
      </c>
      <c r="AK2270" s="650">
        <f t="shared" si="808"/>
        <v>0.62037872340425526</v>
      </c>
      <c r="AL2270" s="225">
        <f>Table1[[#This Row],[WSP/Dealer]]/Table1[[#This Row],[OD Sq Inch]]</f>
        <v>0.53167420814479638</v>
      </c>
      <c r="AM2270" s="101">
        <f>Table1[[#This Row],[OD Wdth]]*Table1[[#This Row],[OD Hgt]]</f>
        <v>884</v>
      </c>
      <c r="AN2270" s="216">
        <f>Table1[[#This Row],[Min VO]]+Table1[[#This Row],[Max VO]]</f>
        <v>52</v>
      </c>
      <c r="AO2270" s="60"/>
      <c r="AP2270" s="60"/>
      <c r="AQ2270" s="69"/>
      <c r="AR2270" s="69"/>
      <c r="AS2270" s="69"/>
      <c r="AT2270" s="69"/>
      <c r="AU2270" s="1001" t="str">
        <f t="shared" si="798"/>
        <v>-</v>
      </c>
    </row>
    <row r="2271" spans="1:47" s="173" customFormat="1" x14ac:dyDescent="0.2">
      <c r="A2271" s="60" t="s">
        <v>58</v>
      </c>
      <c r="B2271" s="1061" t="s">
        <v>4794</v>
      </c>
      <c r="C2271" s="123" t="s">
        <v>5211</v>
      </c>
      <c r="D2271" s="94" t="s">
        <v>5212</v>
      </c>
      <c r="E2271" s="83" t="s">
        <v>5213</v>
      </c>
      <c r="F2271" s="83" t="s">
        <v>1834</v>
      </c>
      <c r="G2271" s="60" t="s">
        <v>3167</v>
      </c>
      <c r="H2271" s="60" t="s">
        <v>948</v>
      </c>
      <c r="I2271" s="238" t="s">
        <v>2028</v>
      </c>
      <c r="J2271" s="60" t="s">
        <v>257</v>
      </c>
      <c r="K2271" s="68" t="s">
        <v>2159</v>
      </c>
      <c r="L2271" s="68" t="s">
        <v>4259</v>
      </c>
      <c r="M2271" s="124">
        <v>1200</v>
      </c>
      <c r="N2271" s="639">
        <v>1200</v>
      </c>
      <c r="O2271" s="60" t="s">
        <v>260</v>
      </c>
      <c r="P2271" s="60">
        <v>44</v>
      </c>
      <c r="Q2271" s="60">
        <v>60</v>
      </c>
      <c r="R2271" s="60">
        <v>44</v>
      </c>
      <c r="S2271" s="273">
        <v>60</v>
      </c>
      <c r="T2271" s="60">
        <f>Table1[[#This Row],[VO Wdth]]+4</f>
        <v>48</v>
      </c>
      <c r="U2271" s="60">
        <f>Table1[[#This Row],[VO Hgt]]+4</f>
        <v>64</v>
      </c>
      <c r="V2271" s="946">
        <f>Table1[[#This Row],[VO Wdth]]+Materials!$C$50</f>
        <v>46</v>
      </c>
      <c r="W2271" s="946">
        <f>Table1[[#This Row],[VO Hgt]]+Materials!$C$50</f>
        <v>62</v>
      </c>
      <c r="X2271" s="138">
        <v>60</v>
      </c>
      <c r="Y2271" s="60"/>
      <c r="Z2271" s="60"/>
      <c r="AA2271" s="717">
        <f t="shared" si="809"/>
        <v>19.805555555555557</v>
      </c>
      <c r="AB2271" s="125">
        <f t="shared" si="810"/>
        <v>95.066666666666677</v>
      </c>
      <c r="AC2271" s="69">
        <f>Table1[[#This Row],[Print Ht]]*paper60</f>
        <v>21.080000000000002</v>
      </c>
      <c r="AD2271" s="48">
        <f>Table1[[#This Row],[Ink g/mL]]*CanonC</f>
        <v>25.668000000000003</v>
      </c>
      <c r="AE2271" s="104">
        <f>IF(Table1[[#This Row],[Work Center]]="SwissQ",Materials!G$37,IF(Table1[[#This Row],[Work Center]]="Inca",Materials!G$29,IF(Table1[[#This Row],[Work Center]]="Canon",Materials!G$49,Materials!G$45)))</f>
        <v>7</v>
      </c>
      <c r="AF2271" s="69">
        <f>'Cali Frames'!D$595</f>
        <v>335.14249999999998</v>
      </c>
      <c r="AG2271" s="115"/>
      <c r="AH2271" s="498">
        <f t="shared" si="807"/>
        <v>60</v>
      </c>
      <c r="AI2271" s="498"/>
      <c r="AJ2271" s="69">
        <f t="shared" si="806"/>
        <v>448.89049999999997</v>
      </c>
      <c r="AK2271" s="650">
        <f t="shared" si="808"/>
        <v>0.62592458333333334</v>
      </c>
      <c r="AL2271" s="225">
        <f>Table1[[#This Row],[WSP/Dealer]]/Table1[[#This Row],[OD Sq Inch]]</f>
        <v>0.390625</v>
      </c>
      <c r="AM2271" s="218">
        <f>Table1[[#This Row],[OD Wdth]]*Table1[[#This Row],[OD Hgt]]</f>
        <v>3072</v>
      </c>
      <c r="AN2271" s="216">
        <f>Table1[[#This Row],[Min VO]]+Table1[[#This Row],[Max VO]]</f>
        <v>104</v>
      </c>
      <c r="AO2271" s="46"/>
      <c r="AP2271" s="60"/>
      <c r="AQ2271" s="69"/>
      <c r="AR2271" s="69"/>
      <c r="AS2271" s="69"/>
      <c r="AT2271" s="69"/>
      <c r="AU2271" s="1001" t="str">
        <f t="shared" si="798"/>
        <v>-</v>
      </c>
    </row>
    <row r="2272" spans="1:47" s="170" customFormat="1" x14ac:dyDescent="0.2">
      <c r="A2272" s="60" t="s">
        <v>58</v>
      </c>
      <c r="B2272" s="1061" t="s">
        <v>4794</v>
      </c>
      <c r="C2272" s="123" t="s">
        <v>5214</v>
      </c>
      <c r="D2272" s="94" t="s">
        <v>5215</v>
      </c>
      <c r="E2272" s="83" t="s">
        <v>5216</v>
      </c>
      <c r="F2272" s="83" t="s">
        <v>1834</v>
      </c>
      <c r="G2272" s="60" t="s">
        <v>2194</v>
      </c>
      <c r="H2272" s="60" t="s">
        <v>3136</v>
      </c>
      <c r="I2272" s="238" t="s">
        <v>2028</v>
      </c>
      <c r="J2272" s="60" t="s">
        <v>257</v>
      </c>
      <c r="K2272" s="68" t="s">
        <v>2159</v>
      </c>
      <c r="L2272" s="68" t="s">
        <v>4259</v>
      </c>
      <c r="M2272" s="124">
        <v>470</v>
      </c>
      <c r="N2272" s="639">
        <v>517</v>
      </c>
      <c r="O2272" s="60" t="s">
        <v>260</v>
      </c>
      <c r="P2272" s="60">
        <v>22</v>
      </c>
      <c r="Q2272" s="60">
        <v>30</v>
      </c>
      <c r="R2272" s="60">
        <v>22</v>
      </c>
      <c r="S2272" s="273">
        <v>30</v>
      </c>
      <c r="T2272" s="60">
        <f>Table1[[#This Row],[VO Wdth]]+4</f>
        <v>26</v>
      </c>
      <c r="U2272" s="60">
        <f>Table1[[#This Row],[VO Hgt]]+4</f>
        <v>34</v>
      </c>
      <c r="V2272" s="47">
        <f>Table1[[#This Row],[VO Wdth]]+Materials!$C$50</f>
        <v>24</v>
      </c>
      <c r="W2272" s="47">
        <f>Table1[[#This Row],[VO Hgt]]+Materials!$C$50</f>
        <v>32</v>
      </c>
      <c r="X2272" s="138">
        <v>24</v>
      </c>
      <c r="Y2272" s="60"/>
      <c r="Z2272" s="60"/>
      <c r="AA2272" s="717">
        <f t="shared" si="809"/>
        <v>5.333333333333333</v>
      </c>
      <c r="AB2272" s="125">
        <f t="shared" si="810"/>
        <v>25.599999999999998</v>
      </c>
      <c r="AC2272" s="69">
        <f>Table1[[#This Row],[Print Ht]]*paper24</f>
        <v>4.16</v>
      </c>
      <c r="AD2272" s="48">
        <f>Table1[[#This Row],[Ink g/mL]]*CanonC</f>
        <v>6.9119999999999999</v>
      </c>
      <c r="AE2272" s="104">
        <f>IF(Table1[[#This Row],[Work Center]]="SwissQ",Materials!G$37,IF(Table1[[#This Row],[Work Center]]="Inca",Materials!G$29,IF(Table1[[#This Row],[Work Center]]="Canon",Materials!G$49,Materials!G$45)))</f>
        <v>7</v>
      </c>
      <c r="AF2272" s="69">
        <f>'Cali Frames'!D$590</f>
        <v>136.85</v>
      </c>
      <c r="AG2272" s="115"/>
      <c r="AH2272" s="498">
        <f t="shared" si="807"/>
        <v>23.5</v>
      </c>
      <c r="AI2272" s="498"/>
      <c r="AJ2272" s="69">
        <f t="shared" si="806"/>
        <v>178.422</v>
      </c>
      <c r="AK2272" s="650">
        <f t="shared" si="808"/>
        <v>0.62037872340425526</v>
      </c>
      <c r="AL2272" s="225">
        <f>Table1[[#This Row],[WSP/Dealer]]/Table1[[#This Row],[OD Sq Inch]]</f>
        <v>0.53167420814479638</v>
      </c>
      <c r="AM2272" s="101">
        <f>Table1[[#This Row],[OD Wdth]]*Table1[[#This Row],[OD Hgt]]</f>
        <v>884</v>
      </c>
      <c r="AN2272" s="216">
        <f>Table1[[#This Row],[Min VO]]+Table1[[#This Row],[Max VO]]</f>
        <v>52</v>
      </c>
      <c r="AO2272" s="60"/>
      <c r="AP2272" s="60"/>
      <c r="AQ2272" s="69"/>
      <c r="AR2272" s="69"/>
      <c r="AS2272" s="69"/>
      <c r="AT2272" s="69"/>
      <c r="AU2272" s="1001" t="str">
        <f t="shared" si="798"/>
        <v>-</v>
      </c>
    </row>
    <row r="2273" spans="1:47" s="170" customFormat="1" x14ac:dyDescent="0.2">
      <c r="A2273" s="60" t="s">
        <v>58</v>
      </c>
      <c r="B2273" s="279" t="s">
        <v>4794</v>
      </c>
      <c r="C2273" s="123" t="s">
        <v>5217</v>
      </c>
      <c r="D2273" s="94" t="s">
        <v>5218</v>
      </c>
      <c r="E2273" s="83" t="s">
        <v>5219</v>
      </c>
      <c r="F2273" s="83" t="s">
        <v>1834</v>
      </c>
      <c r="G2273" s="60" t="s">
        <v>3167</v>
      </c>
      <c r="H2273" s="60" t="s">
        <v>948</v>
      </c>
      <c r="I2273" s="238" t="s">
        <v>2028</v>
      </c>
      <c r="J2273" s="60" t="s">
        <v>257</v>
      </c>
      <c r="K2273" s="68" t="s">
        <v>2159</v>
      </c>
      <c r="L2273" s="68" t="s">
        <v>4259</v>
      </c>
      <c r="M2273" s="124">
        <v>1200</v>
      </c>
      <c r="N2273" s="639">
        <v>1200</v>
      </c>
      <c r="O2273" s="60" t="s">
        <v>260</v>
      </c>
      <c r="P2273" s="60">
        <v>44</v>
      </c>
      <c r="Q2273" s="60">
        <v>60</v>
      </c>
      <c r="R2273" s="60">
        <v>44</v>
      </c>
      <c r="S2273" s="273">
        <v>60</v>
      </c>
      <c r="T2273" s="60">
        <f>Table1[[#This Row],[VO Wdth]]+4</f>
        <v>48</v>
      </c>
      <c r="U2273" s="60">
        <f>Table1[[#This Row],[VO Hgt]]+4</f>
        <v>64</v>
      </c>
      <c r="V2273" s="47">
        <f>Table1[[#This Row],[VO Wdth]]+Materials!$C$50</f>
        <v>46</v>
      </c>
      <c r="W2273" s="47">
        <f>Table1[[#This Row],[VO Hgt]]+Materials!$C$50</f>
        <v>62</v>
      </c>
      <c r="X2273" s="138">
        <v>60</v>
      </c>
      <c r="Y2273" s="60"/>
      <c r="Z2273" s="60"/>
      <c r="AA2273" s="717">
        <f t="shared" si="809"/>
        <v>19.805555555555557</v>
      </c>
      <c r="AB2273" s="125">
        <f t="shared" si="810"/>
        <v>95.066666666666677</v>
      </c>
      <c r="AC2273" s="69">
        <f>Table1[[#This Row],[Print Ht]]*paper60</f>
        <v>21.080000000000002</v>
      </c>
      <c r="AD2273" s="48">
        <f>Table1[[#This Row],[Ink g/mL]]*CanonC</f>
        <v>25.668000000000003</v>
      </c>
      <c r="AE2273" s="104">
        <f>IF(Table1[[#This Row],[Work Center]]="SwissQ",Materials!G$37,IF(Table1[[#This Row],[Work Center]]="Inca",Materials!G$29,IF(Table1[[#This Row],[Work Center]]="Canon",Materials!G$49,Materials!G$45)))</f>
        <v>7</v>
      </c>
      <c r="AF2273" s="69">
        <f>'Cali Frames'!D$595</f>
        <v>335.14249999999998</v>
      </c>
      <c r="AG2273" s="115"/>
      <c r="AH2273" s="112">
        <f t="shared" si="807"/>
        <v>60</v>
      </c>
      <c r="AI2273" s="112"/>
      <c r="AJ2273" s="69">
        <f t="shared" si="806"/>
        <v>448.89049999999997</v>
      </c>
      <c r="AK2273" s="62">
        <f t="shared" si="808"/>
        <v>0.62592458333333334</v>
      </c>
      <c r="AL2273" s="225">
        <f>Table1[[#This Row],[WSP/Dealer]]/Table1[[#This Row],[OD Sq Inch]]</f>
        <v>0.390625</v>
      </c>
      <c r="AM2273" s="216">
        <f>Table1[[#This Row],[OD Wdth]]*Table1[[#This Row],[OD Hgt]]</f>
        <v>3072</v>
      </c>
      <c r="AN2273" s="216">
        <f>Table1[[#This Row],[Min VO]]+Table1[[#This Row],[Max VO]]</f>
        <v>104</v>
      </c>
      <c r="AO2273" s="60"/>
      <c r="AP2273" s="60"/>
      <c r="AQ2273" s="69"/>
      <c r="AR2273" s="69"/>
      <c r="AS2273" s="69"/>
      <c r="AT2273" s="69"/>
      <c r="AU2273" s="1001" t="str">
        <f t="shared" si="798"/>
        <v>-</v>
      </c>
    </row>
    <row r="2274" spans="1:47" s="173" customFormat="1" x14ac:dyDescent="0.2">
      <c r="A2274" s="60" t="s">
        <v>58</v>
      </c>
      <c r="B2274" s="279" t="s">
        <v>4794</v>
      </c>
      <c r="C2274" s="123" t="s">
        <v>5220</v>
      </c>
      <c r="D2274" s="94" t="s">
        <v>5221</v>
      </c>
      <c r="E2274" s="83" t="s">
        <v>5222</v>
      </c>
      <c r="F2274" s="83" t="s">
        <v>1834</v>
      </c>
      <c r="G2274" s="60" t="s">
        <v>2194</v>
      </c>
      <c r="H2274" s="60" t="s">
        <v>3136</v>
      </c>
      <c r="I2274" s="238" t="s">
        <v>2028</v>
      </c>
      <c r="J2274" s="60" t="s">
        <v>257</v>
      </c>
      <c r="K2274" s="68" t="s">
        <v>2159</v>
      </c>
      <c r="L2274" s="68" t="s">
        <v>4259</v>
      </c>
      <c r="M2274" s="124">
        <v>470</v>
      </c>
      <c r="N2274" s="639">
        <v>517</v>
      </c>
      <c r="O2274" s="60" t="s">
        <v>260</v>
      </c>
      <c r="P2274" s="60">
        <v>22</v>
      </c>
      <c r="Q2274" s="60">
        <v>30</v>
      </c>
      <c r="R2274" s="60">
        <v>22</v>
      </c>
      <c r="S2274" s="273">
        <v>30</v>
      </c>
      <c r="T2274" s="60">
        <f>Table1[[#This Row],[VO Wdth]]+4</f>
        <v>26</v>
      </c>
      <c r="U2274" s="60">
        <f>Table1[[#This Row],[VO Hgt]]+4</f>
        <v>34</v>
      </c>
      <c r="V2274" s="946">
        <f>Table1[[#This Row],[VO Wdth]]+Materials!$C$50</f>
        <v>24</v>
      </c>
      <c r="W2274" s="946">
        <f>Table1[[#This Row],[VO Hgt]]+Materials!$C$50</f>
        <v>32</v>
      </c>
      <c r="X2274" s="138">
        <v>24</v>
      </c>
      <c r="Y2274" s="60"/>
      <c r="Z2274" s="60"/>
      <c r="AA2274" s="717">
        <f t="shared" si="809"/>
        <v>5.333333333333333</v>
      </c>
      <c r="AB2274" s="125">
        <f t="shared" si="810"/>
        <v>25.599999999999998</v>
      </c>
      <c r="AC2274" s="69">
        <f>Table1[[#This Row],[Print Ht]]*paper24</f>
        <v>4.16</v>
      </c>
      <c r="AD2274" s="48">
        <f>Table1[[#This Row],[Ink g/mL]]*CanonC</f>
        <v>6.9119999999999999</v>
      </c>
      <c r="AE2274" s="104">
        <f>IF(Table1[[#This Row],[Work Center]]="SwissQ",Materials!G$37,IF(Table1[[#This Row],[Work Center]]="Inca",Materials!G$29,IF(Table1[[#This Row],[Work Center]]="Canon",Materials!G$49,Materials!G$45)))</f>
        <v>7</v>
      </c>
      <c r="AF2274" s="69">
        <f>'Cali Frames'!D$590</f>
        <v>136.85</v>
      </c>
      <c r="AG2274" s="115"/>
      <c r="AH2274" s="112">
        <f t="shared" si="807"/>
        <v>23.5</v>
      </c>
      <c r="AI2274" s="112"/>
      <c r="AJ2274" s="69">
        <f t="shared" si="806"/>
        <v>178.422</v>
      </c>
      <c r="AK2274" s="62">
        <f t="shared" si="808"/>
        <v>0.62037872340425526</v>
      </c>
      <c r="AL2274" s="225">
        <f>Table1[[#This Row],[WSP/Dealer]]/Table1[[#This Row],[OD Sq Inch]]</f>
        <v>0.53167420814479638</v>
      </c>
      <c r="AM2274" s="101">
        <f>Table1[[#This Row],[OD Wdth]]*Table1[[#This Row],[OD Hgt]]</f>
        <v>884</v>
      </c>
      <c r="AN2274" s="216">
        <f>Table1[[#This Row],[Min VO]]+Table1[[#This Row],[Max VO]]</f>
        <v>52</v>
      </c>
      <c r="AO2274" s="60"/>
      <c r="AP2274" s="60"/>
      <c r="AQ2274" s="69"/>
      <c r="AR2274" s="69"/>
      <c r="AS2274" s="69"/>
      <c r="AT2274" s="69"/>
      <c r="AU2274" s="1001" t="str">
        <f t="shared" si="798"/>
        <v>-</v>
      </c>
    </row>
    <row r="2275" spans="1:47" s="170" customFormat="1" x14ac:dyDescent="0.2">
      <c r="A2275" s="60" t="s">
        <v>58</v>
      </c>
      <c r="B2275" s="1061" t="s">
        <v>4794</v>
      </c>
      <c r="C2275" s="123" t="s">
        <v>5223</v>
      </c>
      <c r="D2275" s="94" t="s">
        <v>5224</v>
      </c>
      <c r="E2275" s="83" t="s">
        <v>5225</v>
      </c>
      <c r="F2275" s="83" t="s">
        <v>1834</v>
      </c>
      <c r="G2275" s="60" t="s">
        <v>3167</v>
      </c>
      <c r="H2275" s="60" t="s">
        <v>948</v>
      </c>
      <c r="I2275" s="238" t="s">
        <v>2028</v>
      </c>
      <c r="J2275" s="60" t="s">
        <v>257</v>
      </c>
      <c r="K2275" s="68" t="s">
        <v>2159</v>
      </c>
      <c r="L2275" s="68" t="s">
        <v>4259</v>
      </c>
      <c r="M2275" s="124">
        <v>1200</v>
      </c>
      <c r="N2275" s="639">
        <v>1200</v>
      </c>
      <c r="O2275" s="60" t="s">
        <v>260</v>
      </c>
      <c r="P2275" s="60">
        <v>44</v>
      </c>
      <c r="Q2275" s="60">
        <v>60</v>
      </c>
      <c r="R2275" s="60">
        <v>44</v>
      </c>
      <c r="S2275" s="273">
        <v>60</v>
      </c>
      <c r="T2275" s="60">
        <f>Table1[[#This Row],[VO Wdth]]+4</f>
        <v>48</v>
      </c>
      <c r="U2275" s="60">
        <f>Table1[[#This Row],[VO Hgt]]+4</f>
        <v>64</v>
      </c>
      <c r="V2275" s="47">
        <f>Table1[[#This Row],[VO Wdth]]+Materials!$C$50</f>
        <v>46</v>
      </c>
      <c r="W2275" s="47">
        <f>Table1[[#This Row],[VO Hgt]]+Materials!$C$50</f>
        <v>62</v>
      </c>
      <c r="X2275" s="138">
        <v>60</v>
      </c>
      <c r="Y2275" s="60"/>
      <c r="Z2275" s="60"/>
      <c r="AA2275" s="717">
        <f t="shared" si="809"/>
        <v>19.805555555555557</v>
      </c>
      <c r="AB2275" s="125">
        <f t="shared" si="810"/>
        <v>95.066666666666677</v>
      </c>
      <c r="AC2275" s="69">
        <f>Table1[[#This Row],[Print Ht]]*paper60</f>
        <v>21.080000000000002</v>
      </c>
      <c r="AD2275" s="48">
        <f>Table1[[#This Row],[Ink g/mL]]*CanonC</f>
        <v>25.668000000000003</v>
      </c>
      <c r="AE2275" s="104">
        <f>IF(Table1[[#This Row],[Work Center]]="SwissQ",Materials!G$37,IF(Table1[[#This Row],[Work Center]]="Inca",Materials!G$29,IF(Table1[[#This Row],[Work Center]]="Canon",Materials!G$49,Materials!G$45)))</f>
        <v>7</v>
      </c>
      <c r="AF2275" s="69">
        <f>'Cali Frames'!D$595</f>
        <v>335.14249999999998</v>
      </c>
      <c r="AG2275" s="115"/>
      <c r="AH2275" s="498">
        <f t="shared" si="807"/>
        <v>60</v>
      </c>
      <c r="AI2275" s="498"/>
      <c r="AJ2275" s="69">
        <f t="shared" si="806"/>
        <v>448.89049999999997</v>
      </c>
      <c r="AK2275" s="650">
        <f t="shared" si="808"/>
        <v>0.62592458333333334</v>
      </c>
      <c r="AL2275" s="225">
        <f>Table1[[#This Row],[WSP/Dealer]]/Table1[[#This Row],[OD Sq Inch]]</f>
        <v>0.390625</v>
      </c>
      <c r="AM2275" s="103">
        <f>Table1[[#This Row],[OD Wdth]]*Table1[[#This Row],[OD Hgt]]</f>
        <v>3072</v>
      </c>
      <c r="AN2275" s="216">
        <f>Table1[[#This Row],[Min VO]]+Table1[[#This Row],[Max VO]]</f>
        <v>104</v>
      </c>
      <c r="AO2275" s="60"/>
      <c r="AP2275" s="60"/>
      <c r="AQ2275" s="69"/>
      <c r="AR2275" s="69"/>
      <c r="AS2275" s="69"/>
      <c r="AT2275" s="69"/>
      <c r="AU2275" s="1001" t="str">
        <f t="shared" si="798"/>
        <v>-</v>
      </c>
    </row>
    <row r="2276" spans="1:47" s="170" customFormat="1" hidden="1" x14ac:dyDescent="0.2">
      <c r="A2276" s="68"/>
      <c r="B2276" s="1061"/>
      <c r="C2276" s="94" t="s">
        <v>5226</v>
      </c>
      <c r="D2276" s="94"/>
      <c r="E2276" s="84" t="s">
        <v>5227</v>
      </c>
      <c r="F2276" s="84" t="s">
        <v>3036</v>
      </c>
      <c r="G2276" s="68" t="s">
        <v>132</v>
      </c>
      <c r="H2276" s="68"/>
      <c r="I2276" s="68" t="s">
        <v>304</v>
      </c>
      <c r="J2276" s="68" t="s">
        <v>257</v>
      </c>
      <c r="K2276" s="68" t="s">
        <v>258</v>
      </c>
      <c r="L2276" s="68" t="s">
        <v>83</v>
      </c>
      <c r="M2276" s="93"/>
      <c r="N2276" s="71"/>
      <c r="O2276" s="68"/>
      <c r="P2276" s="68"/>
      <c r="Q2276" s="68"/>
      <c r="R2276" s="68"/>
      <c r="S2276" s="68"/>
      <c r="T2276" s="68"/>
      <c r="U2276" s="68"/>
      <c r="V2276" s="917"/>
      <c r="W2276" s="917"/>
      <c r="X2276" s="189"/>
      <c r="Y2276" s="68"/>
      <c r="Z2276" s="68"/>
      <c r="AA2276" s="699"/>
      <c r="AB2276" s="297"/>
      <c r="AC2276" s="74"/>
      <c r="AD2276" s="118"/>
      <c r="AE2276" s="126"/>
      <c r="AF2276" s="73"/>
      <c r="AG2276" s="126"/>
      <c r="AH2276" s="498">
        <f t="shared" si="807"/>
        <v>0</v>
      </c>
      <c r="AI2276" s="498"/>
      <c r="AJ2276" s="126"/>
      <c r="AK2276" s="650" t="e">
        <f t="shared" si="808"/>
        <v>#DIV/0!</v>
      </c>
      <c r="AL2276" s="225" t="e">
        <f>Table1[[#This Row],[WSP/Dealer]]/Table1[[#This Row],[OD Sq Inch]]</f>
        <v>#DIV/0!</v>
      </c>
      <c r="AM2276" s="119"/>
      <c r="AN2276" s="216">
        <f>Table1[[#This Row],[Min VO]]+Table1[[#This Row],[Max VO]]</f>
        <v>0</v>
      </c>
      <c r="AO2276" s="84"/>
      <c r="AP2276" s="84"/>
      <c r="AQ2276" s="126"/>
      <c r="AR2276" s="126"/>
      <c r="AS2276" s="126"/>
      <c r="AT2276" s="74"/>
      <c r="AU2276" s="1357" t="str">
        <f t="shared" si="798"/>
        <v>-</v>
      </c>
    </row>
    <row r="2277" spans="1:47" s="170" customFormat="1" x14ac:dyDescent="0.2">
      <c r="A2277" s="86" t="s">
        <v>58</v>
      </c>
      <c r="B2277" s="1061" t="s">
        <v>406</v>
      </c>
      <c r="C2277" s="100" t="s">
        <v>5228</v>
      </c>
      <c r="D2277" s="94" t="s">
        <v>5229</v>
      </c>
      <c r="E2277" s="85" t="s">
        <v>5230</v>
      </c>
      <c r="F2277" s="85" t="s">
        <v>1834</v>
      </c>
      <c r="G2277" s="86" t="s">
        <v>296</v>
      </c>
      <c r="H2277" s="86" t="s">
        <v>296</v>
      </c>
      <c r="I2277" s="86" t="s">
        <v>52</v>
      </c>
      <c r="J2277" s="86" t="s">
        <v>53</v>
      </c>
      <c r="K2277" s="86" t="s">
        <v>54</v>
      </c>
      <c r="L2277" s="86" t="s">
        <v>55</v>
      </c>
      <c r="M2277" s="87">
        <v>1540</v>
      </c>
      <c r="N2277" s="639">
        <v>1540</v>
      </c>
      <c r="O2277" s="101" t="s">
        <v>64</v>
      </c>
      <c r="P2277" s="101">
        <v>80</v>
      </c>
      <c r="Q2277" s="101">
        <v>64</v>
      </c>
      <c r="R2277" s="60">
        <v>64</v>
      </c>
      <c r="S2277" s="273">
        <v>80</v>
      </c>
      <c r="T2277" s="273">
        <f>Table1[[#This Row],[VO Wdth]]</f>
        <v>80</v>
      </c>
      <c r="U2277" s="273">
        <f>Table1[[#This Row],[VO Hgt]]</f>
        <v>64</v>
      </c>
      <c r="V2277" s="106">
        <f>IF(J2277="Canvas",P2277+BorderL,P2277)</f>
        <v>91</v>
      </c>
      <c r="W2277" s="106">
        <f>IF(J2277="Canvas",Q2277+BorderL,Q2277)</f>
        <v>75</v>
      </c>
      <c r="X2277" s="137" t="s">
        <v>1462</v>
      </c>
      <c r="Y2277" s="101"/>
      <c r="Z2277" s="101"/>
      <c r="AA2277" s="649">
        <f>V2277*W2277/144</f>
        <v>47.395833333333336</v>
      </c>
      <c r="AB2277" s="125">
        <f>AA2277*Swiss1</f>
        <v>1341.3020833333335</v>
      </c>
      <c r="AC2277" s="104">
        <f>AA2277*Canvas</f>
        <v>31.281250000000004</v>
      </c>
      <c r="AD2277" s="107">
        <f>Table1[[#This Row],[Substrate SF]]*Materials!C$37</f>
        <v>132.70833333333334</v>
      </c>
      <c r="AE2277" s="104">
        <f>IF(Table1[[#This Row],[Work Center]]="SwissQ",Materials!G$37,IF(Table1[[#This Row],[Work Center]]="Inca",Materials!G$29,IF(Table1[[#This Row],[Work Center]]="Canon",Materials!G$49,Materials!G$45)))</f>
        <v>20</v>
      </c>
      <c r="AF2277" s="104">
        <f>'Cali FPS'!C$165</f>
        <v>258.52749999999997</v>
      </c>
      <c r="AG2277" s="115"/>
      <c r="AH2277" s="498">
        <f t="shared" si="807"/>
        <v>77</v>
      </c>
      <c r="AI2277" s="498"/>
      <c r="AJ2277" s="104">
        <f>SUM(AC2277:AH2277)</f>
        <v>519.51708333333329</v>
      </c>
      <c r="AK2277" s="650">
        <f t="shared" si="808"/>
        <v>0.66265124458874458</v>
      </c>
      <c r="AL2277" s="225">
        <f>Table1[[#This Row],[WSP/Dealer]]/Table1[[#This Row],[OD Sq Inch]]</f>
        <v>0.30078125</v>
      </c>
      <c r="AM2277" s="218">
        <f>Table1[[#This Row],[OD Wdth]]*Table1[[#This Row],[OD Hgt]]</f>
        <v>5120</v>
      </c>
      <c r="AN2277" s="216">
        <f>Table1[[#This Row],[Min VO]]+Table1[[#This Row],[Max VO]]</f>
        <v>144</v>
      </c>
      <c r="AO2277" s="101"/>
      <c r="AP2277" s="101"/>
      <c r="AQ2277" s="104"/>
      <c r="AR2277" s="104"/>
      <c r="AS2277" s="104"/>
      <c r="AT2277" s="104"/>
      <c r="AU2277" s="830" t="str">
        <f t="shared" si="798"/>
        <v>-</v>
      </c>
    </row>
    <row r="2278" spans="1:47" s="170" customFormat="1" hidden="1" x14ac:dyDescent="0.2">
      <c r="A2278" s="68"/>
      <c r="C2278" s="78" t="s">
        <v>5231</v>
      </c>
      <c r="D2278" s="94"/>
      <c r="E2278" s="84" t="s">
        <v>5232</v>
      </c>
      <c r="F2278" s="84" t="s">
        <v>1834</v>
      </c>
      <c r="G2278" s="68"/>
      <c r="H2278" s="68"/>
      <c r="I2278" s="68"/>
      <c r="J2278" s="68"/>
      <c r="K2278" s="68"/>
      <c r="L2278" s="68"/>
      <c r="M2278" s="141"/>
      <c r="N2278" s="831"/>
      <c r="O2278" s="68"/>
      <c r="P2278" s="68"/>
      <c r="Q2278" s="68"/>
      <c r="R2278" s="68"/>
      <c r="S2278" s="623"/>
      <c r="T2278" s="623"/>
      <c r="U2278" s="623"/>
      <c r="V2278" s="66"/>
      <c r="W2278" s="66"/>
      <c r="X2278" s="189"/>
      <c r="Y2278" s="68"/>
      <c r="Z2278" s="68"/>
      <c r="AA2278" s="699"/>
      <c r="AB2278" s="297"/>
      <c r="AC2278" s="74"/>
      <c r="AD2278" s="67"/>
      <c r="AE2278" s="74"/>
      <c r="AF2278" s="74"/>
      <c r="AG2278" s="84"/>
      <c r="AH2278" s="74"/>
      <c r="AI2278" s="74"/>
      <c r="AJ2278" s="74"/>
      <c r="AK2278" s="1001"/>
      <c r="AL2278" s="240"/>
      <c r="AM2278" s="63"/>
      <c r="AN2278" s="238"/>
      <c r="AO2278" s="68"/>
      <c r="AP2278" s="68"/>
      <c r="AQ2278" s="74">
        <f>(Table1[[#This Row],[Desgnr/Retail P]]*0.05)</f>
        <v>0</v>
      </c>
      <c r="AR2278" s="74" t="b">
        <f>IF(A2278="Codarus",(AP2278*0.13))</f>
        <v>0</v>
      </c>
      <c r="AS2278" s="74" t="e" cm="1">
        <f t="array" ref="AS2278">SUM(AC2278:AG2278+AQ+AR)</f>
        <v>#NAME?</v>
      </c>
      <c r="AT2278" s="74" t="e">
        <f>(AP2278-AS2278)/AP2278</f>
        <v>#NAME?</v>
      </c>
      <c r="AU2278" s="1001" t="str">
        <f t="shared" si="798"/>
        <v>-</v>
      </c>
    </row>
    <row r="2279" spans="1:47" s="173" customFormat="1" x14ac:dyDescent="0.2">
      <c r="A2279" s="68" t="s">
        <v>58</v>
      </c>
      <c r="B2279" s="170"/>
      <c r="C2279" s="78" t="s">
        <v>5233</v>
      </c>
      <c r="D2279" s="94" t="s">
        <v>5094</v>
      </c>
      <c r="E2279" s="84" t="s">
        <v>5234</v>
      </c>
      <c r="F2279" s="84" t="s">
        <v>1834</v>
      </c>
      <c r="G2279" s="68" t="s">
        <v>5096</v>
      </c>
      <c r="H2279" s="68" t="s">
        <v>5096</v>
      </c>
      <c r="I2279" s="68" t="s">
        <v>52</v>
      </c>
      <c r="J2279" s="68" t="s">
        <v>53</v>
      </c>
      <c r="K2279" s="68" t="s">
        <v>69</v>
      </c>
      <c r="L2279" s="68" t="s">
        <v>70</v>
      </c>
      <c r="M2279" s="141">
        <v>1800</v>
      </c>
      <c r="N2279" s="639">
        <v>1300</v>
      </c>
      <c r="O2279" s="68" t="s">
        <v>64</v>
      </c>
      <c r="P2279" s="68">
        <v>64</v>
      </c>
      <c r="Q2279" s="68">
        <v>51</v>
      </c>
      <c r="R2279" s="68">
        <v>51</v>
      </c>
      <c r="S2279" s="623">
        <v>64</v>
      </c>
      <c r="T2279" s="623">
        <f>Table1[[#This Row],[VO Wdth]]</f>
        <v>64</v>
      </c>
      <c r="U2279" s="623">
        <f>Table1[[#This Row],[VO Hgt]]</f>
        <v>51</v>
      </c>
      <c r="V2279" s="917">
        <f>IF(J2279="Canvas",P2279+BorderL,P2279)</f>
        <v>75</v>
      </c>
      <c r="W2279" s="917">
        <f>IF(J2279="Canvas",Q2279+BorderL,Q2279)</f>
        <v>62</v>
      </c>
      <c r="X2279" s="189" t="s">
        <v>3095</v>
      </c>
      <c r="Y2279" s="68"/>
      <c r="Z2279" s="68"/>
      <c r="AA2279" s="699">
        <f>V2279*W2279/144</f>
        <v>32.291666666666664</v>
      </c>
      <c r="AB2279" s="297">
        <f>AA2279*Swiss1</f>
        <v>913.85416666666663</v>
      </c>
      <c r="AC2279" s="74">
        <f>AA2279*Canvas</f>
        <v>21.3125</v>
      </c>
      <c r="AD2279" s="67">
        <f>Table1[[#This Row],[Substrate SF]]*Materials!C$37</f>
        <v>90.416666666666657</v>
      </c>
      <c r="AE2279" s="74">
        <f>IF(Table1[[#This Row],[Work Center]]="SwissQ",Materials!G$37,IF(Table1[[#This Row],[Work Center]]="Inca",Materials!G$29,IF(Table1[[#This Row],[Work Center]]="Canon",Materials!G$49,Materials!G$45)))</f>
        <v>20</v>
      </c>
      <c r="AF2279" s="74">
        <v>400</v>
      </c>
      <c r="AG2279" s="84"/>
      <c r="AH2279" s="498">
        <f t="shared" ref="AH2279:AH2294" si="811">(M2279*0.05)</f>
        <v>90</v>
      </c>
      <c r="AI2279" s="498"/>
      <c r="AJ2279" s="74">
        <f>SUM(AC2279:AH2279)</f>
        <v>621.72916666666663</v>
      </c>
      <c r="AK2279" s="650">
        <f t="shared" ref="AK2279:AK2294" si="812">(M2279-AJ2279)/M2279</f>
        <v>0.65459490740740744</v>
      </c>
      <c r="AL2279" s="225">
        <f>Table1[[#This Row],[WSP/Dealer]]/Table1[[#This Row],[OD Sq Inch]]</f>
        <v>0.55147058823529416</v>
      </c>
      <c r="AM2279" s="68">
        <f>Table1[[#This Row],[OD Wdth]]*Table1[[#This Row],[OD Hgt]]</f>
        <v>3264</v>
      </c>
      <c r="AN2279" s="238">
        <f>Table1[[#This Row],[Min VO]]+Table1[[#This Row],[Max VO]]</f>
        <v>115</v>
      </c>
      <c r="AO2279" s="68"/>
      <c r="AP2279" s="68"/>
      <c r="AQ2279" s="74"/>
      <c r="AR2279" s="74"/>
      <c r="AS2279" s="74"/>
      <c r="AT2279" s="74"/>
      <c r="AU2279" s="1001" t="str">
        <f t="shared" si="798"/>
        <v>-</v>
      </c>
    </row>
    <row r="2280" spans="1:47" s="170" customFormat="1" x14ac:dyDescent="0.2">
      <c r="A2280" s="86" t="s">
        <v>58</v>
      </c>
      <c r="B2280" s="1061" t="s">
        <v>406</v>
      </c>
      <c r="C2280" s="100" t="s">
        <v>5233</v>
      </c>
      <c r="D2280" s="94" t="s">
        <v>5235</v>
      </c>
      <c r="E2280" s="85" t="s">
        <v>5234</v>
      </c>
      <c r="F2280" s="85" t="s">
        <v>1834</v>
      </c>
      <c r="G2280" s="86" t="s">
        <v>5096</v>
      </c>
      <c r="H2280" s="86" t="s">
        <v>5096</v>
      </c>
      <c r="I2280" s="86" t="s">
        <v>52</v>
      </c>
      <c r="J2280" s="86" t="s">
        <v>53</v>
      </c>
      <c r="K2280" s="86" t="s">
        <v>54</v>
      </c>
      <c r="L2280" s="86" t="s">
        <v>55</v>
      </c>
      <c r="M2280" s="87">
        <v>1265</v>
      </c>
      <c r="N2280" s="639">
        <v>1300</v>
      </c>
      <c r="O2280" s="551" t="s">
        <v>64</v>
      </c>
      <c r="P2280" s="101">
        <v>64</v>
      </c>
      <c r="Q2280" s="101">
        <v>51</v>
      </c>
      <c r="R2280" s="60">
        <v>51</v>
      </c>
      <c r="S2280" s="61">
        <v>64</v>
      </c>
      <c r="T2280" s="61">
        <f>Table1[[#This Row],[VO Wdth]]</f>
        <v>64</v>
      </c>
      <c r="U2280" s="61">
        <f>Table1[[#This Row],[VO Hgt]]</f>
        <v>51</v>
      </c>
      <c r="V2280" s="106">
        <f>IF(J2280="Canvas",P2280+BorderL,P2280)</f>
        <v>75</v>
      </c>
      <c r="W2280" s="106">
        <f>IF(J2280="Canvas",Q2280+BorderL,Q2280)</f>
        <v>62</v>
      </c>
      <c r="X2280" s="138" t="s">
        <v>3095</v>
      </c>
      <c r="Y2280" s="60"/>
      <c r="Z2280" s="60"/>
      <c r="AA2280" s="649">
        <f>V2280*W2280/144</f>
        <v>32.291666666666664</v>
      </c>
      <c r="AB2280" s="125">
        <f>AA2280*Swiss1</f>
        <v>913.85416666666663</v>
      </c>
      <c r="AC2280" s="104">
        <f>AA2280*Canvas</f>
        <v>21.3125</v>
      </c>
      <c r="AD2280" s="107">
        <f>Table1[[#This Row],[Substrate SF]]*Materials!C$37</f>
        <v>90.416666666666657</v>
      </c>
      <c r="AE2280" s="104">
        <f>IF(Table1[[#This Row],[Work Center]]="SwissQ",Materials!G$37,IF(Table1[[#This Row],[Work Center]]="Inca",Materials!G$29,IF(Table1[[#This Row],[Work Center]]="Canon",Materials!G$49,Materials!G$45)))</f>
        <v>20</v>
      </c>
      <c r="AF2280" s="74">
        <f>'Cali FPS'!C$135</f>
        <v>177.32749999999999</v>
      </c>
      <c r="AG2280" s="115"/>
      <c r="AH2280" s="498">
        <f t="shared" si="811"/>
        <v>63.25</v>
      </c>
      <c r="AI2280" s="498"/>
      <c r="AJ2280" s="104">
        <f>SUM(AC2280:AH2280)</f>
        <v>372.30666666666662</v>
      </c>
      <c r="AK2280" s="650">
        <f t="shared" si="812"/>
        <v>0.70568642951251648</v>
      </c>
      <c r="AL2280" s="225">
        <f>Table1[[#This Row],[WSP/Dealer]]/Table1[[#This Row],[OD Sq Inch]]</f>
        <v>0.38756127450980393</v>
      </c>
      <c r="AM2280" s="103">
        <f>Table1[[#This Row],[OD Wdth]]*Table1[[#This Row],[OD Hgt]]</f>
        <v>3264</v>
      </c>
      <c r="AN2280" s="216">
        <f>Table1[[#This Row],[Min VO]]+Table1[[#This Row],[Max VO]]</f>
        <v>115</v>
      </c>
      <c r="AO2280" s="101"/>
      <c r="AP2280" s="101"/>
      <c r="AQ2280" s="104"/>
      <c r="AR2280" s="104"/>
      <c r="AS2280" s="104"/>
      <c r="AT2280" s="104"/>
      <c r="AU2280" s="830" t="str">
        <f t="shared" si="798"/>
        <v>-</v>
      </c>
    </row>
    <row r="2281" spans="1:47" s="170" customFormat="1" x14ac:dyDescent="0.2">
      <c r="A2281" s="60" t="s">
        <v>58</v>
      </c>
      <c r="B2281" s="1061" t="s">
        <v>4794</v>
      </c>
      <c r="C2281" s="123" t="s">
        <v>5236</v>
      </c>
      <c r="D2281" s="94" t="s">
        <v>5237</v>
      </c>
      <c r="E2281" s="83" t="s">
        <v>5238</v>
      </c>
      <c r="F2281" s="83" t="s">
        <v>1834</v>
      </c>
      <c r="G2281" s="60" t="s">
        <v>2194</v>
      </c>
      <c r="H2281" s="60" t="s">
        <v>3136</v>
      </c>
      <c r="I2281" s="238" t="s">
        <v>2028</v>
      </c>
      <c r="J2281" s="60" t="s">
        <v>257</v>
      </c>
      <c r="K2281" s="68" t="s">
        <v>2159</v>
      </c>
      <c r="L2281" s="68" t="s">
        <v>4259</v>
      </c>
      <c r="M2281" s="124">
        <v>470</v>
      </c>
      <c r="N2281" s="639">
        <v>517</v>
      </c>
      <c r="O2281" s="60" t="s">
        <v>260</v>
      </c>
      <c r="P2281" s="60">
        <v>22</v>
      </c>
      <c r="Q2281" s="60">
        <v>30</v>
      </c>
      <c r="R2281" s="60">
        <v>22</v>
      </c>
      <c r="S2281" s="273">
        <v>30</v>
      </c>
      <c r="T2281" s="60">
        <f>Table1[[#This Row],[VO Wdth]]+4</f>
        <v>26</v>
      </c>
      <c r="U2281" s="60">
        <f>Table1[[#This Row],[VO Hgt]]+4</f>
        <v>34</v>
      </c>
      <c r="V2281" s="946">
        <f>Table1[[#This Row],[VO Wdth]]+Materials!$C$50</f>
        <v>24</v>
      </c>
      <c r="W2281" s="946">
        <f>Table1[[#This Row],[VO Hgt]]+Materials!$C$50</f>
        <v>32</v>
      </c>
      <c r="X2281" s="138">
        <v>24</v>
      </c>
      <c r="Y2281" s="60"/>
      <c r="Z2281" s="60"/>
      <c r="AA2281" s="717">
        <f>V2281*W2281/144</f>
        <v>5.333333333333333</v>
      </c>
      <c r="AB2281" s="125">
        <f>AA2281*canonML</f>
        <v>25.599999999999998</v>
      </c>
      <c r="AC2281" s="69">
        <f>Table1[[#This Row],[Print Ht]]*paper24</f>
        <v>4.16</v>
      </c>
      <c r="AD2281" s="48">
        <f>Table1[[#This Row],[Ink g/mL]]*CanonC</f>
        <v>6.9119999999999999</v>
      </c>
      <c r="AE2281" s="104">
        <f>IF(Table1[[#This Row],[Work Center]]="SwissQ",Materials!G$37,IF(Table1[[#This Row],[Work Center]]="Inca",Materials!G$29,IF(Table1[[#This Row],[Work Center]]="Canon",Materials!G$49,Materials!G$45)))</f>
        <v>7</v>
      </c>
      <c r="AF2281" s="69">
        <f>'Cali Frames'!D$590</f>
        <v>136.85</v>
      </c>
      <c r="AG2281" s="115"/>
      <c r="AH2281" s="498">
        <f t="shared" si="811"/>
        <v>23.5</v>
      </c>
      <c r="AI2281" s="498"/>
      <c r="AJ2281" s="69">
        <f>SUM(AC2281:AH2281)</f>
        <v>178.422</v>
      </c>
      <c r="AK2281" s="650">
        <f t="shared" si="812"/>
        <v>0.62037872340425526</v>
      </c>
      <c r="AL2281" s="225">
        <f>Table1[[#This Row],[WSP/Dealer]]/Table1[[#This Row],[OD Sq Inch]]</f>
        <v>0.53167420814479638</v>
      </c>
      <c r="AM2281" s="103">
        <f>Table1[[#This Row],[OD Wdth]]*Table1[[#This Row],[OD Hgt]]</f>
        <v>884</v>
      </c>
      <c r="AN2281" s="216">
        <f>Table1[[#This Row],[Min VO]]+Table1[[#This Row],[Max VO]]</f>
        <v>52</v>
      </c>
      <c r="AO2281" s="60"/>
      <c r="AP2281" s="60"/>
      <c r="AQ2281" s="69"/>
      <c r="AR2281" s="69"/>
      <c r="AS2281" s="69"/>
      <c r="AT2281" s="69"/>
      <c r="AU2281" s="1001" t="str">
        <f t="shared" si="798"/>
        <v>-</v>
      </c>
    </row>
    <row r="2282" spans="1:47" s="170" customFormat="1" x14ac:dyDescent="0.2">
      <c r="A2282" s="60" t="s">
        <v>58</v>
      </c>
      <c r="B2282" s="1061" t="s">
        <v>4794</v>
      </c>
      <c r="C2282" s="1256" t="s">
        <v>5239</v>
      </c>
      <c r="D2282" s="94" t="s">
        <v>5240</v>
      </c>
      <c r="E2282" s="492" t="s">
        <v>5241</v>
      </c>
      <c r="F2282" s="83" t="s">
        <v>1834</v>
      </c>
      <c r="G2282" s="92" t="s">
        <v>3167</v>
      </c>
      <c r="H2282" s="60" t="s">
        <v>948</v>
      </c>
      <c r="I2282" s="1052" t="s">
        <v>2028</v>
      </c>
      <c r="J2282" s="60" t="s">
        <v>257</v>
      </c>
      <c r="K2282" s="282" t="s">
        <v>2159</v>
      </c>
      <c r="L2282" s="68" t="s">
        <v>4259</v>
      </c>
      <c r="M2282" s="622">
        <v>1200</v>
      </c>
      <c r="N2282" s="639">
        <v>1200</v>
      </c>
      <c r="O2282" s="60" t="s">
        <v>260</v>
      </c>
      <c r="P2282" s="60">
        <v>44</v>
      </c>
      <c r="Q2282" s="60">
        <v>60</v>
      </c>
      <c r="R2282" s="60">
        <v>44</v>
      </c>
      <c r="S2282" s="273">
        <v>60</v>
      </c>
      <c r="T2282" s="60">
        <f>Table1[[#This Row],[VO Wdth]]+4</f>
        <v>48</v>
      </c>
      <c r="U2282" s="60">
        <f>Table1[[#This Row],[VO Hgt]]+4</f>
        <v>64</v>
      </c>
      <c r="V2282" s="946">
        <f>Table1[[#This Row],[VO Wdth]]+Materials!$C$50</f>
        <v>46</v>
      </c>
      <c r="W2282" s="946">
        <f>Table1[[#This Row],[VO Hgt]]+Materials!$C$50</f>
        <v>62</v>
      </c>
      <c r="X2282" s="138">
        <v>60</v>
      </c>
      <c r="Y2282" s="60"/>
      <c r="Z2282" s="60"/>
      <c r="AA2282" s="717">
        <f>V2282*W2282/144</f>
        <v>19.805555555555557</v>
      </c>
      <c r="AB2282" s="125">
        <f>AA2282*canonML</f>
        <v>95.066666666666677</v>
      </c>
      <c r="AC2282" s="69">
        <f>Table1[[#This Row],[Print Ht]]*paper60</f>
        <v>21.080000000000002</v>
      </c>
      <c r="AD2282" s="48">
        <f>Table1[[#This Row],[Ink g/mL]]*CanonC</f>
        <v>25.668000000000003</v>
      </c>
      <c r="AE2282" s="104">
        <f>IF(Table1[[#This Row],[Work Center]]="SwissQ",Materials!G$37,IF(Table1[[#This Row],[Work Center]]="Inca",Materials!G$29,IF(Table1[[#This Row],[Work Center]]="Canon",Materials!G$49,Materials!G$45)))</f>
        <v>7</v>
      </c>
      <c r="AF2282" s="69">
        <f>'Cali Frames'!D$595</f>
        <v>335.14249999999998</v>
      </c>
      <c r="AG2282" s="115"/>
      <c r="AH2282" s="498">
        <f t="shared" si="811"/>
        <v>60</v>
      </c>
      <c r="AI2282" s="498"/>
      <c r="AJ2282" s="69">
        <f>SUM(AC2282:AH2282)</f>
        <v>448.89049999999997</v>
      </c>
      <c r="AK2282" s="650">
        <f t="shared" si="812"/>
        <v>0.62592458333333334</v>
      </c>
      <c r="AL2282" s="225">
        <f>Table1[[#This Row],[WSP/Dealer]]/Table1[[#This Row],[OD Sq Inch]]</f>
        <v>0.390625</v>
      </c>
      <c r="AM2282" s="218">
        <f>Table1[[#This Row],[OD Wdth]]*Table1[[#This Row],[OD Hgt]]</f>
        <v>3072</v>
      </c>
      <c r="AN2282" s="216">
        <f>Table1[[#This Row],[Min VO]]+Table1[[#This Row],[Max VO]]</f>
        <v>104</v>
      </c>
      <c r="AO2282" s="60"/>
      <c r="AP2282" s="60"/>
      <c r="AQ2282" s="69"/>
      <c r="AR2282" s="69"/>
      <c r="AS2282" s="69"/>
      <c r="AT2282" s="69"/>
      <c r="AU2282" s="1001" t="str">
        <f t="shared" ref="AU2282:AU2345" si="813">IF(AQ2282=0,"-",(AQ2282-AT2282)/AQ2282)</f>
        <v>-</v>
      </c>
    </row>
    <row r="2283" spans="1:47" s="170" customFormat="1" hidden="1" x14ac:dyDescent="0.2">
      <c r="A2283" s="68"/>
      <c r="B2283" s="1061"/>
      <c r="C2283" s="1053" t="s">
        <v>5242</v>
      </c>
      <c r="D2283" s="94"/>
      <c r="E2283" s="378" t="s">
        <v>5243</v>
      </c>
      <c r="F2283" s="84" t="s">
        <v>3036</v>
      </c>
      <c r="G2283" s="282" t="s">
        <v>132</v>
      </c>
      <c r="H2283" s="68"/>
      <c r="I2283" s="282" t="s">
        <v>304</v>
      </c>
      <c r="J2283" s="68" t="s">
        <v>257</v>
      </c>
      <c r="K2283" s="282" t="s">
        <v>258</v>
      </c>
      <c r="L2283" s="68" t="s">
        <v>83</v>
      </c>
      <c r="M2283" s="380"/>
      <c r="N2283" s="71"/>
      <c r="O2283" s="68"/>
      <c r="P2283" s="68"/>
      <c r="Q2283" s="68"/>
      <c r="R2283" s="68"/>
      <c r="S2283" s="68"/>
      <c r="T2283" s="68"/>
      <c r="U2283" s="68"/>
      <c r="V2283" s="917"/>
      <c r="W2283" s="917"/>
      <c r="X2283" s="189"/>
      <c r="Y2283" s="68"/>
      <c r="Z2283" s="68"/>
      <c r="AA2283" s="699"/>
      <c r="AB2283" s="297"/>
      <c r="AC2283" s="74"/>
      <c r="AD2283" s="118"/>
      <c r="AE2283" s="126"/>
      <c r="AF2283" s="73"/>
      <c r="AG2283" s="126"/>
      <c r="AH2283" s="498">
        <f t="shared" si="811"/>
        <v>0</v>
      </c>
      <c r="AI2283" s="498"/>
      <c r="AJ2283" s="126"/>
      <c r="AK2283" s="650" t="e">
        <f t="shared" si="812"/>
        <v>#DIV/0!</v>
      </c>
      <c r="AL2283" s="225" t="e">
        <f>Table1[[#This Row],[WSP/Dealer]]/Table1[[#This Row],[OD Sq Inch]]</f>
        <v>#DIV/0!</v>
      </c>
      <c r="AM2283" s="119"/>
      <c r="AN2283" s="216">
        <f>Table1[[#This Row],[Min VO]]+Table1[[#This Row],[Max VO]]</f>
        <v>0</v>
      </c>
      <c r="AO2283" s="84"/>
      <c r="AP2283" s="84"/>
      <c r="AQ2283" s="126"/>
      <c r="AR2283" s="126"/>
      <c r="AS2283" s="126"/>
      <c r="AT2283" s="74"/>
      <c r="AU2283" s="1357" t="str">
        <f t="shared" si="813"/>
        <v>-</v>
      </c>
    </row>
    <row r="2284" spans="1:47" s="173" customFormat="1" x14ac:dyDescent="0.2">
      <c r="A2284" s="60" t="s">
        <v>58</v>
      </c>
      <c r="B2284" s="1061" t="s">
        <v>4794</v>
      </c>
      <c r="C2284" s="1256" t="s">
        <v>5244</v>
      </c>
      <c r="D2284" s="94" t="s">
        <v>5245</v>
      </c>
      <c r="E2284" s="492" t="s">
        <v>5246</v>
      </c>
      <c r="F2284" s="83" t="s">
        <v>1834</v>
      </c>
      <c r="G2284" s="92" t="s">
        <v>2194</v>
      </c>
      <c r="H2284" s="60" t="s">
        <v>3136</v>
      </c>
      <c r="I2284" s="1052" t="s">
        <v>2028</v>
      </c>
      <c r="J2284" s="60" t="s">
        <v>257</v>
      </c>
      <c r="K2284" s="282" t="s">
        <v>2159</v>
      </c>
      <c r="L2284" s="68" t="s">
        <v>4259</v>
      </c>
      <c r="M2284" s="622">
        <v>470</v>
      </c>
      <c r="N2284" s="639">
        <v>517</v>
      </c>
      <c r="O2284" s="60" t="s">
        <v>260</v>
      </c>
      <c r="P2284" s="60">
        <v>22</v>
      </c>
      <c r="Q2284" s="60">
        <v>30</v>
      </c>
      <c r="R2284" s="60">
        <v>22</v>
      </c>
      <c r="S2284" s="273">
        <v>30</v>
      </c>
      <c r="T2284" s="60">
        <f>Table1[[#This Row],[VO Wdth]]+4</f>
        <v>26</v>
      </c>
      <c r="U2284" s="60">
        <f>Table1[[#This Row],[VO Hgt]]+4</f>
        <v>34</v>
      </c>
      <c r="V2284" s="946">
        <f>Table1[[#This Row],[VO Wdth]]+Materials!$C$50</f>
        <v>24</v>
      </c>
      <c r="W2284" s="946">
        <f>Table1[[#This Row],[VO Hgt]]+Materials!$C$50</f>
        <v>32</v>
      </c>
      <c r="X2284" s="138">
        <v>24</v>
      </c>
      <c r="Y2284" s="60"/>
      <c r="Z2284" s="60"/>
      <c r="AA2284" s="717">
        <f t="shared" ref="AA2284:AA2294" si="814">V2284*W2284/144</f>
        <v>5.333333333333333</v>
      </c>
      <c r="AB2284" s="125">
        <f t="shared" ref="AB2284:AB2293" si="815">AA2284*canonML</f>
        <v>25.599999999999998</v>
      </c>
      <c r="AC2284" s="69">
        <f>Table1[[#This Row],[Print Ht]]*paper24</f>
        <v>4.16</v>
      </c>
      <c r="AD2284" s="48">
        <f>Table1[[#This Row],[Ink g/mL]]*CanonC</f>
        <v>6.9119999999999999</v>
      </c>
      <c r="AE2284" s="104">
        <f>IF(Table1[[#This Row],[Work Center]]="SwissQ",Materials!G$37,IF(Table1[[#This Row],[Work Center]]="Inca",Materials!G$29,IF(Table1[[#This Row],[Work Center]]="Canon",Materials!G$49,Materials!G$45)))</f>
        <v>7</v>
      </c>
      <c r="AF2284" s="69">
        <f>'Cali Frames'!D$590</f>
        <v>136.85</v>
      </c>
      <c r="AG2284" s="115"/>
      <c r="AH2284" s="112">
        <f t="shared" si="811"/>
        <v>23.5</v>
      </c>
      <c r="AI2284" s="112"/>
      <c r="AJ2284" s="69">
        <f t="shared" ref="AJ2284:AJ2294" si="816">SUM(AC2284:AH2284)</f>
        <v>178.422</v>
      </c>
      <c r="AK2284" s="62">
        <f t="shared" si="812"/>
        <v>0.62037872340425526</v>
      </c>
      <c r="AL2284" s="225">
        <f>Table1[[#This Row],[WSP/Dealer]]/Table1[[#This Row],[OD Sq Inch]]</f>
        <v>0.53167420814479638</v>
      </c>
      <c r="AM2284" s="103">
        <f>Table1[[#This Row],[OD Wdth]]*Table1[[#This Row],[OD Hgt]]</f>
        <v>884</v>
      </c>
      <c r="AN2284" s="216">
        <f>Table1[[#This Row],[Min VO]]+Table1[[#This Row],[Max VO]]</f>
        <v>52</v>
      </c>
      <c r="AO2284" s="60"/>
      <c r="AP2284" s="60"/>
      <c r="AQ2284" s="69"/>
      <c r="AR2284" s="69"/>
      <c r="AS2284" s="69"/>
      <c r="AT2284" s="69"/>
      <c r="AU2284" s="1001" t="str">
        <f t="shared" si="813"/>
        <v>-</v>
      </c>
    </row>
    <row r="2285" spans="1:47" s="170" customFormat="1" x14ac:dyDescent="0.2">
      <c r="A2285" s="60" t="s">
        <v>58</v>
      </c>
      <c r="B2285" s="1061" t="s">
        <v>4794</v>
      </c>
      <c r="C2285" s="1256" t="s">
        <v>5247</v>
      </c>
      <c r="D2285" s="94" t="s">
        <v>5248</v>
      </c>
      <c r="E2285" s="492" t="s">
        <v>5249</v>
      </c>
      <c r="F2285" s="83" t="s">
        <v>1834</v>
      </c>
      <c r="G2285" s="92" t="s">
        <v>3167</v>
      </c>
      <c r="H2285" s="60" t="s">
        <v>948</v>
      </c>
      <c r="I2285" s="1052" t="s">
        <v>2028</v>
      </c>
      <c r="J2285" s="60" t="s">
        <v>257</v>
      </c>
      <c r="K2285" s="282" t="s">
        <v>2159</v>
      </c>
      <c r="L2285" s="68" t="s">
        <v>4259</v>
      </c>
      <c r="M2285" s="622">
        <v>1200</v>
      </c>
      <c r="N2285" s="639">
        <v>1200</v>
      </c>
      <c r="O2285" s="60" t="s">
        <v>260</v>
      </c>
      <c r="P2285" s="60">
        <v>44</v>
      </c>
      <c r="Q2285" s="60">
        <v>60</v>
      </c>
      <c r="R2285" s="60">
        <v>44</v>
      </c>
      <c r="S2285" s="273">
        <v>60</v>
      </c>
      <c r="T2285" s="60">
        <f>Table1[[#This Row],[VO Wdth]]+4</f>
        <v>48</v>
      </c>
      <c r="U2285" s="60">
        <f>Table1[[#This Row],[VO Hgt]]+4</f>
        <v>64</v>
      </c>
      <c r="V2285" s="47">
        <f>Table1[[#This Row],[VO Wdth]]+Materials!$C$50</f>
        <v>46</v>
      </c>
      <c r="W2285" s="47">
        <f>Table1[[#This Row],[VO Hgt]]+Materials!$C$50</f>
        <v>62</v>
      </c>
      <c r="X2285" s="138">
        <v>60</v>
      </c>
      <c r="Y2285" s="60"/>
      <c r="Z2285" s="60"/>
      <c r="AA2285" s="717">
        <f t="shared" si="814"/>
        <v>19.805555555555557</v>
      </c>
      <c r="AB2285" s="125">
        <f t="shared" si="815"/>
        <v>95.066666666666677</v>
      </c>
      <c r="AC2285" s="69">
        <f>Table1[[#This Row],[Print Ht]]*paper60</f>
        <v>21.080000000000002</v>
      </c>
      <c r="AD2285" s="48">
        <f>Table1[[#This Row],[Ink g/mL]]*CanonC</f>
        <v>25.668000000000003</v>
      </c>
      <c r="AE2285" s="104">
        <f>IF(Table1[[#This Row],[Work Center]]="SwissQ",Materials!G$37,IF(Table1[[#This Row],[Work Center]]="Inca",Materials!G$29,IF(Table1[[#This Row],[Work Center]]="Canon",Materials!G$49,Materials!G$45)))</f>
        <v>7</v>
      </c>
      <c r="AF2285" s="69">
        <f>'Cali Frames'!D$595</f>
        <v>335.14249999999998</v>
      </c>
      <c r="AG2285" s="115"/>
      <c r="AH2285" s="498">
        <f t="shared" si="811"/>
        <v>60</v>
      </c>
      <c r="AI2285" s="498"/>
      <c r="AJ2285" s="69">
        <f t="shared" si="816"/>
        <v>448.89049999999997</v>
      </c>
      <c r="AK2285" s="650">
        <f t="shared" si="812"/>
        <v>0.62592458333333334</v>
      </c>
      <c r="AL2285" s="225">
        <f>Table1[[#This Row],[WSP/Dealer]]/Table1[[#This Row],[OD Sq Inch]]</f>
        <v>0.390625</v>
      </c>
      <c r="AM2285" s="218">
        <f>Table1[[#This Row],[OD Wdth]]*Table1[[#This Row],[OD Hgt]]</f>
        <v>3072</v>
      </c>
      <c r="AN2285" s="216">
        <f>Table1[[#This Row],[Min VO]]+Table1[[#This Row],[Max VO]]</f>
        <v>104</v>
      </c>
      <c r="AO2285" s="60"/>
      <c r="AP2285" s="60"/>
      <c r="AQ2285" s="69"/>
      <c r="AR2285" s="69"/>
      <c r="AS2285" s="69"/>
      <c r="AT2285" s="69"/>
      <c r="AU2285" s="1001" t="str">
        <f t="shared" si="813"/>
        <v>-</v>
      </c>
    </row>
    <row r="2286" spans="1:47" s="170" customFormat="1" x14ac:dyDescent="0.2">
      <c r="A2286" s="60" t="s">
        <v>58</v>
      </c>
      <c r="B2286" s="1061" t="s">
        <v>4794</v>
      </c>
      <c r="C2286" s="1256" t="s">
        <v>5250</v>
      </c>
      <c r="D2286" s="94" t="s">
        <v>5251</v>
      </c>
      <c r="E2286" s="492" t="s">
        <v>5252</v>
      </c>
      <c r="F2286" s="83" t="s">
        <v>1834</v>
      </c>
      <c r="G2286" s="92" t="s">
        <v>2194</v>
      </c>
      <c r="H2286" s="60" t="s">
        <v>3136</v>
      </c>
      <c r="I2286" s="1052" t="s">
        <v>2028</v>
      </c>
      <c r="J2286" s="60" t="s">
        <v>257</v>
      </c>
      <c r="K2286" s="282" t="s">
        <v>2159</v>
      </c>
      <c r="L2286" s="68" t="s">
        <v>4259</v>
      </c>
      <c r="M2286" s="622">
        <v>470</v>
      </c>
      <c r="N2286" s="639">
        <v>517</v>
      </c>
      <c r="O2286" s="60" t="s">
        <v>260</v>
      </c>
      <c r="P2286" s="60">
        <v>22</v>
      </c>
      <c r="Q2286" s="60">
        <v>30</v>
      </c>
      <c r="R2286" s="60">
        <v>22</v>
      </c>
      <c r="S2286" s="273">
        <v>30</v>
      </c>
      <c r="T2286" s="60">
        <f>Table1[[#This Row],[VO Wdth]]+4</f>
        <v>26</v>
      </c>
      <c r="U2286" s="60">
        <f>Table1[[#This Row],[VO Hgt]]+4</f>
        <v>34</v>
      </c>
      <c r="V2286" s="946">
        <f>Table1[[#This Row],[VO Wdth]]+Materials!$C$50</f>
        <v>24</v>
      </c>
      <c r="W2286" s="946">
        <f>Table1[[#This Row],[VO Hgt]]+Materials!$C$50</f>
        <v>32</v>
      </c>
      <c r="X2286" s="138">
        <v>24</v>
      </c>
      <c r="Y2286" s="60"/>
      <c r="Z2286" s="60"/>
      <c r="AA2286" s="717">
        <f t="shared" si="814"/>
        <v>5.333333333333333</v>
      </c>
      <c r="AB2286" s="125">
        <f t="shared" si="815"/>
        <v>25.599999999999998</v>
      </c>
      <c r="AC2286" s="69">
        <f>Table1[[#This Row],[Print Ht]]*paper24</f>
        <v>4.16</v>
      </c>
      <c r="AD2286" s="48">
        <f>Table1[[#This Row],[Ink g/mL]]*CanonC</f>
        <v>6.9119999999999999</v>
      </c>
      <c r="AE2286" s="104">
        <f>IF(Table1[[#This Row],[Work Center]]="SwissQ",Materials!G$37,IF(Table1[[#This Row],[Work Center]]="Inca",Materials!G$29,IF(Table1[[#This Row],[Work Center]]="Canon",Materials!G$49,Materials!G$45)))</f>
        <v>7</v>
      </c>
      <c r="AF2286" s="69">
        <f>'Cali Frames'!D$590</f>
        <v>136.85</v>
      </c>
      <c r="AG2286" s="115"/>
      <c r="AH2286" s="112">
        <f t="shared" si="811"/>
        <v>23.5</v>
      </c>
      <c r="AI2286" s="112"/>
      <c r="AJ2286" s="69">
        <f t="shared" si="816"/>
        <v>178.422</v>
      </c>
      <c r="AK2286" s="62">
        <f t="shared" si="812"/>
        <v>0.62037872340425526</v>
      </c>
      <c r="AL2286" s="225">
        <f>Table1[[#This Row],[WSP/Dealer]]/Table1[[#This Row],[OD Sq Inch]]</f>
        <v>0.53167420814479638</v>
      </c>
      <c r="AM2286" s="218">
        <f>Table1[[#This Row],[OD Wdth]]*Table1[[#This Row],[OD Hgt]]</f>
        <v>884</v>
      </c>
      <c r="AN2286" s="216">
        <f>Table1[[#This Row],[Min VO]]+Table1[[#This Row],[Max VO]]</f>
        <v>52</v>
      </c>
      <c r="AO2286" s="60"/>
      <c r="AP2286" s="60"/>
      <c r="AQ2286" s="69"/>
      <c r="AR2286" s="69"/>
      <c r="AS2286" s="69"/>
      <c r="AT2286" s="69"/>
      <c r="AU2286" s="1001" t="str">
        <f t="shared" si="813"/>
        <v>-</v>
      </c>
    </row>
    <row r="2287" spans="1:47" s="170" customFormat="1" x14ac:dyDescent="0.2">
      <c r="A2287" s="60" t="s">
        <v>58</v>
      </c>
      <c r="B2287" s="1061" t="s">
        <v>4794</v>
      </c>
      <c r="C2287" s="1256" t="s">
        <v>5253</v>
      </c>
      <c r="D2287" s="94" t="s">
        <v>5254</v>
      </c>
      <c r="E2287" s="492" t="s">
        <v>5255</v>
      </c>
      <c r="F2287" s="83" t="s">
        <v>1834</v>
      </c>
      <c r="G2287" s="92" t="s">
        <v>3167</v>
      </c>
      <c r="H2287" s="60" t="s">
        <v>948</v>
      </c>
      <c r="I2287" s="1052" t="s">
        <v>2028</v>
      </c>
      <c r="J2287" s="60" t="s">
        <v>257</v>
      </c>
      <c r="K2287" s="282" t="s">
        <v>2159</v>
      </c>
      <c r="L2287" s="68" t="s">
        <v>4259</v>
      </c>
      <c r="M2287" s="622">
        <v>1200</v>
      </c>
      <c r="N2287" s="639">
        <v>1200</v>
      </c>
      <c r="O2287" s="60" t="s">
        <v>260</v>
      </c>
      <c r="P2287" s="60">
        <v>44</v>
      </c>
      <c r="Q2287" s="60">
        <v>60</v>
      </c>
      <c r="R2287" s="60">
        <v>44</v>
      </c>
      <c r="S2287" s="273">
        <v>60</v>
      </c>
      <c r="T2287" s="60">
        <f>Table1[[#This Row],[VO Wdth]]+4</f>
        <v>48</v>
      </c>
      <c r="U2287" s="60">
        <f>Table1[[#This Row],[VO Hgt]]+4</f>
        <v>64</v>
      </c>
      <c r="V2287" s="47">
        <f>Table1[[#This Row],[VO Wdth]]+Materials!$C$50</f>
        <v>46</v>
      </c>
      <c r="W2287" s="47">
        <f>Table1[[#This Row],[VO Hgt]]+Materials!$C$50</f>
        <v>62</v>
      </c>
      <c r="X2287" s="138">
        <v>60</v>
      </c>
      <c r="Y2287" s="60"/>
      <c r="Z2287" s="60"/>
      <c r="AA2287" s="717">
        <f t="shared" si="814"/>
        <v>19.805555555555557</v>
      </c>
      <c r="AB2287" s="125">
        <f t="shared" si="815"/>
        <v>95.066666666666677</v>
      </c>
      <c r="AC2287" s="69">
        <f>Table1[[#This Row],[Print Ht]]*paper60</f>
        <v>21.080000000000002</v>
      </c>
      <c r="AD2287" s="48">
        <f>Table1[[#This Row],[Ink g/mL]]*CanonC</f>
        <v>25.668000000000003</v>
      </c>
      <c r="AE2287" s="104">
        <f>IF(Table1[[#This Row],[Work Center]]="SwissQ",Materials!G$37,IF(Table1[[#This Row],[Work Center]]="Inca",Materials!G$29,IF(Table1[[#This Row],[Work Center]]="Canon",Materials!G$49,Materials!G$45)))</f>
        <v>7</v>
      </c>
      <c r="AF2287" s="69">
        <f>'Cali Frames'!D$595</f>
        <v>335.14249999999998</v>
      </c>
      <c r="AG2287" s="115"/>
      <c r="AH2287" s="498">
        <f t="shared" si="811"/>
        <v>60</v>
      </c>
      <c r="AI2287" s="498"/>
      <c r="AJ2287" s="69">
        <f t="shared" si="816"/>
        <v>448.89049999999997</v>
      </c>
      <c r="AK2287" s="650">
        <f t="shared" si="812"/>
        <v>0.62592458333333334</v>
      </c>
      <c r="AL2287" s="225">
        <f>Table1[[#This Row],[WSP/Dealer]]/Table1[[#This Row],[OD Sq Inch]]</f>
        <v>0.390625</v>
      </c>
      <c r="AM2287" s="103">
        <f>Table1[[#This Row],[OD Wdth]]*Table1[[#This Row],[OD Hgt]]</f>
        <v>3072</v>
      </c>
      <c r="AN2287" s="216">
        <f>Table1[[#This Row],[Min VO]]+Table1[[#This Row],[Max VO]]</f>
        <v>104</v>
      </c>
      <c r="AO2287" s="60"/>
      <c r="AP2287" s="60"/>
      <c r="AQ2287" s="69"/>
      <c r="AR2287" s="69"/>
      <c r="AS2287" s="69"/>
      <c r="AT2287" s="69"/>
      <c r="AU2287" s="1001" t="str">
        <f t="shared" si="813"/>
        <v>-</v>
      </c>
    </row>
    <row r="2288" spans="1:47" s="399" customFormat="1" x14ac:dyDescent="0.2">
      <c r="A2288" s="60" t="s">
        <v>58</v>
      </c>
      <c r="B2288" s="1061" t="s">
        <v>4794</v>
      </c>
      <c r="C2288" s="1256" t="s">
        <v>5256</v>
      </c>
      <c r="D2288" s="94" t="s">
        <v>5257</v>
      </c>
      <c r="E2288" s="492" t="s">
        <v>5258</v>
      </c>
      <c r="F2288" s="83" t="s">
        <v>1834</v>
      </c>
      <c r="G2288" s="92" t="s">
        <v>2194</v>
      </c>
      <c r="H2288" s="60" t="s">
        <v>3136</v>
      </c>
      <c r="I2288" s="1052" t="s">
        <v>2028</v>
      </c>
      <c r="J2288" s="60" t="s">
        <v>257</v>
      </c>
      <c r="K2288" s="282" t="s">
        <v>2159</v>
      </c>
      <c r="L2288" s="68" t="s">
        <v>4259</v>
      </c>
      <c r="M2288" s="622">
        <v>470</v>
      </c>
      <c r="N2288" s="639">
        <v>517</v>
      </c>
      <c r="O2288" s="60" t="s">
        <v>260</v>
      </c>
      <c r="P2288" s="60">
        <v>22</v>
      </c>
      <c r="Q2288" s="60">
        <v>30</v>
      </c>
      <c r="R2288" s="60">
        <v>22</v>
      </c>
      <c r="S2288" s="273">
        <v>30</v>
      </c>
      <c r="T2288" s="60">
        <f>Table1[[#This Row],[VO Wdth]]+4</f>
        <v>26</v>
      </c>
      <c r="U2288" s="60">
        <f>Table1[[#This Row],[VO Hgt]]+4</f>
        <v>34</v>
      </c>
      <c r="V2288" s="47">
        <f>Table1[[#This Row],[VO Wdth]]+Materials!$C$50</f>
        <v>24</v>
      </c>
      <c r="W2288" s="47">
        <f>Table1[[#This Row],[VO Hgt]]+Materials!$C$50</f>
        <v>32</v>
      </c>
      <c r="X2288" s="138">
        <v>24</v>
      </c>
      <c r="Y2288" s="60"/>
      <c r="Z2288" s="60"/>
      <c r="AA2288" s="717">
        <f t="shared" si="814"/>
        <v>5.333333333333333</v>
      </c>
      <c r="AB2288" s="125">
        <f t="shared" si="815"/>
        <v>25.599999999999998</v>
      </c>
      <c r="AC2288" s="69">
        <f>Table1[[#This Row],[Print Ht]]*paper24</f>
        <v>4.16</v>
      </c>
      <c r="AD2288" s="48">
        <f>Table1[[#This Row],[Ink g/mL]]*CanonC</f>
        <v>6.9119999999999999</v>
      </c>
      <c r="AE2288" s="104">
        <f>IF(Table1[[#This Row],[Work Center]]="SwissQ",Materials!G$37,IF(Table1[[#This Row],[Work Center]]="Inca",Materials!G$29,IF(Table1[[#This Row],[Work Center]]="Canon",Materials!G$49,Materials!G$45)))</f>
        <v>7</v>
      </c>
      <c r="AF2288" s="69">
        <f>'Cali Frames'!D$590</f>
        <v>136.85</v>
      </c>
      <c r="AG2288" s="115"/>
      <c r="AH2288" s="112">
        <f t="shared" si="811"/>
        <v>23.5</v>
      </c>
      <c r="AI2288" s="112"/>
      <c r="AJ2288" s="69">
        <f t="shared" si="816"/>
        <v>178.422</v>
      </c>
      <c r="AK2288" s="62">
        <f t="shared" si="812"/>
        <v>0.62037872340425526</v>
      </c>
      <c r="AL2288" s="225">
        <f>Table1[[#This Row],[WSP/Dealer]]/Table1[[#This Row],[OD Sq Inch]]</f>
        <v>0.53167420814479638</v>
      </c>
      <c r="AM2288" s="218">
        <f>Table1[[#This Row],[OD Wdth]]*Table1[[#This Row],[OD Hgt]]</f>
        <v>884</v>
      </c>
      <c r="AN2288" s="216">
        <f>Table1[[#This Row],[Min VO]]+Table1[[#This Row],[Max VO]]</f>
        <v>52</v>
      </c>
      <c r="AO2288" s="60"/>
      <c r="AP2288" s="60"/>
      <c r="AQ2288" s="69"/>
      <c r="AR2288" s="69"/>
      <c r="AS2288" s="69"/>
      <c r="AT2288" s="69"/>
      <c r="AU2288" s="1001" t="str">
        <f t="shared" si="813"/>
        <v>-</v>
      </c>
    </row>
    <row r="2289" spans="1:47" s="399" customFormat="1" x14ac:dyDescent="0.2">
      <c r="A2289" s="60" t="s">
        <v>58</v>
      </c>
      <c r="B2289" s="1061" t="s">
        <v>4794</v>
      </c>
      <c r="C2289" s="1256" t="s">
        <v>5259</v>
      </c>
      <c r="D2289" s="94" t="s">
        <v>5260</v>
      </c>
      <c r="E2289" s="492" t="s">
        <v>5261</v>
      </c>
      <c r="F2289" s="83" t="s">
        <v>1834</v>
      </c>
      <c r="G2289" s="92" t="s">
        <v>3167</v>
      </c>
      <c r="H2289" s="60" t="s">
        <v>948</v>
      </c>
      <c r="I2289" s="1052" t="s">
        <v>2028</v>
      </c>
      <c r="J2289" s="60" t="s">
        <v>257</v>
      </c>
      <c r="K2289" s="282" t="s">
        <v>2159</v>
      </c>
      <c r="L2289" s="68" t="s">
        <v>4259</v>
      </c>
      <c r="M2289" s="622">
        <v>1200</v>
      </c>
      <c r="N2289" s="639">
        <v>1200</v>
      </c>
      <c r="O2289" s="60" t="s">
        <v>260</v>
      </c>
      <c r="P2289" s="60">
        <v>44</v>
      </c>
      <c r="Q2289" s="60">
        <v>60</v>
      </c>
      <c r="R2289" s="60">
        <v>44</v>
      </c>
      <c r="S2289" s="273">
        <v>60</v>
      </c>
      <c r="T2289" s="60">
        <f>Table1[[#This Row],[VO Wdth]]+4</f>
        <v>48</v>
      </c>
      <c r="U2289" s="60">
        <f>Table1[[#This Row],[VO Hgt]]+4</f>
        <v>64</v>
      </c>
      <c r="V2289" s="47">
        <f>Table1[[#This Row],[VO Wdth]]+Materials!$C$50</f>
        <v>46</v>
      </c>
      <c r="W2289" s="47">
        <f>Table1[[#This Row],[VO Hgt]]+Materials!$C$50</f>
        <v>62</v>
      </c>
      <c r="X2289" s="138">
        <v>60</v>
      </c>
      <c r="Y2289" s="60"/>
      <c r="Z2289" s="60"/>
      <c r="AA2289" s="717">
        <f t="shared" si="814"/>
        <v>19.805555555555557</v>
      </c>
      <c r="AB2289" s="125">
        <f t="shared" si="815"/>
        <v>95.066666666666677</v>
      </c>
      <c r="AC2289" s="69">
        <f>Table1[[#This Row],[Print Ht]]*paper60</f>
        <v>21.080000000000002</v>
      </c>
      <c r="AD2289" s="48">
        <f>Table1[[#This Row],[Ink g/mL]]*CanonC</f>
        <v>25.668000000000003</v>
      </c>
      <c r="AE2289" s="104">
        <f>IF(Table1[[#This Row],[Work Center]]="SwissQ",Materials!G$37,IF(Table1[[#This Row],[Work Center]]="Inca",Materials!G$29,IF(Table1[[#This Row],[Work Center]]="Canon",Materials!G$49,Materials!G$45)))</f>
        <v>7</v>
      </c>
      <c r="AF2289" s="69">
        <f>'Cali Frames'!D$595</f>
        <v>335.14249999999998</v>
      </c>
      <c r="AG2289" s="115"/>
      <c r="AH2289" s="112">
        <f t="shared" si="811"/>
        <v>60</v>
      </c>
      <c r="AI2289" s="112"/>
      <c r="AJ2289" s="69">
        <f t="shared" si="816"/>
        <v>448.89049999999997</v>
      </c>
      <c r="AK2289" s="62">
        <f t="shared" si="812"/>
        <v>0.62592458333333334</v>
      </c>
      <c r="AL2289" s="225">
        <f>Table1[[#This Row],[WSP/Dealer]]/Table1[[#This Row],[OD Sq Inch]]</f>
        <v>0.390625</v>
      </c>
      <c r="AM2289" s="97">
        <f>Table1[[#This Row],[OD Wdth]]*Table1[[#This Row],[OD Hgt]]</f>
        <v>3072</v>
      </c>
      <c r="AN2289" s="216">
        <f>Table1[[#This Row],[Min VO]]+Table1[[#This Row],[Max VO]]</f>
        <v>104</v>
      </c>
      <c r="AO2289" s="60"/>
      <c r="AP2289" s="60"/>
      <c r="AQ2289" s="69"/>
      <c r="AR2289" s="69"/>
      <c r="AS2289" s="69"/>
      <c r="AT2289" s="69"/>
      <c r="AU2289" s="1001" t="str">
        <f t="shared" si="813"/>
        <v>-</v>
      </c>
    </row>
    <row r="2290" spans="1:47" s="170" customFormat="1" x14ac:dyDescent="0.2">
      <c r="A2290" s="60" t="s">
        <v>58</v>
      </c>
      <c r="B2290" s="1061" t="s">
        <v>4794</v>
      </c>
      <c r="C2290" s="1256" t="s">
        <v>5262</v>
      </c>
      <c r="D2290" s="94" t="s">
        <v>5263</v>
      </c>
      <c r="E2290" s="492" t="s">
        <v>5264</v>
      </c>
      <c r="F2290" s="83" t="s">
        <v>1834</v>
      </c>
      <c r="G2290" s="92" t="s">
        <v>2194</v>
      </c>
      <c r="H2290" s="60" t="s">
        <v>3136</v>
      </c>
      <c r="I2290" s="1052" t="s">
        <v>2028</v>
      </c>
      <c r="J2290" s="60" t="s">
        <v>257</v>
      </c>
      <c r="K2290" s="282" t="s">
        <v>2159</v>
      </c>
      <c r="L2290" s="68" t="s">
        <v>4259</v>
      </c>
      <c r="M2290" s="622">
        <v>470</v>
      </c>
      <c r="N2290" s="639">
        <v>517</v>
      </c>
      <c r="O2290" s="60" t="s">
        <v>260</v>
      </c>
      <c r="P2290" s="60">
        <v>22</v>
      </c>
      <c r="Q2290" s="60">
        <v>30</v>
      </c>
      <c r="R2290" s="60">
        <v>22</v>
      </c>
      <c r="S2290" s="273">
        <v>30</v>
      </c>
      <c r="T2290" s="60">
        <f>Table1[[#This Row],[VO Wdth]]+4</f>
        <v>26</v>
      </c>
      <c r="U2290" s="60">
        <f>Table1[[#This Row],[VO Hgt]]+4</f>
        <v>34</v>
      </c>
      <c r="V2290" s="47">
        <f>Table1[[#This Row],[VO Wdth]]+Materials!$C$50</f>
        <v>24</v>
      </c>
      <c r="W2290" s="47">
        <f>Table1[[#This Row],[VO Hgt]]+Materials!$C$50</f>
        <v>32</v>
      </c>
      <c r="X2290" s="138">
        <v>24</v>
      </c>
      <c r="Y2290" s="60"/>
      <c r="Z2290" s="60"/>
      <c r="AA2290" s="717">
        <f t="shared" si="814"/>
        <v>5.333333333333333</v>
      </c>
      <c r="AB2290" s="125">
        <f t="shared" si="815"/>
        <v>25.599999999999998</v>
      </c>
      <c r="AC2290" s="69">
        <f>Table1[[#This Row],[Print Ht]]*paper24</f>
        <v>4.16</v>
      </c>
      <c r="AD2290" s="48">
        <f>Table1[[#This Row],[Ink g/mL]]*CanonC</f>
        <v>6.9119999999999999</v>
      </c>
      <c r="AE2290" s="104">
        <f>IF(Table1[[#This Row],[Work Center]]="SwissQ",Materials!G$37,IF(Table1[[#This Row],[Work Center]]="Inca",Materials!G$29,IF(Table1[[#This Row],[Work Center]]="Canon",Materials!G$49,Materials!G$45)))</f>
        <v>7</v>
      </c>
      <c r="AF2290" s="69">
        <f>'Cali Frames'!D$590</f>
        <v>136.85</v>
      </c>
      <c r="AG2290" s="115"/>
      <c r="AH2290" s="112">
        <f t="shared" si="811"/>
        <v>23.5</v>
      </c>
      <c r="AI2290" s="112"/>
      <c r="AJ2290" s="69">
        <f t="shared" si="816"/>
        <v>178.422</v>
      </c>
      <c r="AK2290" s="62">
        <f t="shared" si="812"/>
        <v>0.62037872340425526</v>
      </c>
      <c r="AL2290" s="225">
        <f>Table1[[#This Row],[WSP/Dealer]]/Table1[[#This Row],[OD Sq Inch]]</f>
        <v>0.53167420814479638</v>
      </c>
      <c r="AM2290" s="97">
        <f>Table1[[#This Row],[OD Wdth]]*Table1[[#This Row],[OD Hgt]]</f>
        <v>884</v>
      </c>
      <c r="AN2290" s="216">
        <f>Table1[[#This Row],[Min VO]]+Table1[[#This Row],[Max VO]]</f>
        <v>52</v>
      </c>
      <c r="AO2290" s="60"/>
      <c r="AP2290" s="60"/>
      <c r="AQ2290" s="69"/>
      <c r="AR2290" s="69"/>
      <c r="AS2290" s="69"/>
      <c r="AT2290" s="69"/>
      <c r="AU2290" s="1001" t="str">
        <f t="shared" si="813"/>
        <v>-</v>
      </c>
    </row>
    <row r="2291" spans="1:47" s="170" customFormat="1" x14ac:dyDescent="0.2">
      <c r="A2291" s="60" t="s">
        <v>58</v>
      </c>
      <c r="B2291" s="1061" t="s">
        <v>4794</v>
      </c>
      <c r="C2291" s="1256" t="s">
        <v>5265</v>
      </c>
      <c r="D2291" s="94" t="s">
        <v>5266</v>
      </c>
      <c r="E2291" s="492" t="s">
        <v>5267</v>
      </c>
      <c r="F2291" s="83" t="s">
        <v>1834</v>
      </c>
      <c r="G2291" s="92" t="s">
        <v>3167</v>
      </c>
      <c r="H2291" s="60" t="s">
        <v>948</v>
      </c>
      <c r="I2291" s="1052" t="s">
        <v>2028</v>
      </c>
      <c r="J2291" s="60" t="s">
        <v>257</v>
      </c>
      <c r="K2291" s="282" t="s">
        <v>2159</v>
      </c>
      <c r="L2291" s="68" t="s">
        <v>4259</v>
      </c>
      <c r="M2291" s="622">
        <v>1200</v>
      </c>
      <c r="N2291" s="639">
        <v>1200</v>
      </c>
      <c r="O2291" s="60" t="s">
        <v>260</v>
      </c>
      <c r="P2291" s="60">
        <v>44</v>
      </c>
      <c r="Q2291" s="60">
        <v>60</v>
      </c>
      <c r="R2291" s="60">
        <v>44</v>
      </c>
      <c r="S2291" s="273">
        <v>60</v>
      </c>
      <c r="T2291" s="60">
        <f>Table1[[#This Row],[VO Wdth]]+4</f>
        <v>48</v>
      </c>
      <c r="U2291" s="60">
        <f>Table1[[#This Row],[VO Hgt]]+4</f>
        <v>64</v>
      </c>
      <c r="V2291" s="946">
        <f>Table1[[#This Row],[VO Wdth]]+Materials!$C$50</f>
        <v>46</v>
      </c>
      <c r="W2291" s="946">
        <f>Table1[[#This Row],[VO Hgt]]+Materials!$C$50</f>
        <v>62</v>
      </c>
      <c r="X2291" s="138">
        <v>60</v>
      </c>
      <c r="Y2291" s="60"/>
      <c r="Z2291" s="60"/>
      <c r="AA2291" s="717">
        <f t="shared" si="814"/>
        <v>19.805555555555557</v>
      </c>
      <c r="AB2291" s="125">
        <f t="shared" si="815"/>
        <v>95.066666666666677</v>
      </c>
      <c r="AC2291" s="69">
        <f>Table1[[#This Row],[Print Ht]]*paper60</f>
        <v>21.080000000000002</v>
      </c>
      <c r="AD2291" s="48">
        <f>Table1[[#This Row],[Ink g/mL]]*CanonC</f>
        <v>25.668000000000003</v>
      </c>
      <c r="AE2291" s="104">
        <f>IF(Table1[[#This Row],[Work Center]]="SwissQ",Materials!G$37,IF(Table1[[#This Row],[Work Center]]="Inca",Materials!G$29,IF(Table1[[#This Row],[Work Center]]="Canon",Materials!G$49,Materials!G$45)))</f>
        <v>7</v>
      </c>
      <c r="AF2291" s="69">
        <f>'Cali Frames'!D$595</f>
        <v>335.14249999999998</v>
      </c>
      <c r="AG2291" s="115"/>
      <c r="AH2291" s="498">
        <f t="shared" si="811"/>
        <v>60</v>
      </c>
      <c r="AI2291" s="498"/>
      <c r="AJ2291" s="69">
        <f t="shared" si="816"/>
        <v>448.89049999999997</v>
      </c>
      <c r="AK2291" s="650">
        <f t="shared" si="812"/>
        <v>0.62592458333333334</v>
      </c>
      <c r="AL2291" s="225">
        <f>Table1[[#This Row],[WSP/Dealer]]/Table1[[#This Row],[OD Sq Inch]]</f>
        <v>0.390625</v>
      </c>
      <c r="AM2291" s="97">
        <f>Table1[[#This Row],[OD Wdth]]*Table1[[#This Row],[OD Hgt]]</f>
        <v>3072</v>
      </c>
      <c r="AN2291" s="216">
        <f>Table1[[#This Row],[Min VO]]+Table1[[#This Row],[Max VO]]</f>
        <v>104</v>
      </c>
      <c r="AO2291" s="60"/>
      <c r="AP2291" s="60"/>
      <c r="AQ2291" s="69"/>
      <c r="AR2291" s="69"/>
      <c r="AS2291" s="69"/>
      <c r="AT2291" s="69"/>
      <c r="AU2291" s="1001" t="str">
        <f t="shared" si="813"/>
        <v>-</v>
      </c>
    </row>
    <row r="2292" spans="1:47" s="170" customFormat="1" x14ac:dyDescent="0.2">
      <c r="A2292" s="60" t="s">
        <v>58</v>
      </c>
      <c r="B2292" s="1061" t="s">
        <v>4794</v>
      </c>
      <c r="C2292" s="1256" t="s">
        <v>5268</v>
      </c>
      <c r="D2292" s="94" t="s">
        <v>5269</v>
      </c>
      <c r="E2292" s="492" t="s">
        <v>5270</v>
      </c>
      <c r="F2292" s="83" t="s">
        <v>1834</v>
      </c>
      <c r="G2292" s="92" t="s">
        <v>2194</v>
      </c>
      <c r="H2292" s="60" t="s">
        <v>3136</v>
      </c>
      <c r="I2292" s="1052" t="s">
        <v>2028</v>
      </c>
      <c r="J2292" s="60" t="s">
        <v>257</v>
      </c>
      <c r="K2292" s="282" t="s">
        <v>2159</v>
      </c>
      <c r="L2292" s="68" t="s">
        <v>4259</v>
      </c>
      <c r="M2292" s="622">
        <v>470</v>
      </c>
      <c r="N2292" s="639">
        <v>517</v>
      </c>
      <c r="O2292" s="60" t="s">
        <v>260</v>
      </c>
      <c r="P2292" s="60">
        <v>22</v>
      </c>
      <c r="Q2292" s="60">
        <v>30</v>
      </c>
      <c r="R2292" s="60">
        <v>22</v>
      </c>
      <c r="S2292" s="61">
        <v>30</v>
      </c>
      <c r="T2292" s="46">
        <f>Table1[[#This Row],[VO Wdth]]+4</f>
        <v>26</v>
      </c>
      <c r="U2292" s="46">
        <f>Table1[[#This Row],[VO Hgt]]+4</f>
        <v>34</v>
      </c>
      <c r="V2292" s="946">
        <f>Table1[[#This Row],[VO Wdth]]+Materials!$C$50</f>
        <v>24</v>
      </c>
      <c r="W2292" s="946">
        <f>Table1[[#This Row],[VO Hgt]]+Materials!$C$50</f>
        <v>32</v>
      </c>
      <c r="X2292" s="138">
        <v>24</v>
      </c>
      <c r="Y2292" s="60"/>
      <c r="Z2292" s="60"/>
      <c r="AA2292" s="717">
        <f t="shared" si="814"/>
        <v>5.333333333333333</v>
      </c>
      <c r="AB2292" s="125">
        <f t="shared" si="815"/>
        <v>25.599999999999998</v>
      </c>
      <c r="AC2292" s="69">
        <f>Table1[[#This Row],[Print Ht]]*paper24</f>
        <v>4.16</v>
      </c>
      <c r="AD2292" s="48">
        <f>Table1[[#This Row],[Ink g/mL]]*CanonC</f>
        <v>6.9119999999999999</v>
      </c>
      <c r="AE2292" s="104">
        <f>IF(Table1[[#This Row],[Work Center]]="SwissQ",Materials!G$37,IF(Table1[[#This Row],[Work Center]]="Inca",Materials!G$29,IF(Table1[[#This Row],[Work Center]]="Canon",Materials!G$49,Materials!G$45)))</f>
        <v>7</v>
      </c>
      <c r="AF2292" s="69">
        <f>'Cali Frames'!D$590</f>
        <v>136.85</v>
      </c>
      <c r="AG2292" s="115"/>
      <c r="AH2292" s="498">
        <f t="shared" si="811"/>
        <v>23.5</v>
      </c>
      <c r="AI2292" s="498"/>
      <c r="AJ2292" s="48">
        <f t="shared" si="816"/>
        <v>178.422</v>
      </c>
      <c r="AK2292" s="650">
        <f t="shared" si="812"/>
        <v>0.62037872340425526</v>
      </c>
      <c r="AL2292" s="225">
        <f>Table1[[#This Row],[WSP/Dealer]]/Table1[[#This Row],[OD Sq Inch]]</f>
        <v>0.53167420814479638</v>
      </c>
      <c r="AM2292" s="97">
        <f>Table1[[#This Row],[OD Wdth]]*Table1[[#This Row],[OD Hgt]]</f>
        <v>884</v>
      </c>
      <c r="AN2292" s="216">
        <f>Table1[[#This Row],[Min VO]]+Table1[[#This Row],[Max VO]]</f>
        <v>52</v>
      </c>
      <c r="AO2292" s="46"/>
      <c r="AP2292" s="60"/>
      <c r="AQ2292" s="69"/>
      <c r="AR2292" s="69"/>
      <c r="AS2292" s="69"/>
      <c r="AT2292" s="69"/>
      <c r="AU2292" s="661" t="str">
        <f t="shared" si="813"/>
        <v>-</v>
      </c>
    </row>
    <row r="2293" spans="1:47" s="170" customFormat="1" x14ac:dyDescent="0.2">
      <c r="A2293" s="60" t="s">
        <v>58</v>
      </c>
      <c r="B2293" s="1061" t="s">
        <v>4794</v>
      </c>
      <c r="C2293" s="1256" t="s">
        <v>5271</v>
      </c>
      <c r="D2293" s="94" t="s">
        <v>5272</v>
      </c>
      <c r="E2293" s="492" t="s">
        <v>5273</v>
      </c>
      <c r="F2293" s="83" t="s">
        <v>1834</v>
      </c>
      <c r="G2293" s="92" t="s">
        <v>3167</v>
      </c>
      <c r="H2293" s="60" t="s">
        <v>948</v>
      </c>
      <c r="I2293" s="1052" t="s">
        <v>2028</v>
      </c>
      <c r="J2293" s="60" t="s">
        <v>257</v>
      </c>
      <c r="K2293" s="282" t="s">
        <v>2159</v>
      </c>
      <c r="L2293" s="68" t="s">
        <v>4259</v>
      </c>
      <c r="M2293" s="622">
        <v>1200</v>
      </c>
      <c r="N2293" s="639">
        <v>1200</v>
      </c>
      <c r="O2293" s="60" t="s">
        <v>260</v>
      </c>
      <c r="P2293" s="60">
        <v>44</v>
      </c>
      <c r="Q2293" s="60">
        <v>60</v>
      </c>
      <c r="R2293" s="60">
        <v>44</v>
      </c>
      <c r="S2293" s="273">
        <v>60</v>
      </c>
      <c r="T2293" s="60">
        <f>Table1[[#This Row],[VO Wdth]]+4</f>
        <v>48</v>
      </c>
      <c r="U2293" s="60">
        <f>Table1[[#This Row],[VO Hgt]]+4</f>
        <v>64</v>
      </c>
      <c r="V2293" s="946">
        <f>Table1[[#This Row],[VO Wdth]]+Materials!$C$50</f>
        <v>46</v>
      </c>
      <c r="W2293" s="946">
        <f>Table1[[#This Row],[VO Hgt]]+Materials!$C$50</f>
        <v>62</v>
      </c>
      <c r="X2293" s="138">
        <v>60</v>
      </c>
      <c r="Y2293" s="60"/>
      <c r="Z2293" s="60"/>
      <c r="AA2293" s="717">
        <f t="shared" si="814"/>
        <v>19.805555555555557</v>
      </c>
      <c r="AB2293" s="125">
        <f t="shared" si="815"/>
        <v>95.066666666666677</v>
      </c>
      <c r="AC2293" s="69">
        <f>Table1[[#This Row],[Print Ht]]*paper60</f>
        <v>21.080000000000002</v>
      </c>
      <c r="AD2293" s="69">
        <f>Table1[[#This Row],[Ink g/mL]]*CanonC</f>
        <v>25.668000000000003</v>
      </c>
      <c r="AE2293" s="104">
        <f>IF(Table1[[#This Row],[Work Center]]="SwissQ",Materials!G$37,IF(Table1[[#This Row],[Work Center]]="Inca",Materials!G$29,IF(Table1[[#This Row],[Work Center]]="Canon",Materials!G$49,Materials!G$45)))</f>
        <v>7</v>
      </c>
      <c r="AF2293" s="69">
        <f>'Cali Frames'!D$595</f>
        <v>335.14249999999998</v>
      </c>
      <c r="AG2293" s="115"/>
      <c r="AH2293" s="112">
        <f t="shared" si="811"/>
        <v>60</v>
      </c>
      <c r="AI2293" s="112"/>
      <c r="AJ2293" s="69">
        <f t="shared" si="816"/>
        <v>448.89049999999997</v>
      </c>
      <c r="AK2293" s="62">
        <f t="shared" si="812"/>
        <v>0.62592458333333334</v>
      </c>
      <c r="AL2293" s="225">
        <f>Table1[[#This Row],[WSP/Dealer]]/Table1[[#This Row],[OD Sq Inch]]</f>
        <v>0.390625</v>
      </c>
      <c r="AM2293" s="216">
        <f>Table1[[#This Row],[OD Wdth]]*Table1[[#This Row],[OD Hgt]]</f>
        <v>3072</v>
      </c>
      <c r="AN2293" s="216">
        <f>Table1[[#This Row],[Min VO]]+Table1[[#This Row],[Max VO]]</f>
        <v>104</v>
      </c>
      <c r="AO2293" s="60"/>
      <c r="AP2293" s="60"/>
      <c r="AQ2293" s="69"/>
      <c r="AR2293" s="69"/>
      <c r="AS2293" s="69"/>
      <c r="AT2293" s="69"/>
      <c r="AU2293" s="1001" t="str">
        <f t="shared" si="813"/>
        <v>-</v>
      </c>
    </row>
    <row r="2294" spans="1:47" s="170" customFormat="1" hidden="1" x14ac:dyDescent="0.2">
      <c r="A2294" s="101" t="s">
        <v>110</v>
      </c>
      <c r="B2294" s="1067" t="s">
        <v>111</v>
      </c>
      <c r="C2294" s="1203" t="s">
        <v>5274</v>
      </c>
      <c r="D2294" s="168"/>
      <c r="E2294" s="327" t="s">
        <v>5275</v>
      </c>
      <c r="F2294" s="115" t="s">
        <v>1834</v>
      </c>
      <c r="G2294" s="303" t="s">
        <v>5276</v>
      </c>
      <c r="H2294" s="101" t="s">
        <v>5276</v>
      </c>
      <c r="I2294" s="303" t="s">
        <v>52</v>
      </c>
      <c r="J2294" s="487" t="s">
        <v>53</v>
      </c>
      <c r="K2294" s="303" t="s">
        <v>54</v>
      </c>
      <c r="L2294" s="101" t="s">
        <v>55</v>
      </c>
      <c r="M2294" s="494">
        <v>900</v>
      </c>
      <c r="N2294" s="114"/>
      <c r="O2294" s="101" t="s">
        <v>64</v>
      </c>
      <c r="P2294" s="697">
        <v>60</v>
      </c>
      <c r="Q2294" s="697">
        <v>57</v>
      </c>
      <c r="R2294" s="101">
        <v>57</v>
      </c>
      <c r="S2294" s="697">
        <v>60</v>
      </c>
      <c r="T2294" s="697">
        <v>60</v>
      </c>
      <c r="U2294" s="697">
        <v>57</v>
      </c>
      <c r="V2294" s="106">
        <f>IF(J2294="Canvas",P2294+BorderGW,P2294)</f>
        <v>68</v>
      </c>
      <c r="W2294" s="106">
        <f>IF(J2294="Canvas",Q2294+BorderGW,Q2294)</f>
        <v>65</v>
      </c>
      <c r="X2294" s="101">
        <v>69</v>
      </c>
      <c r="Y2294" s="101">
        <v>68</v>
      </c>
      <c r="Z2294" s="101">
        <v>65</v>
      </c>
      <c r="AA2294" s="649">
        <f t="shared" si="814"/>
        <v>30.694444444444443</v>
      </c>
      <c r="AB2294" s="184">
        <f>AA2294*Swiss1</f>
        <v>868.65277777777771</v>
      </c>
      <c r="AC2294" s="104">
        <f>AA2294*Canvas</f>
        <v>20.258333333333333</v>
      </c>
      <c r="AD2294" s="107">
        <f>Table1[[#This Row],[Substrate SF]]*Materials!C$37</f>
        <v>85.944444444444429</v>
      </c>
      <c r="AE2294" s="104">
        <f>IF(Table1[[#This Row],[Work Center]]="SwissQ",Materials!G$37,IF(Table1[[#This Row],[Work Center]]="Inca",Materials!G$29,IF(Table1[[#This Row],[Work Center]]="Canon",Materials!G$49,Materials!G$45)))</f>
        <v>20</v>
      </c>
      <c r="AF2294" s="102">
        <f>'Cali FPS'!C154</f>
        <v>178.76250000000002</v>
      </c>
      <c r="AG2294" s="115"/>
      <c r="AH2294" s="405">
        <f t="shared" si="811"/>
        <v>45</v>
      </c>
      <c r="AI2294" s="405"/>
      <c r="AJ2294" s="406">
        <f t="shared" si="816"/>
        <v>349.96527777777777</v>
      </c>
      <c r="AK2294" s="1068">
        <f t="shared" si="812"/>
        <v>0.61114969135802466</v>
      </c>
      <c r="AL2294" s="406">
        <f>Table1[[#This Row],[WSP/Dealer]]/Table1[[#This Row],[OD Sq Inch]]</f>
        <v>0.26315789473684209</v>
      </c>
      <c r="AM2294" s="399">
        <f>Table1[[#This Row],[OD Wdth]]*Table1[[#This Row],[OD Hgt]]</f>
        <v>3420</v>
      </c>
      <c r="AN2294" s="400">
        <f>Table1[[#This Row],[Min VO]]+Table1[[#This Row],[Max VO]]</f>
        <v>117</v>
      </c>
      <c r="AO2294" s="115"/>
      <c r="AP2294" s="104">
        <v>1800</v>
      </c>
      <c r="AQ2294" s="104">
        <f>(Table1[[#This Row],[Desgnr/Retail P]]*0.05)</f>
        <v>90</v>
      </c>
      <c r="AR2294" s="121">
        <f>IF(A2294="Codarus",(AP2294*0.13))</f>
        <v>234</v>
      </c>
      <c r="AS2294" s="121">
        <f>SUM(Table1[[#This Row],[Substrate $]:[GP FINISH]])+Table1[[#This Row],[Retail Royalty]]+Table1[[#This Row],[Retail$Comm]]</f>
        <v>628.96527777777783</v>
      </c>
      <c r="AT2294" s="830">
        <f>IF(AP2294=0,"-",(AP2294-AS2294)/AP2294)</f>
        <v>0.65057484567901236</v>
      </c>
      <c r="AU2294" s="1359">
        <f t="shared" si="813"/>
        <v>0.99277139060356645</v>
      </c>
    </row>
    <row r="2295" spans="1:47" s="173" customFormat="1" hidden="1" x14ac:dyDescent="0.2">
      <c r="A2295" s="101"/>
      <c r="B2295" s="1067"/>
      <c r="C2295" s="1203"/>
      <c r="D2295" s="168"/>
      <c r="E2295" s="327" t="s">
        <v>5277</v>
      </c>
      <c r="F2295" s="115"/>
      <c r="G2295" s="303"/>
      <c r="H2295" s="101"/>
      <c r="I2295" s="92"/>
      <c r="J2295" s="59"/>
      <c r="K2295" s="92"/>
      <c r="L2295" s="101"/>
      <c r="M2295" s="494"/>
      <c r="N2295" s="114"/>
      <c r="O2295" s="101"/>
      <c r="P2295" s="273"/>
      <c r="Q2295" s="273"/>
      <c r="R2295" s="60"/>
      <c r="S2295" s="273"/>
      <c r="T2295" s="697"/>
      <c r="U2295" s="697"/>
      <c r="V2295" s="106"/>
      <c r="W2295" s="106"/>
      <c r="X2295" s="101"/>
      <c r="Y2295" s="101"/>
      <c r="Z2295" s="101"/>
      <c r="AA2295" s="649"/>
      <c r="AB2295" s="184"/>
      <c r="AC2295" s="104"/>
      <c r="AD2295" s="120"/>
      <c r="AE2295" s="121"/>
      <c r="AF2295" s="102"/>
      <c r="AG2295" s="115"/>
      <c r="AH2295" s="120"/>
      <c r="AI2295" s="120"/>
      <c r="AJ2295" s="121"/>
      <c r="AK2295" s="108"/>
      <c r="AL2295" s="121"/>
      <c r="AM2295" s="113"/>
      <c r="AN2295" s="115"/>
      <c r="AO2295" s="115"/>
      <c r="AP2295" s="121"/>
      <c r="AQ2295" s="104">
        <f>(Table1[[#This Row],[Desgnr/Retail P]]*0.05)</f>
        <v>0</v>
      </c>
      <c r="AR2295" s="121" t="b">
        <f>IF(A2295="Codarus",(AP2295*0.13))</f>
        <v>0</v>
      </c>
      <c r="AS2295" s="121" t="e" cm="1">
        <f t="array" ref="AS2295">SUM(AC2295:AG2295+AQ+AR)</f>
        <v>#NAME?</v>
      </c>
      <c r="AT2295" s="104" t="e">
        <f>(AP2295-AS2295)/AP2295</f>
        <v>#NAME?</v>
      </c>
      <c r="AU2295" s="1359" t="str">
        <f t="shared" si="813"/>
        <v>-</v>
      </c>
    </row>
    <row r="2296" spans="1:47" s="170" customFormat="1" x14ac:dyDescent="0.2">
      <c r="A2296" s="60" t="s">
        <v>58</v>
      </c>
      <c r="B2296" s="1061" t="s">
        <v>4794</v>
      </c>
      <c r="C2296" s="1256" t="s">
        <v>5278</v>
      </c>
      <c r="D2296" s="94" t="s">
        <v>5279</v>
      </c>
      <c r="E2296" s="492" t="s">
        <v>5280</v>
      </c>
      <c r="F2296" s="83" t="s">
        <v>1834</v>
      </c>
      <c r="G2296" s="60" t="s">
        <v>2194</v>
      </c>
      <c r="H2296" s="60" t="s">
        <v>3136</v>
      </c>
      <c r="I2296" s="1052" t="s">
        <v>2028</v>
      </c>
      <c r="J2296" s="60" t="s">
        <v>257</v>
      </c>
      <c r="K2296" s="282" t="s">
        <v>2159</v>
      </c>
      <c r="L2296" s="68" t="s">
        <v>4259</v>
      </c>
      <c r="M2296" s="622">
        <v>470</v>
      </c>
      <c r="N2296" s="639">
        <v>517</v>
      </c>
      <c r="O2296" s="60" t="s">
        <v>260</v>
      </c>
      <c r="P2296" s="60">
        <v>22</v>
      </c>
      <c r="Q2296" s="60">
        <v>30</v>
      </c>
      <c r="R2296" s="60">
        <v>22</v>
      </c>
      <c r="S2296" s="273">
        <v>30</v>
      </c>
      <c r="T2296" s="60">
        <f>Table1[[#This Row],[VO Wdth]]+4</f>
        <v>26</v>
      </c>
      <c r="U2296" s="60">
        <f>Table1[[#This Row],[VO Hgt]]+4</f>
        <v>34</v>
      </c>
      <c r="V2296" s="946">
        <f>Table1[[#This Row],[VO Wdth]]+Materials!$C$50</f>
        <v>24</v>
      </c>
      <c r="W2296" s="946">
        <f>Table1[[#This Row],[VO Hgt]]+Materials!$C$50</f>
        <v>32</v>
      </c>
      <c r="X2296" s="138">
        <v>24</v>
      </c>
      <c r="Y2296" s="60"/>
      <c r="Z2296" s="60"/>
      <c r="AA2296" s="717">
        <f t="shared" ref="AA2296:AA2320" si="817">V2296*W2296/144</f>
        <v>5.333333333333333</v>
      </c>
      <c r="AB2296" s="125">
        <f>AA2296*canonML</f>
        <v>25.599999999999998</v>
      </c>
      <c r="AC2296" s="69">
        <f>Table1[[#This Row],[Print Ht]]*paper24</f>
        <v>4.16</v>
      </c>
      <c r="AD2296" s="48">
        <f>Table1[[#This Row],[Ink g/mL]]*CanonC</f>
        <v>6.9119999999999999</v>
      </c>
      <c r="AE2296" s="104">
        <f>IF(Table1[[#This Row],[Work Center]]="SwissQ",Materials!G$37,IF(Table1[[#This Row],[Work Center]]="Inca",Materials!G$29,IF(Table1[[#This Row],[Work Center]]="Canon",Materials!G$49,Materials!G$45)))</f>
        <v>7</v>
      </c>
      <c r="AF2296" s="69">
        <f>'Cali Frames'!D$590</f>
        <v>136.85</v>
      </c>
      <c r="AG2296" s="115"/>
      <c r="AH2296" s="112">
        <f t="shared" ref="AH2296:AH2320" si="818">(M2296*0.05)</f>
        <v>23.5</v>
      </c>
      <c r="AI2296" s="112"/>
      <c r="AJ2296" s="69">
        <f t="shared" ref="AJ2296:AJ2320" si="819">SUM(AC2296:AH2296)</f>
        <v>178.422</v>
      </c>
      <c r="AK2296" s="62">
        <f t="shared" ref="AK2296:AK2320" si="820">(M2296-AJ2296)/M2296</f>
        <v>0.62037872340425526</v>
      </c>
      <c r="AL2296" s="225">
        <f>Table1[[#This Row],[WSP/Dealer]]/Table1[[#This Row],[OD Sq Inch]]</f>
        <v>0.53167420814479638</v>
      </c>
      <c r="AM2296" s="218">
        <f>Table1[[#This Row],[OD Wdth]]*Table1[[#This Row],[OD Hgt]]</f>
        <v>884</v>
      </c>
      <c r="AN2296" s="216">
        <f>Table1[[#This Row],[Min VO]]+Table1[[#This Row],[Max VO]]</f>
        <v>52</v>
      </c>
      <c r="AO2296" s="60"/>
      <c r="AP2296" s="60"/>
      <c r="AQ2296" s="69"/>
      <c r="AR2296" s="69"/>
      <c r="AS2296" s="69"/>
      <c r="AT2296" s="69"/>
      <c r="AU2296" s="1001" t="str">
        <f t="shared" si="813"/>
        <v>-</v>
      </c>
    </row>
    <row r="2297" spans="1:47" s="170" customFormat="1" x14ac:dyDescent="0.2">
      <c r="A2297" s="60" t="s">
        <v>58</v>
      </c>
      <c r="B2297" s="1061" t="s">
        <v>4794</v>
      </c>
      <c r="C2297" s="1256" t="s">
        <v>5281</v>
      </c>
      <c r="D2297" s="94" t="s">
        <v>5282</v>
      </c>
      <c r="E2297" s="492" t="s">
        <v>5283</v>
      </c>
      <c r="F2297" s="83" t="s">
        <v>1834</v>
      </c>
      <c r="G2297" s="92" t="s">
        <v>3167</v>
      </c>
      <c r="H2297" s="60" t="s">
        <v>948</v>
      </c>
      <c r="I2297" s="1052" t="s">
        <v>2028</v>
      </c>
      <c r="J2297" s="60" t="s">
        <v>257</v>
      </c>
      <c r="K2297" s="282" t="s">
        <v>2159</v>
      </c>
      <c r="L2297" s="68" t="s">
        <v>4259</v>
      </c>
      <c r="M2297" s="622">
        <v>1200</v>
      </c>
      <c r="N2297" s="639">
        <v>1200</v>
      </c>
      <c r="O2297" s="60" t="s">
        <v>260</v>
      </c>
      <c r="P2297" s="60">
        <v>44</v>
      </c>
      <c r="Q2297" s="60">
        <v>60</v>
      </c>
      <c r="R2297" s="60">
        <v>44</v>
      </c>
      <c r="S2297" s="273">
        <v>60</v>
      </c>
      <c r="T2297" s="46">
        <f>Table1[[#This Row],[VO Wdth]]+4</f>
        <v>48</v>
      </c>
      <c r="U2297" s="46">
        <f>Table1[[#This Row],[VO Hgt]]+4</f>
        <v>64</v>
      </c>
      <c r="V2297" s="47">
        <f>Table1[[#This Row],[VO Wdth]]+Materials!$C$50</f>
        <v>46</v>
      </c>
      <c r="W2297" s="47">
        <f>Table1[[#This Row],[VO Hgt]]+Materials!$C$50</f>
        <v>62</v>
      </c>
      <c r="X2297" s="138">
        <v>60</v>
      </c>
      <c r="Y2297" s="46"/>
      <c r="Z2297" s="46"/>
      <c r="AA2297" s="717">
        <f t="shared" si="817"/>
        <v>19.805555555555557</v>
      </c>
      <c r="AB2297" s="125">
        <f>AA2297*canonML</f>
        <v>95.066666666666677</v>
      </c>
      <c r="AC2297" s="69">
        <f>Table1[[#This Row],[Print Ht]]*paper60</f>
        <v>21.080000000000002</v>
      </c>
      <c r="AD2297" s="48">
        <f>Table1[[#This Row],[Ink g/mL]]*CanonC</f>
        <v>25.668000000000003</v>
      </c>
      <c r="AE2297" s="104">
        <f>IF(Table1[[#This Row],[Work Center]]="SwissQ",Materials!G$37,IF(Table1[[#This Row],[Work Center]]="Inca",Materials!G$29,IF(Table1[[#This Row],[Work Center]]="Canon",Materials!G$49,Materials!G$45)))</f>
        <v>7</v>
      </c>
      <c r="AF2297" s="69">
        <f>'Cali Frames'!D$595</f>
        <v>335.14249999999998</v>
      </c>
      <c r="AG2297" s="115"/>
      <c r="AH2297" s="112">
        <f t="shared" si="818"/>
        <v>60</v>
      </c>
      <c r="AI2297" s="112"/>
      <c r="AJ2297" s="48">
        <f t="shared" si="819"/>
        <v>448.89049999999997</v>
      </c>
      <c r="AK2297" s="62">
        <f t="shared" si="820"/>
        <v>0.62592458333333334</v>
      </c>
      <c r="AL2297" s="225">
        <f>Table1[[#This Row],[WSP/Dealer]]/Table1[[#This Row],[OD Sq Inch]]</f>
        <v>0.390625</v>
      </c>
      <c r="AM2297" s="103">
        <f>Table1[[#This Row],[OD Wdth]]*Table1[[#This Row],[OD Hgt]]</f>
        <v>3072</v>
      </c>
      <c r="AN2297" s="216">
        <f>Table1[[#This Row],[Min VO]]+Table1[[#This Row],[Max VO]]</f>
        <v>104</v>
      </c>
      <c r="AO2297" s="46"/>
      <c r="AP2297" s="60"/>
      <c r="AQ2297" s="69"/>
      <c r="AR2297" s="69"/>
      <c r="AS2297" s="69"/>
      <c r="AT2297" s="69"/>
      <c r="AU2297" s="661" t="str">
        <f t="shared" si="813"/>
        <v>-</v>
      </c>
    </row>
    <row r="2298" spans="1:47" s="173" customFormat="1" x14ac:dyDescent="0.2">
      <c r="A2298" s="60" t="s">
        <v>58</v>
      </c>
      <c r="B2298" s="1061" t="s">
        <v>4794</v>
      </c>
      <c r="C2298" s="1256" t="s">
        <v>5284</v>
      </c>
      <c r="D2298" s="94" t="s">
        <v>5285</v>
      </c>
      <c r="E2298" s="492" t="s">
        <v>5286</v>
      </c>
      <c r="F2298" s="83" t="s">
        <v>1834</v>
      </c>
      <c r="G2298" s="60" t="s">
        <v>2194</v>
      </c>
      <c r="H2298" s="60" t="s">
        <v>3136</v>
      </c>
      <c r="I2298" s="1052" t="s">
        <v>2028</v>
      </c>
      <c r="J2298" s="60" t="s">
        <v>257</v>
      </c>
      <c r="K2298" s="282" t="s">
        <v>2159</v>
      </c>
      <c r="L2298" s="68" t="s">
        <v>4259</v>
      </c>
      <c r="M2298" s="622">
        <v>470</v>
      </c>
      <c r="N2298" s="639">
        <v>517</v>
      </c>
      <c r="O2298" s="60" t="s">
        <v>260</v>
      </c>
      <c r="P2298" s="60">
        <v>22</v>
      </c>
      <c r="Q2298" s="60">
        <v>30</v>
      </c>
      <c r="R2298" s="60">
        <v>22</v>
      </c>
      <c r="S2298" s="273">
        <v>30</v>
      </c>
      <c r="T2298" s="60">
        <f>Table1[[#This Row],[VO Wdth]]+4</f>
        <v>26</v>
      </c>
      <c r="U2298" s="60">
        <f>Table1[[#This Row],[VO Hgt]]+4</f>
        <v>34</v>
      </c>
      <c r="V2298" s="946">
        <f>Table1[[#This Row],[VO Wdth]]+Materials!$C$50</f>
        <v>24</v>
      </c>
      <c r="W2298" s="946">
        <f>Table1[[#This Row],[VO Hgt]]+Materials!$C$50</f>
        <v>32</v>
      </c>
      <c r="X2298" s="138">
        <v>24</v>
      </c>
      <c r="Y2298" s="60"/>
      <c r="Z2298" s="60"/>
      <c r="AA2298" s="717">
        <f t="shared" si="817"/>
        <v>5.333333333333333</v>
      </c>
      <c r="AB2298" s="125">
        <f>AA2298*canonML</f>
        <v>25.599999999999998</v>
      </c>
      <c r="AC2298" s="69">
        <f>Table1[[#This Row],[Print Ht]]*paper24</f>
        <v>4.16</v>
      </c>
      <c r="AD2298" s="69">
        <f>Table1[[#This Row],[Ink g/mL]]*CanonC</f>
        <v>6.9119999999999999</v>
      </c>
      <c r="AE2298" s="104">
        <f>IF(Table1[[#This Row],[Work Center]]="SwissQ",Materials!G$37,IF(Table1[[#This Row],[Work Center]]="Inca",Materials!G$29,IF(Table1[[#This Row],[Work Center]]="Canon",Materials!G$49,Materials!G$45)))</f>
        <v>7</v>
      </c>
      <c r="AF2298" s="69">
        <f>'Cali Frames'!D$590</f>
        <v>136.85</v>
      </c>
      <c r="AG2298" s="115"/>
      <c r="AH2298" s="112">
        <f t="shared" si="818"/>
        <v>23.5</v>
      </c>
      <c r="AI2298" s="112"/>
      <c r="AJ2298" s="69">
        <f t="shared" si="819"/>
        <v>178.422</v>
      </c>
      <c r="AK2298" s="62">
        <f t="shared" si="820"/>
        <v>0.62037872340425526</v>
      </c>
      <c r="AL2298" s="225">
        <f>Table1[[#This Row],[WSP/Dealer]]/Table1[[#This Row],[OD Sq Inch]]</f>
        <v>0.53167420814479638</v>
      </c>
      <c r="AM2298" s="101">
        <f>Table1[[#This Row],[OD Wdth]]*Table1[[#This Row],[OD Hgt]]</f>
        <v>884</v>
      </c>
      <c r="AN2298" s="216">
        <f>Table1[[#This Row],[Min VO]]+Table1[[#This Row],[Max VO]]</f>
        <v>52</v>
      </c>
      <c r="AO2298" s="60"/>
      <c r="AP2298" s="60"/>
      <c r="AQ2298" s="69"/>
      <c r="AR2298" s="69"/>
      <c r="AS2298" s="69"/>
      <c r="AT2298" s="69"/>
      <c r="AU2298" s="1001" t="str">
        <f t="shared" si="813"/>
        <v>-</v>
      </c>
    </row>
    <row r="2299" spans="1:47" s="170" customFormat="1" x14ac:dyDescent="0.2">
      <c r="A2299" s="60" t="s">
        <v>58</v>
      </c>
      <c r="B2299" s="1061" t="s">
        <v>4794</v>
      </c>
      <c r="C2299" s="1256" t="s">
        <v>5287</v>
      </c>
      <c r="D2299" s="94" t="s">
        <v>5288</v>
      </c>
      <c r="E2299" s="492" t="s">
        <v>5289</v>
      </c>
      <c r="F2299" s="83" t="s">
        <v>1834</v>
      </c>
      <c r="G2299" s="60" t="s">
        <v>3167</v>
      </c>
      <c r="H2299" s="60" t="s">
        <v>948</v>
      </c>
      <c r="I2299" s="1052" t="s">
        <v>2028</v>
      </c>
      <c r="J2299" s="60" t="s">
        <v>257</v>
      </c>
      <c r="K2299" s="282" t="s">
        <v>2159</v>
      </c>
      <c r="L2299" s="68" t="s">
        <v>4259</v>
      </c>
      <c r="M2299" s="622">
        <v>1200</v>
      </c>
      <c r="N2299" s="639">
        <v>1200</v>
      </c>
      <c r="O2299" s="60" t="s">
        <v>260</v>
      </c>
      <c r="P2299" s="60">
        <v>44</v>
      </c>
      <c r="Q2299" s="60">
        <v>60</v>
      </c>
      <c r="R2299" s="60">
        <v>44</v>
      </c>
      <c r="S2299" s="273">
        <v>60</v>
      </c>
      <c r="T2299" s="46">
        <f>Table1[[#This Row],[VO Wdth]]+4</f>
        <v>48</v>
      </c>
      <c r="U2299" s="46">
        <f>Table1[[#This Row],[VO Hgt]]+4</f>
        <v>64</v>
      </c>
      <c r="V2299" s="946">
        <f>Table1[[#This Row],[VO Wdth]]+Materials!$C$50</f>
        <v>46</v>
      </c>
      <c r="W2299" s="946">
        <f>Table1[[#This Row],[VO Hgt]]+Materials!$C$50</f>
        <v>62</v>
      </c>
      <c r="X2299" s="138">
        <v>60</v>
      </c>
      <c r="Y2299" s="60"/>
      <c r="Z2299" s="60"/>
      <c r="AA2299" s="717">
        <f t="shared" si="817"/>
        <v>19.805555555555557</v>
      </c>
      <c r="AB2299" s="125">
        <f>AA2299*canonML</f>
        <v>95.066666666666677</v>
      </c>
      <c r="AC2299" s="69">
        <f>Table1[[#This Row],[Print Ht]]*paper60</f>
        <v>21.080000000000002</v>
      </c>
      <c r="AD2299" s="48">
        <f>Table1[[#This Row],[Ink g/mL]]*CanonC</f>
        <v>25.668000000000003</v>
      </c>
      <c r="AE2299" s="104">
        <f>IF(Table1[[#This Row],[Work Center]]="SwissQ",Materials!G$37,IF(Table1[[#This Row],[Work Center]]="Inca",Materials!G$29,IF(Table1[[#This Row],[Work Center]]="Canon",Materials!G$49,Materials!G$45)))</f>
        <v>7</v>
      </c>
      <c r="AF2299" s="69">
        <f>'Cali Frames'!D$595</f>
        <v>335.14249999999998</v>
      </c>
      <c r="AG2299" s="115"/>
      <c r="AH2299" s="112">
        <f t="shared" si="818"/>
        <v>60</v>
      </c>
      <c r="AI2299" s="112"/>
      <c r="AJ2299" s="69">
        <f t="shared" si="819"/>
        <v>448.89049999999997</v>
      </c>
      <c r="AK2299" s="62">
        <f t="shared" si="820"/>
        <v>0.62592458333333334</v>
      </c>
      <c r="AL2299" s="225">
        <f>Table1[[#This Row],[WSP/Dealer]]/Table1[[#This Row],[OD Sq Inch]]</f>
        <v>0.390625</v>
      </c>
      <c r="AM2299" s="218">
        <f>Table1[[#This Row],[OD Wdth]]*Table1[[#This Row],[OD Hgt]]</f>
        <v>3072</v>
      </c>
      <c r="AN2299" s="216">
        <f>Table1[[#This Row],[Min VO]]+Table1[[#This Row],[Max VO]]</f>
        <v>104</v>
      </c>
      <c r="AO2299" s="46"/>
      <c r="AP2299" s="60"/>
      <c r="AQ2299" s="69"/>
      <c r="AR2299" s="69"/>
      <c r="AS2299" s="69"/>
      <c r="AT2299" s="69"/>
      <c r="AU2299" s="661" t="str">
        <f t="shared" si="813"/>
        <v>-</v>
      </c>
    </row>
    <row r="2300" spans="1:47" s="170" customFormat="1" x14ac:dyDescent="0.2">
      <c r="A2300" s="145" t="s">
        <v>58</v>
      </c>
      <c r="B2300" s="1061" t="s">
        <v>533</v>
      </c>
      <c r="C2300" s="1337" t="s">
        <v>5290</v>
      </c>
      <c r="D2300" s="94" t="s">
        <v>5291</v>
      </c>
      <c r="E2300" s="1337" t="s">
        <v>5292</v>
      </c>
      <c r="F2300" s="147" t="s">
        <v>1834</v>
      </c>
      <c r="G2300" s="156" t="s">
        <v>5293</v>
      </c>
      <c r="H2300" s="156" t="s">
        <v>5293</v>
      </c>
      <c r="I2300" s="1338" t="s">
        <v>52</v>
      </c>
      <c r="J2300" s="807" t="s">
        <v>53</v>
      </c>
      <c r="K2300" s="1338" t="s">
        <v>54</v>
      </c>
      <c r="L2300" s="156" t="s">
        <v>55</v>
      </c>
      <c r="M2300" s="1275">
        <v>775</v>
      </c>
      <c r="N2300" s="639">
        <v>830</v>
      </c>
      <c r="O2300" s="145" t="s">
        <v>64</v>
      </c>
      <c r="P2300" s="145">
        <v>42</v>
      </c>
      <c r="Q2300" s="145">
        <v>56</v>
      </c>
      <c r="R2300" s="145">
        <v>42</v>
      </c>
      <c r="S2300" s="145">
        <v>56</v>
      </c>
      <c r="T2300" s="698">
        <v>42</v>
      </c>
      <c r="U2300" s="698">
        <v>56</v>
      </c>
      <c r="V2300" s="913">
        <f>IF(J2300="Canvas",P2300+Border,P2300)</f>
        <v>50</v>
      </c>
      <c r="W2300" s="913">
        <f>IF(J2300="Canvas",Q2300+Border,Q2300)</f>
        <v>64</v>
      </c>
      <c r="X2300" s="157" t="s">
        <v>699</v>
      </c>
      <c r="Y2300" s="145"/>
      <c r="Z2300" s="145"/>
      <c r="AA2300" s="722">
        <f t="shared" si="817"/>
        <v>22.222222222222221</v>
      </c>
      <c r="AB2300" s="389">
        <f>AA2300*Swiss1</f>
        <v>628.88888888888891</v>
      </c>
      <c r="AC2300" s="606">
        <f t="shared" ref="AC2300:AC2308" si="821">AA2300*Canvas</f>
        <v>14.666666666666666</v>
      </c>
      <c r="AD2300" s="150">
        <f>Table1[[#This Row],[Substrate SF]]*Materials!C$37</f>
        <v>62.222222222222214</v>
      </c>
      <c r="AE2300" s="104">
        <f>IF(Table1[[#This Row],[Work Center]]="SwissQ",Materials!G$37,IF(Table1[[#This Row],[Work Center]]="Inca",Materials!G$29,IF(Table1[[#This Row],[Work Center]]="Canon",Materials!G$49,Materials!G$45)))</f>
        <v>20</v>
      </c>
      <c r="AF2300" s="635">
        <f>'Cali FPS'!C97</f>
        <v>109.88249999999999</v>
      </c>
      <c r="AG2300" s="115"/>
      <c r="AH2300" s="498">
        <f t="shared" si="818"/>
        <v>38.75</v>
      </c>
      <c r="AI2300" s="498"/>
      <c r="AJ2300" s="143">
        <f t="shared" si="819"/>
        <v>245.52138888888888</v>
      </c>
      <c r="AK2300" s="650">
        <f t="shared" si="820"/>
        <v>0.68319820788530472</v>
      </c>
      <c r="AL2300" s="225">
        <f>Table1[[#This Row],[WSP/Dealer]]/Table1[[#This Row],[OD Sq Inch]]</f>
        <v>0.32950680272108845</v>
      </c>
      <c r="AM2300" s="218">
        <f>Table1[[#This Row],[OD Wdth]]*Table1[[#This Row],[OD Hgt]]</f>
        <v>2352</v>
      </c>
      <c r="AN2300" s="216">
        <f>Table1[[#This Row],[Min VO]]+Table1[[#This Row],[Max VO]]</f>
        <v>98</v>
      </c>
      <c r="AO2300" s="147"/>
      <c r="AP2300" s="147"/>
      <c r="AQ2300" s="635"/>
      <c r="AR2300" s="635"/>
      <c r="AS2300" s="635"/>
      <c r="AT2300" s="143"/>
      <c r="AU2300" s="1370" t="str">
        <f t="shared" si="813"/>
        <v>-</v>
      </c>
    </row>
    <row r="2301" spans="1:47" s="170" customFormat="1" x14ac:dyDescent="0.2">
      <c r="A2301" s="145" t="s">
        <v>58</v>
      </c>
      <c r="B2301" s="1061" t="s">
        <v>533</v>
      </c>
      <c r="C2301" s="1337" t="s">
        <v>5294</v>
      </c>
      <c r="D2301" s="94" t="s">
        <v>5295</v>
      </c>
      <c r="E2301" s="1337" t="s">
        <v>5296</v>
      </c>
      <c r="F2301" s="147" t="s">
        <v>1834</v>
      </c>
      <c r="G2301" s="156" t="s">
        <v>1200</v>
      </c>
      <c r="H2301" s="156" t="s">
        <v>1200</v>
      </c>
      <c r="I2301" s="1338" t="s">
        <v>52</v>
      </c>
      <c r="J2301" s="156" t="s">
        <v>53</v>
      </c>
      <c r="K2301" s="1338" t="s">
        <v>54</v>
      </c>
      <c r="L2301" s="156" t="s">
        <v>55</v>
      </c>
      <c r="M2301" s="977">
        <v>1425</v>
      </c>
      <c r="N2301" s="639">
        <v>1450</v>
      </c>
      <c r="O2301" s="145" t="s">
        <v>64</v>
      </c>
      <c r="P2301" s="145">
        <v>60</v>
      </c>
      <c r="Q2301" s="145">
        <v>80</v>
      </c>
      <c r="R2301" s="145">
        <v>60</v>
      </c>
      <c r="S2301" s="145">
        <v>80</v>
      </c>
      <c r="T2301" s="698">
        <f>Table1[[#This Row],[VO Wdth]]</f>
        <v>60</v>
      </c>
      <c r="U2301" s="698">
        <f>Table1[[#This Row],[VO Hgt]]</f>
        <v>80</v>
      </c>
      <c r="V2301" s="913">
        <f>IF(J2301="Canvas",P2301+BorderL,P2301)</f>
        <v>71</v>
      </c>
      <c r="W2301" s="913">
        <f>IF(J2301="Canvas",Q2301+BorderL,Q2301)</f>
        <v>91</v>
      </c>
      <c r="X2301" s="157" t="s">
        <v>1462</v>
      </c>
      <c r="Y2301" s="145"/>
      <c r="Z2301" s="145"/>
      <c r="AA2301" s="722">
        <f t="shared" si="817"/>
        <v>44.868055555555557</v>
      </c>
      <c r="AB2301" s="389">
        <f>AA2301*Swiss1</f>
        <v>1269.7659722222222</v>
      </c>
      <c r="AC2301" s="606">
        <f t="shared" si="821"/>
        <v>29.612916666666671</v>
      </c>
      <c r="AD2301" s="150">
        <f>Table1[[#This Row],[Substrate SF]]*Materials!C$37</f>
        <v>125.63055555555555</v>
      </c>
      <c r="AE2301" s="104">
        <f>IF(Table1[[#This Row],[Work Center]]="SwissQ",Materials!G$37,IF(Table1[[#This Row],[Work Center]]="Inca",Materials!G$29,IF(Table1[[#This Row],[Work Center]]="Canon",Materials!G$49,Materials!G$45)))</f>
        <v>20</v>
      </c>
      <c r="AF2301" s="143">
        <f>'Cali FPS'!C$161</f>
        <v>253.22499999999997</v>
      </c>
      <c r="AG2301" s="115"/>
      <c r="AH2301" s="498">
        <f t="shared" si="818"/>
        <v>71.25</v>
      </c>
      <c r="AI2301" s="498"/>
      <c r="AJ2301" s="143">
        <f t="shared" si="819"/>
        <v>499.7184722222222</v>
      </c>
      <c r="AK2301" s="650">
        <f t="shared" si="820"/>
        <v>0.64932037037037038</v>
      </c>
      <c r="AL2301" s="225">
        <f>Table1[[#This Row],[WSP/Dealer]]/Table1[[#This Row],[OD Sq Inch]]</f>
        <v>0.296875</v>
      </c>
      <c r="AM2301" s="218">
        <f>Table1[[#This Row],[OD Wdth]]*Table1[[#This Row],[OD Hgt]]</f>
        <v>4800</v>
      </c>
      <c r="AN2301" s="216">
        <f>Table1[[#This Row],[Min VO]]+Table1[[#This Row],[Max VO]]</f>
        <v>140</v>
      </c>
      <c r="AO2301" s="145"/>
      <c r="AP2301" s="145"/>
      <c r="AQ2301" s="143"/>
      <c r="AR2301" s="143"/>
      <c r="AS2301" s="143"/>
      <c r="AT2301" s="143"/>
      <c r="AU2301" s="1371" t="str">
        <f t="shared" si="813"/>
        <v>-</v>
      </c>
    </row>
    <row r="2302" spans="1:47" s="173" customFormat="1" hidden="1" x14ac:dyDescent="0.2">
      <c r="A2302" s="216" t="s">
        <v>272</v>
      </c>
      <c r="B2302" s="1061" t="s">
        <v>273</v>
      </c>
      <c r="C2302" s="803" t="s">
        <v>5297</v>
      </c>
      <c r="D2302" s="94"/>
      <c r="E2302" s="803" t="s">
        <v>5298</v>
      </c>
      <c r="F2302" s="217" t="s">
        <v>1834</v>
      </c>
      <c r="G2302" s="216" t="s">
        <v>5299</v>
      </c>
      <c r="H2302" s="216" t="s">
        <v>5299</v>
      </c>
      <c r="I2302" s="272" t="s">
        <v>108</v>
      </c>
      <c r="J2302" s="216" t="s">
        <v>53</v>
      </c>
      <c r="K2302" s="272" t="s">
        <v>54</v>
      </c>
      <c r="L2302" s="216" t="s">
        <v>55</v>
      </c>
      <c r="M2302" s="979">
        <v>450</v>
      </c>
      <c r="N2302" s="226"/>
      <c r="O2302" s="216" t="s">
        <v>64</v>
      </c>
      <c r="P2302" s="216">
        <v>60</v>
      </c>
      <c r="Q2302" s="216">
        <v>80</v>
      </c>
      <c r="R2302" s="216">
        <v>60</v>
      </c>
      <c r="S2302" s="216">
        <v>80</v>
      </c>
      <c r="T2302" s="216">
        <v>60</v>
      </c>
      <c r="U2302" s="216">
        <v>80</v>
      </c>
      <c r="V2302" s="222">
        <f>IF(J2302="Canvas",P2302+Border,P2302)</f>
        <v>68</v>
      </c>
      <c r="W2302" s="222">
        <f>IF(J2302="Canvas",Q2302+Border,Q2302)</f>
        <v>88</v>
      </c>
      <c r="X2302" s="223" t="s">
        <v>2478</v>
      </c>
      <c r="Y2302" s="216"/>
      <c r="Z2302" s="216"/>
      <c r="AA2302" s="718">
        <f t="shared" si="817"/>
        <v>41.555555555555557</v>
      </c>
      <c r="AB2302" s="233">
        <f>AA2302*SWISSRML</f>
        <v>83.111111111111114</v>
      </c>
      <c r="AC2302" s="225">
        <f t="shared" si="821"/>
        <v>27.426666666666669</v>
      </c>
      <c r="AD2302" s="209">
        <f>AA2302*SWISSRC</f>
        <v>9.1422222222222231</v>
      </c>
      <c r="AE2302" s="104">
        <f>IF(Table1[[#This Row],[Work Center]]="SwissQ",Materials!G$37,IF(Table1[[#This Row],[Work Center]]="Inca",Materials!G$29,IF(Table1[[#This Row],[Work Center]]="Canon",Materials!G$49,Materials!G$45)))</f>
        <v>20</v>
      </c>
      <c r="AF2302" s="247">
        <f>'CALI_SONDER '!H36</f>
        <v>233.41</v>
      </c>
      <c r="AG2302" s="225"/>
      <c r="AH2302" s="112">
        <f t="shared" si="818"/>
        <v>22.5</v>
      </c>
      <c r="AI2302" s="112"/>
      <c r="AJ2302" s="225">
        <f t="shared" si="819"/>
        <v>312.47888888888889</v>
      </c>
      <c r="AK2302" s="62">
        <f t="shared" si="820"/>
        <v>0.30560246913580247</v>
      </c>
      <c r="AL2302" s="225">
        <f>Table1[[#This Row],[WSP/Dealer]]/Table1[[#This Row],[OD Sq Inch]]</f>
        <v>9.375E-2</v>
      </c>
      <c r="AM2302" s="218">
        <f>Table1[[#This Row],[OD Wdth]]*Table1[[#This Row],[OD Hgt]]</f>
        <v>4800</v>
      </c>
      <c r="AN2302" s="216">
        <f>Table1[[#This Row],[Min VO]]+Table1[[#This Row],[Max VO]]</f>
        <v>140</v>
      </c>
      <c r="AO2302" s="218" t="s">
        <v>683</v>
      </c>
      <c r="AP2302" s="226"/>
      <c r="AQ2302" s="226"/>
      <c r="AR2302" s="226"/>
      <c r="AS2302" s="226"/>
      <c r="AT2302" s="226"/>
      <c r="AU2302" s="1369" t="str">
        <f t="shared" si="813"/>
        <v>-</v>
      </c>
    </row>
    <row r="2303" spans="1:47" s="173" customFormat="1" hidden="1" x14ac:dyDescent="0.2">
      <c r="A2303" s="216" t="s">
        <v>272</v>
      </c>
      <c r="B2303" s="1061" t="s">
        <v>273</v>
      </c>
      <c r="C2303" s="217" t="s">
        <v>5300</v>
      </c>
      <c r="D2303" s="94"/>
      <c r="E2303" s="803" t="s">
        <v>5301</v>
      </c>
      <c r="F2303" s="217" t="s">
        <v>1834</v>
      </c>
      <c r="G2303" s="216" t="s">
        <v>5299</v>
      </c>
      <c r="H2303" s="216" t="s">
        <v>5299</v>
      </c>
      <c r="I2303" s="272" t="s">
        <v>52</v>
      </c>
      <c r="J2303" s="216" t="s">
        <v>53</v>
      </c>
      <c r="K2303" s="272" t="s">
        <v>54</v>
      </c>
      <c r="L2303" s="216" t="s">
        <v>55</v>
      </c>
      <c r="M2303" s="979">
        <v>550</v>
      </c>
      <c r="N2303" s="226"/>
      <c r="O2303" s="216" t="s">
        <v>64</v>
      </c>
      <c r="P2303" s="218">
        <v>60</v>
      </c>
      <c r="Q2303" s="218">
        <v>80</v>
      </c>
      <c r="R2303" s="216">
        <v>60</v>
      </c>
      <c r="S2303" s="218">
        <v>80</v>
      </c>
      <c r="T2303" s="218">
        <v>60</v>
      </c>
      <c r="U2303" s="218">
        <v>80</v>
      </c>
      <c r="V2303" s="222">
        <f>IF(J2303="Canvas",P2303+Border,P2303)</f>
        <v>68</v>
      </c>
      <c r="W2303" s="222">
        <f>IF(J2303="Canvas",Q2303+Border,Q2303)</f>
        <v>88</v>
      </c>
      <c r="X2303" s="223" t="s">
        <v>2478</v>
      </c>
      <c r="Y2303" s="216"/>
      <c r="Z2303" s="216"/>
      <c r="AA2303" s="718">
        <f t="shared" si="817"/>
        <v>41.555555555555557</v>
      </c>
      <c r="AB2303" s="233">
        <f>AA2303*Swiss1</f>
        <v>1176.0222222222224</v>
      </c>
      <c r="AC2303" s="225">
        <f t="shared" si="821"/>
        <v>27.426666666666669</v>
      </c>
      <c r="AD2303" s="207">
        <f>Table1[[#This Row],[Substrate SF]]*Materials!C$37</f>
        <v>116.35555555555555</v>
      </c>
      <c r="AE2303" s="104">
        <f>IF(Table1[[#This Row],[Work Center]]="SwissQ",Materials!G$37,IF(Table1[[#This Row],[Work Center]]="Inca",Materials!G$29,IF(Table1[[#This Row],[Work Center]]="Canon",Materials!G$49,Materials!G$45)))</f>
        <v>20</v>
      </c>
      <c r="AF2303" s="247">
        <f>'CALI_SONDER '!H36</f>
        <v>233.41</v>
      </c>
      <c r="AG2303" s="225"/>
      <c r="AH2303" s="112">
        <f t="shared" si="818"/>
        <v>27.5</v>
      </c>
      <c r="AI2303" s="112"/>
      <c r="AJ2303" s="207">
        <f t="shared" si="819"/>
        <v>424.6922222222222</v>
      </c>
      <c r="AK2303" s="62">
        <f t="shared" si="820"/>
        <v>0.22783232323232327</v>
      </c>
      <c r="AL2303" s="225">
        <f>Table1[[#This Row],[WSP/Dealer]]/Table1[[#This Row],[OD Sq Inch]]</f>
        <v>0.11458333333333333</v>
      </c>
      <c r="AM2303" s="218">
        <f>Table1[[#This Row],[OD Wdth]]*Table1[[#This Row],[OD Hgt]]</f>
        <v>4800</v>
      </c>
      <c r="AN2303" s="216">
        <f>Table1[[#This Row],[Min VO]]+Table1[[#This Row],[Max VO]]</f>
        <v>140</v>
      </c>
      <c r="AO2303" s="218" t="s">
        <v>1872</v>
      </c>
      <c r="AP2303" s="226"/>
      <c r="AQ2303" s="226"/>
      <c r="AR2303" s="226"/>
      <c r="AS2303" s="226"/>
      <c r="AT2303" s="226"/>
      <c r="AU2303" s="1820" t="str">
        <f t="shared" si="813"/>
        <v>-</v>
      </c>
    </row>
    <row r="2304" spans="1:47" s="173" customFormat="1" hidden="1" x14ac:dyDescent="0.2">
      <c r="A2304" s="216" t="s">
        <v>272</v>
      </c>
      <c r="B2304" s="1061" t="s">
        <v>273</v>
      </c>
      <c r="C2304" s="217" t="s">
        <v>5302</v>
      </c>
      <c r="D2304" s="94" t="s">
        <v>5303</v>
      </c>
      <c r="E2304" s="803" t="s">
        <v>5304</v>
      </c>
      <c r="F2304" s="217" t="s">
        <v>1834</v>
      </c>
      <c r="G2304" s="216" t="s">
        <v>5305</v>
      </c>
      <c r="H2304" s="216" t="s">
        <v>5305</v>
      </c>
      <c r="I2304" s="272" t="s">
        <v>108</v>
      </c>
      <c r="J2304" s="216" t="s">
        <v>53</v>
      </c>
      <c r="K2304" s="272" t="s">
        <v>54</v>
      </c>
      <c r="L2304" s="216" t="s">
        <v>55</v>
      </c>
      <c r="M2304" s="975">
        <v>250</v>
      </c>
      <c r="N2304" s="219"/>
      <c r="O2304" s="216" t="s">
        <v>109</v>
      </c>
      <c r="P2304" s="216">
        <v>45</v>
      </c>
      <c r="Q2304" s="216">
        <v>34</v>
      </c>
      <c r="R2304" s="216">
        <v>34</v>
      </c>
      <c r="S2304" s="626">
        <v>45</v>
      </c>
      <c r="T2304" s="216">
        <f t="shared" ref="T2304:U2308" si="822">P2304</f>
        <v>45</v>
      </c>
      <c r="U2304" s="216">
        <f t="shared" si="822"/>
        <v>34</v>
      </c>
      <c r="V2304" s="907">
        <f t="shared" ref="V2304:V2309" si="823">IF(J2304="Canvas",P2304+BorderGW,P2304)</f>
        <v>53</v>
      </c>
      <c r="W2304" s="907">
        <f t="shared" ref="W2304:W2309" si="824">IF(J2304="Canvas",Q2304+BorderGW,Q2304)</f>
        <v>42</v>
      </c>
      <c r="X2304" s="223">
        <v>53</v>
      </c>
      <c r="Y2304" s="216"/>
      <c r="Z2304" s="216"/>
      <c r="AA2304" s="718">
        <f t="shared" si="817"/>
        <v>15.458333333333334</v>
      </c>
      <c r="AB2304" s="233">
        <f>AA2304*EPSONM</f>
        <v>69.5625</v>
      </c>
      <c r="AC2304" s="225">
        <f t="shared" si="821"/>
        <v>10.202500000000001</v>
      </c>
      <c r="AD2304" s="207">
        <f>Table1[[#This Row],[Ink g/mL]]*EPSONC</f>
        <v>15.303750000000001</v>
      </c>
      <c r="AE2304" s="104">
        <f>IF(Table1[[#This Row],[Work Center]]="SwissQ",Materials!G$37,IF(Table1[[#This Row],[Work Center]]="Inca",Materials!G$29,IF(Table1[[#This Row],[Work Center]]="Canon",Materials!G$49,Materials!G$45)))</f>
        <v>5</v>
      </c>
      <c r="AF2304" s="226">
        <f>'CALI_SONDER '!H14</f>
        <v>83.32</v>
      </c>
      <c r="AG2304" s="225"/>
      <c r="AH2304" s="498">
        <f t="shared" si="818"/>
        <v>12.5</v>
      </c>
      <c r="AI2304" s="498"/>
      <c r="AJ2304" s="225">
        <f t="shared" si="819"/>
        <v>126.32624999999999</v>
      </c>
      <c r="AK2304" s="650">
        <f t="shared" si="820"/>
        <v>0.49469500000000005</v>
      </c>
      <c r="AL2304" s="225">
        <f>Table1[[#This Row],[WSP/Dealer]]/Table1[[#This Row],[OD Sq Inch]]</f>
        <v>0.16339869281045752</v>
      </c>
      <c r="AM2304" s="46">
        <f>Table1[[#This Row],[OD Wdth]]*Table1[[#This Row],[OD Hgt]]</f>
        <v>1530</v>
      </c>
      <c r="AN2304" s="216">
        <f>Table1[[#This Row],[Min VO]]+Table1[[#This Row],[Max VO]]</f>
        <v>79</v>
      </c>
      <c r="AO2304" s="216" t="s">
        <v>1716</v>
      </c>
      <c r="AP2304" s="226"/>
      <c r="AQ2304" s="226"/>
      <c r="AR2304" s="226"/>
      <c r="AS2304" s="226"/>
      <c r="AT2304" s="226"/>
      <c r="AU2304" s="1363" t="str">
        <f t="shared" si="813"/>
        <v>-</v>
      </c>
    </row>
    <row r="2305" spans="1:47" s="173" customFormat="1" hidden="1" x14ac:dyDescent="0.2">
      <c r="A2305" s="216" t="s">
        <v>272</v>
      </c>
      <c r="B2305" s="1061" t="s">
        <v>273</v>
      </c>
      <c r="C2305" s="803" t="s">
        <v>5306</v>
      </c>
      <c r="D2305" s="94"/>
      <c r="E2305" s="803" t="s">
        <v>5307</v>
      </c>
      <c r="F2305" s="217" t="s">
        <v>1834</v>
      </c>
      <c r="G2305" s="216" t="s">
        <v>5308</v>
      </c>
      <c r="H2305" s="216" t="s">
        <v>5308</v>
      </c>
      <c r="I2305" s="272" t="s">
        <v>698</v>
      </c>
      <c r="J2305" s="216" t="s">
        <v>53</v>
      </c>
      <c r="K2305" s="272" t="s">
        <v>54</v>
      </c>
      <c r="L2305" s="216" t="s">
        <v>55</v>
      </c>
      <c r="M2305" s="975">
        <v>425</v>
      </c>
      <c r="N2305" s="219"/>
      <c r="O2305" s="216" t="s">
        <v>64</v>
      </c>
      <c r="P2305" s="216">
        <v>60</v>
      </c>
      <c r="Q2305" s="216">
        <v>45</v>
      </c>
      <c r="R2305" s="216">
        <v>45</v>
      </c>
      <c r="S2305" s="626">
        <v>60</v>
      </c>
      <c r="T2305" s="218">
        <f t="shared" si="822"/>
        <v>60</v>
      </c>
      <c r="U2305" s="218">
        <f t="shared" si="822"/>
        <v>45</v>
      </c>
      <c r="V2305" s="222">
        <f t="shared" si="823"/>
        <v>68</v>
      </c>
      <c r="W2305" s="222">
        <f t="shared" si="824"/>
        <v>53</v>
      </c>
      <c r="X2305" s="223" t="s">
        <v>699</v>
      </c>
      <c r="Y2305" s="216"/>
      <c r="Z2305" s="216"/>
      <c r="AA2305" s="718">
        <f t="shared" si="817"/>
        <v>25.027777777777779</v>
      </c>
      <c r="AB2305" s="233">
        <f>Table1[[#This Row],[Substrate SF]]*swiss3</f>
        <v>401.53599861543785</v>
      </c>
      <c r="AC2305" s="225">
        <f t="shared" si="821"/>
        <v>16.518333333333334</v>
      </c>
      <c r="AD2305" s="1716">
        <f>Table1[[#This Row],[Ink g/mL]]*Materials!$B$36/1000</f>
        <v>40.153599861543789</v>
      </c>
      <c r="AE2305" s="104">
        <f>IF(Table1[[#This Row],[Work Center]]="SwissQ",Materials!G$37,IF(Table1[[#This Row],[Work Center]]="Inca",Materials!G$29,IF(Table1[[#This Row],[Work Center]]="Canon",Materials!G$49,Materials!G$45)))</f>
        <v>20</v>
      </c>
      <c r="AF2305" s="226">
        <f>'CALI_SONDER '!H27</f>
        <v>141.07</v>
      </c>
      <c r="AG2305" s="225"/>
      <c r="AH2305" s="112">
        <f t="shared" si="818"/>
        <v>21.25</v>
      </c>
      <c r="AI2305" s="112"/>
      <c r="AJ2305" s="207">
        <f t="shared" si="819"/>
        <v>238.99193319487711</v>
      </c>
      <c r="AK2305" s="62">
        <f t="shared" si="820"/>
        <v>0.43766603954146566</v>
      </c>
      <c r="AL2305" s="225">
        <f>Table1[[#This Row],[WSP/Dealer]]/Table1[[#This Row],[OD Sq Inch]]</f>
        <v>0.15740740740740741</v>
      </c>
      <c r="AM2305" s="103">
        <f>Table1[[#This Row],[OD Wdth]]*Table1[[#This Row],[OD Hgt]]</f>
        <v>2700</v>
      </c>
      <c r="AN2305" s="216">
        <f>Table1[[#This Row],[Min VO]]+Table1[[#This Row],[Max VO]]</f>
        <v>105</v>
      </c>
      <c r="AO2305" s="218" t="s">
        <v>683</v>
      </c>
      <c r="AP2305" s="226"/>
      <c r="AQ2305" s="226"/>
      <c r="AR2305" s="226"/>
      <c r="AS2305" s="226"/>
      <c r="AT2305" s="226"/>
      <c r="AU2305" s="1363" t="str">
        <f t="shared" si="813"/>
        <v>-</v>
      </c>
    </row>
    <row r="2306" spans="1:47" s="173" customFormat="1" hidden="1" x14ac:dyDescent="0.2">
      <c r="A2306" s="216" t="s">
        <v>272</v>
      </c>
      <c r="B2306" s="1061" t="s">
        <v>273</v>
      </c>
      <c r="C2306" s="803" t="s">
        <v>5309</v>
      </c>
      <c r="D2306" s="94"/>
      <c r="E2306" s="803" t="s">
        <v>5310</v>
      </c>
      <c r="F2306" s="217" t="s">
        <v>1834</v>
      </c>
      <c r="G2306" s="272" t="s">
        <v>5308</v>
      </c>
      <c r="H2306" s="216" t="s">
        <v>5308</v>
      </c>
      <c r="I2306" s="272" t="s">
        <v>108</v>
      </c>
      <c r="J2306" s="216" t="s">
        <v>53</v>
      </c>
      <c r="K2306" s="272" t="s">
        <v>54</v>
      </c>
      <c r="L2306" s="216" t="s">
        <v>55</v>
      </c>
      <c r="M2306" s="975">
        <v>400</v>
      </c>
      <c r="N2306" s="219"/>
      <c r="O2306" s="216" t="s">
        <v>109</v>
      </c>
      <c r="P2306" s="216">
        <v>60</v>
      </c>
      <c r="Q2306" s="216">
        <v>45</v>
      </c>
      <c r="R2306" s="216">
        <v>45</v>
      </c>
      <c r="S2306" s="626">
        <v>60</v>
      </c>
      <c r="T2306" s="216">
        <f t="shared" si="822"/>
        <v>60</v>
      </c>
      <c r="U2306" s="216">
        <f t="shared" si="822"/>
        <v>45</v>
      </c>
      <c r="V2306" s="222">
        <f t="shared" si="823"/>
        <v>68</v>
      </c>
      <c r="W2306" s="222">
        <f t="shared" si="824"/>
        <v>53</v>
      </c>
      <c r="X2306" s="223">
        <v>53</v>
      </c>
      <c r="Y2306" s="216"/>
      <c r="Z2306" s="216"/>
      <c r="AA2306" s="718">
        <f t="shared" si="817"/>
        <v>25.027777777777779</v>
      </c>
      <c r="AB2306" s="233">
        <f>AA2306*EPSONM</f>
        <v>112.625</v>
      </c>
      <c r="AC2306" s="225">
        <f t="shared" si="821"/>
        <v>16.518333333333334</v>
      </c>
      <c r="AD2306" s="207">
        <f>Table1[[#This Row],[Ink g/mL]]*EPSONC</f>
        <v>24.7775</v>
      </c>
      <c r="AE2306" s="104">
        <f>IF(Table1[[#This Row],[Work Center]]="SwissQ",Materials!G$37,IF(Table1[[#This Row],[Work Center]]="Inca",Materials!G$29,IF(Table1[[#This Row],[Work Center]]="Canon",Materials!G$49,Materials!G$45)))</f>
        <v>5</v>
      </c>
      <c r="AF2306" s="226">
        <f>'CALI_SONDER '!H27</f>
        <v>141.07</v>
      </c>
      <c r="AG2306" s="225"/>
      <c r="AH2306" s="498">
        <f t="shared" si="818"/>
        <v>20</v>
      </c>
      <c r="AI2306" s="498"/>
      <c r="AJ2306" s="207">
        <f t="shared" si="819"/>
        <v>207.36583333333334</v>
      </c>
      <c r="AK2306" s="650">
        <f t="shared" si="820"/>
        <v>0.48158541666666665</v>
      </c>
      <c r="AL2306" s="225">
        <f>Table1[[#This Row],[WSP/Dealer]]/Table1[[#This Row],[OD Sq Inch]]</f>
        <v>0.14814814814814814</v>
      </c>
      <c r="AM2306" s="218">
        <f>Table1[[#This Row],[OD Wdth]]*Table1[[#This Row],[OD Hgt]]</f>
        <v>2700</v>
      </c>
      <c r="AN2306" s="216">
        <f>Table1[[#This Row],[Min VO]]+Table1[[#This Row],[Max VO]]</f>
        <v>105</v>
      </c>
      <c r="AO2306" s="216" t="s">
        <v>683</v>
      </c>
      <c r="AP2306" s="226"/>
      <c r="AQ2306" s="226"/>
      <c r="AR2306" s="226"/>
      <c r="AS2306" s="226"/>
      <c r="AT2306" s="226"/>
      <c r="AU2306" s="1363" t="str">
        <f t="shared" si="813"/>
        <v>-</v>
      </c>
    </row>
    <row r="2307" spans="1:47" s="449" customFormat="1" hidden="1" x14ac:dyDescent="0.2">
      <c r="A2307" s="216" t="s">
        <v>272</v>
      </c>
      <c r="B2307" s="1061" t="s">
        <v>273</v>
      </c>
      <c r="C2307" s="959" t="s">
        <v>5311</v>
      </c>
      <c r="D2307" s="94" t="s">
        <v>5312</v>
      </c>
      <c r="E2307" s="803" t="s">
        <v>5313</v>
      </c>
      <c r="F2307" s="217" t="s">
        <v>1834</v>
      </c>
      <c r="G2307" s="272" t="s">
        <v>5314</v>
      </c>
      <c r="H2307" s="216" t="s">
        <v>5314</v>
      </c>
      <c r="I2307" s="272" t="s">
        <v>108</v>
      </c>
      <c r="J2307" s="216" t="s">
        <v>53</v>
      </c>
      <c r="K2307" s="272" t="s">
        <v>54</v>
      </c>
      <c r="L2307" s="216" t="s">
        <v>55</v>
      </c>
      <c r="M2307" s="975">
        <v>400</v>
      </c>
      <c r="N2307" s="219"/>
      <c r="O2307" s="216" t="s">
        <v>109</v>
      </c>
      <c r="P2307" s="216">
        <v>60</v>
      </c>
      <c r="Q2307" s="216">
        <v>41</v>
      </c>
      <c r="R2307" s="216">
        <v>41</v>
      </c>
      <c r="S2307" s="626">
        <v>60</v>
      </c>
      <c r="T2307" s="216">
        <f t="shared" si="822"/>
        <v>60</v>
      </c>
      <c r="U2307" s="216">
        <f t="shared" si="822"/>
        <v>41</v>
      </c>
      <c r="V2307" s="222">
        <f t="shared" si="823"/>
        <v>68</v>
      </c>
      <c r="W2307" s="222">
        <f t="shared" si="824"/>
        <v>49</v>
      </c>
      <c r="X2307" s="223">
        <v>69</v>
      </c>
      <c r="Y2307" s="216"/>
      <c r="Z2307" s="216"/>
      <c r="AA2307" s="718">
        <f t="shared" si="817"/>
        <v>23.138888888888889</v>
      </c>
      <c r="AB2307" s="233">
        <f>AA2307*EPSONM</f>
        <v>104.125</v>
      </c>
      <c r="AC2307" s="225">
        <f t="shared" si="821"/>
        <v>15.271666666666668</v>
      </c>
      <c r="AD2307" s="207">
        <f>Table1[[#This Row],[Ink g/mL]]*EPSONC</f>
        <v>22.907499999999999</v>
      </c>
      <c r="AE2307" s="104">
        <f>IF(Table1[[#This Row],[Work Center]]="SwissQ",Materials!G$37,IF(Table1[[#This Row],[Work Center]]="Inca",Materials!G$29,IF(Table1[[#This Row],[Work Center]]="Canon",Materials!G$49,Materials!G$45)))</f>
        <v>5</v>
      </c>
      <c r="AF2307" s="247">
        <f>'CALI_SONDER '!H24</f>
        <v>138.36000000000001</v>
      </c>
      <c r="AG2307" s="225"/>
      <c r="AH2307" s="498">
        <f t="shared" si="818"/>
        <v>20</v>
      </c>
      <c r="AI2307" s="498"/>
      <c r="AJ2307" s="207">
        <f t="shared" si="819"/>
        <v>201.53916666666669</v>
      </c>
      <c r="AK2307" s="650">
        <f t="shared" si="820"/>
        <v>0.49615208333333327</v>
      </c>
      <c r="AL2307" s="225">
        <f>Table1[[#This Row],[WSP/Dealer]]/Table1[[#This Row],[OD Sq Inch]]</f>
        <v>0.16260162601626016</v>
      </c>
      <c r="AM2307" s="218">
        <f>Table1[[#This Row],[OD Wdth]]*Table1[[#This Row],[OD Hgt]]</f>
        <v>2460</v>
      </c>
      <c r="AN2307" s="216">
        <f>Table1[[#This Row],[Min VO]]+Table1[[#This Row],[Max VO]]</f>
        <v>101</v>
      </c>
      <c r="AO2307" s="216" t="s">
        <v>683</v>
      </c>
      <c r="AP2307" s="226"/>
      <c r="AQ2307" s="226"/>
      <c r="AR2307" s="226"/>
      <c r="AS2307" s="226"/>
      <c r="AT2307" s="226"/>
      <c r="AU2307" s="1363" t="str">
        <f t="shared" si="813"/>
        <v>-</v>
      </c>
    </row>
    <row r="2308" spans="1:47" s="449" customFormat="1" hidden="1" x14ac:dyDescent="0.2">
      <c r="A2308" s="216" t="s">
        <v>272</v>
      </c>
      <c r="B2308" s="1061" t="s">
        <v>273</v>
      </c>
      <c r="C2308" s="959" t="s">
        <v>5311</v>
      </c>
      <c r="D2308" s="94" t="s">
        <v>5312</v>
      </c>
      <c r="E2308" s="803" t="s">
        <v>5315</v>
      </c>
      <c r="F2308" s="217" t="s">
        <v>1834</v>
      </c>
      <c r="G2308" s="272" t="s">
        <v>5314</v>
      </c>
      <c r="H2308" s="216" t="s">
        <v>5314</v>
      </c>
      <c r="I2308" s="272" t="s">
        <v>52</v>
      </c>
      <c r="J2308" s="216" t="s">
        <v>53</v>
      </c>
      <c r="K2308" s="272" t="s">
        <v>54</v>
      </c>
      <c r="L2308" s="216" t="s">
        <v>55</v>
      </c>
      <c r="M2308" s="975">
        <f>Table1[[#This Row],[Desgnr/Retail P]]</f>
        <v>0</v>
      </c>
      <c r="N2308" s="219"/>
      <c r="O2308" s="216" t="s">
        <v>56</v>
      </c>
      <c r="P2308" s="216">
        <v>60</v>
      </c>
      <c r="Q2308" s="216">
        <v>41</v>
      </c>
      <c r="R2308" s="216">
        <v>41</v>
      </c>
      <c r="S2308" s="626">
        <v>60</v>
      </c>
      <c r="T2308" s="216">
        <f t="shared" si="822"/>
        <v>60</v>
      </c>
      <c r="U2308" s="216">
        <f t="shared" si="822"/>
        <v>41</v>
      </c>
      <c r="V2308" s="222">
        <f t="shared" si="823"/>
        <v>68</v>
      </c>
      <c r="W2308" s="222">
        <f t="shared" si="824"/>
        <v>49</v>
      </c>
      <c r="X2308" s="223">
        <v>69</v>
      </c>
      <c r="Y2308" s="216"/>
      <c r="Z2308" s="216"/>
      <c r="AA2308" s="718">
        <f t="shared" si="817"/>
        <v>23.138888888888889</v>
      </c>
      <c r="AB2308" s="233">
        <f>AA2308*IncaG</f>
        <v>486.84222222222223</v>
      </c>
      <c r="AC2308" s="225">
        <f t="shared" si="821"/>
        <v>15.271666666666668</v>
      </c>
      <c r="AD2308" s="206">
        <f>Table1[[#This Row],[Ink g/mL]]*Materials!$C$29</f>
        <v>38.947377777777781</v>
      </c>
      <c r="AE2308" s="104">
        <f>IF(Table1[[#This Row],[Work Center]]="SwissQ",Materials!G$37,IF(Table1[[#This Row],[Work Center]]="Inca",Materials!G$29,IF(Table1[[#This Row],[Work Center]]="Canon",Materials!G$49,Materials!G$45)))</f>
        <v>8</v>
      </c>
      <c r="AF2308" s="247">
        <f>'CALI_SONDER '!H24</f>
        <v>138.36000000000001</v>
      </c>
      <c r="AG2308" s="225"/>
      <c r="AH2308" s="498">
        <f t="shared" si="818"/>
        <v>0</v>
      </c>
      <c r="AI2308" s="498"/>
      <c r="AJ2308" s="225">
        <f t="shared" si="819"/>
        <v>200.57904444444446</v>
      </c>
      <c r="AK2308" s="650" t="e">
        <f t="shared" si="820"/>
        <v>#DIV/0!</v>
      </c>
      <c r="AL2308" s="225">
        <f>Table1[[#This Row],[WSP/Dealer]]/Table1[[#This Row],[OD Sq Inch]]</f>
        <v>0</v>
      </c>
      <c r="AM2308" s="103">
        <f>Table1[[#This Row],[OD Wdth]]*Table1[[#This Row],[OD Hgt]]</f>
        <v>2460</v>
      </c>
      <c r="AN2308" s="216">
        <f>Table1[[#This Row],[Min VO]]+Table1[[#This Row],[Max VO]]</f>
        <v>101</v>
      </c>
      <c r="AO2308" s="216" t="s">
        <v>683</v>
      </c>
      <c r="AP2308" s="226"/>
      <c r="AQ2308" s="226"/>
      <c r="AR2308" s="226"/>
      <c r="AS2308" s="226"/>
      <c r="AT2308" s="226"/>
      <c r="AU2308" s="1365" t="str">
        <f t="shared" si="813"/>
        <v>-</v>
      </c>
    </row>
    <row r="2309" spans="1:47" s="170" customFormat="1" x14ac:dyDescent="0.2">
      <c r="A2309" s="60" t="s">
        <v>58</v>
      </c>
      <c r="B2309" s="1061" t="s">
        <v>445</v>
      </c>
      <c r="C2309" s="1335" t="s">
        <v>5316</v>
      </c>
      <c r="D2309" s="94"/>
      <c r="E2309" s="492" t="s">
        <v>5317</v>
      </c>
      <c r="F2309" s="83" t="s">
        <v>289</v>
      </c>
      <c r="G2309" s="92" t="s">
        <v>482</v>
      </c>
      <c r="H2309" s="60" t="s">
        <v>4001</v>
      </c>
      <c r="I2309" s="92" t="s">
        <v>108</v>
      </c>
      <c r="J2309" s="60" t="s">
        <v>257</v>
      </c>
      <c r="K2309" s="92" t="s">
        <v>258</v>
      </c>
      <c r="L2309" s="60" t="s">
        <v>259</v>
      </c>
      <c r="M2309" s="647">
        <v>650</v>
      </c>
      <c r="N2309" s="639">
        <v>1000</v>
      </c>
      <c r="O2309" s="60" t="s">
        <v>260</v>
      </c>
      <c r="P2309" s="60">
        <v>40</v>
      </c>
      <c r="Q2309" s="60">
        <v>60</v>
      </c>
      <c r="R2309" s="60">
        <v>40</v>
      </c>
      <c r="S2309" s="60">
        <v>60</v>
      </c>
      <c r="T2309" s="60">
        <v>42</v>
      </c>
      <c r="U2309" s="60">
        <v>62</v>
      </c>
      <c r="V2309" s="47">
        <f t="shared" si="823"/>
        <v>40</v>
      </c>
      <c r="W2309" s="47">
        <f t="shared" si="824"/>
        <v>60</v>
      </c>
      <c r="X2309" s="138">
        <v>40</v>
      </c>
      <c r="Y2309" s="60">
        <v>40</v>
      </c>
      <c r="Z2309" s="60">
        <v>60</v>
      </c>
      <c r="AA2309" s="717">
        <f t="shared" si="817"/>
        <v>16.666666666666668</v>
      </c>
      <c r="AB2309" s="125">
        <f>AA2309*canonML</f>
        <v>80</v>
      </c>
      <c r="AC2309" s="143">
        <f>Table1[[#This Row],[Substrate SF]]*Paper</f>
        <v>22.55</v>
      </c>
      <c r="AD2309" s="48">
        <f>Table1[[#This Row],[Ink g/mL]]*CanonC</f>
        <v>21.6</v>
      </c>
      <c r="AE2309" s="69">
        <f>IF(Table1[[#This Row],[Work Center]]="SwissQ",Materials!G$37,IF(Table1[[#This Row],[Work Center]]="Inca",Materials!G$29,IF(Table1[[#This Row],[Work Center]]="Canon",Materials!G$49,Materials!G$45)))</f>
        <v>7</v>
      </c>
      <c r="AF2309" s="72">
        <f>'Cali Frames'!D47</f>
        <v>197.76750000000001</v>
      </c>
      <c r="AG2309" s="540"/>
      <c r="AH2309" s="498">
        <f t="shared" si="818"/>
        <v>32.5</v>
      </c>
      <c r="AI2309" s="498"/>
      <c r="AJ2309" s="69">
        <f t="shared" si="819"/>
        <v>281.41750000000002</v>
      </c>
      <c r="AK2309" s="650">
        <f t="shared" si="820"/>
        <v>0.56704999999999994</v>
      </c>
      <c r="AL2309" s="225">
        <f>Table1[[#This Row],[WSP/Dealer]]/Table1[[#This Row],[OD Sq Inch]]</f>
        <v>0.24961597542242703</v>
      </c>
      <c r="AM2309" s="218">
        <f>Table1[[#This Row],[OD Wdth]]*Table1[[#This Row],[OD Hgt]]</f>
        <v>2604</v>
      </c>
      <c r="AN2309" s="216">
        <f>Table1[[#This Row],[Min VO]]+Table1[[#This Row],[Max VO]]</f>
        <v>100</v>
      </c>
      <c r="AO2309" s="83"/>
      <c r="AP2309" s="83"/>
      <c r="AQ2309" s="540"/>
      <c r="AR2309" s="540"/>
      <c r="AS2309" s="540"/>
      <c r="AT2309" s="69"/>
      <c r="AU2309" s="1361" t="str">
        <f t="shared" si="813"/>
        <v>-</v>
      </c>
    </row>
    <row r="2310" spans="1:47" s="173" customFormat="1" ht="16" x14ac:dyDescent="0.2">
      <c r="A2310" s="60" t="s">
        <v>58</v>
      </c>
      <c r="B2310" s="1061" t="s">
        <v>587</v>
      </c>
      <c r="C2310" s="1677" t="s">
        <v>5318</v>
      </c>
      <c r="D2310" s="94" t="s">
        <v>5319</v>
      </c>
      <c r="E2310" s="1265" t="s">
        <v>5320</v>
      </c>
      <c r="F2310" s="294" t="s">
        <v>1364</v>
      </c>
      <c r="G2310" s="971" t="s">
        <v>1588</v>
      </c>
      <c r="H2310" s="295" t="s">
        <v>5321</v>
      </c>
      <c r="I2310" s="1684" t="s">
        <v>52</v>
      </c>
      <c r="J2310" s="181" t="s">
        <v>53</v>
      </c>
      <c r="K2310" s="92" t="s">
        <v>69</v>
      </c>
      <c r="L2310" s="60" t="s">
        <v>73</v>
      </c>
      <c r="M2310" s="648">
        <v>520</v>
      </c>
      <c r="N2310" s="639">
        <v>520</v>
      </c>
      <c r="O2310" s="180" t="s">
        <v>64</v>
      </c>
      <c r="P2310" s="180">
        <v>30</v>
      </c>
      <c r="Q2310" s="180">
        <v>30</v>
      </c>
      <c r="R2310" s="60">
        <v>30</v>
      </c>
      <c r="S2310" s="60">
        <v>30</v>
      </c>
      <c r="T2310" s="698">
        <f>Table1[[#This Row],[VO Wdth]]+1</f>
        <v>31</v>
      </c>
      <c r="U2310" s="698">
        <f>Table1[[#This Row],[VO Hgt]]+1</f>
        <v>31</v>
      </c>
      <c r="V2310" s="149">
        <f t="shared" ref="V2310:V2315" si="825">IF(J2310="Canvas",P2310+Border,P2310)</f>
        <v>38</v>
      </c>
      <c r="W2310" s="149">
        <f t="shared" ref="W2310:W2315" si="826">IF(J2310="Canvas",Q2310+Border,Q2310)</f>
        <v>38</v>
      </c>
      <c r="X2310" s="289" t="s">
        <v>1889</v>
      </c>
      <c r="Y2310" s="180"/>
      <c r="Z2310" s="180"/>
      <c r="AA2310" s="717">
        <f t="shared" si="817"/>
        <v>10.027777777777779</v>
      </c>
      <c r="AB2310" s="125">
        <f t="shared" ref="AB2310:AB2315" si="827">AA2310*Swiss1</f>
        <v>283.78611111111115</v>
      </c>
      <c r="AC2310" s="69">
        <f t="shared" ref="AC2310:AC2320" si="828">AA2310*Canvas</f>
        <v>6.6183333333333341</v>
      </c>
      <c r="AD2310" s="48">
        <f>Table1[[#This Row],[Substrate SF]]*Materials!C$37</f>
        <v>28.077777777777779</v>
      </c>
      <c r="AE2310" s="104">
        <f>IF(Table1[[#This Row],[Work Center]]="SwissQ",Materials!G$37,IF(Table1[[#This Row],[Work Center]]="Inca",Materials!G$29,IF(Table1[[#This Row],[Work Center]]="Canon",Materials!G$49,Materials!G$45)))</f>
        <v>20</v>
      </c>
      <c r="AF2310" s="69">
        <f>'Cali Frames'!D$429</f>
        <v>105.8925</v>
      </c>
      <c r="AG2310" s="83"/>
      <c r="AH2310" s="112">
        <f t="shared" si="818"/>
        <v>26</v>
      </c>
      <c r="AI2310" s="112"/>
      <c r="AJ2310" s="48">
        <f t="shared" si="819"/>
        <v>186.58861111111111</v>
      </c>
      <c r="AK2310" s="62">
        <f t="shared" si="820"/>
        <v>0.64117574786324782</v>
      </c>
      <c r="AL2310" s="225">
        <f>Table1[[#This Row],[WSP/Dealer]]/Table1[[#This Row],[OD Sq Inch]]</f>
        <v>0.54110301768990632</v>
      </c>
      <c r="AM2310" s="46">
        <f>Table1[[#This Row],[OD Wdth]]*Table1[[#This Row],[OD Hgt]]</f>
        <v>961</v>
      </c>
      <c r="AN2310" s="216">
        <f>Table1[[#This Row],[Min VO]]+Table1[[#This Row],[Max VO]]</f>
        <v>60</v>
      </c>
      <c r="AO2310" s="284"/>
      <c r="AP2310" s="284"/>
      <c r="AQ2310" s="296"/>
      <c r="AR2310" s="296"/>
      <c r="AS2310" s="296"/>
      <c r="AT2310" s="176"/>
      <c r="AU2310" s="1358" t="str">
        <f t="shared" si="813"/>
        <v>-</v>
      </c>
    </row>
    <row r="2311" spans="1:47" s="173" customFormat="1" ht="16" x14ac:dyDescent="0.2">
      <c r="A2311" s="60" t="s">
        <v>581</v>
      </c>
      <c r="B2311" s="1061" t="s">
        <v>292</v>
      </c>
      <c r="C2311" s="1537" t="s">
        <v>5322</v>
      </c>
      <c r="D2311" s="94" t="s">
        <v>5323</v>
      </c>
      <c r="E2311" s="492" t="s">
        <v>5320</v>
      </c>
      <c r="F2311" s="294" t="s">
        <v>1364</v>
      </c>
      <c r="G2311" s="554" t="s">
        <v>1588</v>
      </c>
      <c r="H2311" s="180" t="s">
        <v>5321</v>
      </c>
      <c r="I2311" s="1684" t="s">
        <v>52</v>
      </c>
      <c r="J2311" s="181" t="s">
        <v>53</v>
      </c>
      <c r="K2311" s="92" t="s">
        <v>69</v>
      </c>
      <c r="L2311" s="60" t="s">
        <v>76</v>
      </c>
      <c r="M2311" s="647">
        <v>520</v>
      </c>
      <c r="N2311" s="124">
        <v>520</v>
      </c>
      <c r="O2311" s="759" t="s">
        <v>64</v>
      </c>
      <c r="P2311" s="60">
        <v>30</v>
      </c>
      <c r="Q2311" s="60">
        <v>30</v>
      </c>
      <c r="R2311" s="60">
        <v>30</v>
      </c>
      <c r="S2311" s="60">
        <v>30</v>
      </c>
      <c r="T2311" s="273">
        <v>31</v>
      </c>
      <c r="U2311" s="273">
        <v>31</v>
      </c>
      <c r="V2311" s="913">
        <f t="shared" si="825"/>
        <v>38</v>
      </c>
      <c r="W2311" s="913">
        <f t="shared" si="826"/>
        <v>38</v>
      </c>
      <c r="X2311" s="138">
        <v>40</v>
      </c>
      <c r="Y2311" s="60">
        <v>38</v>
      </c>
      <c r="Z2311" s="60">
        <v>38</v>
      </c>
      <c r="AA2311" s="678">
        <f t="shared" si="817"/>
        <v>10.027777777777779</v>
      </c>
      <c r="AB2311" s="723">
        <f t="shared" si="827"/>
        <v>283.78611111111115</v>
      </c>
      <c r="AC2311" s="176">
        <f t="shared" si="828"/>
        <v>6.6183333333333341</v>
      </c>
      <c r="AD2311" s="175">
        <f>Table1[[#This Row],[Substrate SF]]*Materials!C$37</f>
        <v>28.077777777777779</v>
      </c>
      <c r="AE2311" s="69">
        <f>IF(Table1[[#This Row],[Work Center]]="SwissQ",Materials!G$37,IF(Table1[[#This Row],[Work Center]]="Inca",Materials!G$29,IF(Table1[[#This Row],[Work Center]]="Canon",Materials!G$49,Materials!G$45)))</f>
        <v>20</v>
      </c>
      <c r="AF2311" s="72">
        <f>'Cali Frames'!D368</f>
        <v>121.50250000000001</v>
      </c>
      <c r="AG2311" s="540"/>
      <c r="AH2311" s="48">
        <f t="shared" si="818"/>
        <v>26</v>
      </c>
      <c r="AI2311" s="48"/>
      <c r="AJ2311" s="175">
        <f t="shared" si="819"/>
        <v>202.19861111111112</v>
      </c>
      <c r="AK2311" s="62">
        <f t="shared" si="820"/>
        <v>0.61115651709401708</v>
      </c>
      <c r="AL2311" s="225">
        <f>Table1[[#This Row],[WSP/Dealer]]/Table1[[#This Row],[OD Sq Inch]]</f>
        <v>0.54110301768990632</v>
      </c>
      <c r="AM2311" s="173">
        <f>Table1[[#This Row],[OD Wdth]]*Table1[[#This Row],[OD Hgt]]</f>
        <v>961</v>
      </c>
      <c r="AN2311" s="180">
        <f>Table1[[#This Row],[Min VO]]+Table1[[#This Row],[Max VO]]</f>
        <v>60</v>
      </c>
      <c r="AO2311" s="83"/>
      <c r="AP2311" s="83"/>
      <c r="AQ2311" s="540"/>
      <c r="AR2311" s="540"/>
      <c r="AS2311" s="540"/>
      <c r="AT2311" s="69"/>
      <c r="AU2311" s="1361" t="str">
        <f t="shared" si="813"/>
        <v>-</v>
      </c>
    </row>
    <row r="2312" spans="1:47" s="170" customFormat="1" ht="16" x14ac:dyDescent="0.2">
      <c r="A2312" s="68" t="s">
        <v>58</v>
      </c>
      <c r="B2312" s="1061" t="s">
        <v>587</v>
      </c>
      <c r="C2312" s="1416" t="s">
        <v>5318</v>
      </c>
      <c r="D2312" s="94" t="s">
        <v>5319</v>
      </c>
      <c r="E2312" s="1319" t="s">
        <v>5324</v>
      </c>
      <c r="F2312" s="313" t="s">
        <v>1364</v>
      </c>
      <c r="G2312" s="1561" t="s">
        <v>1588</v>
      </c>
      <c r="H2312" s="314" t="s">
        <v>5321</v>
      </c>
      <c r="I2312" s="1637" t="s">
        <v>52</v>
      </c>
      <c r="J2312" s="315" t="s">
        <v>53</v>
      </c>
      <c r="K2312" s="282" t="s">
        <v>69</v>
      </c>
      <c r="L2312" s="68" t="s">
        <v>73</v>
      </c>
      <c r="M2312" s="556">
        <v>520</v>
      </c>
      <c r="N2312" s="639">
        <v>520</v>
      </c>
      <c r="O2312" s="274" t="s">
        <v>64</v>
      </c>
      <c r="P2312" s="274">
        <v>30</v>
      </c>
      <c r="Q2312" s="274">
        <v>30</v>
      </c>
      <c r="R2312" s="68">
        <v>30</v>
      </c>
      <c r="S2312" s="68">
        <v>30</v>
      </c>
      <c r="T2312" s="916">
        <f>Table1[[#This Row],[VO Wdth]]+1</f>
        <v>31</v>
      </c>
      <c r="U2312" s="916">
        <f>Table1[[#This Row],[VO Hgt]]+1</f>
        <v>31</v>
      </c>
      <c r="V2312" s="1198">
        <f t="shared" si="825"/>
        <v>38</v>
      </c>
      <c r="W2312" s="1198">
        <f t="shared" si="826"/>
        <v>38</v>
      </c>
      <c r="X2312" s="343" t="s">
        <v>1889</v>
      </c>
      <c r="Y2312" s="274"/>
      <c r="Z2312" s="274"/>
      <c r="AA2312" s="699">
        <f t="shared" si="817"/>
        <v>10.027777777777779</v>
      </c>
      <c r="AB2312" s="297">
        <f t="shared" si="827"/>
        <v>283.78611111111115</v>
      </c>
      <c r="AC2312" s="74">
        <f t="shared" si="828"/>
        <v>6.6183333333333341</v>
      </c>
      <c r="AD2312" s="67">
        <f>Table1[[#This Row],[Substrate SF]]*Materials!C$37</f>
        <v>28.077777777777779</v>
      </c>
      <c r="AE2312" s="104">
        <f>IF(Table1[[#This Row],[Work Center]]="SwissQ",Materials!G$37,IF(Table1[[#This Row],[Work Center]]="Inca",Materials!G$29,IF(Table1[[#This Row],[Work Center]]="Canon",Materials!G$49,Materials!G$45)))</f>
        <v>20</v>
      </c>
      <c r="AF2312" s="74">
        <f>'Cali Frames'!D565</f>
        <v>222.51250000000002</v>
      </c>
      <c r="AG2312" s="84"/>
      <c r="AH2312" s="112">
        <f t="shared" si="818"/>
        <v>26</v>
      </c>
      <c r="AI2312" s="112"/>
      <c r="AJ2312" s="67">
        <f t="shared" si="819"/>
        <v>303.20861111111111</v>
      </c>
      <c r="AK2312" s="62">
        <f t="shared" si="820"/>
        <v>0.4169065170940171</v>
      </c>
      <c r="AL2312" s="225">
        <f>Table1[[#This Row],[WSP/Dealer]]/Table1[[#This Row],[OD Sq Inch]]</f>
        <v>0.54110301768990632</v>
      </c>
      <c r="AM2312" s="63">
        <f>Table1[[#This Row],[OD Wdth]]*Table1[[#This Row],[OD Hgt]]</f>
        <v>961</v>
      </c>
      <c r="AN2312" s="238">
        <f>Table1[[#This Row],[Min VO]]+Table1[[#This Row],[Max VO]]</f>
        <v>60</v>
      </c>
      <c r="AO2312" s="275"/>
      <c r="AP2312" s="275"/>
      <c r="AQ2312" s="320"/>
      <c r="AR2312" s="320"/>
      <c r="AS2312" s="320"/>
      <c r="AT2312" s="278"/>
      <c r="AU2312" s="1368" t="str">
        <f t="shared" si="813"/>
        <v>-</v>
      </c>
    </row>
    <row r="2313" spans="1:47" s="173" customFormat="1" ht="16" x14ac:dyDescent="0.2">
      <c r="A2313" s="60" t="s">
        <v>58</v>
      </c>
      <c r="B2313" s="1061" t="s">
        <v>587</v>
      </c>
      <c r="C2313" s="1677" t="s">
        <v>5325</v>
      </c>
      <c r="D2313" s="94" t="s">
        <v>5326</v>
      </c>
      <c r="E2313" s="1265" t="s">
        <v>5327</v>
      </c>
      <c r="F2313" s="294" t="s">
        <v>1364</v>
      </c>
      <c r="G2313" s="971" t="s">
        <v>1588</v>
      </c>
      <c r="H2313" s="295" t="s">
        <v>5321</v>
      </c>
      <c r="I2313" s="1684" t="s">
        <v>52</v>
      </c>
      <c r="J2313" s="181" t="s">
        <v>53</v>
      </c>
      <c r="K2313" s="92" t="s">
        <v>69</v>
      </c>
      <c r="L2313" s="60" t="s">
        <v>73</v>
      </c>
      <c r="M2313" s="648">
        <v>520</v>
      </c>
      <c r="N2313" s="639">
        <v>520</v>
      </c>
      <c r="O2313" s="180" t="s">
        <v>64</v>
      </c>
      <c r="P2313" s="180">
        <v>30</v>
      </c>
      <c r="Q2313" s="180">
        <v>30</v>
      </c>
      <c r="R2313" s="60">
        <v>30</v>
      </c>
      <c r="S2313" s="60">
        <v>30</v>
      </c>
      <c r="T2313" s="698">
        <f>Table1[[#This Row],[VO Wdth]]+1</f>
        <v>31</v>
      </c>
      <c r="U2313" s="698">
        <f>Table1[[#This Row],[VO Hgt]]+1</f>
        <v>31</v>
      </c>
      <c r="V2313" s="913">
        <f t="shared" si="825"/>
        <v>38</v>
      </c>
      <c r="W2313" s="913">
        <f t="shared" si="826"/>
        <v>38</v>
      </c>
      <c r="X2313" s="289" t="s">
        <v>1889</v>
      </c>
      <c r="Y2313" s="180"/>
      <c r="Z2313" s="180"/>
      <c r="AA2313" s="717">
        <f t="shared" si="817"/>
        <v>10.027777777777779</v>
      </c>
      <c r="AB2313" s="125">
        <f t="shared" si="827"/>
        <v>283.78611111111115</v>
      </c>
      <c r="AC2313" s="69">
        <f t="shared" si="828"/>
        <v>6.6183333333333341</v>
      </c>
      <c r="AD2313" s="48">
        <f>Table1[[#This Row],[Substrate SF]]*Materials!C$37</f>
        <v>28.077777777777779</v>
      </c>
      <c r="AE2313" s="104">
        <f>IF(Table1[[#This Row],[Work Center]]="SwissQ",Materials!G$37,IF(Table1[[#This Row],[Work Center]]="Inca",Materials!G$29,IF(Table1[[#This Row],[Work Center]]="Canon",Materials!G$49,Materials!G$45)))</f>
        <v>20</v>
      </c>
      <c r="AF2313" s="69">
        <f>'Cali Frames'!D$429</f>
        <v>105.8925</v>
      </c>
      <c r="AG2313" s="83"/>
      <c r="AH2313" s="498">
        <f t="shared" si="818"/>
        <v>26</v>
      </c>
      <c r="AI2313" s="498"/>
      <c r="AJ2313" s="69">
        <f t="shared" si="819"/>
        <v>186.58861111111111</v>
      </c>
      <c r="AK2313" s="650">
        <f t="shared" si="820"/>
        <v>0.64117574786324782</v>
      </c>
      <c r="AL2313" s="225">
        <f>Table1[[#This Row],[WSP/Dealer]]/Table1[[#This Row],[OD Sq Inch]]</f>
        <v>0.54110301768990632</v>
      </c>
      <c r="AM2313" s="46">
        <f>Table1[[#This Row],[OD Wdth]]*Table1[[#This Row],[OD Hgt]]</f>
        <v>961</v>
      </c>
      <c r="AN2313" s="216">
        <f>Table1[[#This Row],[Min VO]]+Table1[[#This Row],[Max VO]]</f>
        <v>60</v>
      </c>
      <c r="AO2313" s="284"/>
      <c r="AP2313" s="284"/>
      <c r="AQ2313" s="296"/>
      <c r="AR2313" s="296"/>
      <c r="AS2313" s="296"/>
      <c r="AT2313" s="176"/>
      <c r="AU2313" s="1358" t="str">
        <f t="shared" si="813"/>
        <v>-</v>
      </c>
    </row>
    <row r="2314" spans="1:47" s="399" customFormat="1" ht="16" x14ac:dyDescent="0.2">
      <c r="A2314" s="60" t="s">
        <v>581</v>
      </c>
      <c r="B2314" s="1061" t="s">
        <v>292</v>
      </c>
      <c r="C2314" s="1537" t="s">
        <v>5328</v>
      </c>
      <c r="D2314" s="94" t="s">
        <v>5329</v>
      </c>
      <c r="E2314" s="492" t="s">
        <v>5327</v>
      </c>
      <c r="F2314" s="294" t="s">
        <v>1364</v>
      </c>
      <c r="G2314" s="554" t="s">
        <v>1588</v>
      </c>
      <c r="H2314" s="180" t="s">
        <v>5321</v>
      </c>
      <c r="I2314" s="1684" t="s">
        <v>52</v>
      </c>
      <c r="J2314" s="181" t="s">
        <v>53</v>
      </c>
      <c r="K2314" s="92" t="s">
        <v>69</v>
      </c>
      <c r="L2314" s="60" t="s">
        <v>76</v>
      </c>
      <c r="M2314" s="647">
        <v>520</v>
      </c>
      <c r="N2314" s="124">
        <v>520</v>
      </c>
      <c r="O2314" s="759" t="s">
        <v>64</v>
      </c>
      <c r="P2314" s="60">
        <v>30</v>
      </c>
      <c r="Q2314" s="60">
        <v>30</v>
      </c>
      <c r="R2314" s="60">
        <v>30</v>
      </c>
      <c r="S2314" s="60">
        <v>30</v>
      </c>
      <c r="T2314" s="273">
        <v>31</v>
      </c>
      <c r="U2314" s="273">
        <v>31</v>
      </c>
      <c r="V2314" s="149">
        <f t="shared" si="825"/>
        <v>38</v>
      </c>
      <c r="W2314" s="149">
        <f t="shared" si="826"/>
        <v>38</v>
      </c>
      <c r="X2314" s="138">
        <v>40</v>
      </c>
      <c r="Y2314" s="60">
        <v>38</v>
      </c>
      <c r="Z2314" s="60">
        <v>38</v>
      </c>
      <c r="AA2314" s="678">
        <f t="shared" si="817"/>
        <v>10.027777777777779</v>
      </c>
      <c r="AB2314" s="125">
        <f t="shared" si="827"/>
        <v>283.78611111111115</v>
      </c>
      <c r="AC2314" s="176">
        <f t="shared" si="828"/>
        <v>6.6183333333333341</v>
      </c>
      <c r="AD2314" s="175">
        <f>Table1[[#This Row],[Substrate SF]]*Materials!C$37</f>
        <v>28.077777777777779</v>
      </c>
      <c r="AE2314" s="69">
        <f>IF(Table1[[#This Row],[Work Center]]="SwissQ",Materials!G$37,IF(Table1[[#This Row],[Work Center]]="Inca",Materials!G$29,IF(Table1[[#This Row],[Work Center]]="Canon",Materials!G$49,Materials!G$45)))</f>
        <v>20</v>
      </c>
      <c r="AF2314" s="72">
        <f>'Cali Frames'!D368</f>
        <v>121.50250000000001</v>
      </c>
      <c r="AG2314" s="540"/>
      <c r="AH2314" s="69">
        <f t="shared" si="818"/>
        <v>26</v>
      </c>
      <c r="AI2314" s="69"/>
      <c r="AJ2314" s="175">
        <f t="shared" si="819"/>
        <v>202.19861111111112</v>
      </c>
      <c r="AK2314" s="650">
        <f t="shared" si="820"/>
        <v>0.61115651709401708</v>
      </c>
      <c r="AL2314" s="225">
        <f>Table1[[#This Row],[WSP/Dealer]]/Table1[[#This Row],[OD Sq Inch]]</f>
        <v>0.54110301768990632</v>
      </c>
      <c r="AM2314" s="173">
        <f>Table1[[#This Row],[OD Wdth]]*Table1[[#This Row],[OD Hgt]]</f>
        <v>961</v>
      </c>
      <c r="AN2314" s="180">
        <f>Table1[[#This Row],[Min VO]]+Table1[[#This Row],[Max VO]]</f>
        <v>60</v>
      </c>
      <c r="AO2314" s="83"/>
      <c r="AP2314" s="83"/>
      <c r="AQ2314" s="540"/>
      <c r="AR2314" s="540"/>
      <c r="AS2314" s="540"/>
      <c r="AT2314" s="69"/>
      <c r="AU2314" s="1361" t="str">
        <f t="shared" si="813"/>
        <v>-</v>
      </c>
    </row>
    <row r="2315" spans="1:47" s="173" customFormat="1" ht="16" x14ac:dyDescent="0.2">
      <c r="A2315" s="68" t="s">
        <v>58</v>
      </c>
      <c r="B2315" s="1061" t="s">
        <v>587</v>
      </c>
      <c r="C2315" s="1416" t="s">
        <v>5325</v>
      </c>
      <c r="D2315" s="94"/>
      <c r="E2315" s="1319" t="s">
        <v>5330</v>
      </c>
      <c r="F2315" s="313" t="s">
        <v>1364</v>
      </c>
      <c r="G2315" s="1561" t="s">
        <v>1588</v>
      </c>
      <c r="H2315" s="314" t="s">
        <v>5321</v>
      </c>
      <c r="I2315" s="1637" t="s">
        <v>52</v>
      </c>
      <c r="J2315" s="315" t="s">
        <v>53</v>
      </c>
      <c r="K2315" s="282" t="s">
        <v>69</v>
      </c>
      <c r="L2315" s="68" t="s">
        <v>73</v>
      </c>
      <c r="M2315" s="556">
        <v>520</v>
      </c>
      <c r="N2315" s="639">
        <v>520</v>
      </c>
      <c r="O2315" s="274" t="s">
        <v>64</v>
      </c>
      <c r="P2315" s="274">
        <v>30</v>
      </c>
      <c r="Q2315" s="274">
        <v>30</v>
      </c>
      <c r="R2315" s="68">
        <v>30</v>
      </c>
      <c r="S2315" s="68">
        <v>30</v>
      </c>
      <c r="T2315" s="916">
        <f>Table1[[#This Row],[VO Wdth]]+1</f>
        <v>31</v>
      </c>
      <c r="U2315" s="916">
        <f>Table1[[#This Row],[VO Hgt]]+1</f>
        <v>31</v>
      </c>
      <c r="V2315" s="1198">
        <f t="shared" si="825"/>
        <v>38</v>
      </c>
      <c r="W2315" s="1198">
        <f t="shared" si="826"/>
        <v>38</v>
      </c>
      <c r="X2315" s="343" t="s">
        <v>1889</v>
      </c>
      <c r="Y2315" s="274"/>
      <c r="Z2315" s="274"/>
      <c r="AA2315" s="699">
        <f t="shared" si="817"/>
        <v>10.027777777777779</v>
      </c>
      <c r="AB2315" s="297">
        <f t="shared" si="827"/>
        <v>283.78611111111115</v>
      </c>
      <c r="AC2315" s="74">
        <f t="shared" si="828"/>
        <v>6.6183333333333341</v>
      </c>
      <c r="AD2315" s="67">
        <f>Table1[[#This Row],[Substrate SF]]*Materials!C$37</f>
        <v>28.077777777777779</v>
      </c>
      <c r="AE2315" s="104">
        <f>IF(Table1[[#This Row],[Work Center]]="SwissQ",Materials!G$37,IF(Table1[[#This Row],[Work Center]]="Inca",Materials!G$29,IF(Table1[[#This Row],[Work Center]]="Canon",Materials!G$49,Materials!G$45)))</f>
        <v>20</v>
      </c>
      <c r="AF2315" s="74">
        <f>'Cali Frames'!D565</f>
        <v>222.51250000000002</v>
      </c>
      <c r="AG2315" s="84"/>
      <c r="AH2315" s="498">
        <f t="shared" si="818"/>
        <v>26</v>
      </c>
      <c r="AI2315" s="498"/>
      <c r="AJ2315" s="74">
        <f t="shared" si="819"/>
        <v>303.20861111111111</v>
      </c>
      <c r="AK2315" s="650">
        <f t="shared" si="820"/>
        <v>0.4169065170940171</v>
      </c>
      <c r="AL2315" s="225">
        <f>Table1[[#This Row],[WSP/Dealer]]/Table1[[#This Row],[OD Sq Inch]]</f>
        <v>0.54110301768990632</v>
      </c>
      <c r="AM2315" s="63">
        <f>Table1[[#This Row],[OD Wdth]]*Table1[[#This Row],[OD Hgt]]</f>
        <v>961</v>
      </c>
      <c r="AN2315" s="238">
        <f>Table1[[#This Row],[Min VO]]+Table1[[#This Row],[Max VO]]</f>
        <v>60</v>
      </c>
      <c r="AO2315" s="275"/>
      <c r="AP2315" s="275"/>
      <c r="AQ2315" s="320"/>
      <c r="AR2315" s="320"/>
      <c r="AS2315" s="320"/>
      <c r="AT2315" s="278"/>
      <c r="AU2315" s="1368" t="str">
        <f t="shared" si="813"/>
        <v>-</v>
      </c>
    </row>
    <row r="2316" spans="1:47" s="1414" customFormat="1" hidden="1" x14ac:dyDescent="0.2">
      <c r="A2316" s="101" t="s">
        <v>110</v>
      </c>
      <c r="B2316" s="1067" t="s">
        <v>65</v>
      </c>
      <c r="C2316" s="1203" t="s">
        <v>5331</v>
      </c>
      <c r="D2316" s="168"/>
      <c r="E2316" s="327" t="s">
        <v>5332</v>
      </c>
      <c r="F2316" s="115" t="s">
        <v>1129</v>
      </c>
      <c r="G2316" s="303" t="s">
        <v>191</v>
      </c>
      <c r="H2316" s="101" t="s">
        <v>191</v>
      </c>
      <c r="I2316" s="303" t="s">
        <v>52</v>
      </c>
      <c r="J2316" s="487" t="s">
        <v>53</v>
      </c>
      <c r="K2316" s="303" t="s">
        <v>54</v>
      </c>
      <c r="L2316" s="101" t="s">
        <v>55</v>
      </c>
      <c r="M2316" s="692">
        <v>900</v>
      </c>
      <c r="N2316" s="114"/>
      <c r="O2316" s="101" t="s">
        <v>56</v>
      </c>
      <c r="P2316" s="697">
        <v>48</v>
      </c>
      <c r="Q2316" s="697">
        <v>60</v>
      </c>
      <c r="R2316" s="101">
        <v>48</v>
      </c>
      <c r="S2316" s="697">
        <v>60</v>
      </c>
      <c r="T2316" s="697">
        <v>48</v>
      </c>
      <c r="U2316" s="697">
        <v>60</v>
      </c>
      <c r="V2316" s="608">
        <f>IF(J2316="Canvas",P2316+BorderGW,P2316)</f>
        <v>56</v>
      </c>
      <c r="W2316" s="608">
        <f>IF(J2316="Canvas",Q2316+BorderGW,Q2316)</f>
        <v>68</v>
      </c>
      <c r="X2316" s="101">
        <v>69</v>
      </c>
      <c r="Y2316" s="101">
        <v>56</v>
      </c>
      <c r="Z2316" s="101">
        <v>68</v>
      </c>
      <c r="AA2316" s="649">
        <f t="shared" si="817"/>
        <v>26.444444444444443</v>
      </c>
      <c r="AB2316" s="184">
        <f>AA2316*IncaG</f>
        <v>556.39111111111106</v>
      </c>
      <c r="AC2316" s="104">
        <f t="shared" si="828"/>
        <v>17.453333333333333</v>
      </c>
      <c r="AD2316" s="107">
        <f>AA2316*IncaC</f>
        <v>44.511288888888885</v>
      </c>
      <c r="AE2316" s="104">
        <f>IF(Table1[[#This Row],[Work Center]]="SwissQ",Materials!G$37,IF(Table1[[#This Row],[Work Center]]="Inca",Materials!G$29,IF(Table1[[#This Row],[Work Center]]="Canon",Materials!G$49,Materials!G$45)))</f>
        <v>8</v>
      </c>
      <c r="AF2316" s="102">
        <f>'Cali FPS'!C121</f>
        <v>188.18</v>
      </c>
      <c r="AG2316" s="115"/>
      <c r="AH2316" s="107">
        <f t="shared" si="818"/>
        <v>45</v>
      </c>
      <c r="AI2316" s="107"/>
      <c r="AJ2316" s="104">
        <f t="shared" si="819"/>
        <v>303.14462222222221</v>
      </c>
      <c r="AK2316" s="108">
        <f t="shared" si="820"/>
        <v>0.66317264197530867</v>
      </c>
      <c r="AL2316" s="660">
        <f>Table1[[#This Row],[WSP/Dealer]]/Table1[[#This Row],[OD Sq Inch]]</f>
        <v>0.3125</v>
      </c>
      <c r="AM2316" s="103">
        <f>Table1[[#This Row],[OD Wdth]]*Table1[[#This Row],[OD Hgt]]</f>
        <v>2880</v>
      </c>
      <c r="AN2316" s="266">
        <f>Table1[[#This Row],[Min VO]]+Table1[[#This Row],[Max VO]]</f>
        <v>108</v>
      </c>
      <c r="AO2316" s="115"/>
      <c r="AP2316" s="408">
        <v>1800</v>
      </c>
      <c r="AQ2316" s="104">
        <f>(Table1[[#This Row],[Desgnr/Retail P]]*0.05)</f>
        <v>90</v>
      </c>
      <c r="AR2316" s="121">
        <f>IF(A2316="Codarus",(AP2316*0.13))</f>
        <v>234</v>
      </c>
      <c r="AS2316" s="121">
        <f>SUM(Table1[[#This Row],[Substrate $]:[GP FINISH]])+Table1[[#This Row],[Retail Royalty]]+Table1[[#This Row],[Retail$Comm]]</f>
        <v>582.14462222222221</v>
      </c>
      <c r="AT2316" s="830">
        <f>IF(AP2316=0,"-",(AP2316-AS2316)/AP2316)</f>
        <v>0.67658632098765437</v>
      </c>
      <c r="AU2316" s="1359">
        <f t="shared" si="813"/>
        <v>0.9924823742112483</v>
      </c>
    </row>
    <row r="2317" spans="1:47" s="765" customFormat="1" x14ac:dyDescent="0.2">
      <c r="A2317" s="60" t="s">
        <v>58</v>
      </c>
      <c r="B2317" s="1071" t="s">
        <v>1620</v>
      </c>
      <c r="C2317" s="1537" t="s">
        <v>5333</v>
      </c>
      <c r="D2317" s="79"/>
      <c r="E2317" s="492" t="s">
        <v>5334</v>
      </c>
      <c r="F2317" s="83" t="s">
        <v>1587</v>
      </c>
      <c r="G2317" s="92" t="s">
        <v>132</v>
      </c>
      <c r="H2317" s="60" t="s">
        <v>132</v>
      </c>
      <c r="I2317" s="1635" t="s">
        <v>52</v>
      </c>
      <c r="J2317" s="435" t="s">
        <v>53</v>
      </c>
      <c r="K2317" s="92" t="s">
        <v>54</v>
      </c>
      <c r="L2317" s="60" t="s">
        <v>55</v>
      </c>
      <c r="M2317" s="647">
        <v>650</v>
      </c>
      <c r="N2317" s="124"/>
      <c r="O2317" s="60" t="s">
        <v>56</v>
      </c>
      <c r="P2317" s="273">
        <v>36</v>
      </c>
      <c r="Q2317" s="273">
        <v>48</v>
      </c>
      <c r="R2317" s="60">
        <v>36</v>
      </c>
      <c r="S2317" s="273">
        <v>48</v>
      </c>
      <c r="T2317" s="273">
        <f>Table1[[#This Row],[VO Wdth]]</f>
        <v>36</v>
      </c>
      <c r="U2317" s="273">
        <f>Table1[[#This Row],[VO Hgt]]</f>
        <v>48</v>
      </c>
      <c r="V2317" s="47">
        <f>IF(J2317="Canvas",P2317+BorderGW,P2317)</f>
        <v>44</v>
      </c>
      <c r="W2317" s="47">
        <f>IF(J2317="Canvas",Q2317+BorderGW,Q2317)</f>
        <v>56</v>
      </c>
      <c r="X2317" s="138">
        <v>122</v>
      </c>
      <c r="Y2317" s="60">
        <v>44</v>
      </c>
      <c r="Z2317" s="60">
        <v>56</v>
      </c>
      <c r="AA2317" s="717">
        <f t="shared" si="817"/>
        <v>17.111111111111111</v>
      </c>
      <c r="AB2317" s="125">
        <f>AA2317*IncaG</f>
        <v>360.01777777777778</v>
      </c>
      <c r="AC2317" s="69">
        <f t="shared" si="828"/>
        <v>11.293333333333333</v>
      </c>
      <c r="AD2317" s="48">
        <f>AA2317*IncaC</f>
        <v>28.801422222222222</v>
      </c>
      <c r="AE2317" s="69">
        <f>IF(Table1[[#This Row],[Work Center]]="SwissQ",Materials!G$37,IF(Table1[[#This Row],[Work Center]]="Inca",Materials!G$29,IF(Table1[[#This Row],[Work Center]]="Canon",Materials!G$49,Materials!G$45)))</f>
        <v>8</v>
      </c>
      <c r="AF2317" s="72">
        <f>'Cali FPS'!C71</f>
        <v>114.31</v>
      </c>
      <c r="AG2317" s="83"/>
      <c r="AH2317" s="175">
        <f t="shared" si="818"/>
        <v>32.5</v>
      </c>
      <c r="AI2317" s="175"/>
      <c r="AJ2317" s="176">
        <f t="shared" si="819"/>
        <v>194.90475555555554</v>
      </c>
      <c r="AK2317" s="676">
        <f t="shared" si="820"/>
        <v>0.70014652991452997</v>
      </c>
      <c r="AL2317" s="176">
        <f>Table1[[#This Row],[WSP/Dealer]]/Table1[[#This Row],[OD Sq Inch]]</f>
        <v>0.37615740740740738</v>
      </c>
      <c r="AM2317" s="173">
        <f>Table1[[#This Row],[OD Wdth]]*Table1[[#This Row],[OD Hgt]]</f>
        <v>1728</v>
      </c>
      <c r="AN2317" s="180">
        <f>Table1[[#This Row],[Min VO]]+Table1[[#This Row],[Max VO]]</f>
        <v>84</v>
      </c>
      <c r="AO2317" s="83"/>
      <c r="AP2317" s="83"/>
      <c r="AQ2317" s="540"/>
      <c r="AR2317" s="540"/>
      <c r="AS2317" s="540"/>
      <c r="AT2317" s="69"/>
      <c r="AU2317" s="1361" t="str">
        <f t="shared" si="813"/>
        <v>-</v>
      </c>
    </row>
    <row r="2318" spans="1:47" s="399" customFormat="1" x14ac:dyDescent="0.2">
      <c r="A2318" s="68" t="s">
        <v>58</v>
      </c>
      <c r="B2318" s="1152" t="s">
        <v>1620</v>
      </c>
      <c r="C2318" s="1538" t="s">
        <v>5335</v>
      </c>
      <c r="D2318" s="94"/>
      <c r="E2318" s="378" t="s">
        <v>5336</v>
      </c>
      <c r="F2318" s="84" t="s">
        <v>1587</v>
      </c>
      <c r="G2318" s="282" t="s">
        <v>191</v>
      </c>
      <c r="H2318" s="68" t="s">
        <v>191</v>
      </c>
      <c r="I2318" s="1634" t="s">
        <v>52</v>
      </c>
      <c r="J2318" s="646" t="s">
        <v>53</v>
      </c>
      <c r="K2318" s="282" t="s">
        <v>54</v>
      </c>
      <c r="L2318" s="68" t="s">
        <v>55</v>
      </c>
      <c r="M2318" s="379">
        <v>950</v>
      </c>
      <c r="N2318" s="93"/>
      <c r="O2318" s="68" t="s">
        <v>56</v>
      </c>
      <c r="P2318" s="623">
        <v>48</v>
      </c>
      <c r="Q2318" s="623">
        <v>60</v>
      </c>
      <c r="R2318" s="68">
        <v>48</v>
      </c>
      <c r="S2318" s="623">
        <v>60</v>
      </c>
      <c r="T2318" s="623">
        <v>48</v>
      </c>
      <c r="U2318" s="623">
        <v>60</v>
      </c>
      <c r="V2318" s="917">
        <f>IF(J2318="Canvas",P2318+BorderGW,P2318)</f>
        <v>56</v>
      </c>
      <c r="W2318" s="917">
        <f>IF(J2318="Canvas",Q2318+BorderGW,Q2318)</f>
        <v>68</v>
      </c>
      <c r="X2318" s="189">
        <v>69</v>
      </c>
      <c r="Y2318" s="68">
        <v>56</v>
      </c>
      <c r="Z2318" s="68">
        <v>68</v>
      </c>
      <c r="AA2318" s="699">
        <f t="shared" si="817"/>
        <v>26.444444444444443</v>
      </c>
      <c r="AB2318" s="297">
        <f>AA2318*IncaG</f>
        <v>556.39111111111106</v>
      </c>
      <c r="AC2318" s="74">
        <f t="shared" si="828"/>
        <v>17.453333333333333</v>
      </c>
      <c r="AD2318" s="67">
        <f>AA2318*IncaC</f>
        <v>44.511288888888885</v>
      </c>
      <c r="AE2318" s="74">
        <f>IF(Table1[[#This Row],[Work Center]]="SwissQ",Materials!G$37,IF(Table1[[#This Row],[Work Center]]="Inca",Materials!G$29,IF(Table1[[#This Row],[Work Center]]="Canon",Materials!G$49,Materials!G$45)))</f>
        <v>8</v>
      </c>
      <c r="AF2318" s="73">
        <f>'Cali FPS'!C121</f>
        <v>188.18</v>
      </c>
      <c r="AG2318" s="84"/>
      <c r="AH2318" s="278">
        <f t="shared" si="818"/>
        <v>47.5</v>
      </c>
      <c r="AI2318" s="278"/>
      <c r="AJ2318" s="278">
        <f t="shared" si="819"/>
        <v>305.64462222222221</v>
      </c>
      <c r="AK2318" s="1192">
        <f t="shared" si="820"/>
        <v>0.67826881871345035</v>
      </c>
      <c r="AL2318" s="278">
        <f>Table1[[#This Row],[WSP/Dealer]]/Table1[[#This Row],[OD Sq Inch]]</f>
        <v>0.3298611111111111</v>
      </c>
      <c r="AM2318" s="170">
        <f>Table1[[#This Row],[OD Wdth]]*Table1[[#This Row],[OD Hgt]]</f>
        <v>2880</v>
      </c>
      <c r="AN2318" s="274">
        <f>Table1[[#This Row],[Min VO]]+Table1[[#This Row],[Max VO]]</f>
        <v>108</v>
      </c>
      <c r="AO2318" s="84"/>
      <c r="AP2318" s="84"/>
      <c r="AQ2318" s="126"/>
      <c r="AR2318" s="126"/>
      <c r="AS2318" s="126"/>
      <c r="AT2318" s="74"/>
      <c r="AU2318" s="1357" t="str">
        <f t="shared" si="813"/>
        <v>-</v>
      </c>
    </row>
    <row r="2319" spans="1:47" s="399" customFormat="1" x14ac:dyDescent="0.2">
      <c r="A2319" s="68" t="s">
        <v>58</v>
      </c>
      <c r="B2319" s="1152" t="s">
        <v>1620</v>
      </c>
      <c r="C2319" s="1538" t="s">
        <v>5337</v>
      </c>
      <c r="D2319" s="94"/>
      <c r="E2319" s="378" t="s">
        <v>5336</v>
      </c>
      <c r="F2319" s="84" t="s">
        <v>1587</v>
      </c>
      <c r="G2319" s="282" t="s">
        <v>191</v>
      </c>
      <c r="H2319" s="68" t="s">
        <v>193</v>
      </c>
      <c r="I2319" s="1634" t="s">
        <v>52</v>
      </c>
      <c r="J2319" s="646" t="s">
        <v>53</v>
      </c>
      <c r="K2319" s="282" t="s">
        <v>69</v>
      </c>
      <c r="L2319" s="68" t="s">
        <v>76</v>
      </c>
      <c r="M2319" s="379">
        <v>1150</v>
      </c>
      <c r="N2319" s="93"/>
      <c r="O2319" s="68" t="s">
        <v>56</v>
      </c>
      <c r="P2319" s="623">
        <v>48</v>
      </c>
      <c r="Q2319" s="623">
        <v>60</v>
      </c>
      <c r="R2319" s="68">
        <v>48</v>
      </c>
      <c r="S2319" s="623">
        <v>60</v>
      </c>
      <c r="T2319" s="623">
        <v>48</v>
      </c>
      <c r="U2319" s="623">
        <v>60</v>
      </c>
      <c r="V2319" s="917">
        <f>IF(J2319="Canvas",P2319+BorderGW,P2319)</f>
        <v>56</v>
      </c>
      <c r="W2319" s="917">
        <f>IF(J2319="Canvas",Q2319+BorderGW,Q2319)</f>
        <v>68</v>
      </c>
      <c r="X2319" s="189">
        <v>69</v>
      </c>
      <c r="Y2319" s="68">
        <v>56</v>
      </c>
      <c r="Z2319" s="68">
        <v>68</v>
      </c>
      <c r="AA2319" s="699">
        <f t="shared" si="817"/>
        <v>26.444444444444443</v>
      </c>
      <c r="AB2319" s="297">
        <f>AA2319*IncaG</f>
        <v>556.39111111111106</v>
      </c>
      <c r="AC2319" s="74">
        <f t="shared" si="828"/>
        <v>17.453333333333333</v>
      </c>
      <c r="AD2319" s="74">
        <f>AA2319*IncaC</f>
        <v>44.511288888888885</v>
      </c>
      <c r="AE2319" s="74">
        <f>IF(Table1[[#This Row],[Work Center]]="SwissQ",Materials!G$37,IF(Table1[[#This Row],[Work Center]]="Inca",Materials!G$29,IF(Table1[[#This Row],[Work Center]]="Canon",Materials!G$49,Materials!G$45)))</f>
        <v>8</v>
      </c>
      <c r="AF2319" s="73">
        <f>'Cali Frames'!D381</f>
        <v>272.89999999999998</v>
      </c>
      <c r="AG2319" s="84"/>
      <c r="AH2319" s="278">
        <f t="shared" si="818"/>
        <v>57.5</v>
      </c>
      <c r="AI2319" s="278"/>
      <c r="AJ2319" s="278">
        <f t="shared" si="819"/>
        <v>400.36462222222218</v>
      </c>
      <c r="AK2319" s="1192">
        <f t="shared" si="820"/>
        <v>0.65185685024154594</v>
      </c>
      <c r="AL2319" s="278">
        <f>Table1[[#This Row],[WSP/Dealer]]/Table1[[#This Row],[OD Sq Inch]]</f>
        <v>0.39930555555555558</v>
      </c>
      <c r="AM2319" s="274">
        <f>Table1[[#This Row],[OD Wdth]]*Table1[[#This Row],[OD Hgt]]</f>
        <v>2880</v>
      </c>
      <c r="AN2319" s="274">
        <f>Table1[[#This Row],[Min VO]]+Table1[[#This Row],[Max VO]]</f>
        <v>108</v>
      </c>
      <c r="AO2319" s="84"/>
      <c r="AP2319" s="84"/>
      <c r="AQ2319" s="126"/>
      <c r="AR2319" s="126"/>
      <c r="AS2319" s="126"/>
      <c r="AT2319" s="74"/>
      <c r="AU2319" s="1357" t="str">
        <f t="shared" si="813"/>
        <v>-</v>
      </c>
    </row>
    <row r="2320" spans="1:47" s="170" customFormat="1" ht="16" x14ac:dyDescent="0.2">
      <c r="A2320" s="60" t="s">
        <v>58</v>
      </c>
      <c r="B2320" s="279" t="s">
        <v>587</v>
      </c>
      <c r="C2320" s="1677" t="s">
        <v>5338</v>
      </c>
      <c r="D2320" s="94"/>
      <c r="E2320" s="1265" t="s">
        <v>5339</v>
      </c>
      <c r="F2320" s="294" t="s">
        <v>1364</v>
      </c>
      <c r="G2320" s="971" t="s">
        <v>362</v>
      </c>
      <c r="H2320" s="295" t="s">
        <v>1888</v>
      </c>
      <c r="I2320" s="1684" t="s">
        <v>52</v>
      </c>
      <c r="J2320" s="181" t="s">
        <v>53</v>
      </c>
      <c r="K2320" s="971" t="s">
        <v>69</v>
      </c>
      <c r="L2320" s="181" t="s">
        <v>73</v>
      </c>
      <c r="M2320" s="648">
        <v>800</v>
      </c>
      <c r="N2320" s="639">
        <v>750</v>
      </c>
      <c r="O2320" s="180" t="s">
        <v>64</v>
      </c>
      <c r="P2320" s="180">
        <v>32</v>
      </c>
      <c r="Q2320" s="180">
        <v>42</v>
      </c>
      <c r="R2320" s="60">
        <v>32</v>
      </c>
      <c r="S2320" s="60">
        <v>42</v>
      </c>
      <c r="T2320" s="698">
        <f>Table1[[#This Row],[VO Wdth]]+1</f>
        <v>33</v>
      </c>
      <c r="U2320" s="698">
        <f>Table1[[#This Row],[VO Hgt]]+1</f>
        <v>43</v>
      </c>
      <c r="V2320" s="913">
        <f>IF(J2320="Canvas",P2320+Border,P2320)</f>
        <v>40</v>
      </c>
      <c r="W2320" s="913">
        <f>IF(J2320="Canvas",Q2320+Border,Q2320)</f>
        <v>50</v>
      </c>
      <c r="X2320" s="289" t="s">
        <v>1889</v>
      </c>
      <c r="Y2320" s="180"/>
      <c r="Z2320" s="180"/>
      <c r="AA2320" s="717">
        <f t="shared" si="817"/>
        <v>13.888888888888889</v>
      </c>
      <c r="AB2320" s="125">
        <f>AA2320*Swiss1</f>
        <v>393.0555555555556</v>
      </c>
      <c r="AC2320" s="69">
        <f t="shared" si="828"/>
        <v>9.1666666666666679</v>
      </c>
      <c r="AD2320" s="48">
        <f>Table1[[#This Row],[Substrate SF]]*Materials!C$37</f>
        <v>38.888888888888886</v>
      </c>
      <c r="AE2320" s="104">
        <f>IF(Table1[[#This Row],[Work Center]]="SwissQ",Materials!G$37,IF(Table1[[#This Row],[Work Center]]="Inca",Materials!G$29,IF(Table1[[#This Row],[Work Center]]="Canon",Materials!G$49,Materials!G$45)))</f>
        <v>20</v>
      </c>
      <c r="AF2320" s="69">
        <f>'Cali Frames'!D$429</f>
        <v>105.8925</v>
      </c>
      <c r="AG2320" s="83"/>
      <c r="AH2320" s="498">
        <f t="shared" si="818"/>
        <v>40</v>
      </c>
      <c r="AI2320" s="498"/>
      <c r="AJ2320" s="69">
        <f t="shared" si="819"/>
        <v>213.94805555555556</v>
      </c>
      <c r="AK2320" s="650">
        <f t="shared" si="820"/>
        <v>0.73256493055555549</v>
      </c>
      <c r="AL2320" s="225">
        <f>Table1[[#This Row],[WSP/Dealer]]/Table1[[#This Row],[OD Sq Inch]]</f>
        <v>0.56377730796335446</v>
      </c>
      <c r="AM2320" s="218">
        <f>Table1[[#This Row],[OD Wdth]]*Table1[[#This Row],[OD Hgt]]</f>
        <v>1419</v>
      </c>
      <c r="AN2320" s="216">
        <f>Table1[[#This Row],[Min VO]]+Table1[[#This Row],[Max VO]]</f>
        <v>74</v>
      </c>
      <c r="AO2320" s="284"/>
      <c r="AP2320" s="284"/>
      <c r="AQ2320" s="296"/>
      <c r="AR2320" s="296"/>
      <c r="AS2320" s="296"/>
      <c r="AT2320" s="176"/>
      <c r="AU2320" s="1358" t="str">
        <f t="shared" si="813"/>
        <v>-</v>
      </c>
    </row>
    <row r="2321" spans="1:47" s="765" customFormat="1" ht="16" x14ac:dyDescent="0.2">
      <c r="A2321" s="68" t="s">
        <v>58</v>
      </c>
      <c r="B2321" s="1072" t="s">
        <v>250</v>
      </c>
      <c r="C2321" s="1416" t="s">
        <v>5340</v>
      </c>
      <c r="D2321" s="94"/>
      <c r="E2321" s="1319" t="s">
        <v>5339</v>
      </c>
      <c r="F2321" s="84"/>
      <c r="G2321" s="282"/>
      <c r="H2321" s="68"/>
      <c r="I2321" s="1634"/>
      <c r="J2321" s="646"/>
      <c r="K2321" s="282"/>
      <c r="L2321" s="363"/>
      <c r="M2321" s="380"/>
      <c r="N2321" s="93"/>
      <c r="O2321" s="68"/>
      <c r="P2321" s="68"/>
      <c r="Q2321" s="68"/>
      <c r="R2321" s="68"/>
      <c r="S2321" s="68"/>
      <c r="T2321" s="623"/>
      <c r="U2321" s="623"/>
      <c r="V2321" s="66"/>
      <c r="W2321" s="66"/>
      <c r="X2321" s="68"/>
      <c r="Y2321" s="68"/>
      <c r="Z2321" s="68"/>
      <c r="AA2321" s="699"/>
      <c r="AB2321" s="297"/>
      <c r="AC2321" s="74"/>
      <c r="AD2321" s="118"/>
      <c r="AE2321" s="126"/>
      <c r="AF2321" s="73"/>
      <c r="AG2321" s="84"/>
      <c r="AH2321" s="126"/>
      <c r="AI2321" s="126"/>
      <c r="AJ2321" s="126"/>
      <c r="AK2321" s="1001"/>
      <c r="AL2321" s="126"/>
      <c r="AM2321" s="119"/>
      <c r="AN2321" s="84"/>
      <c r="AO2321" s="84"/>
      <c r="AP2321" s="84"/>
      <c r="AQ2321" s="126">
        <f>(Table1[[#This Row],[Desgnr/Retail P]]*0.05)</f>
        <v>0</v>
      </c>
      <c r="AR2321" s="126" t="b">
        <f>IF(A2321="Codarus",(AP2321*0.13))</f>
        <v>0</v>
      </c>
      <c r="AS2321" s="126" t="e" cm="1">
        <f t="array" ref="AS2321">SUM(AC2321:AG2321+AQ+AR)</f>
        <v>#NAME?</v>
      </c>
      <c r="AT2321" s="74" t="e">
        <f>(AP2321-AS2321)/AP2321</f>
        <v>#NAME?</v>
      </c>
      <c r="AU2321" s="1357" t="str">
        <f t="shared" si="813"/>
        <v>-</v>
      </c>
    </row>
    <row r="2322" spans="1:47" s="765" customFormat="1" ht="16" x14ac:dyDescent="0.2">
      <c r="A2322" s="68" t="s">
        <v>58</v>
      </c>
      <c r="B2322" s="1061" t="s">
        <v>587</v>
      </c>
      <c r="C2322" s="1416" t="s">
        <v>5338</v>
      </c>
      <c r="D2322" s="94"/>
      <c r="E2322" s="1319" t="s">
        <v>5341</v>
      </c>
      <c r="F2322" s="313" t="s">
        <v>1364</v>
      </c>
      <c r="G2322" s="1561" t="s">
        <v>362</v>
      </c>
      <c r="H2322" s="314" t="s">
        <v>1888</v>
      </c>
      <c r="I2322" s="1637" t="s">
        <v>52</v>
      </c>
      <c r="J2322" s="315" t="s">
        <v>53</v>
      </c>
      <c r="K2322" s="1561" t="s">
        <v>69</v>
      </c>
      <c r="L2322" s="315" t="s">
        <v>73</v>
      </c>
      <c r="M2322" s="556">
        <v>1000</v>
      </c>
      <c r="N2322" s="639">
        <v>750</v>
      </c>
      <c r="O2322" s="274" t="s">
        <v>64</v>
      </c>
      <c r="P2322" s="274">
        <v>32</v>
      </c>
      <c r="Q2322" s="274">
        <v>42</v>
      </c>
      <c r="R2322" s="68">
        <v>32</v>
      </c>
      <c r="S2322" s="68">
        <v>42</v>
      </c>
      <c r="T2322" s="916">
        <f>Table1[[#This Row],[VO Wdth]]+1</f>
        <v>33</v>
      </c>
      <c r="U2322" s="916">
        <f>Table1[[#This Row],[VO Hgt]]+1</f>
        <v>43</v>
      </c>
      <c r="V2322" s="160">
        <f>IF(J2322="Canvas",P2322+Border,P2322)</f>
        <v>40</v>
      </c>
      <c r="W2322" s="160">
        <f>IF(J2322="Canvas",Q2322+Border,Q2322)</f>
        <v>50</v>
      </c>
      <c r="X2322" s="343" t="s">
        <v>1889</v>
      </c>
      <c r="Y2322" s="274"/>
      <c r="Z2322" s="274"/>
      <c r="AA2322" s="699">
        <f t="shared" ref="AA2322:AA2328" si="829">V2322*W2322/144</f>
        <v>13.888888888888889</v>
      </c>
      <c r="AB2322" s="297">
        <f>AA2322*Swiss1</f>
        <v>393.0555555555556</v>
      </c>
      <c r="AC2322" s="74">
        <f>AA2322*Canvas</f>
        <v>9.1666666666666679</v>
      </c>
      <c r="AD2322" s="67">
        <f>Table1[[#This Row],[Substrate SF]]*Materials!C$37</f>
        <v>38.888888888888886</v>
      </c>
      <c r="AE2322" s="104">
        <f>IF(Table1[[#This Row],[Work Center]]="SwissQ",Materials!G$37,IF(Table1[[#This Row],[Work Center]]="Inca",Materials!G$29,IF(Table1[[#This Row],[Work Center]]="Canon",Materials!G$49,Materials!G$45)))</f>
        <v>20</v>
      </c>
      <c r="AF2322" s="74">
        <f>'Cali Frames'!D564</f>
        <v>175.4375</v>
      </c>
      <c r="AG2322" s="84"/>
      <c r="AH2322" s="498">
        <f t="shared" ref="AH2322:AH2351" si="830">(M2322*0.05)</f>
        <v>50</v>
      </c>
      <c r="AI2322" s="498"/>
      <c r="AJ2322" s="74">
        <f t="shared" ref="AJ2322:AJ2332" si="831">SUM(AC2322:AH2322)</f>
        <v>293.49305555555554</v>
      </c>
      <c r="AK2322" s="650">
        <f t="shared" ref="AK2322:AK2353" si="832">(M2322-AJ2322)/M2322</f>
        <v>0.70650694444444451</v>
      </c>
      <c r="AL2322" s="225">
        <f>Table1[[#This Row],[WSP/Dealer]]/Table1[[#This Row],[OD Sq Inch]]</f>
        <v>0.70472163495419304</v>
      </c>
      <c r="AM2322" s="235">
        <f>Table1[[#This Row],[OD Wdth]]*Table1[[#This Row],[OD Hgt]]</f>
        <v>1419</v>
      </c>
      <c r="AN2322" s="238">
        <f>Table1[[#This Row],[Min VO]]+Table1[[#This Row],[Max VO]]</f>
        <v>74</v>
      </c>
      <c r="AO2322" s="275"/>
      <c r="AP2322" s="275"/>
      <c r="AQ2322" s="320"/>
      <c r="AR2322" s="320"/>
      <c r="AS2322" s="320"/>
      <c r="AT2322" s="278"/>
      <c r="AU2322" s="1368" t="str">
        <f t="shared" si="813"/>
        <v>-</v>
      </c>
    </row>
    <row r="2323" spans="1:47" s="170" customFormat="1" ht="16" x14ac:dyDescent="0.2">
      <c r="A2323" s="60" t="s">
        <v>58</v>
      </c>
      <c r="B2323" s="1061" t="s">
        <v>587</v>
      </c>
      <c r="C2323" s="1677" t="s">
        <v>5342</v>
      </c>
      <c r="D2323" s="94"/>
      <c r="E2323" s="1265" t="s">
        <v>5343</v>
      </c>
      <c r="F2323" s="294" t="s">
        <v>1364</v>
      </c>
      <c r="G2323" s="971" t="s">
        <v>362</v>
      </c>
      <c r="H2323" s="295" t="s">
        <v>1888</v>
      </c>
      <c r="I2323" s="1684" t="s">
        <v>52</v>
      </c>
      <c r="J2323" s="181" t="s">
        <v>53</v>
      </c>
      <c r="K2323" s="971" t="s">
        <v>69</v>
      </c>
      <c r="L2323" s="181" t="s">
        <v>73</v>
      </c>
      <c r="M2323" s="648">
        <v>800</v>
      </c>
      <c r="N2323" s="639">
        <v>750</v>
      </c>
      <c r="O2323" s="180" t="s">
        <v>64</v>
      </c>
      <c r="P2323" s="180">
        <v>32</v>
      </c>
      <c r="Q2323" s="180">
        <v>42</v>
      </c>
      <c r="R2323" s="60">
        <v>32</v>
      </c>
      <c r="S2323" s="60">
        <v>42</v>
      </c>
      <c r="T2323" s="698">
        <f>Table1[[#This Row],[VO Wdth]]+1</f>
        <v>33</v>
      </c>
      <c r="U2323" s="698">
        <f>Table1[[#This Row],[VO Hgt]]+1</f>
        <v>43</v>
      </c>
      <c r="V2323" s="149">
        <f>IF(J2323="Canvas",P2323+Border,P2323)</f>
        <v>40</v>
      </c>
      <c r="W2323" s="149">
        <f>IF(J2323="Canvas",Q2323+Border,Q2323)</f>
        <v>50</v>
      </c>
      <c r="X2323" s="289" t="s">
        <v>1889</v>
      </c>
      <c r="Y2323" s="180"/>
      <c r="Z2323" s="180"/>
      <c r="AA2323" s="717">
        <f t="shared" si="829"/>
        <v>13.888888888888889</v>
      </c>
      <c r="AB2323" s="125">
        <f>AA2323*Swiss1</f>
        <v>393.0555555555556</v>
      </c>
      <c r="AC2323" s="69">
        <f>AA2323*Canvas</f>
        <v>9.1666666666666679</v>
      </c>
      <c r="AD2323" s="48">
        <f>Table1[[#This Row],[Substrate SF]]*Materials!C$37</f>
        <v>38.888888888888886</v>
      </c>
      <c r="AE2323" s="104">
        <f>IF(Table1[[#This Row],[Work Center]]="SwissQ",Materials!G$37,IF(Table1[[#This Row],[Work Center]]="Inca",Materials!G$29,IF(Table1[[#This Row],[Work Center]]="Canon",Materials!G$49,Materials!G$45)))</f>
        <v>20</v>
      </c>
      <c r="AF2323" s="69">
        <f>'Cali Frames'!D431</f>
        <v>163.08000000000001</v>
      </c>
      <c r="AG2323" s="83"/>
      <c r="AH2323" s="498">
        <f t="shared" si="830"/>
        <v>40</v>
      </c>
      <c r="AI2323" s="498"/>
      <c r="AJ2323" s="69">
        <f t="shared" si="831"/>
        <v>271.13555555555558</v>
      </c>
      <c r="AK2323" s="650">
        <f t="shared" si="832"/>
        <v>0.66108055555555556</v>
      </c>
      <c r="AL2323" s="225">
        <f>Table1[[#This Row],[WSP/Dealer]]/Table1[[#This Row],[OD Sq Inch]]</f>
        <v>0.56377730796335446</v>
      </c>
      <c r="AM2323" s="46">
        <f>Table1[[#This Row],[OD Wdth]]*Table1[[#This Row],[OD Hgt]]</f>
        <v>1419</v>
      </c>
      <c r="AN2323" s="216">
        <f>Table1[[#This Row],[Min VO]]+Table1[[#This Row],[Max VO]]</f>
        <v>74</v>
      </c>
      <c r="AO2323" s="284"/>
      <c r="AP2323" s="284"/>
      <c r="AQ2323" s="296"/>
      <c r="AR2323" s="296"/>
      <c r="AS2323" s="296"/>
      <c r="AT2323" s="176"/>
      <c r="AU2323" s="1358" t="str">
        <f t="shared" si="813"/>
        <v>-</v>
      </c>
    </row>
    <row r="2324" spans="1:47" s="170" customFormat="1" ht="16" x14ac:dyDescent="0.2">
      <c r="A2324" s="101" t="s">
        <v>58</v>
      </c>
      <c r="B2324" s="1062" t="s">
        <v>250</v>
      </c>
      <c r="C2324" s="1709" t="s">
        <v>5344</v>
      </c>
      <c r="D2324" s="168"/>
      <c r="E2324" s="1560" t="s">
        <v>5343</v>
      </c>
      <c r="F2324" s="788" t="s">
        <v>1364</v>
      </c>
      <c r="G2324" s="1563" t="s">
        <v>362</v>
      </c>
      <c r="H2324" s="809" t="s">
        <v>1888</v>
      </c>
      <c r="I2324" s="1712" t="s">
        <v>52</v>
      </c>
      <c r="J2324" s="789" t="s">
        <v>53</v>
      </c>
      <c r="K2324" s="1563" t="s">
        <v>69</v>
      </c>
      <c r="L2324" s="407" t="s">
        <v>70</v>
      </c>
      <c r="M2324" s="494">
        <v>800</v>
      </c>
      <c r="N2324" s="114"/>
      <c r="O2324" s="400" t="s">
        <v>64</v>
      </c>
      <c r="P2324" s="400">
        <v>32</v>
      </c>
      <c r="Q2324" s="400">
        <v>42</v>
      </c>
      <c r="R2324" s="101">
        <v>32</v>
      </c>
      <c r="S2324" s="101">
        <v>42</v>
      </c>
      <c r="T2324" s="1328">
        <f>Table1[[#This Row],[VO Wdth]]+1</f>
        <v>33</v>
      </c>
      <c r="U2324" s="1328">
        <f>Table1[[#This Row],[VO Hgt]]+1</f>
        <v>43</v>
      </c>
      <c r="V2324" s="1178">
        <f>IF(J2324="Canvas",P2324+Border,P2324)</f>
        <v>40</v>
      </c>
      <c r="W2324" s="1178">
        <f>IF(J2324="Canvas",Q2324+Border,Q2324)</f>
        <v>50</v>
      </c>
      <c r="X2324" s="101">
        <v>40</v>
      </c>
      <c r="Y2324" s="101">
        <v>40</v>
      </c>
      <c r="Z2324" s="101">
        <v>50</v>
      </c>
      <c r="AA2324" s="649">
        <f t="shared" si="829"/>
        <v>13.888888888888889</v>
      </c>
      <c r="AB2324" s="184">
        <f>AA2324*Swiss1</f>
        <v>393.0555555555556</v>
      </c>
      <c r="AC2324" s="104">
        <f>AA2324*Canvas</f>
        <v>9.1666666666666679</v>
      </c>
      <c r="AD2324" s="107">
        <f>Table1[[#This Row],[Substrate SF]]*Materials!C$37</f>
        <v>38.888888888888886</v>
      </c>
      <c r="AE2324" s="104">
        <f>IF(Table1[[#This Row],[Work Center]]="SwissQ",Materials!G$37,IF(Table1[[#This Row],[Work Center]]="Inca",Materials!G$29,IF(Table1[[#This Row],[Work Center]]="Canon",Materials!G$49,Materials!G$45)))</f>
        <v>20</v>
      </c>
      <c r="AF2324" s="102">
        <f>'Cali Frames'!D294</f>
        <v>164</v>
      </c>
      <c r="AG2324" s="115"/>
      <c r="AH2324" s="406">
        <f t="shared" si="830"/>
        <v>40</v>
      </c>
      <c r="AI2324" s="406"/>
      <c r="AJ2324" s="406">
        <f t="shared" si="831"/>
        <v>272.05555555555554</v>
      </c>
      <c r="AK2324" s="1065">
        <f t="shared" si="832"/>
        <v>0.65993055555555558</v>
      </c>
      <c r="AL2324" s="406">
        <f>Table1[[#This Row],[WSP/Dealer]]/Table1[[#This Row],[OD Sq Inch]]</f>
        <v>0.56377730796335446</v>
      </c>
      <c r="AM2324" s="399">
        <f>Table1[[#This Row],[OD Wdth]]*Table1[[#This Row],[OD Hgt]]</f>
        <v>1419</v>
      </c>
      <c r="AN2324" s="400">
        <f>Table1[[#This Row],[Min VO]]+Table1[[#This Row],[Max VO]]</f>
        <v>74</v>
      </c>
      <c r="AO2324" s="115"/>
      <c r="AP2324" s="115"/>
      <c r="AQ2324" s="121">
        <f>(Table1[[#This Row],[Desgnr/Retail P]]*0.05)</f>
        <v>0</v>
      </c>
      <c r="AR2324" s="121" t="b">
        <f>IF(A2324="Codarus",(AP2324*0.13))</f>
        <v>0</v>
      </c>
      <c r="AS2324" s="121" t="e" cm="1">
        <f t="array" ref="AS2324">SUM(AC2324:AG2324+AQ+AR)</f>
        <v>#NAME?</v>
      </c>
      <c r="AT2324" s="104" t="e">
        <f>(AP2324-AS2324)/AP2324</f>
        <v>#NAME?</v>
      </c>
      <c r="AU2324" s="1359" t="str">
        <f t="shared" si="813"/>
        <v>-</v>
      </c>
    </row>
    <row r="2325" spans="1:47" s="399" customFormat="1" ht="16" x14ac:dyDescent="0.2">
      <c r="A2325" s="68" t="s">
        <v>58</v>
      </c>
      <c r="B2325" s="1061" t="s">
        <v>587</v>
      </c>
      <c r="C2325" s="1416" t="s">
        <v>5342</v>
      </c>
      <c r="D2325" s="94"/>
      <c r="E2325" s="1319" t="s">
        <v>5345</v>
      </c>
      <c r="F2325" s="313" t="s">
        <v>1364</v>
      </c>
      <c r="G2325" s="1561" t="s">
        <v>362</v>
      </c>
      <c r="H2325" s="314" t="s">
        <v>1888</v>
      </c>
      <c r="I2325" s="1637" t="s">
        <v>52</v>
      </c>
      <c r="J2325" s="315" t="s">
        <v>53</v>
      </c>
      <c r="K2325" s="1561" t="s">
        <v>69</v>
      </c>
      <c r="L2325" s="315" t="s">
        <v>73</v>
      </c>
      <c r="M2325" s="556">
        <v>850</v>
      </c>
      <c r="N2325" s="639">
        <v>750</v>
      </c>
      <c r="O2325" s="274" t="s">
        <v>64</v>
      </c>
      <c r="P2325" s="274">
        <v>32</v>
      </c>
      <c r="Q2325" s="274">
        <v>42</v>
      </c>
      <c r="R2325" s="68">
        <v>32</v>
      </c>
      <c r="S2325" s="68">
        <v>42</v>
      </c>
      <c r="T2325" s="916">
        <f>Table1[[#This Row],[VO Wdth]]+1</f>
        <v>33</v>
      </c>
      <c r="U2325" s="916">
        <f>Table1[[#This Row],[VO Hgt]]+1</f>
        <v>43</v>
      </c>
      <c r="V2325" s="1198">
        <f>IF(J2325="Canvas",P2325+Border,P2325)</f>
        <v>40</v>
      </c>
      <c r="W2325" s="1198">
        <f>IF(J2325="Canvas",Q2325+Border,Q2325)</f>
        <v>50</v>
      </c>
      <c r="X2325" s="343" t="s">
        <v>1889</v>
      </c>
      <c r="Y2325" s="274"/>
      <c r="Z2325" s="274"/>
      <c r="AA2325" s="699">
        <f t="shared" si="829"/>
        <v>13.888888888888889</v>
      </c>
      <c r="AB2325" s="297">
        <f>AA2325*Swiss1</f>
        <v>393.0555555555556</v>
      </c>
      <c r="AC2325" s="74">
        <f>AA2325*Canvas</f>
        <v>9.1666666666666679</v>
      </c>
      <c r="AD2325" s="67">
        <f>Table1[[#This Row],[Substrate SF]]*Materials!C$37</f>
        <v>38.888888888888886</v>
      </c>
      <c r="AE2325" s="104">
        <f>IF(Table1[[#This Row],[Work Center]]="SwissQ",Materials!G$37,IF(Table1[[#This Row],[Work Center]]="Inca",Materials!G$29,IF(Table1[[#This Row],[Work Center]]="Canon",Materials!G$49,Materials!G$45)))</f>
        <v>20</v>
      </c>
      <c r="AF2325" s="69">
        <f>'Cali Frames'!D431</f>
        <v>163.08000000000001</v>
      </c>
      <c r="AG2325" s="84"/>
      <c r="AH2325" s="498">
        <f t="shared" si="830"/>
        <v>42.5</v>
      </c>
      <c r="AI2325" s="498"/>
      <c r="AJ2325" s="74">
        <f t="shared" si="831"/>
        <v>273.63555555555558</v>
      </c>
      <c r="AK2325" s="650">
        <f t="shared" si="832"/>
        <v>0.67807581699346398</v>
      </c>
      <c r="AL2325" s="225">
        <f>Table1[[#This Row],[WSP/Dealer]]/Table1[[#This Row],[OD Sq Inch]]</f>
        <v>0.5990133897110641</v>
      </c>
      <c r="AM2325" s="63">
        <f>Table1[[#This Row],[OD Wdth]]*Table1[[#This Row],[OD Hgt]]</f>
        <v>1419</v>
      </c>
      <c r="AN2325" s="238">
        <f>Table1[[#This Row],[Min VO]]+Table1[[#This Row],[Max VO]]</f>
        <v>74</v>
      </c>
      <c r="AO2325" s="275"/>
      <c r="AP2325" s="275"/>
      <c r="AQ2325" s="320"/>
      <c r="AR2325" s="320"/>
      <c r="AS2325" s="320"/>
      <c r="AT2325" s="278"/>
      <c r="AU2325" s="1368" t="str">
        <f t="shared" si="813"/>
        <v>-</v>
      </c>
    </row>
    <row r="2326" spans="1:47" s="170" customFormat="1" x14ac:dyDescent="0.2">
      <c r="A2326" s="60" t="s">
        <v>58</v>
      </c>
      <c r="B2326" s="1061" t="s">
        <v>445</v>
      </c>
      <c r="C2326" s="1335" t="s">
        <v>5346</v>
      </c>
      <c r="D2326" s="94"/>
      <c r="E2326" s="492" t="s">
        <v>5347</v>
      </c>
      <c r="F2326" s="83" t="s">
        <v>289</v>
      </c>
      <c r="G2326" s="92" t="s">
        <v>51</v>
      </c>
      <c r="H2326" s="60" t="s">
        <v>362</v>
      </c>
      <c r="I2326" s="92" t="s">
        <v>52</v>
      </c>
      <c r="J2326" s="60" t="s">
        <v>53</v>
      </c>
      <c r="K2326" s="92" t="s">
        <v>82</v>
      </c>
      <c r="L2326" s="60" t="s">
        <v>83</v>
      </c>
      <c r="M2326" s="647">
        <v>675</v>
      </c>
      <c r="N2326" s="639">
        <v>700</v>
      </c>
      <c r="O2326" s="60" t="s">
        <v>64</v>
      </c>
      <c r="P2326" s="60">
        <v>30</v>
      </c>
      <c r="Q2326" s="60">
        <v>40</v>
      </c>
      <c r="R2326" s="60">
        <v>30</v>
      </c>
      <c r="S2326" s="60">
        <v>40</v>
      </c>
      <c r="T2326" s="60">
        <v>32</v>
      </c>
      <c r="U2326" s="60">
        <v>42</v>
      </c>
      <c r="V2326" s="47">
        <f>IF(J2326="Canvas",P2326+BorderGW,P2326)</f>
        <v>38</v>
      </c>
      <c r="W2326" s="47">
        <f>IF(J2326="Canvas",Q2326+BorderGW,Q2326)</f>
        <v>48</v>
      </c>
      <c r="X2326" s="138">
        <v>40</v>
      </c>
      <c r="Y2326" s="60">
        <v>38</v>
      </c>
      <c r="Z2326" s="60">
        <v>48</v>
      </c>
      <c r="AA2326" s="717">
        <f t="shared" si="829"/>
        <v>12.666666666666666</v>
      </c>
      <c r="AB2326" s="125">
        <f>AA2326*Swiss1</f>
        <v>358.46666666666664</v>
      </c>
      <c r="AC2326" s="143">
        <f>Table1[[#This Row],[Substrate SF]]*Paper</f>
        <v>17.137999999999998</v>
      </c>
      <c r="AD2326" s="48">
        <f>Table1[[#This Row],[Substrate SF]]*Materials!C$37</f>
        <v>35.466666666666661</v>
      </c>
      <c r="AE2326" s="69">
        <f>IF(Table1[[#This Row],[Work Center]]="SwissQ",Materials!G$37,IF(Table1[[#This Row],[Work Center]]="Inca",Materials!G$29,IF(Table1[[#This Row],[Work Center]]="Canon",Materials!G$49,Materials!G$45)))</f>
        <v>20</v>
      </c>
      <c r="AF2326" s="72">
        <f>'Cali Frames'!D128</f>
        <v>113.19000000000001</v>
      </c>
      <c r="AG2326" s="540"/>
      <c r="AH2326" s="498">
        <f t="shared" si="830"/>
        <v>33.75</v>
      </c>
      <c r="AI2326" s="498"/>
      <c r="AJ2326" s="69">
        <f t="shared" si="831"/>
        <v>219.54466666666667</v>
      </c>
      <c r="AK2326" s="650">
        <f t="shared" si="832"/>
        <v>0.67474864197530859</v>
      </c>
      <c r="AL2326" s="225">
        <f>Table1[[#This Row],[WSP/Dealer]]/Table1[[#This Row],[OD Sq Inch]]</f>
        <v>0.5022321428571429</v>
      </c>
      <c r="AM2326" s="218">
        <f>Table1[[#This Row],[OD Wdth]]*Table1[[#This Row],[OD Hgt]]</f>
        <v>1344</v>
      </c>
      <c r="AN2326" s="216">
        <f>Table1[[#This Row],[Min VO]]+Table1[[#This Row],[Max VO]]</f>
        <v>70</v>
      </c>
      <c r="AO2326" s="83"/>
      <c r="AP2326" s="83"/>
      <c r="AQ2326" s="540"/>
      <c r="AR2326" s="540"/>
      <c r="AS2326" s="540"/>
      <c r="AT2326" s="69"/>
      <c r="AU2326" s="1361" t="str">
        <f t="shared" si="813"/>
        <v>-</v>
      </c>
    </row>
    <row r="2327" spans="1:47" s="170" customFormat="1" hidden="1" x14ac:dyDescent="0.2">
      <c r="A2327" s="101"/>
      <c r="B2327" s="1061"/>
      <c r="C2327" s="183" t="s">
        <v>5348</v>
      </c>
      <c r="D2327" s="94"/>
      <c r="E2327" s="327" t="s">
        <v>5349</v>
      </c>
      <c r="F2327" s="154" t="s">
        <v>301</v>
      </c>
      <c r="G2327" s="303" t="s">
        <v>5350</v>
      </c>
      <c r="H2327" s="101"/>
      <c r="I2327" s="92" t="s">
        <v>108</v>
      </c>
      <c r="J2327" s="59" t="s">
        <v>257</v>
      </c>
      <c r="K2327" s="303" t="s">
        <v>258</v>
      </c>
      <c r="L2327" s="101" t="s">
        <v>259</v>
      </c>
      <c r="M2327" s="692">
        <v>275</v>
      </c>
      <c r="N2327" s="71"/>
      <c r="O2327" s="101" t="s">
        <v>260</v>
      </c>
      <c r="P2327" s="60">
        <v>24</v>
      </c>
      <c r="Q2327" s="60">
        <v>32</v>
      </c>
      <c r="R2327" s="60">
        <v>24</v>
      </c>
      <c r="S2327" s="60">
        <v>32</v>
      </c>
      <c r="T2327" s="101">
        <v>26</v>
      </c>
      <c r="U2327" s="101">
        <v>34</v>
      </c>
      <c r="V2327" s="946">
        <f>Table1[[#This Row],[VO Wdth]]+Materials!$C$50</f>
        <v>26</v>
      </c>
      <c r="W2327" s="946">
        <f>Table1[[#This Row],[VO Hgt]]+Materials!$C$50</f>
        <v>34</v>
      </c>
      <c r="X2327" s="137" t="s">
        <v>257</v>
      </c>
      <c r="Y2327" s="101"/>
      <c r="Z2327" s="101"/>
      <c r="AA2327" s="717">
        <f t="shared" si="829"/>
        <v>6.1388888888888893</v>
      </c>
      <c r="AB2327" s="125">
        <f>AA2327*canonML</f>
        <v>29.466666666666669</v>
      </c>
      <c r="AC2327" s="69">
        <f>Table1[[#This Row],[Print Wth]]*paper60</f>
        <v>8.84</v>
      </c>
      <c r="AD2327" s="48">
        <f>Table1[[#This Row],[Ink g/mL]]*CanonC</f>
        <v>7.9560000000000013</v>
      </c>
      <c r="AE2327" s="104">
        <f>IF(Table1[[#This Row],[Work Center]]="SwissQ",Materials!G$37,IF(Table1[[#This Row],[Work Center]]="Inca",Materials!G$29,IF(Table1[[#This Row],[Work Center]]="Canon",Materials!G$49,Materials!G$45)))</f>
        <v>7</v>
      </c>
      <c r="AF2327" s="102">
        <f>'Cali Frames'!D37</f>
        <v>112.05250000000001</v>
      </c>
      <c r="AG2327" s="121"/>
      <c r="AH2327" s="498">
        <f t="shared" si="830"/>
        <v>13.75</v>
      </c>
      <c r="AI2327" s="498"/>
      <c r="AJ2327" s="104">
        <f t="shared" si="831"/>
        <v>149.5985</v>
      </c>
      <c r="AK2327" s="650">
        <f t="shared" si="832"/>
        <v>0.45600545454545455</v>
      </c>
      <c r="AL2327" s="225" t="e">
        <f>Table1[[#This Row],[WSP/Dealer]]/Table1[[#This Row],[OD Sq Inch]]</f>
        <v>#DIV/0!</v>
      </c>
      <c r="AM2327" s="113"/>
      <c r="AN2327" s="216">
        <f>Table1[[#This Row],[Min VO]]+Table1[[#This Row],[Max VO]]</f>
        <v>56</v>
      </c>
      <c r="AO2327" s="115"/>
      <c r="AP2327" s="115"/>
      <c r="AQ2327" s="121"/>
      <c r="AR2327" s="121"/>
      <c r="AS2327" s="121"/>
      <c r="AT2327" s="104"/>
      <c r="AU2327" s="1359" t="str">
        <f t="shared" si="813"/>
        <v>-</v>
      </c>
    </row>
    <row r="2328" spans="1:47" s="170" customFormat="1" hidden="1" x14ac:dyDescent="0.2">
      <c r="A2328" s="101"/>
      <c r="B2328" s="279"/>
      <c r="C2328" s="183" t="s">
        <v>5351</v>
      </c>
      <c r="D2328" s="94"/>
      <c r="E2328" s="327" t="s">
        <v>5349</v>
      </c>
      <c r="F2328" s="154" t="s">
        <v>301</v>
      </c>
      <c r="G2328" s="303" t="s">
        <v>5350</v>
      </c>
      <c r="H2328" s="101"/>
      <c r="I2328" s="92" t="s">
        <v>108</v>
      </c>
      <c r="J2328" s="59" t="s">
        <v>257</v>
      </c>
      <c r="K2328" s="303" t="s">
        <v>258</v>
      </c>
      <c r="L2328" s="101" t="s">
        <v>269</v>
      </c>
      <c r="M2328" s="692">
        <v>300</v>
      </c>
      <c r="N2328" s="71"/>
      <c r="O2328" s="101" t="s">
        <v>260</v>
      </c>
      <c r="P2328" s="60">
        <v>24</v>
      </c>
      <c r="Q2328" s="60">
        <v>32</v>
      </c>
      <c r="R2328" s="60">
        <v>24</v>
      </c>
      <c r="S2328" s="60">
        <v>32</v>
      </c>
      <c r="T2328" s="101">
        <v>26</v>
      </c>
      <c r="U2328" s="101">
        <v>34</v>
      </c>
      <c r="V2328" s="946">
        <f>Table1[[#This Row],[VO Wdth]]+Materials!$C$50</f>
        <v>26</v>
      </c>
      <c r="W2328" s="946">
        <f>Table1[[#This Row],[VO Hgt]]+Materials!$C$50</f>
        <v>34</v>
      </c>
      <c r="X2328" s="137" t="s">
        <v>257</v>
      </c>
      <c r="Y2328" s="101"/>
      <c r="Z2328" s="101"/>
      <c r="AA2328" s="717">
        <f t="shared" si="829"/>
        <v>6.1388888888888893</v>
      </c>
      <c r="AB2328" s="125">
        <f>AA2328*canonML</f>
        <v>29.466666666666669</v>
      </c>
      <c r="AC2328" s="69">
        <f>Table1[[#This Row],[Print Wth]]*paper60</f>
        <v>8.84</v>
      </c>
      <c r="AD2328" s="48">
        <f>Table1[[#This Row],[Ink g/mL]]*CanonC</f>
        <v>7.9560000000000013</v>
      </c>
      <c r="AE2328" s="104">
        <f>IF(Table1[[#This Row],[Work Center]]="SwissQ",Materials!G$37,IF(Table1[[#This Row],[Work Center]]="Inca",Materials!G$29,IF(Table1[[#This Row],[Work Center]]="Canon",Materials!G$49,Materials!G$45)))</f>
        <v>7</v>
      </c>
      <c r="AF2328" s="102">
        <f>'Cali Frames'!D62</f>
        <v>99.592500000000001</v>
      </c>
      <c r="AG2328" s="121"/>
      <c r="AH2328" s="498">
        <f t="shared" si="830"/>
        <v>15</v>
      </c>
      <c r="AI2328" s="498"/>
      <c r="AJ2328" s="104">
        <f t="shared" si="831"/>
        <v>138.38849999999999</v>
      </c>
      <c r="AK2328" s="650">
        <f t="shared" si="832"/>
        <v>0.53870499999999999</v>
      </c>
      <c r="AL2328" s="225" t="e">
        <f>Table1[[#This Row],[WSP/Dealer]]/Table1[[#This Row],[OD Sq Inch]]</f>
        <v>#DIV/0!</v>
      </c>
      <c r="AM2328" s="113"/>
      <c r="AN2328" s="216">
        <f>Table1[[#This Row],[Min VO]]+Table1[[#This Row],[Max VO]]</f>
        <v>56</v>
      </c>
      <c r="AO2328" s="115"/>
      <c r="AP2328" s="115"/>
      <c r="AQ2328" s="121"/>
      <c r="AR2328" s="121"/>
      <c r="AS2328" s="121"/>
      <c r="AT2328" s="104"/>
      <c r="AU2328" s="1359" t="str">
        <f t="shared" si="813"/>
        <v>-</v>
      </c>
    </row>
    <row r="2329" spans="1:47" s="170" customFormat="1" hidden="1" x14ac:dyDescent="0.2">
      <c r="A2329" s="101" t="s">
        <v>101</v>
      </c>
      <c r="B2329" s="1067" t="s">
        <v>111</v>
      </c>
      <c r="C2329" s="1336" t="s">
        <v>5352</v>
      </c>
      <c r="D2329" s="168"/>
      <c r="E2329" s="327" t="s">
        <v>5353</v>
      </c>
      <c r="F2329" s="115" t="s">
        <v>289</v>
      </c>
      <c r="G2329" s="303" t="s">
        <v>191</v>
      </c>
      <c r="H2329" s="303" t="s">
        <v>5354</v>
      </c>
      <c r="I2329" s="303" t="s">
        <v>256</v>
      </c>
      <c r="J2329" s="487" t="s">
        <v>257</v>
      </c>
      <c r="K2329" s="303" t="s">
        <v>1011</v>
      </c>
      <c r="L2329" s="101" t="s">
        <v>5355</v>
      </c>
      <c r="M2329" s="379">
        <v>1460</v>
      </c>
      <c r="N2329" s="114"/>
      <c r="O2329" s="101" t="s">
        <v>260</v>
      </c>
      <c r="P2329" s="101">
        <v>48</v>
      </c>
      <c r="Q2329" s="101">
        <v>60</v>
      </c>
      <c r="R2329" s="101">
        <v>48</v>
      </c>
      <c r="S2329" s="101">
        <v>60</v>
      </c>
      <c r="T2329" s="103">
        <v>51</v>
      </c>
      <c r="U2329" s="103">
        <v>63</v>
      </c>
      <c r="V2329" s="608">
        <f>IF(J2329="Canvas",P2329+BorderGW,P2329)</f>
        <v>48</v>
      </c>
      <c r="W2329" s="608">
        <f>IF(J2329="Canvas",Q2329+BorderGW,Q2329)</f>
        <v>60</v>
      </c>
      <c r="X2329" s="101" t="s">
        <v>257</v>
      </c>
      <c r="Y2329" s="1490">
        <f>Table1[[#This Row],[Print Wth]]+Materials!$C$7</f>
        <v>50</v>
      </c>
      <c r="Z2329" s="1490">
        <f>Table1[[#This Row],[Print Ht]]+Materials!$C$7</f>
        <v>62</v>
      </c>
      <c r="AA2329" s="903">
        <f>(Table1[[#This Row],[Cut Width]]*Table1[[#This Row],[Cut Height]])/144</f>
        <v>21.527777777777779</v>
      </c>
      <c r="AB2329" s="1168">
        <f>(Table1[[#This Row],[Print Wth]]*Table1[[#This Row],[Print Ht]])/144*canonML</f>
        <v>96</v>
      </c>
      <c r="AC2329" s="863">
        <f>Table1[[#This Row],[Substrate SF]]*Paper</f>
        <v>29.127083333333335</v>
      </c>
      <c r="AD2329" s="862">
        <f>(Table1[[#This Row],[Print Wth]]*Table1[[#This Row],[Print Ht]])/144*CanonC</f>
        <v>5.4</v>
      </c>
      <c r="AE2329" s="863">
        <f>IF(Table1[[#This Row],[Work Center]]="SwissQ",Materials!G$37,IF(Table1[[#This Row],[Work Center]]="Inca",Materials!G$29,IF(Table1[[#This Row],[Work Center]]="Canon",Materials!G$49,Materials!G$45)))</f>
        <v>7</v>
      </c>
      <c r="AF2329" s="102">
        <f>'Cali Frames'!D584</f>
        <v>616</v>
      </c>
      <c r="AG2329" s="121"/>
      <c r="AH2329" s="406">
        <f t="shared" si="830"/>
        <v>73</v>
      </c>
      <c r="AI2329" s="405"/>
      <c r="AJ2329" s="406">
        <f t="shared" si="831"/>
        <v>730.52708333333339</v>
      </c>
      <c r="AK2329" s="1065">
        <f t="shared" si="832"/>
        <v>0.49963898401826479</v>
      </c>
      <c r="AL2329" s="406">
        <f>Table1[[#This Row],[WSP/Dealer]]/Table1[[#This Row],[OD Sq Inch]]</f>
        <v>0.45440398381574854</v>
      </c>
      <c r="AM2329" s="399">
        <f>Table1[[#This Row],[OD Wdth]]*Table1[[#This Row],[OD Hgt]]</f>
        <v>3213</v>
      </c>
      <c r="AN2329" s="400">
        <f>Table1[[#This Row],[Min VO]]+Table1[[#This Row],[Max VO]]</f>
        <v>108</v>
      </c>
      <c r="AO2329" s="115"/>
      <c r="AP2329" s="115"/>
      <c r="AQ2329" s="121"/>
      <c r="AR2329" s="121"/>
      <c r="AS2329" s="121"/>
      <c r="AT2329" s="104"/>
      <c r="AU2329" s="1359" t="str">
        <f t="shared" si="813"/>
        <v>-</v>
      </c>
    </row>
    <row r="2330" spans="1:47" s="399" customFormat="1" hidden="1" x14ac:dyDescent="0.2">
      <c r="A2330" s="101"/>
      <c r="B2330" s="1061"/>
      <c r="C2330" s="183" t="s">
        <v>5356</v>
      </c>
      <c r="D2330" s="94"/>
      <c r="E2330" s="327" t="s">
        <v>5357</v>
      </c>
      <c r="F2330" s="154" t="s">
        <v>301</v>
      </c>
      <c r="G2330" s="303" t="s">
        <v>5350</v>
      </c>
      <c r="H2330" s="303"/>
      <c r="I2330" s="92" t="s">
        <v>108</v>
      </c>
      <c r="J2330" s="59" t="s">
        <v>257</v>
      </c>
      <c r="K2330" s="303" t="s">
        <v>258</v>
      </c>
      <c r="L2330" s="101" t="s">
        <v>259</v>
      </c>
      <c r="M2330" s="692">
        <v>275</v>
      </c>
      <c r="N2330" s="71"/>
      <c r="O2330" s="101" t="s">
        <v>260</v>
      </c>
      <c r="P2330" s="60">
        <v>24</v>
      </c>
      <c r="Q2330" s="60">
        <v>32</v>
      </c>
      <c r="R2330" s="60">
        <v>24</v>
      </c>
      <c r="S2330" s="60">
        <v>32</v>
      </c>
      <c r="T2330" s="101">
        <v>26</v>
      </c>
      <c r="U2330" s="101">
        <v>34</v>
      </c>
      <c r="V2330" s="946">
        <f>Table1[[#This Row],[VO Wdth]]+Materials!$C$50</f>
        <v>26</v>
      </c>
      <c r="W2330" s="946">
        <f>Table1[[#This Row],[VO Hgt]]+Materials!$C$50</f>
        <v>34</v>
      </c>
      <c r="X2330" s="137" t="s">
        <v>257</v>
      </c>
      <c r="Y2330" s="101"/>
      <c r="Z2330" s="101"/>
      <c r="AA2330" s="717">
        <f t="shared" ref="AA2330:AA2351" si="833">V2330*W2330/144</f>
        <v>6.1388888888888893</v>
      </c>
      <c r="AB2330" s="125">
        <f t="shared" ref="AB2330:AB2335" si="834">AA2330*canonML</f>
        <v>29.466666666666669</v>
      </c>
      <c r="AC2330" s="69">
        <f>Table1[[#This Row],[Print Wth]]*paper60</f>
        <v>8.84</v>
      </c>
      <c r="AD2330" s="48">
        <f>Table1[[#This Row],[Ink g/mL]]*CanonC</f>
        <v>7.9560000000000013</v>
      </c>
      <c r="AE2330" s="104">
        <f>IF(Table1[[#This Row],[Work Center]]="SwissQ",Materials!G$37,IF(Table1[[#This Row],[Work Center]]="Inca",Materials!G$29,IF(Table1[[#This Row],[Work Center]]="Canon",Materials!G$49,Materials!G$45)))</f>
        <v>7</v>
      </c>
      <c r="AF2330" s="102">
        <f>'Cali Frames'!D37</f>
        <v>112.05250000000001</v>
      </c>
      <c r="AG2330" s="121"/>
      <c r="AH2330" s="112">
        <f t="shared" si="830"/>
        <v>13.75</v>
      </c>
      <c r="AI2330" s="112"/>
      <c r="AJ2330" s="104">
        <f t="shared" si="831"/>
        <v>149.5985</v>
      </c>
      <c r="AK2330" s="62">
        <f t="shared" si="832"/>
        <v>0.45600545454545455</v>
      </c>
      <c r="AL2330" s="225" t="e">
        <f>Table1[[#This Row],[WSP/Dealer]]/Table1[[#This Row],[OD Sq Inch]]</f>
        <v>#DIV/0!</v>
      </c>
      <c r="AM2330" s="113"/>
      <c r="AN2330" s="216">
        <f>Table1[[#This Row],[Min VO]]+Table1[[#This Row],[Max VO]]</f>
        <v>56</v>
      </c>
      <c r="AO2330" s="115"/>
      <c r="AP2330" s="115"/>
      <c r="AQ2330" s="121"/>
      <c r="AR2330" s="121"/>
      <c r="AS2330" s="121"/>
      <c r="AT2330" s="104"/>
      <c r="AU2330" s="1359" t="str">
        <f t="shared" si="813"/>
        <v>-</v>
      </c>
    </row>
    <row r="2331" spans="1:47" s="170" customFormat="1" hidden="1" x14ac:dyDescent="0.2">
      <c r="A2331" s="101"/>
      <c r="B2331" s="1061"/>
      <c r="C2331" s="183" t="s">
        <v>5358</v>
      </c>
      <c r="D2331" s="94"/>
      <c r="E2331" s="327" t="s">
        <v>5357</v>
      </c>
      <c r="F2331" s="154" t="s">
        <v>301</v>
      </c>
      <c r="G2331" s="303" t="s">
        <v>5350</v>
      </c>
      <c r="H2331" s="101"/>
      <c r="I2331" s="92" t="s">
        <v>108</v>
      </c>
      <c r="J2331" s="59" t="s">
        <v>257</v>
      </c>
      <c r="K2331" s="303" t="s">
        <v>258</v>
      </c>
      <c r="L2331" s="101" t="s">
        <v>269</v>
      </c>
      <c r="M2331" s="692">
        <v>300</v>
      </c>
      <c r="N2331" s="71"/>
      <c r="O2331" s="101" t="s">
        <v>260</v>
      </c>
      <c r="P2331" s="60">
        <v>24</v>
      </c>
      <c r="Q2331" s="60">
        <v>32</v>
      </c>
      <c r="R2331" s="60">
        <v>24</v>
      </c>
      <c r="S2331" s="60">
        <v>32</v>
      </c>
      <c r="T2331" s="101">
        <v>26</v>
      </c>
      <c r="U2331" s="101">
        <v>34</v>
      </c>
      <c r="V2331" s="47">
        <f>Table1[[#This Row],[VO Wdth]]+Materials!$C$50</f>
        <v>26</v>
      </c>
      <c r="W2331" s="47">
        <f>Table1[[#This Row],[VO Hgt]]+Materials!$C$50</f>
        <v>34</v>
      </c>
      <c r="X2331" s="137" t="s">
        <v>257</v>
      </c>
      <c r="Y2331" s="101"/>
      <c r="Z2331" s="101"/>
      <c r="AA2331" s="717">
        <f t="shared" si="833"/>
        <v>6.1388888888888893</v>
      </c>
      <c r="AB2331" s="125">
        <f t="shared" si="834"/>
        <v>29.466666666666669</v>
      </c>
      <c r="AC2331" s="69">
        <f>Table1[[#This Row],[Print Wth]]*paper60</f>
        <v>8.84</v>
      </c>
      <c r="AD2331" s="48">
        <f>Table1[[#This Row],[Ink g/mL]]*CanonC</f>
        <v>7.9560000000000013</v>
      </c>
      <c r="AE2331" s="104">
        <f>IF(Table1[[#This Row],[Work Center]]="SwissQ",Materials!G$37,IF(Table1[[#This Row],[Work Center]]="Inca",Materials!G$29,IF(Table1[[#This Row],[Work Center]]="Canon",Materials!G$49,Materials!G$45)))</f>
        <v>7</v>
      </c>
      <c r="AF2331" s="102">
        <f>'Cali Frames'!D62</f>
        <v>99.592500000000001</v>
      </c>
      <c r="AG2331" s="121"/>
      <c r="AH2331" s="112">
        <f t="shared" si="830"/>
        <v>15</v>
      </c>
      <c r="AI2331" s="112"/>
      <c r="AJ2331" s="104">
        <f t="shared" si="831"/>
        <v>138.38849999999999</v>
      </c>
      <c r="AK2331" s="62">
        <f t="shared" si="832"/>
        <v>0.53870499999999999</v>
      </c>
      <c r="AL2331" s="225" t="e">
        <f>Table1[[#This Row],[WSP/Dealer]]/Table1[[#This Row],[OD Sq Inch]]</f>
        <v>#DIV/0!</v>
      </c>
      <c r="AM2331" s="113"/>
      <c r="AN2331" s="216">
        <f>Table1[[#This Row],[Min VO]]+Table1[[#This Row],[Max VO]]</f>
        <v>56</v>
      </c>
      <c r="AO2331" s="115"/>
      <c r="AP2331" s="115"/>
      <c r="AQ2331" s="121"/>
      <c r="AR2331" s="121"/>
      <c r="AS2331" s="121"/>
      <c r="AT2331" s="104"/>
      <c r="AU2331" s="1359" t="str">
        <f t="shared" si="813"/>
        <v>-</v>
      </c>
    </row>
    <row r="2332" spans="1:47" s="399" customFormat="1" x14ac:dyDescent="0.2">
      <c r="A2332" s="60" t="s">
        <v>58</v>
      </c>
      <c r="B2332" s="1061" t="s">
        <v>445</v>
      </c>
      <c r="C2332" s="1335" t="s">
        <v>5359</v>
      </c>
      <c r="D2332" s="94"/>
      <c r="E2332" s="378" t="s">
        <v>5360</v>
      </c>
      <c r="F2332" s="83" t="s">
        <v>289</v>
      </c>
      <c r="G2332" s="92" t="s">
        <v>51</v>
      </c>
      <c r="H2332" s="60" t="s">
        <v>362</v>
      </c>
      <c r="I2332" s="92" t="s">
        <v>108</v>
      </c>
      <c r="J2332" s="60" t="s">
        <v>257</v>
      </c>
      <c r="K2332" s="92" t="s">
        <v>258</v>
      </c>
      <c r="L2332" s="60" t="s">
        <v>259</v>
      </c>
      <c r="M2332" s="647">
        <v>375</v>
      </c>
      <c r="N2332" s="639">
        <v>590</v>
      </c>
      <c r="O2332" s="60" t="s">
        <v>260</v>
      </c>
      <c r="P2332" s="60">
        <v>30</v>
      </c>
      <c r="Q2332" s="60">
        <v>40</v>
      </c>
      <c r="R2332" s="60">
        <v>30</v>
      </c>
      <c r="S2332" s="60">
        <v>40</v>
      </c>
      <c r="T2332" s="60">
        <v>32</v>
      </c>
      <c r="U2332" s="60">
        <v>42</v>
      </c>
      <c r="V2332" s="946">
        <f>IF(J2332="Canvas",P2332+BorderGW,P2332)</f>
        <v>30</v>
      </c>
      <c r="W2332" s="946">
        <f>IF(J2332="Canvas",Q2332+BorderGW,Q2332)</f>
        <v>40</v>
      </c>
      <c r="X2332" s="138">
        <v>44</v>
      </c>
      <c r="Y2332" s="60">
        <v>30</v>
      </c>
      <c r="Z2332" s="60">
        <v>40</v>
      </c>
      <c r="AA2332" s="717">
        <f t="shared" si="833"/>
        <v>8.3333333333333339</v>
      </c>
      <c r="AB2332" s="125">
        <f t="shared" si="834"/>
        <v>40</v>
      </c>
      <c r="AC2332" s="143">
        <f>Table1[[#This Row],[Substrate SF]]*Paper</f>
        <v>11.275</v>
      </c>
      <c r="AD2332" s="69">
        <f>Table1[[#This Row],[Ink g/mL]]*CanonC</f>
        <v>10.8</v>
      </c>
      <c r="AE2332" s="69">
        <f>IF(Table1[[#This Row],[Work Center]]="SwissQ",Materials!G$37,IF(Table1[[#This Row],[Work Center]]="Inca",Materials!G$29,IF(Table1[[#This Row],[Work Center]]="Canon",Materials!G$49,Materials!G$45)))</f>
        <v>7</v>
      </c>
      <c r="AF2332" s="72">
        <f>'Cali Frames'!D41</f>
        <v>125.58000000000001</v>
      </c>
      <c r="AG2332" s="540"/>
      <c r="AH2332" s="498">
        <f t="shared" si="830"/>
        <v>18.75</v>
      </c>
      <c r="AI2332" s="498"/>
      <c r="AJ2332" s="69">
        <f t="shared" si="831"/>
        <v>173.40500000000003</v>
      </c>
      <c r="AK2332" s="650">
        <f t="shared" si="832"/>
        <v>0.53758666666666655</v>
      </c>
      <c r="AL2332" s="225">
        <f>Table1[[#This Row],[WSP/Dealer]]/Table1[[#This Row],[OD Sq Inch]]</f>
        <v>0.27901785714285715</v>
      </c>
      <c r="AM2332" s="216">
        <f>Table1[[#This Row],[OD Wdth]]*Table1[[#This Row],[OD Hgt]]</f>
        <v>1344</v>
      </c>
      <c r="AN2332" s="216">
        <f>Table1[[#This Row],[Min VO]]+Table1[[#This Row],[Max VO]]</f>
        <v>70</v>
      </c>
      <c r="AO2332" s="83"/>
      <c r="AP2332" s="83"/>
      <c r="AQ2332" s="540"/>
      <c r="AR2332" s="540"/>
      <c r="AS2332" s="540"/>
      <c r="AT2332" s="69"/>
      <c r="AU2332" s="1361" t="str">
        <f t="shared" si="813"/>
        <v>-</v>
      </c>
    </row>
    <row r="2333" spans="1:47" s="399" customFormat="1" hidden="1" x14ac:dyDescent="0.2">
      <c r="A2333" s="101" t="s">
        <v>110</v>
      </c>
      <c r="B2333" s="1062" t="s">
        <v>292</v>
      </c>
      <c r="C2333" s="1336" t="s">
        <v>5359</v>
      </c>
      <c r="D2333" s="168"/>
      <c r="E2333" s="327" t="s">
        <v>5360</v>
      </c>
      <c r="F2333" s="115" t="s">
        <v>289</v>
      </c>
      <c r="G2333" s="303" t="s">
        <v>51</v>
      </c>
      <c r="H2333" s="101" t="s">
        <v>125</v>
      </c>
      <c r="I2333" s="303" t="s">
        <v>108</v>
      </c>
      <c r="J2333" s="101" t="s">
        <v>257</v>
      </c>
      <c r="K2333" s="1765" t="s">
        <v>5361</v>
      </c>
      <c r="L2333" s="101" t="s">
        <v>259</v>
      </c>
      <c r="M2333" s="692">
        <v>1400</v>
      </c>
      <c r="N2333" s="102"/>
      <c r="O2333" s="101" t="s">
        <v>260</v>
      </c>
      <c r="P2333" s="101">
        <v>30</v>
      </c>
      <c r="Q2333" s="101">
        <v>40</v>
      </c>
      <c r="R2333" s="101">
        <v>30</v>
      </c>
      <c r="S2333" s="101">
        <v>40</v>
      </c>
      <c r="T2333" s="101">
        <v>42</v>
      </c>
      <c r="U2333" s="101">
        <v>52</v>
      </c>
      <c r="V2333" s="608">
        <f>IF(J2333="Canvas",P2333+Border,P2333)</f>
        <v>30</v>
      </c>
      <c r="W2333" s="608">
        <f>IF(J2333="Canvas",Q2333+Border,Q2333)</f>
        <v>40</v>
      </c>
      <c r="X2333" s="137" t="s">
        <v>257</v>
      </c>
      <c r="Y2333" s="101">
        <v>30</v>
      </c>
      <c r="Z2333" s="101">
        <v>40</v>
      </c>
      <c r="AA2333" s="649">
        <f t="shared" si="833"/>
        <v>8.3333333333333339</v>
      </c>
      <c r="AB2333" s="184">
        <f t="shared" si="834"/>
        <v>40</v>
      </c>
      <c r="AC2333" s="606">
        <f>Table1[[#This Row],[Substrate SF]]*Paper</f>
        <v>11.275</v>
      </c>
      <c r="AD2333" s="107">
        <f>Table1[[#This Row],[Ink g/mL]]*CanonC</f>
        <v>10.8</v>
      </c>
      <c r="AE2333" s="104">
        <f>IF(Table1[[#This Row],[Work Center]]="SwissQ",Materials!G$37,IF(Table1[[#This Row],[Work Center]]="Inca",Materials!G$29,IF(Table1[[#This Row],[Work Center]]="Canon",Materials!G$49,Materials!G$45)))</f>
        <v>7</v>
      </c>
      <c r="AF2333" s="102">
        <f>'Cali Frames'!D581</f>
        <v>395.94</v>
      </c>
      <c r="AG2333" s="121"/>
      <c r="AH2333" s="104">
        <f t="shared" si="830"/>
        <v>70</v>
      </c>
      <c r="AI2333" s="406">
        <f>IF(A2333="Codarus",(M2333*0.13))</f>
        <v>182</v>
      </c>
      <c r="AJ2333" s="104">
        <f>SUM(AC2333:AI2333)</f>
        <v>677.01499999999999</v>
      </c>
      <c r="AK2333" s="830">
        <f t="shared" si="832"/>
        <v>0.51641785714285715</v>
      </c>
      <c r="AL2333" s="660">
        <f>Table1[[#This Row],[WSP/Dealer]]/Table1[[#This Row],[OD Sq Inch]]</f>
        <v>0.64102564102564108</v>
      </c>
      <c r="AM2333" s="229">
        <f>Table1[[#This Row],[OD Wdth]]*Table1[[#This Row],[OD Hgt]]</f>
        <v>2184</v>
      </c>
      <c r="AN2333" s="266">
        <f>Table1[[#This Row],[Min VO]]+Table1[[#This Row],[Max VO]]</f>
        <v>70</v>
      </c>
      <c r="AO2333" s="115"/>
      <c r="AP2333" s="121">
        <v>2800</v>
      </c>
      <c r="AQ2333" s="121">
        <f>(Table1[[#This Row],[Desgnr/Retail P]]*0.05)</f>
        <v>140</v>
      </c>
      <c r="AR2333" s="121">
        <f>IF(A2333="Codarus",(AP2333*0.13))</f>
        <v>364</v>
      </c>
      <c r="AS2333" s="121">
        <f>SUM(Table1[[#This Row],[Substrate $]:[GP FINISH]])+Table1[[#This Row],[Retail Royalty]]+Table1[[#This Row],[Retail$Comm]]</f>
        <v>929.01499999999999</v>
      </c>
      <c r="AT2333" s="830">
        <f>IF(AP2333=0,"-",(AP2333-AS2333)/AP2333)</f>
        <v>0.66820892857142866</v>
      </c>
      <c r="AU2333" s="1359">
        <f t="shared" si="813"/>
        <v>0.99522707908163266</v>
      </c>
    </row>
    <row r="2334" spans="1:47" s="399" customFormat="1" x14ac:dyDescent="0.2">
      <c r="A2334" s="60" t="s">
        <v>58</v>
      </c>
      <c r="B2334" s="279" t="s">
        <v>445</v>
      </c>
      <c r="C2334" s="1335" t="s">
        <v>5362</v>
      </c>
      <c r="D2334" s="94"/>
      <c r="E2334" s="378" t="s">
        <v>5363</v>
      </c>
      <c r="F2334" s="83" t="s">
        <v>289</v>
      </c>
      <c r="G2334" s="92" t="s">
        <v>51</v>
      </c>
      <c r="H2334" s="60" t="s">
        <v>362</v>
      </c>
      <c r="I2334" s="92" t="s">
        <v>108</v>
      </c>
      <c r="J2334" s="60" t="s">
        <v>257</v>
      </c>
      <c r="K2334" s="92" t="s">
        <v>258</v>
      </c>
      <c r="L2334" s="60" t="s">
        <v>259</v>
      </c>
      <c r="M2334" s="179">
        <v>375</v>
      </c>
      <c r="N2334" s="639">
        <v>590</v>
      </c>
      <c r="O2334" s="60" t="s">
        <v>260</v>
      </c>
      <c r="P2334" s="60">
        <v>30</v>
      </c>
      <c r="Q2334" s="60">
        <v>40</v>
      </c>
      <c r="R2334" s="60">
        <v>30</v>
      </c>
      <c r="S2334" s="60">
        <v>40</v>
      </c>
      <c r="T2334" s="60">
        <v>32</v>
      </c>
      <c r="U2334" s="60">
        <v>42</v>
      </c>
      <c r="V2334" s="47">
        <f>IF(J2334="Canvas",P2334+BorderGW,P2334)</f>
        <v>30</v>
      </c>
      <c r="W2334" s="47">
        <f>IF(J2334="Canvas",Q2334+BorderGW,Q2334)</f>
        <v>40</v>
      </c>
      <c r="X2334" s="138">
        <v>44</v>
      </c>
      <c r="Y2334" s="60">
        <v>30</v>
      </c>
      <c r="Z2334" s="60">
        <v>40</v>
      </c>
      <c r="AA2334" s="717">
        <f t="shared" si="833"/>
        <v>8.3333333333333339</v>
      </c>
      <c r="AB2334" s="125">
        <f t="shared" si="834"/>
        <v>40</v>
      </c>
      <c r="AC2334" s="143">
        <f>Table1[[#This Row],[Substrate SF]]*Paper</f>
        <v>11.275</v>
      </c>
      <c r="AD2334" s="48">
        <f>Table1[[#This Row],[Ink g/mL]]*CanonC</f>
        <v>10.8</v>
      </c>
      <c r="AE2334" s="69">
        <f>IF(Table1[[#This Row],[Work Center]]="SwissQ",Materials!G$37,IF(Table1[[#This Row],[Work Center]]="Inca",Materials!G$29,IF(Table1[[#This Row],[Work Center]]="Canon",Materials!G$49,Materials!G$45)))</f>
        <v>7</v>
      </c>
      <c r="AF2334" s="72">
        <f>'Cali Frames'!D41</f>
        <v>125.58000000000001</v>
      </c>
      <c r="AG2334" s="540"/>
      <c r="AH2334" s="498">
        <f t="shared" si="830"/>
        <v>18.75</v>
      </c>
      <c r="AI2334" s="498"/>
      <c r="AJ2334" s="69">
        <f>SUM(AC2334:AH2334)</f>
        <v>173.40500000000003</v>
      </c>
      <c r="AK2334" s="650">
        <f t="shared" si="832"/>
        <v>0.53758666666666655</v>
      </c>
      <c r="AL2334" s="225">
        <f>Table1[[#This Row],[WSP/Dealer]]/Table1[[#This Row],[OD Sq Inch]]</f>
        <v>0.27901785714285715</v>
      </c>
      <c r="AM2334" s="218">
        <f>Table1[[#This Row],[OD Wdth]]*Table1[[#This Row],[OD Hgt]]</f>
        <v>1344</v>
      </c>
      <c r="AN2334" s="216">
        <f>Table1[[#This Row],[Min VO]]+Table1[[#This Row],[Max VO]]</f>
        <v>70</v>
      </c>
      <c r="AO2334" s="83"/>
      <c r="AP2334" s="83"/>
      <c r="AQ2334" s="540"/>
      <c r="AR2334" s="540"/>
      <c r="AS2334" s="540"/>
      <c r="AT2334" s="69"/>
      <c r="AU2334" s="1361" t="str">
        <f t="shared" si="813"/>
        <v>-</v>
      </c>
    </row>
    <row r="2335" spans="1:47" s="173" customFormat="1" hidden="1" x14ac:dyDescent="0.2">
      <c r="A2335" s="101" t="s">
        <v>110</v>
      </c>
      <c r="B2335" s="1062" t="s">
        <v>292</v>
      </c>
      <c r="C2335" s="1336" t="s">
        <v>5362</v>
      </c>
      <c r="D2335" s="168"/>
      <c r="E2335" s="327" t="s">
        <v>5363</v>
      </c>
      <c r="F2335" s="115" t="s">
        <v>289</v>
      </c>
      <c r="G2335" s="303" t="s">
        <v>51</v>
      </c>
      <c r="H2335" s="101" t="s">
        <v>125</v>
      </c>
      <c r="I2335" s="303" t="s">
        <v>108</v>
      </c>
      <c r="J2335" s="101" t="s">
        <v>257</v>
      </c>
      <c r="K2335" s="1765" t="s">
        <v>5361</v>
      </c>
      <c r="L2335" s="101" t="s">
        <v>259</v>
      </c>
      <c r="M2335" s="692">
        <v>1400</v>
      </c>
      <c r="N2335" s="102"/>
      <c r="O2335" s="101" t="s">
        <v>260</v>
      </c>
      <c r="P2335" s="101">
        <v>30</v>
      </c>
      <c r="Q2335" s="101">
        <v>40</v>
      </c>
      <c r="R2335" s="101">
        <v>30</v>
      </c>
      <c r="S2335" s="101">
        <v>40</v>
      </c>
      <c r="T2335" s="101">
        <v>42</v>
      </c>
      <c r="U2335" s="101">
        <v>52</v>
      </c>
      <c r="V2335" s="608">
        <f>IF(J2335="Canvas",P2335+Border,P2335)</f>
        <v>30</v>
      </c>
      <c r="W2335" s="608">
        <f>IF(J2335="Canvas",Q2335+Border,Q2335)</f>
        <v>40</v>
      </c>
      <c r="X2335" s="137" t="s">
        <v>257</v>
      </c>
      <c r="Y2335" s="101">
        <v>30</v>
      </c>
      <c r="Z2335" s="101">
        <v>40</v>
      </c>
      <c r="AA2335" s="649">
        <f t="shared" si="833"/>
        <v>8.3333333333333339</v>
      </c>
      <c r="AB2335" s="184">
        <f t="shared" si="834"/>
        <v>40</v>
      </c>
      <c r="AC2335" s="606">
        <f>Table1[[#This Row],[Substrate SF]]*Paper</f>
        <v>11.275</v>
      </c>
      <c r="AD2335" s="107">
        <f>Table1[[#This Row],[Ink g/mL]]*CanonC</f>
        <v>10.8</v>
      </c>
      <c r="AE2335" s="104">
        <f>IF(Table1[[#This Row],[Work Center]]="SwissQ",Materials!G$37,IF(Table1[[#This Row],[Work Center]]="Inca",Materials!G$29,IF(Table1[[#This Row],[Work Center]]="Canon",Materials!G$49,Materials!G$45)))</f>
        <v>7</v>
      </c>
      <c r="AF2335" s="102">
        <f>'Cali Frames'!D581</f>
        <v>395.94</v>
      </c>
      <c r="AG2335" s="121"/>
      <c r="AH2335" s="107">
        <f t="shared" si="830"/>
        <v>70</v>
      </c>
      <c r="AI2335" s="405">
        <f>IF(A2335="Codarus",(M2335*0.13))</f>
        <v>182</v>
      </c>
      <c r="AJ2335" s="104">
        <f>SUM(AC2335:AI2335)</f>
        <v>677.01499999999999</v>
      </c>
      <c r="AK2335" s="108">
        <f t="shared" si="832"/>
        <v>0.51641785714285715</v>
      </c>
      <c r="AL2335" s="660">
        <f>Table1[[#This Row],[WSP/Dealer]]/Table1[[#This Row],[OD Sq Inch]]</f>
        <v>0.64102564102564108</v>
      </c>
      <c r="AM2335" s="229">
        <f>Table1[[#This Row],[OD Wdth]]*Table1[[#This Row],[OD Hgt]]</f>
        <v>2184</v>
      </c>
      <c r="AN2335" s="266">
        <f>Table1[[#This Row],[Min VO]]+Table1[[#This Row],[Max VO]]</f>
        <v>70</v>
      </c>
      <c r="AO2335" s="115"/>
      <c r="AP2335" s="121">
        <v>2800</v>
      </c>
      <c r="AQ2335" s="121">
        <f>(Table1[[#This Row],[Desgnr/Retail P]]*0.05)</f>
        <v>140</v>
      </c>
      <c r="AR2335" s="121">
        <f>IF(A2335="Codarus",(AP2335*0.13))</f>
        <v>364</v>
      </c>
      <c r="AS2335" s="121">
        <f>SUM(Table1[[#This Row],[Substrate $]:[GP FINISH]])+Table1[[#This Row],[Retail Royalty]]+Table1[[#This Row],[Retail$Comm]]</f>
        <v>929.01499999999999</v>
      </c>
      <c r="AT2335" s="830">
        <f>IF(AP2335=0,"-",(AP2335-AS2335)/AP2335)</f>
        <v>0.66820892857142866</v>
      </c>
      <c r="AU2335" s="1359">
        <f t="shared" si="813"/>
        <v>0.99522707908163266</v>
      </c>
    </row>
    <row r="2336" spans="1:47" s="173" customFormat="1" hidden="1" x14ac:dyDescent="0.2">
      <c r="A2336" s="374" t="s">
        <v>187</v>
      </c>
      <c r="B2336" s="1061" t="s">
        <v>734</v>
      </c>
      <c r="C2336" s="1675" t="s">
        <v>5364</v>
      </c>
      <c r="D2336" s="94"/>
      <c r="E2336" s="1633" t="s">
        <v>5365</v>
      </c>
      <c r="F2336" s="375" t="s">
        <v>585</v>
      </c>
      <c r="G2336" s="457" t="s">
        <v>3418</v>
      </c>
      <c r="H2336" s="274" t="s">
        <v>3418</v>
      </c>
      <c r="I2336" s="457" t="s">
        <v>52</v>
      </c>
      <c r="J2336" s="344" t="s">
        <v>280</v>
      </c>
      <c r="K2336" s="457" t="s">
        <v>5366</v>
      </c>
      <c r="L2336" s="274" t="s">
        <v>282</v>
      </c>
      <c r="M2336" s="556">
        <v>2390</v>
      </c>
      <c r="N2336" s="71"/>
      <c r="O2336" s="274" t="s">
        <v>64</v>
      </c>
      <c r="P2336" s="274">
        <v>33</v>
      </c>
      <c r="Q2336" s="274">
        <v>42</v>
      </c>
      <c r="R2336" s="274">
        <v>33</v>
      </c>
      <c r="S2336" s="274">
        <v>42</v>
      </c>
      <c r="T2336" s="274">
        <v>33</v>
      </c>
      <c r="U2336" s="274">
        <v>42</v>
      </c>
      <c r="V2336" s="277">
        <v>33</v>
      </c>
      <c r="W2336" s="277">
        <v>42</v>
      </c>
      <c r="X2336" s="343" t="s">
        <v>283</v>
      </c>
      <c r="Y2336" s="274"/>
      <c r="Z2336" s="274"/>
      <c r="AA2336" s="727">
        <f t="shared" si="833"/>
        <v>9.625</v>
      </c>
      <c r="AB2336" s="341">
        <f>AA2336*Swiss1</f>
        <v>272.38749999999999</v>
      </c>
      <c r="AC2336" s="278">
        <f>MDFSHEET*0.5</f>
        <v>12.175000000000001</v>
      </c>
      <c r="AD2336" s="263">
        <f>Table1[[#This Row],[Substrate SF]]*Materials!C$37</f>
        <v>26.95</v>
      </c>
      <c r="AE2336" s="74">
        <f>IF(Table1[[#This Row],[Work Center]]="SwissQ",Materials!G$37,IF(Table1[[#This Row],[Work Center]]="Inca",Materials!G$29,IF(Table1[[#This Row],[Work Center]]="Canon",Materials!G$49,Materials!G$45)))</f>
        <v>20</v>
      </c>
      <c r="AF2336" s="321">
        <f>'Cali Frames'!D544</f>
        <v>140.76999999999998</v>
      </c>
      <c r="AG2336" s="320"/>
      <c r="AH2336" s="498">
        <f t="shared" si="830"/>
        <v>119.5</v>
      </c>
      <c r="AI2336" s="498"/>
      <c r="AJ2336" s="278">
        <f t="shared" ref="AJ2336:AJ2374" si="835">SUM(AC2336:AH2336)</f>
        <v>319.39499999999998</v>
      </c>
      <c r="AK2336" s="650">
        <f t="shared" si="832"/>
        <v>0.86636192468619244</v>
      </c>
      <c r="AL2336" s="225">
        <f>Table1[[#This Row],[WSP/Dealer]]/Table1[[#This Row],[OD Sq Inch]]</f>
        <v>1.7243867243867244</v>
      </c>
      <c r="AM2336" s="170">
        <f>Table1[[#This Row],[OD Wdth]]*Table1[[#This Row],[OD Hgt]]</f>
        <v>1386</v>
      </c>
      <c r="AN2336" s="238">
        <f>Table1[[#This Row],[Min VO]]+Table1[[#This Row],[Max VO]]</f>
        <v>75</v>
      </c>
      <c r="AO2336" s="275"/>
      <c r="AP2336" s="275"/>
      <c r="AQ2336" s="320"/>
      <c r="AR2336" s="320"/>
      <c r="AS2336" s="320"/>
      <c r="AT2336" s="278"/>
      <c r="AU2336" s="1368" t="str">
        <f t="shared" si="813"/>
        <v>-</v>
      </c>
    </row>
    <row r="2337" spans="1:47" s="173" customFormat="1" x14ac:dyDescent="0.2">
      <c r="A2337" s="180" t="s">
        <v>58</v>
      </c>
      <c r="B2337" s="1061" t="s">
        <v>587</v>
      </c>
      <c r="C2337" s="1631" t="s">
        <v>5367</v>
      </c>
      <c r="D2337" s="94"/>
      <c r="E2337" s="1706" t="s">
        <v>5365</v>
      </c>
      <c r="F2337" s="291" t="s">
        <v>585</v>
      </c>
      <c r="G2337" s="554" t="s">
        <v>3418</v>
      </c>
      <c r="H2337" s="180" t="s">
        <v>3418</v>
      </c>
      <c r="I2337" s="554" t="s">
        <v>52</v>
      </c>
      <c r="J2337" s="310" t="s">
        <v>280</v>
      </c>
      <c r="K2337" s="554" t="s">
        <v>281</v>
      </c>
      <c r="L2337" s="180" t="s">
        <v>282</v>
      </c>
      <c r="M2337" s="648">
        <v>700</v>
      </c>
      <c r="N2337" s="639">
        <v>715</v>
      </c>
      <c r="O2337" s="180" t="s">
        <v>64</v>
      </c>
      <c r="P2337" s="180">
        <v>33</v>
      </c>
      <c r="Q2337" s="180">
        <v>42</v>
      </c>
      <c r="R2337" s="180">
        <v>33</v>
      </c>
      <c r="S2337" s="180">
        <v>42</v>
      </c>
      <c r="T2337" s="180">
        <v>33</v>
      </c>
      <c r="U2337" s="180">
        <v>42</v>
      </c>
      <c r="V2337" s="947">
        <v>33</v>
      </c>
      <c r="W2337" s="947">
        <v>42</v>
      </c>
      <c r="X2337" s="289" t="s">
        <v>283</v>
      </c>
      <c r="Y2337" s="180"/>
      <c r="Z2337" s="180"/>
      <c r="AA2337" s="678">
        <f t="shared" si="833"/>
        <v>9.625</v>
      </c>
      <c r="AB2337" s="329">
        <f>AA2337*Swiss1</f>
        <v>272.38749999999999</v>
      </c>
      <c r="AC2337" s="176">
        <f>MDFSHEET*0.5</f>
        <v>12.175000000000001</v>
      </c>
      <c r="AD2337" s="175">
        <f>Table1[[#This Row],[Substrate SF]]*Materials!C$37</f>
        <v>26.95</v>
      </c>
      <c r="AE2337" s="104">
        <f>IF(Table1[[#This Row],[Work Center]]="SwissQ",Materials!G$37,IF(Table1[[#This Row],[Work Center]]="Inca",Materials!G$29,IF(Table1[[#This Row],[Work Center]]="Canon",Materials!G$49,Materials!G$45)))</f>
        <v>20</v>
      </c>
      <c r="AF2337" s="290">
        <f>'Cali Frames'!D543</f>
        <v>140.61249999999998</v>
      </c>
      <c r="AG2337" s="296"/>
      <c r="AH2337" s="498">
        <f t="shared" si="830"/>
        <v>35</v>
      </c>
      <c r="AI2337" s="498"/>
      <c r="AJ2337" s="176">
        <f t="shared" si="835"/>
        <v>234.73749999999998</v>
      </c>
      <c r="AK2337" s="650">
        <f t="shared" si="832"/>
        <v>0.66466071428571438</v>
      </c>
      <c r="AL2337" s="225">
        <f>Table1[[#This Row],[WSP/Dealer]]/Table1[[#This Row],[OD Sq Inch]]</f>
        <v>0.50505050505050508</v>
      </c>
      <c r="AM2337" s="173">
        <f>Table1[[#This Row],[OD Wdth]]*Table1[[#This Row],[OD Hgt]]</f>
        <v>1386</v>
      </c>
      <c r="AN2337" s="216">
        <f>Table1[[#This Row],[Min VO]]+Table1[[#This Row],[Max VO]]</f>
        <v>75</v>
      </c>
      <c r="AO2337" s="284"/>
      <c r="AP2337" s="284"/>
      <c r="AQ2337" s="296"/>
      <c r="AR2337" s="296"/>
      <c r="AS2337" s="296"/>
      <c r="AT2337" s="176"/>
      <c r="AU2337" s="1358" t="str">
        <f t="shared" si="813"/>
        <v>-</v>
      </c>
    </row>
    <row r="2338" spans="1:47" s="173" customFormat="1" hidden="1" x14ac:dyDescent="0.2">
      <c r="A2338" s="437" t="s">
        <v>187</v>
      </c>
      <c r="B2338" s="1061" t="s">
        <v>734</v>
      </c>
      <c r="C2338" s="1679" t="s">
        <v>5368</v>
      </c>
      <c r="D2338" s="94"/>
      <c r="E2338" s="1679" t="s">
        <v>5369</v>
      </c>
      <c r="F2338" s="375" t="s">
        <v>585</v>
      </c>
      <c r="G2338" s="457" t="s">
        <v>3418</v>
      </c>
      <c r="H2338" s="274" t="s">
        <v>3418</v>
      </c>
      <c r="I2338" s="457" t="s">
        <v>108</v>
      </c>
      <c r="J2338" s="68" t="s">
        <v>197</v>
      </c>
      <c r="K2338" s="457" t="s">
        <v>198</v>
      </c>
      <c r="L2338" s="274" t="s">
        <v>199</v>
      </c>
      <c r="M2338" s="1565">
        <v>60</v>
      </c>
      <c r="N2338" s="71"/>
      <c r="O2338" s="68" t="s">
        <v>64</v>
      </c>
      <c r="P2338" s="274">
        <v>33</v>
      </c>
      <c r="Q2338" s="274">
        <v>42</v>
      </c>
      <c r="R2338" s="274">
        <v>33</v>
      </c>
      <c r="S2338" s="274">
        <v>42</v>
      </c>
      <c r="T2338" s="274">
        <v>33</v>
      </c>
      <c r="U2338" s="274">
        <v>42</v>
      </c>
      <c r="V2338" s="686">
        <f>Table1[[#This Row],[VO Wdth]]+Materials!$C$7</f>
        <v>35</v>
      </c>
      <c r="W2338" s="686">
        <f>Table1[[#This Row],[VO Hgt]]+Materials!$C$7</f>
        <v>44</v>
      </c>
      <c r="X2338" s="343" t="s">
        <v>197</v>
      </c>
      <c r="Y2338" s="68"/>
      <c r="Z2338" s="68"/>
      <c r="AA2338" s="699">
        <f t="shared" si="833"/>
        <v>10.694444444444445</v>
      </c>
      <c r="AB2338" s="341">
        <f>AA2338*SWISSRML</f>
        <v>21.388888888888889</v>
      </c>
      <c r="AC2338" s="74">
        <f>Table1[[#This Row],[Substrate SF]]*POster</f>
        <v>7.956666666666667</v>
      </c>
      <c r="AD2338" s="263">
        <f>Table1[[#This Row],[Substrate SF]]*SWISSRC</f>
        <v>2.3527777777777779</v>
      </c>
      <c r="AE2338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338" s="73">
        <v>0</v>
      </c>
      <c r="AG2338" s="126">
        <f>Materials!D$76</f>
        <v>10.82</v>
      </c>
      <c r="AH2338" s="498">
        <f t="shared" si="830"/>
        <v>3</v>
      </c>
      <c r="AI2338" s="498"/>
      <c r="AJ2338" s="263">
        <f t="shared" si="835"/>
        <v>34.129444444444445</v>
      </c>
      <c r="AK2338" s="650">
        <f t="shared" si="832"/>
        <v>0.43117592592592591</v>
      </c>
      <c r="AL2338" s="225">
        <f>Table1[[#This Row],[WSP/Dealer]]/Table1[[#This Row],[OD Sq Inch]]</f>
        <v>4.3290043290043288E-2</v>
      </c>
      <c r="AM2338" s="170">
        <f>Table1[[#This Row],[OD Wdth]]*Table1[[#This Row],[OD Hgt]]</f>
        <v>1386</v>
      </c>
      <c r="AN2338" s="84"/>
      <c r="AO2338" s="84"/>
      <c r="AP2338" s="84"/>
      <c r="AQ2338" s="126"/>
      <c r="AR2338" s="126"/>
      <c r="AS2338" s="1146"/>
      <c r="AT2338" s="1147"/>
      <c r="AU2338" s="1357" t="str">
        <f t="shared" si="813"/>
        <v>-</v>
      </c>
    </row>
    <row r="2339" spans="1:47" s="170" customFormat="1" x14ac:dyDescent="0.2">
      <c r="A2339" s="86" t="s">
        <v>58</v>
      </c>
      <c r="B2339" s="279" t="s">
        <v>619</v>
      </c>
      <c r="C2339" s="81" t="s">
        <v>5370</v>
      </c>
      <c r="D2339" s="94" t="s">
        <v>5371</v>
      </c>
      <c r="E2339" s="90" t="s">
        <v>5372</v>
      </c>
      <c r="F2339" s="85" t="s">
        <v>3501</v>
      </c>
      <c r="G2339" s="91" t="s">
        <v>3502</v>
      </c>
      <c r="H2339" s="86" t="s">
        <v>3502</v>
      </c>
      <c r="I2339" s="91" t="s">
        <v>52</v>
      </c>
      <c r="J2339" s="86" t="s">
        <v>53</v>
      </c>
      <c r="K2339" s="91" t="s">
        <v>54</v>
      </c>
      <c r="L2339" s="86" t="s">
        <v>55</v>
      </c>
      <c r="M2339" s="87">
        <v>625</v>
      </c>
      <c r="N2339" s="639">
        <v>675</v>
      </c>
      <c r="O2339" s="101" t="s">
        <v>56</v>
      </c>
      <c r="P2339" s="273">
        <v>56</v>
      </c>
      <c r="Q2339" s="273">
        <v>26</v>
      </c>
      <c r="R2339" s="60">
        <v>26</v>
      </c>
      <c r="S2339" s="273">
        <v>56</v>
      </c>
      <c r="T2339" s="273">
        <f>Table1[[#This Row],[VO Wdth]]</f>
        <v>56</v>
      </c>
      <c r="U2339" s="273">
        <f>Table1[[#This Row],[VO Hgt]]</f>
        <v>26</v>
      </c>
      <c r="V2339" s="608">
        <f t="shared" ref="V2339:V2348" si="836">IF(J2339="Canvas",P2339+BorderGW,P2339)</f>
        <v>64</v>
      </c>
      <c r="W2339" s="608">
        <f t="shared" ref="W2339:W2348" si="837">IF(J2339="Canvas",Q2339+BorderGW,Q2339)</f>
        <v>34</v>
      </c>
      <c r="X2339" s="138">
        <v>40</v>
      </c>
      <c r="Y2339" s="60">
        <v>34</v>
      </c>
      <c r="Z2339" s="60">
        <v>64</v>
      </c>
      <c r="AA2339" s="649">
        <f t="shared" si="833"/>
        <v>15.111111111111111</v>
      </c>
      <c r="AB2339" s="184">
        <f>AA2339*IncaG</f>
        <v>317.93777777777774</v>
      </c>
      <c r="AC2339" s="104">
        <f t="shared" ref="AC2339:AC2349" si="838">AA2339*Canvas</f>
        <v>9.9733333333333327</v>
      </c>
      <c r="AD2339" s="104">
        <f>AA2339*IncaC</f>
        <v>25.435022222222223</v>
      </c>
      <c r="AE2339" s="104">
        <f>IF(Table1[[#This Row],[Work Center]]="SwissQ",Materials!G$37,IF(Table1[[#This Row],[Work Center]]="Inca",Materials!G$29,IF(Table1[[#This Row],[Work Center]]="Canon",Materials!G$49,Materials!G$45)))</f>
        <v>8</v>
      </c>
      <c r="AF2339" s="69">
        <f>'Cali FPS'!C$43</f>
        <v>106.75</v>
      </c>
      <c r="AG2339" s="115"/>
      <c r="AH2339" s="498">
        <f t="shared" si="830"/>
        <v>31.25</v>
      </c>
      <c r="AI2339" s="498"/>
      <c r="AJ2339" s="104">
        <f t="shared" si="835"/>
        <v>181.40835555555554</v>
      </c>
      <c r="AK2339" s="650">
        <f t="shared" si="832"/>
        <v>0.70974663111111114</v>
      </c>
      <c r="AL2339" s="225">
        <f>Table1[[#This Row],[WSP/Dealer]]/Table1[[#This Row],[OD Sq Inch]]</f>
        <v>0.42925824175824173</v>
      </c>
      <c r="AM2339" s="101">
        <f>Table1[[#This Row],[OD Wdth]]*Table1[[#This Row],[OD Hgt]]</f>
        <v>1456</v>
      </c>
      <c r="AN2339" s="216">
        <f>Table1[[#This Row],[Min VO]]+Table1[[#This Row],[Max VO]]</f>
        <v>82</v>
      </c>
      <c r="AO2339" s="101"/>
      <c r="AP2339" s="101"/>
      <c r="AQ2339" s="104"/>
      <c r="AR2339" s="104"/>
      <c r="AS2339" s="104"/>
      <c r="AT2339" s="104"/>
      <c r="AU2339" s="830" t="str">
        <f t="shared" si="813"/>
        <v>-</v>
      </c>
    </row>
    <row r="2340" spans="1:47" s="399" customFormat="1" hidden="1" x14ac:dyDescent="0.2">
      <c r="A2340" s="101" t="s">
        <v>110</v>
      </c>
      <c r="B2340" s="1322" t="s">
        <v>111</v>
      </c>
      <c r="C2340" s="1336" t="s">
        <v>5373</v>
      </c>
      <c r="D2340" s="168"/>
      <c r="E2340" s="327" t="s">
        <v>5374</v>
      </c>
      <c r="F2340" s="115" t="s">
        <v>361</v>
      </c>
      <c r="G2340" s="303" t="s">
        <v>51</v>
      </c>
      <c r="H2340" s="303" t="s">
        <v>51</v>
      </c>
      <c r="I2340" s="303" t="s">
        <v>108</v>
      </c>
      <c r="J2340" s="101" t="s">
        <v>53</v>
      </c>
      <c r="K2340" s="303" t="s">
        <v>54</v>
      </c>
      <c r="L2340" s="101" t="s">
        <v>55</v>
      </c>
      <c r="M2340" s="494">
        <v>400</v>
      </c>
      <c r="N2340" s="102"/>
      <c r="O2340" s="101" t="s">
        <v>56</v>
      </c>
      <c r="P2340" s="101">
        <v>30</v>
      </c>
      <c r="Q2340" s="101">
        <v>40</v>
      </c>
      <c r="R2340" s="101">
        <v>30</v>
      </c>
      <c r="S2340" s="101">
        <v>40</v>
      </c>
      <c r="T2340" s="101">
        <v>30</v>
      </c>
      <c r="U2340" s="101">
        <v>40</v>
      </c>
      <c r="V2340" s="608">
        <f t="shared" si="836"/>
        <v>38</v>
      </c>
      <c r="W2340" s="608">
        <f t="shared" si="837"/>
        <v>48</v>
      </c>
      <c r="X2340" s="137">
        <v>40</v>
      </c>
      <c r="Y2340" s="101">
        <v>38</v>
      </c>
      <c r="Z2340" s="101">
        <v>48</v>
      </c>
      <c r="AA2340" s="649">
        <f t="shared" si="833"/>
        <v>12.666666666666666</v>
      </c>
      <c r="AB2340" s="184">
        <f>AA2340*IncaGR</f>
        <v>12.92</v>
      </c>
      <c r="AC2340" s="104">
        <f t="shared" si="838"/>
        <v>8.36</v>
      </c>
      <c r="AD2340" s="104">
        <f>AA2340*IncaCR</f>
        <v>1.0133333333333332</v>
      </c>
      <c r="AE2340" s="104">
        <f>IF(Table1[[#This Row],[Work Center]]="SwissQ",Materials!G$37,IF(Table1[[#This Row],[Work Center]]="Inca",Materials!G$29,IF(Table1[[#This Row],[Work Center]]="Canon",Materials!G$49,Materials!G$45)))</f>
        <v>8</v>
      </c>
      <c r="AF2340" s="102">
        <f>'Cali FPS'!C48</f>
        <v>76.3</v>
      </c>
      <c r="AG2340" s="121"/>
      <c r="AH2340" s="107">
        <f t="shared" si="830"/>
        <v>20</v>
      </c>
      <c r="AI2340" s="405">
        <f>IF(A2340="Codarus",(M2340*0.13))</f>
        <v>52</v>
      </c>
      <c r="AJ2340" s="406">
        <f t="shared" si="835"/>
        <v>113.67333333333333</v>
      </c>
      <c r="AK2340" s="1068">
        <f t="shared" si="832"/>
        <v>0.71581666666666666</v>
      </c>
      <c r="AL2340" s="406">
        <f>Table1[[#This Row],[WSP/Dealer]]/Table1[[#This Row],[OD Sq Inch]]</f>
        <v>0.33333333333333331</v>
      </c>
      <c r="AM2340" s="400">
        <f>Table1[[#This Row],[OD Wdth]]*Table1[[#This Row],[OD Hgt]]</f>
        <v>1200</v>
      </c>
      <c r="AN2340" s="400">
        <f>Table1[[#This Row],[Min VO]]+Table1[[#This Row],[Max VO]]</f>
        <v>70</v>
      </c>
      <c r="AO2340" s="115"/>
      <c r="AP2340" s="121">
        <v>800</v>
      </c>
      <c r="AQ2340" s="121">
        <f>(Table1[[#This Row],[Desgnr/Retail P]]*0.05)</f>
        <v>40</v>
      </c>
      <c r="AR2340" s="121">
        <f>IF(A2340="Codarus",(AP2340*0.13))</f>
        <v>104</v>
      </c>
      <c r="AS2340" s="121">
        <f>SUM(Table1[[#This Row],[Substrate $]:[GP FINISH]])+Table1[[#This Row],[Retail Royalty]]+Table1[[#This Row],[Retail$Comm]]</f>
        <v>237.67333333333335</v>
      </c>
      <c r="AT2340" s="830">
        <f>IF(AP2340=0,"-",(AP2340-AS2340)/AP2340)</f>
        <v>0.70290833333333325</v>
      </c>
      <c r="AU2340" s="1359">
        <f t="shared" si="813"/>
        <v>0.98242729166666665</v>
      </c>
    </row>
    <row r="2341" spans="1:47" s="170" customFormat="1" x14ac:dyDescent="0.2">
      <c r="A2341" s="551" t="s">
        <v>58</v>
      </c>
      <c r="B2341" s="1150" t="s">
        <v>59</v>
      </c>
      <c r="C2341" s="183" t="s">
        <v>5375</v>
      </c>
      <c r="D2341" s="77"/>
      <c r="E2341" s="804" t="s">
        <v>5376</v>
      </c>
      <c r="F2341" s="653" t="s">
        <v>50</v>
      </c>
      <c r="G2341" s="885" t="s">
        <v>51</v>
      </c>
      <c r="H2341" s="885" t="s">
        <v>51</v>
      </c>
      <c r="I2341" s="885" t="s">
        <v>52</v>
      </c>
      <c r="J2341" s="856" t="s">
        <v>53</v>
      </c>
      <c r="K2341" s="885" t="s">
        <v>54</v>
      </c>
      <c r="L2341" s="551" t="s">
        <v>55</v>
      </c>
      <c r="M2341" s="1566">
        <v>475</v>
      </c>
      <c r="N2341" s="896"/>
      <c r="O2341" s="551" t="s">
        <v>56</v>
      </c>
      <c r="P2341" s="551">
        <v>30</v>
      </c>
      <c r="Q2341" s="551">
        <v>40</v>
      </c>
      <c r="R2341" s="551">
        <v>30</v>
      </c>
      <c r="S2341" s="551">
        <v>40</v>
      </c>
      <c r="T2341" s="551">
        <v>30</v>
      </c>
      <c r="U2341" s="551">
        <v>40</v>
      </c>
      <c r="V2341" s="881">
        <f t="shared" si="836"/>
        <v>38</v>
      </c>
      <c r="W2341" s="881">
        <f t="shared" si="837"/>
        <v>48</v>
      </c>
      <c r="X2341" s="551">
        <v>40</v>
      </c>
      <c r="Y2341" s="551">
        <v>38</v>
      </c>
      <c r="Z2341" s="551">
        <v>48</v>
      </c>
      <c r="AA2341" s="860">
        <f t="shared" si="833"/>
        <v>12.666666666666666</v>
      </c>
      <c r="AB2341" s="861">
        <f t="shared" ref="AB2341:AB2348" si="839">AA2341*IncaG</f>
        <v>266.50666666666666</v>
      </c>
      <c r="AC2341" s="863">
        <f t="shared" si="838"/>
        <v>8.36</v>
      </c>
      <c r="AD2341" s="862">
        <f t="shared" ref="AD2341:AD2348" si="840">AA2341*IncaC</f>
        <v>21.320533333333334</v>
      </c>
      <c r="AE2341" s="863">
        <f>IF(Table1[[#This Row],[Work Center]]="SwissQ",Materials!G$37,IF(Table1[[#This Row],[Work Center]]="Inca",Materials!G$29,IF(Table1[[#This Row],[Work Center]]="Canon",Materials!G$49,Materials!G$45)))</f>
        <v>8</v>
      </c>
      <c r="AF2341" s="71">
        <f>'Cali FPS'!C48</f>
        <v>76.3</v>
      </c>
      <c r="AG2341" s="864"/>
      <c r="AH2341" s="863">
        <f t="shared" si="830"/>
        <v>23.75</v>
      </c>
      <c r="AI2341" s="863"/>
      <c r="AJ2341" s="867">
        <f t="shared" si="835"/>
        <v>137.73053333333331</v>
      </c>
      <c r="AK2341" s="1163">
        <f t="shared" si="832"/>
        <v>0.71004098245614045</v>
      </c>
      <c r="AL2341" s="895">
        <f>Table1[[#This Row],[WSP/Dealer]]/Table1[[#This Row],[OD Sq Inch]]</f>
        <v>0.39583333333333331</v>
      </c>
      <c r="AM2341" s="869">
        <f>Table1[[#This Row],[OD Wdth]]*Table1[[#This Row],[OD Hgt]]</f>
        <v>1200</v>
      </c>
      <c r="AN2341" s="779">
        <f>Table1[[#This Row],[Min VO]]+Table1[[#This Row],[Max VO]]</f>
        <v>70</v>
      </c>
      <c r="AO2341" s="869"/>
      <c r="AP2341" s="653"/>
      <c r="AQ2341" s="864"/>
      <c r="AR2341" s="864"/>
      <c r="AS2341" s="864"/>
      <c r="AT2341" s="863"/>
      <c r="AU2341" s="1364" t="str">
        <f t="shared" si="813"/>
        <v>-</v>
      </c>
    </row>
    <row r="2342" spans="1:47" s="170" customFormat="1" x14ac:dyDescent="0.2">
      <c r="A2342" s="68" t="s">
        <v>58</v>
      </c>
      <c r="B2342" s="1072" t="s">
        <v>59</v>
      </c>
      <c r="C2342" s="1053" t="s">
        <v>5377</v>
      </c>
      <c r="D2342" s="94"/>
      <c r="E2342" s="378" t="s">
        <v>5376</v>
      </c>
      <c r="F2342" s="84" t="s">
        <v>50</v>
      </c>
      <c r="G2342" s="282" t="s">
        <v>51</v>
      </c>
      <c r="H2342" s="68" t="s">
        <v>364</v>
      </c>
      <c r="I2342" s="282" t="s">
        <v>52</v>
      </c>
      <c r="J2342" s="140" t="s">
        <v>53</v>
      </c>
      <c r="K2342" s="282" t="s">
        <v>1412</v>
      </c>
      <c r="L2342" s="68" t="s">
        <v>73</v>
      </c>
      <c r="M2342" s="380">
        <v>550</v>
      </c>
      <c r="N2342" s="93"/>
      <c r="O2342" s="68" t="s">
        <v>56</v>
      </c>
      <c r="P2342" s="68">
        <v>30</v>
      </c>
      <c r="Q2342" s="68">
        <v>40</v>
      </c>
      <c r="R2342" s="68">
        <v>30</v>
      </c>
      <c r="S2342" s="68">
        <v>40</v>
      </c>
      <c r="T2342" s="68">
        <v>31</v>
      </c>
      <c r="U2342" s="68">
        <v>41</v>
      </c>
      <c r="V2342" s="66">
        <f t="shared" si="836"/>
        <v>38</v>
      </c>
      <c r="W2342" s="66">
        <f t="shared" si="837"/>
        <v>48</v>
      </c>
      <c r="X2342" s="68">
        <v>40</v>
      </c>
      <c r="Y2342" s="68">
        <v>38</v>
      </c>
      <c r="Z2342" s="68">
        <v>48</v>
      </c>
      <c r="AA2342" s="699">
        <f t="shared" si="833"/>
        <v>12.666666666666666</v>
      </c>
      <c r="AB2342" s="297">
        <f t="shared" si="839"/>
        <v>266.50666666666666</v>
      </c>
      <c r="AC2342" s="74">
        <f t="shared" si="838"/>
        <v>8.36</v>
      </c>
      <c r="AD2342" s="67">
        <f t="shared" si="840"/>
        <v>21.320533333333334</v>
      </c>
      <c r="AE2342" s="74">
        <f>IF(Table1[[#This Row],[Work Center]]="SwissQ",Materials!G$37,IF(Table1[[#This Row],[Work Center]]="Inca",Materials!G$29,IF(Table1[[#This Row],[Work Center]]="Canon",Materials!G$49,Materials!G$45)))</f>
        <v>8</v>
      </c>
      <c r="AF2342" s="73">
        <f>'Cali Frames'!D430</f>
        <v>108.955</v>
      </c>
      <c r="AG2342" s="126"/>
      <c r="AH2342" s="263">
        <f t="shared" si="830"/>
        <v>27.5</v>
      </c>
      <c r="AI2342" s="263"/>
      <c r="AJ2342" s="263">
        <f t="shared" si="835"/>
        <v>174.13553333333334</v>
      </c>
      <c r="AK2342" s="688">
        <f t="shared" si="832"/>
        <v>0.68338993939393933</v>
      </c>
      <c r="AL2342" s="278">
        <f>Table1[[#This Row],[WSP/Dealer]]/Table1[[#This Row],[OD Sq Inch]]</f>
        <v>0.43273013375295044</v>
      </c>
      <c r="AM2342" s="170">
        <f>Table1[[#This Row],[OD Wdth]]*Table1[[#This Row],[OD Hgt]]</f>
        <v>1271</v>
      </c>
      <c r="AN2342" s="274">
        <f>Table1[[#This Row],[Min VO]]+Table1[[#This Row],[Max VO]]</f>
        <v>70</v>
      </c>
      <c r="AO2342" s="84"/>
      <c r="AP2342" s="84"/>
      <c r="AQ2342" s="126"/>
      <c r="AR2342" s="126"/>
      <c r="AS2342" s="126"/>
      <c r="AT2342" s="74"/>
      <c r="AU2342" s="1357" t="str">
        <f t="shared" si="813"/>
        <v>-</v>
      </c>
    </row>
    <row r="2343" spans="1:47" s="170" customFormat="1" x14ac:dyDescent="0.2">
      <c r="A2343" s="68" t="s">
        <v>58</v>
      </c>
      <c r="B2343" s="1072" t="s">
        <v>59</v>
      </c>
      <c r="C2343" s="1053" t="s">
        <v>5378</v>
      </c>
      <c r="D2343" s="94"/>
      <c r="E2343" s="378" t="s">
        <v>5379</v>
      </c>
      <c r="F2343" s="84" t="s">
        <v>50</v>
      </c>
      <c r="G2343" s="282" t="s">
        <v>948</v>
      </c>
      <c r="H2343" s="68" t="s">
        <v>948</v>
      </c>
      <c r="I2343" s="282" t="s">
        <v>52</v>
      </c>
      <c r="J2343" s="140" t="s">
        <v>53</v>
      </c>
      <c r="K2343" s="282" t="s">
        <v>54</v>
      </c>
      <c r="L2343" s="68" t="s">
        <v>55</v>
      </c>
      <c r="M2343" s="379">
        <v>950</v>
      </c>
      <c r="N2343" s="93"/>
      <c r="O2343" s="68" t="s">
        <v>56</v>
      </c>
      <c r="P2343" s="68">
        <v>48</v>
      </c>
      <c r="Q2343" s="68">
        <v>64</v>
      </c>
      <c r="R2343" s="68">
        <v>48</v>
      </c>
      <c r="S2343" s="68">
        <v>64</v>
      </c>
      <c r="T2343" s="68">
        <v>48</v>
      </c>
      <c r="U2343" s="68">
        <v>64</v>
      </c>
      <c r="V2343" s="66">
        <f t="shared" si="836"/>
        <v>56</v>
      </c>
      <c r="W2343" s="66">
        <f t="shared" si="837"/>
        <v>72</v>
      </c>
      <c r="X2343" s="68">
        <v>59</v>
      </c>
      <c r="Y2343" s="68">
        <v>56</v>
      </c>
      <c r="Z2343" s="68">
        <v>72</v>
      </c>
      <c r="AA2343" s="699">
        <f t="shared" si="833"/>
        <v>28</v>
      </c>
      <c r="AB2343" s="297">
        <f t="shared" si="839"/>
        <v>589.12</v>
      </c>
      <c r="AC2343" s="74">
        <f t="shared" si="838"/>
        <v>18.48</v>
      </c>
      <c r="AD2343" s="67">
        <f t="shared" si="840"/>
        <v>47.129600000000003</v>
      </c>
      <c r="AE2343" s="74">
        <f>IF(Table1[[#This Row],[Work Center]]="SwissQ",Materials!G$37,IF(Table1[[#This Row],[Work Center]]="Inca",Materials!G$29,IF(Table1[[#This Row],[Work Center]]="Canon",Materials!G$49,Materials!G$45)))</f>
        <v>8</v>
      </c>
      <c r="AF2343" s="73">
        <f>'Cali FPS'!C121</f>
        <v>188.18</v>
      </c>
      <c r="AG2343" s="126"/>
      <c r="AH2343" s="278">
        <f t="shared" si="830"/>
        <v>47.5</v>
      </c>
      <c r="AI2343" s="278"/>
      <c r="AJ2343" s="278">
        <f t="shared" si="835"/>
        <v>309.28960000000001</v>
      </c>
      <c r="AK2343" s="1192">
        <f t="shared" si="832"/>
        <v>0.67443199999999992</v>
      </c>
      <c r="AL2343" s="278">
        <f>Table1[[#This Row],[WSP/Dealer]]/Table1[[#This Row],[OD Sq Inch]]</f>
        <v>0.30924479166666669</v>
      </c>
      <c r="AM2343" s="170">
        <f>Table1[[#This Row],[OD Wdth]]*Table1[[#This Row],[OD Hgt]]</f>
        <v>3072</v>
      </c>
      <c r="AN2343" s="274">
        <f>Table1[[#This Row],[Min VO]]+Table1[[#This Row],[Max VO]]</f>
        <v>112</v>
      </c>
      <c r="AO2343" s="84"/>
      <c r="AP2343" s="84"/>
      <c r="AQ2343" s="126"/>
      <c r="AR2343" s="126"/>
      <c r="AS2343" s="126"/>
      <c r="AT2343" s="74"/>
      <c r="AU2343" s="1357" t="str">
        <f t="shared" si="813"/>
        <v>-</v>
      </c>
    </row>
    <row r="2344" spans="1:47" s="170" customFormat="1" x14ac:dyDescent="0.2">
      <c r="A2344" s="68" t="s">
        <v>58</v>
      </c>
      <c r="B2344" s="1072" t="s">
        <v>59</v>
      </c>
      <c r="C2344" s="1053" t="s">
        <v>5380</v>
      </c>
      <c r="D2344" s="94"/>
      <c r="E2344" s="378" t="s">
        <v>5379</v>
      </c>
      <c r="F2344" s="84" t="s">
        <v>50</v>
      </c>
      <c r="G2344" s="282" t="s">
        <v>948</v>
      </c>
      <c r="H2344" s="68" t="s">
        <v>951</v>
      </c>
      <c r="I2344" s="282" t="s">
        <v>52</v>
      </c>
      <c r="J2344" s="140" t="s">
        <v>53</v>
      </c>
      <c r="K2344" s="282" t="s">
        <v>69</v>
      </c>
      <c r="L2344" s="68" t="s">
        <v>76</v>
      </c>
      <c r="M2344" s="379">
        <v>1250</v>
      </c>
      <c r="N2344" s="93"/>
      <c r="O2344" s="68" t="s">
        <v>56</v>
      </c>
      <c r="P2344" s="68">
        <v>48</v>
      </c>
      <c r="Q2344" s="68">
        <v>64</v>
      </c>
      <c r="R2344" s="68">
        <v>48</v>
      </c>
      <c r="S2344" s="68">
        <v>64</v>
      </c>
      <c r="T2344" s="68">
        <v>49</v>
      </c>
      <c r="U2344" s="68">
        <v>65</v>
      </c>
      <c r="V2344" s="66">
        <f t="shared" si="836"/>
        <v>56</v>
      </c>
      <c r="W2344" s="66">
        <f t="shared" si="837"/>
        <v>72</v>
      </c>
      <c r="X2344" s="68">
        <v>59</v>
      </c>
      <c r="Y2344" s="68">
        <v>56</v>
      </c>
      <c r="Z2344" s="68">
        <v>72</v>
      </c>
      <c r="AA2344" s="699">
        <f t="shared" si="833"/>
        <v>28</v>
      </c>
      <c r="AB2344" s="297">
        <f t="shared" si="839"/>
        <v>589.12</v>
      </c>
      <c r="AC2344" s="74">
        <f t="shared" si="838"/>
        <v>18.48</v>
      </c>
      <c r="AD2344" s="67">
        <f t="shared" si="840"/>
        <v>47.129600000000003</v>
      </c>
      <c r="AE2344" s="74">
        <f>IF(Table1[[#This Row],[Work Center]]="SwissQ",Materials!G$37,IF(Table1[[#This Row],[Work Center]]="Inca",Materials!G$29,IF(Table1[[#This Row],[Work Center]]="Canon",Materials!G$49,Materials!G$45)))</f>
        <v>8</v>
      </c>
      <c r="AF2344" s="73">
        <f>'Cali Frames'!D382</f>
        <v>260</v>
      </c>
      <c r="AG2344" s="126"/>
      <c r="AH2344" s="278">
        <f t="shared" si="830"/>
        <v>62.5</v>
      </c>
      <c r="AI2344" s="278"/>
      <c r="AJ2344" s="278">
        <f t="shared" si="835"/>
        <v>396.1096</v>
      </c>
      <c r="AK2344" s="1192">
        <f t="shared" si="832"/>
        <v>0.68311232</v>
      </c>
      <c r="AL2344" s="278">
        <f>Table1[[#This Row],[WSP/Dealer]]/Table1[[#This Row],[OD Sq Inch]]</f>
        <v>0.39246467817896391</v>
      </c>
      <c r="AM2344" s="170">
        <f>Table1[[#This Row],[OD Wdth]]*Table1[[#This Row],[OD Hgt]]</f>
        <v>3185</v>
      </c>
      <c r="AN2344" s="274" t="s">
        <v>76</v>
      </c>
      <c r="AO2344" s="84"/>
      <c r="AP2344" s="84"/>
      <c r="AQ2344" s="126"/>
      <c r="AR2344" s="126"/>
      <c r="AS2344" s="126"/>
      <c r="AT2344" s="74"/>
      <c r="AU2344" s="1357" t="str">
        <f t="shared" si="813"/>
        <v>-</v>
      </c>
    </row>
    <row r="2345" spans="1:47" s="170" customFormat="1" x14ac:dyDescent="0.2">
      <c r="A2345" s="68" t="s">
        <v>58</v>
      </c>
      <c r="B2345" s="1072" t="s">
        <v>59</v>
      </c>
      <c r="C2345" s="1053" t="s">
        <v>5381</v>
      </c>
      <c r="D2345" s="94"/>
      <c r="E2345" s="378" t="s">
        <v>5379</v>
      </c>
      <c r="F2345" s="84" t="s">
        <v>50</v>
      </c>
      <c r="G2345" s="282" t="s">
        <v>948</v>
      </c>
      <c r="H2345" s="68" t="s">
        <v>951</v>
      </c>
      <c r="I2345" s="282" t="s">
        <v>52</v>
      </c>
      <c r="J2345" s="140" t="s">
        <v>53</v>
      </c>
      <c r="K2345" s="282" t="s">
        <v>69</v>
      </c>
      <c r="L2345" s="68" t="s">
        <v>70</v>
      </c>
      <c r="M2345" s="379">
        <v>1250</v>
      </c>
      <c r="N2345" s="93"/>
      <c r="O2345" s="68" t="s">
        <v>56</v>
      </c>
      <c r="P2345" s="68">
        <v>48</v>
      </c>
      <c r="Q2345" s="68">
        <v>64</v>
      </c>
      <c r="R2345" s="68">
        <v>48</v>
      </c>
      <c r="S2345" s="68">
        <v>64</v>
      </c>
      <c r="T2345" s="68">
        <v>49</v>
      </c>
      <c r="U2345" s="68">
        <v>65</v>
      </c>
      <c r="V2345" s="917">
        <f t="shared" si="836"/>
        <v>56</v>
      </c>
      <c r="W2345" s="917">
        <f t="shared" si="837"/>
        <v>72</v>
      </c>
      <c r="X2345" s="68">
        <v>59</v>
      </c>
      <c r="Y2345" s="68">
        <v>56</v>
      </c>
      <c r="Z2345" s="68">
        <v>72</v>
      </c>
      <c r="AA2345" s="699">
        <f t="shared" si="833"/>
        <v>28</v>
      </c>
      <c r="AB2345" s="297">
        <f t="shared" si="839"/>
        <v>589.12</v>
      </c>
      <c r="AC2345" s="74">
        <f t="shared" si="838"/>
        <v>18.48</v>
      </c>
      <c r="AD2345" s="74">
        <f t="shared" si="840"/>
        <v>47.129600000000003</v>
      </c>
      <c r="AE2345" s="74">
        <f>IF(Table1[[#This Row],[Work Center]]="SwissQ",Materials!G$37,IF(Table1[[#This Row],[Work Center]]="Inca",Materials!G$29,IF(Table1[[#This Row],[Work Center]]="Canon",Materials!G$49,Materials!G$45)))</f>
        <v>8</v>
      </c>
      <c r="AF2345" s="73">
        <f>'Cali Frames'!D336</f>
        <v>245</v>
      </c>
      <c r="AG2345" s="126"/>
      <c r="AH2345" s="263">
        <f t="shared" si="830"/>
        <v>62.5</v>
      </c>
      <c r="AI2345" s="263"/>
      <c r="AJ2345" s="278">
        <f t="shared" si="835"/>
        <v>381.1096</v>
      </c>
      <c r="AK2345" s="688">
        <f t="shared" si="832"/>
        <v>0.69511232000000001</v>
      </c>
      <c r="AL2345" s="278">
        <f>Table1[[#This Row],[WSP/Dealer]]/Table1[[#This Row],[OD Sq Inch]]</f>
        <v>0.39246467817896391</v>
      </c>
      <c r="AM2345" s="274">
        <f>Table1[[#This Row],[OD Wdth]]*Table1[[#This Row],[OD Hgt]]</f>
        <v>3185</v>
      </c>
      <c r="AN2345" s="274" t="s">
        <v>70</v>
      </c>
      <c r="AO2345" s="84"/>
      <c r="AP2345" s="84"/>
      <c r="AQ2345" s="126"/>
      <c r="AR2345" s="126"/>
      <c r="AS2345" s="126"/>
      <c r="AT2345" s="74"/>
      <c r="AU2345" s="1357" t="str">
        <f t="shared" si="813"/>
        <v>-</v>
      </c>
    </row>
    <row r="2346" spans="1:47" s="170" customFormat="1" x14ac:dyDescent="0.2">
      <c r="A2346" s="68" t="s">
        <v>58</v>
      </c>
      <c r="B2346" s="1072" t="s">
        <v>59</v>
      </c>
      <c r="C2346" s="1053" t="s">
        <v>5382</v>
      </c>
      <c r="D2346" s="94"/>
      <c r="E2346" s="378" t="s">
        <v>5379</v>
      </c>
      <c r="F2346" s="84" t="s">
        <v>50</v>
      </c>
      <c r="G2346" s="282" t="s">
        <v>948</v>
      </c>
      <c r="H2346" s="68" t="s">
        <v>951</v>
      </c>
      <c r="I2346" s="282" t="s">
        <v>52</v>
      </c>
      <c r="J2346" s="140" t="s">
        <v>53</v>
      </c>
      <c r="K2346" s="282" t="s">
        <v>69</v>
      </c>
      <c r="L2346" s="68" t="s">
        <v>73</v>
      </c>
      <c r="M2346" s="379">
        <v>1250</v>
      </c>
      <c r="N2346" s="93"/>
      <c r="O2346" s="68" t="s">
        <v>56</v>
      </c>
      <c r="P2346" s="68">
        <v>48</v>
      </c>
      <c r="Q2346" s="68">
        <v>64</v>
      </c>
      <c r="R2346" s="68">
        <v>48</v>
      </c>
      <c r="S2346" s="68">
        <v>64</v>
      </c>
      <c r="T2346" s="68">
        <v>49</v>
      </c>
      <c r="U2346" s="68">
        <v>65</v>
      </c>
      <c r="V2346" s="917">
        <f t="shared" si="836"/>
        <v>56</v>
      </c>
      <c r="W2346" s="917">
        <f t="shared" si="837"/>
        <v>72</v>
      </c>
      <c r="X2346" s="68">
        <v>59</v>
      </c>
      <c r="Y2346" s="68">
        <v>56</v>
      </c>
      <c r="Z2346" s="68">
        <v>72</v>
      </c>
      <c r="AA2346" s="699">
        <f t="shared" si="833"/>
        <v>28</v>
      </c>
      <c r="AB2346" s="297">
        <f t="shared" si="839"/>
        <v>589.12</v>
      </c>
      <c r="AC2346" s="74">
        <f t="shared" si="838"/>
        <v>18.48</v>
      </c>
      <c r="AD2346" s="67">
        <f t="shared" si="840"/>
        <v>47.129600000000003</v>
      </c>
      <c r="AE2346" s="74">
        <f>IF(Table1[[#This Row],[Work Center]]="SwissQ",Materials!G$37,IF(Table1[[#This Row],[Work Center]]="Inca",Materials!G$29,IF(Table1[[#This Row],[Work Center]]="Canon",Materials!G$49,Materials!G$45)))</f>
        <v>8</v>
      </c>
      <c r="AF2346" s="73">
        <f>'Cali Frames'!D471</f>
        <v>233</v>
      </c>
      <c r="AG2346" s="126"/>
      <c r="AH2346" s="278">
        <f t="shared" si="830"/>
        <v>62.5</v>
      </c>
      <c r="AI2346" s="278"/>
      <c r="AJ2346" s="278">
        <f t="shared" si="835"/>
        <v>369.1096</v>
      </c>
      <c r="AK2346" s="1192">
        <f t="shared" si="832"/>
        <v>0.70471231999999995</v>
      </c>
      <c r="AL2346" s="278">
        <f>Table1[[#This Row],[WSP/Dealer]]/Table1[[#This Row],[OD Sq Inch]]</f>
        <v>0.39246467817896391</v>
      </c>
      <c r="AM2346" s="170">
        <f>Table1[[#This Row],[OD Wdth]]*Table1[[#This Row],[OD Hgt]]</f>
        <v>3185</v>
      </c>
      <c r="AN2346" s="274" t="s">
        <v>73</v>
      </c>
      <c r="AO2346" s="84"/>
      <c r="AP2346" s="84"/>
      <c r="AQ2346" s="126"/>
      <c r="AR2346" s="126"/>
      <c r="AS2346" s="126"/>
      <c r="AT2346" s="74"/>
      <c r="AU2346" s="1357" t="str">
        <f t="shared" ref="AU2346:AU2409" si="841">IF(AQ2346=0,"-",(AQ2346-AT2346)/AQ2346)</f>
        <v>-</v>
      </c>
    </row>
    <row r="2347" spans="1:47" s="170" customFormat="1" x14ac:dyDescent="0.2">
      <c r="A2347" s="86" t="s">
        <v>58</v>
      </c>
      <c r="B2347" s="1061" t="s">
        <v>591</v>
      </c>
      <c r="C2347" s="81" t="s">
        <v>5383</v>
      </c>
      <c r="D2347" s="94"/>
      <c r="E2347" s="90" t="s">
        <v>5384</v>
      </c>
      <c r="F2347" s="85" t="s">
        <v>650</v>
      </c>
      <c r="G2347" s="91" t="s">
        <v>132</v>
      </c>
      <c r="H2347" s="86" t="s">
        <v>132</v>
      </c>
      <c r="I2347" s="91" t="s">
        <v>52</v>
      </c>
      <c r="J2347" s="86" t="s">
        <v>53</v>
      </c>
      <c r="K2347" s="91" t="s">
        <v>54</v>
      </c>
      <c r="L2347" s="86" t="s">
        <v>55</v>
      </c>
      <c r="M2347" s="976">
        <v>650</v>
      </c>
      <c r="N2347" s="639">
        <v>720</v>
      </c>
      <c r="O2347" s="101" t="s">
        <v>56</v>
      </c>
      <c r="P2347" s="273">
        <v>36</v>
      </c>
      <c r="Q2347" s="273">
        <v>48</v>
      </c>
      <c r="R2347" s="60">
        <v>36</v>
      </c>
      <c r="S2347" s="273">
        <v>48</v>
      </c>
      <c r="T2347" s="273">
        <f>Table1[[#This Row],[VO Wdth]]</f>
        <v>36</v>
      </c>
      <c r="U2347" s="273">
        <f>Table1[[#This Row],[VO Hgt]]</f>
        <v>48</v>
      </c>
      <c r="V2347" s="608">
        <f t="shared" si="836"/>
        <v>44</v>
      </c>
      <c r="W2347" s="608">
        <f t="shared" si="837"/>
        <v>56</v>
      </c>
      <c r="X2347" s="137">
        <v>122</v>
      </c>
      <c r="Y2347" s="101"/>
      <c r="Z2347" s="101"/>
      <c r="AA2347" s="649">
        <f t="shared" si="833"/>
        <v>17.111111111111111</v>
      </c>
      <c r="AB2347" s="184">
        <f t="shared" si="839"/>
        <v>360.01777777777778</v>
      </c>
      <c r="AC2347" s="104">
        <f t="shared" si="838"/>
        <v>11.293333333333333</v>
      </c>
      <c r="AD2347" s="104">
        <f t="shared" si="840"/>
        <v>28.801422222222222</v>
      </c>
      <c r="AE2347" s="104">
        <f>IF(Table1[[#This Row],[Work Center]]="SwissQ",Materials!G$37,IF(Table1[[#This Row],[Work Center]]="Inca",Materials!G$29,IF(Table1[[#This Row],[Work Center]]="Canon",Materials!G$49,Materials!G$45)))</f>
        <v>8</v>
      </c>
      <c r="AF2347" s="104">
        <f>'Cali FPS'!C$71</f>
        <v>114.31</v>
      </c>
      <c r="AG2347" s="115"/>
      <c r="AH2347" s="498">
        <f t="shared" si="830"/>
        <v>32.5</v>
      </c>
      <c r="AI2347" s="498"/>
      <c r="AJ2347" s="104">
        <f t="shared" si="835"/>
        <v>194.90475555555554</v>
      </c>
      <c r="AK2347" s="650">
        <f t="shared" si="832"/>
        <v>0.70014652991452997</v>
      </c>
      <c r="AL2347" s="225">
        <f>Table1[[#This Row],[WSP/Dealer]]/Table1[[#This Row],[OD Sq Inch]]</f>
        <v>0.37615740740740738</v>
      </c>
      <c r="AM2347" s="101">
        <f>Table1[[#This Row],[OD Wdth]]*Table1[[#This Row],[OD Hgt]]</f>
        <v>1728</v>
      </c>
      <c r="AN2347" s="216">
        <f>Table1[[#This Row],[Min VO]]+Table1[[#This Row],[Max VO]]</f>
        <v>84</v>
      </c>
      <c r="AO2347" s="101"/>
      <c r="AP2347" s="101"/>
      <c r="AQ2347" s="104"/>
      <c r="AR2347" s="104"/>
      <c r="AS2347" s="104"/>
      <c r="AT2347" s="104"/>
      <c r="AU2347" s="830" t="str">
        <f t="shared" si="841"/>
        <v>-</v>
      </c>
    </row>
    <row r="2348" spans="1:47" s="170" customFormat="1" hidden="1" x14ac:dyDescent="0.2">
      <c r="A2348" s="180" t="s">
        <v>272</v>
      </c>
      <c r="B2348" s="1061" t="s">
        <v>1062</v>
      </c>
      <c r="C2348" s="1323" t="s">
        <v>5385</v>
      </c>
      <c r="D2348" s="94"/>
      <c r="E2348" s="642" t="s">
        <v>5384</v>
      </c>
      <c r="F2348" s="284" t="s">
        <v>650</v>
      </c>
      <c r="G2348" s="554" t="s">
        <v>132</v>
      </c>
      <c r="H2348" s="180" t="s">
        <v>132</v>
      </c>
      <c r="I2348" s="554" t="s">
        <v>52</v>
      </c>
      <c r="J2348" s="180" t="s">
        <v>53</v>
      </c>
      <c r="K2348" s="554" t="s">
        <v>54</v>
      </c>
      <c r="L2348" s="180" t="s">
        <v>55</v>
      </c>
      <c r="M2348" s="1326">
        <v>400</v>
      </c>
      <c r="N2348" s="285"/>
      <c r="O2348" s="180" t="s">
        <v>56</v>
      </c>
      <c r="P2348" s="813">
        <v>36</v>
      </c>
      <c r="Q2348" s="813">
        <v>48</v>
      </c>
      <c r="R2348" s="180">
        <v>36</v>
      </c>
      <c r="S2348" s="813">
        <v>48</v>
      </c>
      <c r="T2348" s="813">
        <f>Table1[[#This Row],[VO Wdth]]</f>
        <v>36</v>
      </c>
      <c r="U2348" s="813">
        <f>Table1[[#This Row],[VO Hgt]]</f>
        <v>48</v>
      </c>
      <c r="V2348" s="174">
        <f t="shared" si="836"/>
        <v>44</v>
      </c>
      <c r="W2348" s="174">
        <f t="shared" si="837"/>
        <v>56</v>
      </c>
      <c r="X2348" s="289">
        <v>122</v>
      </c>
      <c r="Y2348" s="180"/>
      <c r="Z2348" s="180"/>
      <c r="AA2348" s="678">
        <f t="shared" si="833"/>
        <v>17.111111111111111</v>
      </c>
      <c r="AB2348" s="329">
        <f t="shared" si="839"/>
        <v>360.01777777777778</v>
      </c>
      <c r="AC2348" s="176">
        <f t="shared" si="838"/>
        <v>11.293333333333333</v>
      </c>
      <c r="AD2348" s="175">
        <f t="shared" si="840"/>
        <v>28.801422222222222</v>
      </c>
      <c r="AE2348" s="104">
        <f>IF(Table1[[#This Row],[Work Center]]="SwissQ",Materials!G$37,IF(Table1[[#This Row],[Work Center]]="Inca",Materials!G$29,IF(Table1[[#This Row],[Work Center]]="Canon",Materials!G$49,Materials!G$45)))</f>
        <v>8</v>
      </c>
      <c r="AF2348" s="176">
        <f>'Cali FPS'!C$71</f>
        <v>114.31</v>
      </c>
      <c r="AG2348" s="284"/>
      <c r="AH2348" s="112">
        <f t="shared" si="830"/>
        <v>20</v>
      </c>
      <c r="AI2348" s="112"/>
      <c r="AJ2348" s="176">
        <f t="shared" si="835"/>
        <v>182.40475555555554</v>
      </c>
      <c r="AK2348" s="62">
        <f t="shared" si="832"/>
        <v>0.54398811111111112</v>
      </c>
      <c r="AL2348" s="225">
        <f>Table1[[#This Row],[WSP/Dealer]]/Table1[[#This Row],[OD Sq Inch]]</f>
        <v>0.23148148148148148</v>
      </c>
      <c r="AM2348" s="173">
        <f>Table1[[#This Row],[OD Wdth]]*Table1[[#This Row],[OD Hgt]]</f>
        <v>1728</v>
      </c>
      <c r="AN2348" s="216">
        <f>Table1[[#This Row],[Min VO]]+Table1[[#This Row],[Max VO]]</f>
        <v>84</v>
      </c>
      <c r="AO2348" s="180"/>
      <c r="AP2348" s="180"/>
      <c r="AQ2348" s="176"/>
      <c r="AR2348" s="176"/>
      <c r="AS2348" s="176"/>
      <c r="AT2348" s="176"/>
      <c r="AU2348" s="1201" t="str">
        <f t="shared" si="841"/>
        <v>-</v>
      </c>
    </row>
    <row r="2349" spans="1:47" s="170" customFormat="1" hidden="1" x14ac:dyDescent="0.2">
      <c r="A2349" s="60" t="s">
        <v>95</v>
      </c>
      <c r="B2349" s="1061" t="s">
        <v>96</v>
      </c>
      <c r="C2349" s="81" t="s">
        <v>5386</v>
      </c>
      <c r="D2349" s="94"/>
      <c r="E2349" s="492" t="s">
        <v>5387</v>
      </c>
      <c r="F2349" s="83" t="s">
        <v>634</v>
      </c>
      <c r="G2349" s="92" t="s">
        <v>519</v>
      </c>
      <c r="H2349" s="60" t="s">
        <v>688</v>
      </c>
      <c r="I2349" s="92" t="s">
        <v>108</v>
      </c>
      <c r="J2349" s="59" t="s">
        <v>53</v>
      </c>
      <c r="K2349" s="92" t="s">
        <v>69</v>
      </c>
      <c r="L2349" s="60" t="s">
        <v>73</v>
      </c>
      <c r="M2349" s="647">
        <v>375</v>
      </c>
      <c r="N2349" s="72"/>
      <c r="O2349" s="470" t="s">
        <v>109</v>
      </c>
      <c r="P2349" s="273">
        <v>16</v>
      </c>
      <c r="Q2349" s="273">
        <v>20</v>
      </c>
      <c r="R2349" s="60">
        <v>16</v>
      </c>
      <c r="S2349" s="273">
        <v>20</v>
      </c>
      <c r="T2349" s="273">
        <v>17</v>
      </c>
      <c r="U2349" s="273">
        <v>21</v>
      </c>
      <c r="V2349" s="946">
        <f>IF(J2349="Canvas",P2349+Border,P2349)</f>
        <v>24</v>
      </c>
      <c r="W2349" s="946">
        <f>IF(J2349="Canvas",Q2349+Border,Q2349)</f>
        <v>28</v>
      </c>
      <c r="X2349" s="138">
        <v>40</v>
      </c>
      <c r="Y2349" s="60">
        <v>24</v>
      </c>
      <c r="Z2349" s="60">
        <v>28</v>
      </c>
      <c r="AA2349" s="678">
        <f t="shared" si="833"/>
        <v>4.666666666666667</v>
      </c>
      <c r="AB2349" s="329">
        <f>AA2349*EPSONM</f>
        <v>21</v>
      </c>
      <c r="AC2349" s="176">
        <f t="shared" si="838"/>
        <v>3.0800000000000005</v>
      </c>
      <c r="AD2349" s="175">
        <f>Table1[[#This Row],[Ink g/mL]]*EPSONC</f>
        <v>4.62</v>
      </c>
      <c r="AE2349" s="176">
        <f>IF(Table1[[#This Row],[Work Center]]="SwissQ",Materials!G$37,IF(Table1[[#This Row],[Work Center]]="Inca",Materials!G$29,IF(Table1[[#This Row],[Work Center]]="Canon",Materials!G$49,Materials!G$45)))</f>
        <v>5</v>
      </c>
      <c r="AF2349" s="72">
        <f>'Cali Frames'!D412</f>
        <v>75.634999999999991</v>
      </c>
      <c r="AG2349" s="83"/>
      <c r="AH2349" s="48">
        <f t="shared" si="830"/>
        <v>18.75</v>
      </c>
      <c r="AI2349" s="48"/>
      <c r="AJ2349" s="69">
        <f t="shared" si="835"/>
        <v>107.08499999999999</v>
      </c>
      <c r="AK2349" s="62">
        <f t="shared" si="832"/>
        <v>0.71444000000000007</v>
      </c>
      <c r="AL2349" s="225">
        <f>Table1[[#This Row],[WSP/Dealer]]/Table1[[#This Row],[OD Sq Inch]]</f>
        <v>1.0504201680672269</v>
      </c>
      <c r="AM2349" s="218">
        <f>Table1[[#This Row],[OD Wdth]]*Table1[[#This Row],[OD Hgt]]</f>
        <v>357</v>
      </c>
      <c r="AN2349" s="216">
        <f>Table1[[#This Row],[Min VO]]+Table1[[#This Row],[Max VO]]</f>
        <v>36</v>
      </c>
      <c r="AO2349" s="83"/>
      <c r="AP2349" s="83"/>
      <c r="AQ2349" s="540"/>
      <c r="AR2349" s="540"/>
      <c r="AS2349" s="540"/>
      <c r="AT2349" s="69"/>
      <c r="AU2349" s="1361" t="str">
        <f t="shared" si="841"/>
        <v>-</v>
      </c>
    </row>
    <row r="2350" spans="1:47" s="170" customFormat="1" hidden="1" x14ac:dyDescent="0.2">
      <c r="A2350" s="101"/>
      <c r="B2350" s="1061"/>
      <c r="C2350" s="183" t="s">
        <v>5388</v>
      </c>
      <c r="D2350" s="94"/>
      <c r="E2350" s="327" t="s">
        <v>5389</v>
      </c>
      <c r="F2350" s="115" t="s">
        <v>5390</v>
      </c>
      <c r="G2350" s="303" t="s">
        <v>5391</v>
      </c>
      <c r="H2350" s="101"/>
      <c r="I2350" s="92" t="s">
        <v>108</v>
      </c>
      <c r="J2350" s="59" t="s">
        <v>257</v>
      </c>
      <c r="K2350" s="303" t="s">
        <v>258</v>
      </c>
      <c r="L2350" s="101" t="s">
        <v>259</v>
      </c>
      <c r="M2350" s="692">
        <v>350</v>
      </c>
      <c r="N2350" s="71"/>
      <c r="O2350" s="101" t="s">
        <v>260</v>
      </c>
      <c r="P2350" s="60">
        <v>18</v>
      </c>
      <c r="Q2350" s="60">
        <v>14</v>
      </c>
      <c r="R2350" s="60">
        <v>14</v>
      </c>
      <c r="S2350" s="60">
        <v>18</v>
      </c>
      <c r="T2350" s="101">
        <v>20</v>
      </c>
      <c r="U2350" s="101">
        <v>16</v>
      </c>
      <c r="V2350" s="47">
        <f>Table1[[#This Row],[VO Wdth]]+Materials!$C$50</f>
        <v>20</v>
      </c>
      <c r="W2350" s="47">
        <f>Table1[[#This Row],[VO Hgt]]+Materials!$C$50</f>
        <v>16</v>
      </c>
      <c r="X2350" s="137" t="s">
        <v>257</v>
      </c>
      <c r="Y2350" s="101"/>
      <c r="Z2350" s="101"/>
      <c r="AA2350" s="717">
        <f t="shared" si="833"/>
        <v>2.2222222222222223</v>
      </c>
      <c r="AB2350" s="125">
        <f>AA2350*canonML</f>
        <v>10.666666666666666</v>
      </c>
      <c r="AC2350" s="69">
        <f>Table1[[#This Row],[Print Wth]]*paper60</f>
        <v>6.8000000000000007</v>
      </c>
      <c r="AD2350" s="48">
        <f>Table1[[#This Row],[Ink g/mL]]*CanonC</f>
        <v>2.88</v>
      </c>
      <c r="AE2350" s="104">
        <f>IF(Table1[[#This Row],[Work Center]]="SwissQ",Materials!G$37,IF(Table1[[#This Row],[Work Center]]="Inca",Materials!G$29,IF(Table1[[#This Row],[Work Center]]="Canon",Materials!G$49,Materials!G$45)))</f>
        <v>7</v>
      </c>
      <c r="AF2350" s="102">
        <f>'Cali Frames'!D25</f>
        <v>84.7</v>
      </c>
      <c r="AG2350" s="121"/>
      <c r="AH2350" s="498">
        <f t="shared" si="830"/>
        <v>17.5</v>
      </c>
      <c r="AI2350" s="498"/>
      <c r="AJ2350" s="104">
        <f t="shared" si="835"/>
        <v>118.88</v>
      </c>
      <c r="AK2350" s="650">
        <f t="shared" si="832"/>
        <v>0.66034285714285712</v>
      </c>
      <c r="AL2350" s="225" t="e">
        <f>Table1[[#This Row],[WSP/Dealer]]/Table1[[#This Row],[OD Sq Inch]]</f>
        <v>#DIV/0!</v>
      </c>
      <c r="AM2350" s="113"/>
      <c r="AN2350" s="216">
        <f>Table1[[#This Row],[Min VO]]+Table1[[#This Row],[Max VO]]</f>
        <v>32</v>
      </c>
      <c r="AO2350" s="115"/>
      <c r="AP2350" s="115"/>
      <c r="AQ2350" s="121"/>
      <c r="AR2350" s="121"/>
      <c r="AS2350" s="121"/>
      <c r="AT2350" s="104"/>
      <c r="AU2350" s="1359" t="str">
        <f t="shared" si="841"/>
        <v>-</v>
      </c>
    </row>
    <row r="2351" spans="1:47" s="173" customFormat="1" hidden="1" x14ac:dyDescent="0.2">
      <c r="A2351" s="101"/>
      <c r="B2351" s="279"/>
      <c r="C2351" s="183" t="s">
        <v>5392</v>
      </c>
      <c r="D2351" s="94"/>
      <c r="E2351" s="327" t="s">
        <v>5389</v>
      </c>
      <c r="F2351" s="115" t="s">
        <v>5390</v>
      </c>
      <c r="G2351" s="303" t="s">
        <v>5391</v>
      </c>
      <c r="H2351" s="101"/>
      <c r="I2351" s="92" t="s">
        <v>108</v>
      </c>
      <c r="J2351" s="59" t="s">
        <v>257</v>
      </c>
      <c r="K2351" s="303" t="s">
        <v>258</v>
      </c>
      <c r="L2351" s="101" t="s">
        <v>269</v>
      </c>
      <c r="M2351" s="692">
        <v>400</v>
      </c>
      <c r="N2351" s="71"/>
      <c r="O2351" s="101" t="s">
        <v>260</v>
      </c>
      <c r="P2351" s="60">
        <v>18</v>
      </c>
      <c r="Q2351" s="60">
        <v>14</v>
      </c>
      <c r="R2351" s="60">
        <v>14</v>
      </c>
      <c r="S2351" s="60">
        <v>18</v>
      </c>
      <c r="T2351" s="101">
        <v>20</v>
      </c>
      <c r="U2351" s="101">
        <v>16</v>
      </c>
      <c r="V2351" s="946">
        <f>Table1[[#This Row],[VO Wdth]]+Materials!$C$50</f>
        <v>20</v>
      </c>
      <c r="W2351" s="946">
        <f>Table1[[#This Row],[VO Hgt]]+Materials!$C$50</f>
        <v>16</v>
      </c>
      <c r="X2351" s="137" t="s">
        <v>257</v>
      </c>
      <c r="Y2351" s="101"/>
      <c r="Z2351" s="101"/>
      <c r="AA2351" s="717">
        <f t="shared" si="833"/>
        <v>2.2222222222222223</v>
      </c>
      <c r="AB2351" s="125">
        <f>AA2351*canonML</f>
        <v>10.666666666666666</v>
      </c>
      <c r="AC2351" s="69">
        <f>Table1[[#This Row],[Print Wth]]*paper60</f>
        <v>6.8000000000000007</v>
      </c>
      <c r="AD2351" s="48">
        <f>Table1[[#This Row],[Ink g/mL]]*CanonC</f>
        <v>2.88</v>
      </c>
      <c r="AE2351" s="104">
        <f>IF(Table1[[#This Row],[Work Center]]="SwissQ",Materials!G$37,IF(Table1[[#This Row],[Work Center]]="Inca",Materials!G$29,IF(Table1[[#This Row],[Work Center]]="Canon",Materials!G$49,Materials!G$45)))</f>
        <v>7</v>
      </c>
      <c r="AF2351" s="102">
        <f>'Cali Frames'!D62</f>
        <v>99.592500000000001</v>
      </c>
      <c r="AG2351" s="121"/>
      <c r="AH2351" s="498">
        <f t="shared" si="830"/>
        <v>20</v>
      </c>
      <c r="AI2351" s="498"/>
      <c r="AJ2351" s="104">
        <f t="shared" si="835"/>
        <v>136.27250000000001</v>
      </c>
      <c r="AK2351" s="650">
        <f t="shared" si="832"/>
        <v>0.65931874999999995</v>
      </c>
      <c r="AL2351" s="225" t="e">
        <f>Table1[[#This Row],[WSP/Dealer]]/Table1[[#This Row],[OD Sq Inch]]</f>
        <v>#DIV/0!</v>
      </c>
      <c r="AM2351" s="113"/>
      <c r="AN2351" s="216">
        <f>Table1[[#This Row],[Min VO]]+Table1[[#This Row],[Max VO]]</f>
        <v>32</v>
      </c>
      <c r="AO2351" s="115"/>
      <c r="AP2351" s="115"/>
      <c r="AQ2351" s="121"/>
      <c r="AR2351" s="121"/>
      <c r="AS2351" s="121"/>
      <c r="AT2351" s="104"/>
      <c r="AU2351" s="1359" t="str">
        <f t="shared" si="841"/>
        <v>-</v>
      </c>
    </row>
    <row r="2352" spans="1:47" s="170" customFormat="1" hidden="1" x14ac:dyDescent="0.2">
      <c r="A2352" s="60" t="s">
        <v>101</v>
      </c>
      <c r="B2352" s="1071" t="s">
        <v>102</v>
      </c>
      <c r="C2352" s="1335" t="s">
        <v>5393</v>
      </c>
      <c r="D2352" s="79"/>
      <c r="E2352" s="492" t="s">
        <v>5394</v>
      </c>
      <c r="F2352" s="83" t="s">
        <v>105</v>
      </c>
      <c r="G2352" s="92" t="s">
        <v>5395</v>
      </c>
      <c r="H2352" s="60" t="s">
        <v>5396</v>
      </c>
      <c r="I2352" s="92" t="s">
        <v>256</v>
      </c>
      <c r="J2352" s="59" t="s">
        <v>257</v>
      </c>
      <c r="K2352" s="92" t="s">
        <v>258</v>
      </c>
      <c r="L2352" s="60" t="s">
        <v>259</v>
      </c>
      <c r="M2352" s="179">
        <v>179</v>
      </c>
      <c r="N2352" s="124"/>
      <c r="O2352" s="60" t="s">
        <v>260</v>
      </c>
      <c r="P2352" s="60">
        <v>20</v>
      </c>
      <c r="Q2352" s="60">
        <v>13</v>
      </c>
      <c r="R2352" s="60">
        <v>13</v>
      </c>
      <c r="S2352" s="60">
        <v>20</v>
      </c>
      <c r="T2352" s="60">
        <v>22</v>
      </c>
      <c r="U2352" s="60">
        <v>15</v>
      </c>
      <c r="V2352" s="47">
        <f>Table1[[#This Row],[VO Wdth]]+Materials!$C$50</f>
        <v>22</v>
      </c>
      <c r="W2352" s="47">
        <f>Table1[[#This Row],[VO Hgt]]+Materials!$C$50</f>
        <v>15</v>
      </c>
      <c r="X2352" s="60" t="s">
        <v>257</v>
      </c>
      <c r="Y2352" s="1450">
        <f>Table1[[#This Row],[Print Wth]]+Materials!$C$7</f>
        <v>24</v>
      </c>
      <c r="Z2352" s="1450">
        <f>Table1[[#This Row],[Print Ht]]+Materials!$C$7</f>
        <v>17</v>
      </c>
      <c r="AA2352" s="1058">
        <f>(Table1[[#This Row],[Cut Width]]*Table1[[#This Row],[Cut Height]])/144</f>
        <v>2.8333333333333335</v>
      </c>
      <c r="AB2352" s="125">
        <f>(Table1[[#This Row],[Print Wth]]*Table1[[#This Row],[Print Ht]])/144*canonML</f>
        <v>10.999999999999998</v>
      </c>
      <c r="AC2352" s="69">
        <f>Table1[[#This Row],[Substrate SF]]*Paper</f>
        <v>3.8335000000000004</v>
      </c>
      <c r="AD2352" s="48">
        <f>(Table1[[#This Row],[Print Wth]]*Table1[[#This Row],[Print Ht]])/144*CanonC</f>
        <v>0.61875000000000002</v>
      </c>
      <c r="AE2352" s="69">
        <f>IF(Table1[[#This Row],[Work Center]]="SwissQ",Materials!G$37,IF(Table1[[#This Row],[Work Center]]="Inca",Materials!G$29,IF(Table1[[#This Row],[Work Center]]="Canon",Materials!G$49,Materials!G$45)))</f>
        <v>7</v>
      </c>
      <c r="AF2352" s="72">
        <f>'Cali Frames'!D15</f>
        <v>77.260000000000005</v>
      </c>
      <c r="AG2352" s="540"/>
      <c r="AH2352" s="176">
        <v>0</v>
      </c>
      <c r="AI2352" s="176"/>
      <c r="AJ2352" s="176">
        <f t="shared" si="835"/>
        <v>88.712250000000012</v>
      </c>
      <c r="AK2352" s="1201">
        <f t="shared" si="832"/>
        <v>0.50440083798882673</v>
      </c>
      <c r="AL2352" s="176">
        <f>Table1[[#This Row],[WSP/Dealer]]/Table1[[#This Row],[OD Sq Inch]]</f>
        <v>0.54242424242424248</v>
      </c>
      <c r="AM2352" s="173">
        <f>Table1[[#This Row],[OD Wdth]]*Table1[[#This Row],[OD Hgt]]</f>
        <v>330</v>
      </c>
      <c r="AN2352" s="180">
        <f>Table1[[#This Row],[Min VO]]+Table1[[#This Row],[Max VO]]</f>
        <v>33</v>
      </c>
      <c r="AO2352" s="83"/>
      <c r="AP2352" s="83"/>
      <c r="AQ2352" s="540"/>
      <c r="AR2352" s="540"/>
      <c r="AS2352" s="540"/>
      <c r="AT2352" s="69"/>
      <c r="AU2352" s="1361" t="str">
        <f t="shared" si="841"/>
        <v>-</v>
      </c>
    </row>
    <row r="2353" spans="1:47" s="173" customFormat="1" x14ac:dyDescent="0.2">
      <c r="A2353" s="86" t="s">
        <v>58</v>
      </c>
      <c r="B2353" s="1061" t="s">
        <v>591</v>
      </c>
      <c r="C2353" s="81" t="s">
        <v>5397</v>
      </c>
      <c r="D2353" s="94"/>
      <c r="E2353" s="90" t="s">
        <v>5398</v>
      </c>
      <c r="F2353" s="85" t="s">
        <v>614</v>
      </c>
      <c r="G2353" s="91" t="s">
        <v>191</v>
      </c>
      <c r="H2353" s="86" t="s">
        <v>191</v>
      </c>
      <c r="I2353" s="91" t="s">
        <v>52</v>
      </c>
      <c r="J2353" s="86" t="s">
        <v>53</v>
      </c>
      <c r="K2353" s="91" t="s">
        <v>54</v>
      </c>
      <c r="L2353" s="86" t="s">
        <v>55</v>
      </c>
      <c r="M2353" s="976">
        <v>900</v>
      </c>
      <c r="N2353" s="639">
        <v>950</v>
      </c>
      <c r="O2353" s="101" t="s">
        <v>56</v>
      </c>
      <c r="P2353" s="273">
        <v>48</v>
      </c>
      <c r="Q2353" s="273">
        <v>60</v>
      </c>
      <c r="R2353" s="60">
        <v>48</v>
      </c>
      <c r="S2353" s="273">
        <v>60</v>
      </c>
      <c r="T2353" s="273">
        <f>Table1[[#This Row],[VO Wdth]]</f>
        <v>48</v>
      </c>
      <c r="U2353" s="273">
        <f>Table1[[#This Row],[VO Hgt]]</f>
        <v>60</v>
      </c>
      <c r="V2353" s="608">
        <f>IF(J2353="Canvas",P2353+BorderGW,P2353)</f>
        <v>56</v>
      </c>
      <c r="W2353" s="608">
        <f>IF(J2353="Canvas",Q2353+BorderGW,Q2353)</f>
        <v>68</v>
      </c>
      <c r="X2353" s="137">
        <v>69</v>
      </c>
      <c r="Y2353" s="101"/>
      <c r="Z2353" s="101"/>
      <c r="AA2353" s="649">
        <f t="shared" ref="AA2353:AA2374" si="842">V2353*W2353/144</f>
        <v>26.444444444444443</v>
      </c>
      <c r="AB2353" s="184">
        <f t="shared" ref="AB2353:AB2360" si="843">AA2353*IncaG</f>
        <v>556.39111111111106</v>
      </c>
      <c r="AC2353" s="104">
        <f t="shared" ref="AC2353:AC2366" si="844">AA2353*Canvas</f>
        <v>17.453333333333333</v>
      </c>
      <c r="AD2353" s="104">
        <f t="shared" ref="AD2353:AD2360" si="845">AA2353*IncaC</f>
        <v>44.511288888888885</v>
      </c>
      <c r="AE2353" s="104">
        <f>IF(Table1[[#This Row],[Work Center]]="SwissQ",Materials!G$37,IF(Table1[[#This Row],[Work Center]]="Inca",Materials!G$29,IF(Table1[[#This Row],[Work Center]]="Canon",Materials!G$49,Materials!G$45)))</f>
        <v>8</v>
      </c>
      <c r="AF2353" s="104">
        <f>'Cali FPS'!C$126</f>
        <v>189.88</v>
      </c>
      <c r="AG2353" s="115"/>
      <c r="AH2353" s="498">
        <f t="shared" ref="AH2353:AH2374" si="846">(M2353*0.05)</f>
        <v>45</v>
      </c>
      <c r="AI2353" s="498"/>
      <c r="AJ2353" s="104">
        <f t="shared" si="835"/>
        <v>304.8446222222222</v>
      </c>
      <c r="AK2353" s="650">
        <f t="shared" si="832"/>
        <v>0.66128375308641985</v>
      </c>
      <c r="AL2353" s="225">
        <f>Table1[[#This Row],[WSP/Dealer]]/Table1[[#This Row],[OD Sq Inch]]</f>
        <v>0.3125</v>
      </c>
      <c r="AM2353" s="216">
        <f>Table1[[#This Row],[OD Wdth]]*Table1[[#This Row],[OD Hgt]]</f>
        <v>2880</v>
      </c>
      <c r="AN2353" s="216">
        <f>Table1[[#This Row],[Min VO]]+Table1[[#This Row],[Max VO]]</f>
        <v>108</v>
      </c>
      <c r="AO2353" s="101"/>
      <c r="AP2353" s="101"/>
      <c r="AQ2353" s="104"/>
      <c r="AR2353" s="104"/>
      <c r="AS2353" s="104"/>
      <c r="AT2353" s="104"/>
      <c r="AU2353" s="830" t="str">
        <f t="shared" si="841"/>
        <v>-</v>
      </c>
    </row>
    <row r="2354" spans="1:47" s="399" customFormat="1" x14ac:dyDescent="0.2">
      <c r="A2354" s="60" t="s">
        <v>58</v>
      </c>
      <c r="B2354" s="1061" t="s">
        <v>96</v>
      </c>
      <c r="C2354" s="81" t="s">
        <v>5399</v>
      </c>
      <c r="D2354" s="94"/>
      <c r="E2354" s="492" t="s">
        <v>5400</v>
      </c>
      <c r="F2354" s="83" t="s">
        <v>374</v>
      </c>
      <c r="G2354" s="92" t="s">
        <v>637</v>
      </c>
      <c r="H2354" s="60" t="s">
        <v>637</v>
      </c>
      <c r="I2354" s="92" t="s">
        <v>52</v>
      </c>
      <c r="J2354" s="59" t="s">
        <v>53</v>
      </c>
      <c r="K2354" s="92" t="s">
        <v>54</v>
      </c>
      <c r="L2354" s="60" t="s">
        <v>55</v>
      </c>
      <c r="M2354" s="647">
        <v>950</v>
      </c>
      <c r="N2354" s="656">
        <v>950</v>
      </c>
      <c r="O2354" s="60" t="s">
        <v>56</v>
      </c>
      <c r="P2354" s="273">
        <v>60</v>
      </c>
      <c r="Q2354" s="273">
        <v>48</v>
      </c>
      <c r="R2354" s="60">
        <v>48</v>
      </c>
      <c r="S2354" s="273">
        <v>60</v>
      </c>
      <c r="T2354" s="273">
        <v>60</v>
      </c>
      <c r="U2354" s="273">
        <v>48</v>
      </c>
      <c r="V2354" s="946">
        <f>IF(J2354="Canvas",P2354+Materials!C$5,P2354)</f>
        <v>67</v>
      </c>
      <c r="W2354" s="946">
        <f>IF(J2354="Canvas",Q2354+Materials!C$5,Q2354)</f>
        <v>55</v>
      </c>
      <c r="X2354" s="138"/>
      <c r="Y2354" s="60">
        <v>67</v>
      </c>
      <c r="Z2354" s="60">
        <v>55</v>
      </c>
      <c r="AA2354" s="717">
        <f t="shared" si="842"/>
        <v>25.590277777777779</v>
      </c>
      <c r="AB2354" s="125">
        <f t="shared" si="843"/>
        <v>538.41944444444448</v>
      </c>
      <c r="AC2354" s="69">
        <f t="shared" si="844"/>
        <v>16.889583333333334</v>
      </c>
      <c r="AD2354" s="48">
        <f t="shared" si="845"/>
        <v>43.073555555555558</v>
      </c>
      <c r="AE2354" s="69">
        <f>IF(Table1[[#This Row],[Work Center]]="SwissQ",Materials!G$37,IF(Table1[[#This Row],[Work Center]]="Inca",Materials!G$29,IF(Table1[[#This Row],[Work Center]]="Canon",Materials!G$49,Materials!G$45)))</f>
        <v>8</v>
      </c>
      <c r="AF2354" s="72">
        <f>'Cali FPS'!C121</f>
        <v>188.18</v>
      </c>
      <c r="AG2354" s="83"/>
      <c r="AH2354" s="48">
        <f t="shared" si="846"/>
        <v>47.5</v>
      </c>
      <c r="AI2354" s="48"/>
      <c r="AJ2354" s="175">
        <f t="shared" si="835"/>
        <v>303.64313888888887</v>
      </c>
      <c r="AK2354" s="62">
        <f t="shared" ref="AK2354:AK2385" si="847">(M2354-AJ2354)/M2354</f>
        <v>0.68037564327485378</v>
      </c>
      <c r="AL2354" s="225">
        <f>Table1[[#This Row],[WSP/Dealer]]/Table1[[#This Row],[OD Sq Inch]]</f>
        <v>0.3298611111111111</v>
      </c>
      <c r="AM2354" s="173">
        <f>Table1[[#This Row],[OD Wdth]]*Table1[[#This Row],[OD Hgt]]</f>
        <v>2880</v>
      </c>
      <c r="AN2354" s="180">
        <f>Table1[[#This Row],[Min VO]]+Table1[[#This Row],[Max VO]]</f>
        <v>108</v>
      </c>
      <c r="AO2354" s="95"/>
      <c r="AP2354" s="83"/>
      <c r="AQ2354" s="540"/>
      <c r="AR2354" s="540"/>
      <c r="AS2354" s="540"/>
      <c r="AT2354" s="69"/>
      <c r="AU2354" s="1355" t="str">
        <f t="shared" si="841"/>
        <v>-</v>
      </c>
    </row>
    <row r="2355" spans="1:47" s="170" customFormat="1" hidden="1" x14ac:dyDescent="0.2">
      <c r="A2355" s="60" t="s">
        <v>2502</v>
      </c>
      <c r="B2355" s="1061" t="s">
        <v>2503</v>
      </c>
      <c r="C2355" s="81" t="s">
        <v>5401</v>
      </c>
      <c r="D2355" s="94"/>
      <c r="E2355" s="492" t="s">
        <v>5402</v>
      </c>
      <c r="F2355" s="83" t="s">
        <v>124</v>
      </c>
      <c r="G2355" s="92" t="s">
        <v>519</v>
      </c>
      <c r="H2355" s="60" t="s">
        <v>688</v>
      </c>
      <c r="I2355" s="92" t="s">
        <v>52</v>
      </c>
      <c r="J2355" s="59" t="s">
        <v>53</v>
      </c>
      <c r="K2355" s="92" t="s">
        <v>69</v>
      </c>
      <c r="L2355" s="60" t="s">
        <v>70</v>
      </c>
      <c r="M2355" s="622">
        <v>300</v>
      </c>
      <c r="N2355" s="124"/>
      <c r="O2355" s="60" t="s">
        <v>56</v>
      </c>
      <c r="P2355" s="273">
        <v>16</v>
      </c>
      <c r="Q2355" s="273">
        <v>20</v>
      </c>
      <c r="R2355" s="60">
        <v>16</v>
      </c>
      <c r="S2355" s="273">
        <v>20</v>
      </c>
      <c r="T2355" s="273">
        <v>17</v>
      </c>
      <c r="U2355" s="273">
        <v>21</v>
      </c>
      <c r="V2355" s="47">
        <f>IF(J2355="Canvas",P2355+Materials!C$5,P2355)</f>
        <v>23</v>
      </c>
      <c r="W2355" s="47">
        <f>IF(J2355="Canvas",Q2355+Materials!C$5,Q2355)</f>
        <v>27</v>
      </c>
      <c r="X2355" s="60">
        <v>40</v>
      </c>
      <c r="Y2355" s="60">
        <v>23</v>
      </c>
      <c r="Z2355" s="60">
        <v>27</v>
      </c>
      <c r="AA2355" s="717">
        <f t="shared" si="842"/>
        <v>4.3125</v>
      </c>
      <c r="AB2355" s="125">
        <f t="shared" si="843"/>
        <v>90.734999999999999</v>
      </c>
      <c r="AC2355" s="69">
        <f t="shared" si="844"/>
        <v>2.8462499999999999</v>
      </c>
      <c r="AD2355" s="48">
        <f t="shared" si="845"/>
        <v>7.2587999999999999</v>
      </c>
      <c r="AE2355" s="69">
        <f>IF(Table1[[#This Row],[Work Center]]="SwissQ",Materials!G$37,IF(Table1[[#This Row],[Work Center]]="Inca",Materials!G$29,IF(Table1[[#This Row],[Work Center]]="Canon",Materials!G$49,Materials!G$45)))</f>
        <v>8</v>
      </c>
      <c r="AF2355" s="72">
        <f>'Cali Frames'!D267</f>
        <v>82.757499999999993</v>
      </c>
      <c r="AG2355" s="83"/>
      <c r="AH2355" s="69">
        <f t="shared" si="846"/>
        <v>15</v>
      </c>
      <c r="AI2355" s="69"/>
      <c r="AJ2355" s="176">
        <f t="shared" si="835"/>
        <v>115.86255</v>
      </c>
      <c r="AK2355" s="650">
        <f t="shared" si="847"/>
        <v>0.61379150000000005</v>
      </c>
      <c r="AL2355" s="225">
        <f>Table1[[#This Row],[WSP/Dealer]]/Table1[[#This Row],[OD Sq Inch]]</f>
        <v>0.84033613445378152</v>
      </c>
      <c r="AM2355" s="173">
        <f>Table1[[#This Row],[OD Wdth]]*Table1[[#This Row],[OD Hgt]]</f>
        <v>357</v>
      </c>
      <c r="AN2355" s="180">
        <f>Table1[[#This Row],[Min VO]]+Table1[[#This Row],[Max VO]]</f>
        <v>36</v>
      </c>
      <c r="AO2355" s="83"/>
      <c r="AP2355" s="83"/>
      <c r="AQ2355" s="540"/>
      <c r="AR2355" s="540"/>
      <c r="AS2355" s="540"/>
      <c r="AT2355" s="69"/>
      <c r="AU2355" s="1361" t="str">
        <f t="shared" si="841"/>
        <v>-</v>
      </c>
    </row>
    <row r="2356" spans="1:47" s="399" customFormat="1" hidden="1" x14ac:dyDescent="0.2">
      <c r="A2356" s="101" t="s">
        <v>110</v>
      </c>
      <c r="B2356" s="1067" t="s">
        <v>486</v>
      </c>
      <c r="C2356" s="1336" t="s">
        <v>5403</v>
      </c>
      <c r="D2356" s="168"/>
      <c r="E2356" s="1680" t="s">
        <v>5404</v>
      </c>
      <c r="F2356" s="625" t="s">
        <v>124</v>
      </c>
      <c r="G2356" s="303" t="s">
        <v>819</v>
      </c>
      <c r="H2356" s="101" t="s">
        <v>819</v>
      </c>
      <c r="I2356" s="303" t="s">
        <v>52</v>
      </c>
      <c r="J2356" s="487" t="s">
        <v>53</v>
      </c>
      <c r="K2356" s="303" t="s">
        <v>54</v>
      </c>
      <c r="L2356" s="101" t="s">
        <v>55</v>
      </c>
      <c r="M2356" s="692">
        <v>425</v>
      </c>
      <c r="N2356" s="114"/>
      <c r="O2356" s="400" t="s">
        <v>56</v>
      </c>
      <c r="P2356" s="400">
        <v>32</v>
      </c>
      <c r="Q2356" s="400">
        <v>40</v>
      </c>
      <c r="R2356" s="400">
        <v>32</v>
      </c>
      <c r="S2356" s="400">
        <v>40</v>
      </c>
      <c r="T2356" s="400">
        <v>32</v>
      </c>
      <c r="U2356" s="101">
        <v>40</v>
      </c>
      <c r="V2356" s="608">
        <f>IF(J2356="Canvas",P2356+Border,P2356)</f>
        <v>40</v>
      </c>
      <c r="W2356" s="608">
        <f>IF(J2356="Canvas",Q2356+Border,Q2356)</f>
        <v>48</v>
      </c>
      <c r="X2356" s="137">
        <v>40</v>
      </c>
      <c r="Y2356" s="101">
        <v>40</v>
      </c>
      <c r="Z2356" s="101">
        <v>48</v>
      </c>
      <c r="AA2356" s="1069">
        <f t="shared" si="842"/>
        <v>13.333333333333334</v>
      </c>
      <c r="AB2356" s="184">
        <f t="shared" si="843"/>
        <v>280.53333333333336</v>
      </c>
      <c r="AC2356" s="104">
        <f t="shared" si="844"/>
        <v>8.8000000000000007</v>
      </c>
      <c r="AD2356" s="107">
        <f t="shared" si="845"/>
        <v>22.442666666666668</v>
      </c>
      <c r="AE2356" s="104">
        <f>IF(Table1[[#This Row],[Work Center]]="SwissQ",Materials!G$37,IF(Table1[[#This Row],[Work Center]]="Inca",Materials!G$29,IF(Table1[[#This Row],[Work Center]]="Canon",Materials!G$49,Materials!G$45)))</f>
        <v>8</v>
      </c>
      <c r="AF2356" s="102">
        <f>'Cali FPS'!C58</f>
        <v>83.3</v>
      </c>
      <c r="AG2356" s="121"/>
      <c r="AH2356" s="405">
        <f t="shared" si="846"/>
        <v>21.25</v>
      </c>
      <c r="AI2356" s="405"/>
      <c r="AJ2356" s="405">
        <f t="shared" si="835"/>
        <v>143.79266666666666</v>
      </c>
      <c r="AK2356" s="1068">
        <f t="shared" si="847"/>
        <v>0.66166431372549017</v>
      </c>
      <c r="AL2356" s="406">
        <f>Table1[[#This Row],[WSP/Dealer]]/Table1[[#This Row],[OD Sq Inch]]</f>
        <v>0.33203125</v>
      </c>
      <c r="AM2356" s="399">
        <f>Table1[[#This Row],[OD Wdth]]*Table1[[#This Row],[OD Hgt]]</f>
        <v>1280</v>
      </c>
      <c r="AN2356" s="400">
        <f>Table1[[#This Row],[Min VO]]+Table1[[#This Row],[Max VO]]</f>
        <v>72</v>
      </c>
      <c r="AO2356" s="115"/>
      <c r="AP2356" s="121">
        <v>850</v>
      </c>
      <c r="AQ2356" s="121">
        <f>(Table1[[#This Row],[Desgnr/Retail P]]*0.05)</f>
        <v>42.5</v>
      </c>
      <c r="AR2356" s="121">
        <f>IF(A2356="Codarus",(AP2356*0.13))</f>
        <v>110.5</v>
      </c>
      <c r="AS2356" s="121">
        <f>SUM(Table1[[#This Row],[Substrate $]:[GP FINISH]])+Table1[[#This Row],[Retail Royalty]]+Table1[[#This Row],[Retail$Comm]]</f>
        <v>275.54266666666666</v>
      </c>
      <c r="AT2356" s="830">
        <f>IF(AP2356=0,"-",(AP2356-AS2356)/AP2356)</f>
        <v>0.675832156862745</v>
      </c>
      <c r="AU2356" s="1359">
        <f t="shared" si="841"/>
        <v>0.98409806689734713</v>
      </c>
    </row>
    <row r="2357" spans="1:47" s="399" customFormat="1" hidden="1" x14ac:dyDescent="0.2">
      <c r="A2357" s="101" t="s">
        <v>110</v>
      </c>
      <c r="B2357" s="1064" t="s">
        <v>486</v>
      </c>
      <c r="C2357" s="1336" t="s">
        <v>5405</v>
      </c>
      <c r="D2357" s="168"/>
      <c r="E2357" s="1680" t="s">
        <v>5404</v>
      </c>
      <c r="F2357" s="625" t="s">
        <v>124</v>
      </c>
      <c r="G2357" s="303" t="s">
        <v>819</v>
      </c>
      <c r="H2357" s="101" t="s">
        <v>5406</v>
      </c>
      <c r="I2357" s="303" t="s">
        <v>52</v>
      </c>
      <c r="J2357" s="487" t="s">
        <v>53</v>
      </c>
      <c r="K2357" s="303" t="s">
        <v>69</v>
      </c>
      <c r="L2357" s="101" t="s">
        <v>70</v>
      </c>
      <c r="M2357" s="692">
        <v>500</v>
      </c>
      <c r="N2357" s="114"/>
      <c r="O2357" s="400" t="s">
        <v>56</v>
      </c>
      <c r="P2357" s="400">
        <v>32</v>
      </c>
      <c r="Q2357" s="400">
        <v>40</v>
      </c>
      <c r="R2357" s="400">
        <v>32</v>
      </c>
      <c r="S2357" s="400">
        <v>40</v>
      </c>
      <c r="T2357" s="697">
        <v>33</v>
      </c>
      <c r="U2357" s="697">
        <v>41</v>
      </c>
      <c r="V2357" s="608">
        <f>IF(J2357="Canvas",P2357+Border,P2357)</f>
        <v>40</v>
      </c>
      <c r="W2357" s="608">
        <f>IF(J2357="Canvas",Q2357+Border,Q2357)</f>
        <v>48</v>
      </c>
      <c r="X2357" s="101">
        <v>40</v>
      </c>
      <c r="Y2357" s="101">
        <v>40</v>
      </c>
      <c r="Z2357" s="101">
        <v>48</v>
      </c>
      <c r="AA2357" s="1069">
        <f t="shared" si="842"/>
        <v>13.333333333333334</v>
      </c>
      <c r="AB2357" s="184">
        <f t="shared" si="843"/>
        <v>280.53333333333336</v>
      </c>
      <c r="AC2357" s="104">
        <f t="shared" si="844"/>
        <v>8.8000000000000007</v>
      </c>
      <c r="AD2357" s="107">
        <f t="shared" si="845"/>
        <v>22.442666666666668</v>
      </c>
      <c r="AE2357" s="104">
        <f>IF(Table1[[#This Row],[Work Center]]="SwissQ",Materials!G$37,IF(Table1[[#This Row],[Work Center]]="Inca",Materials!G$29,IF(Table1[[#This Row],[Work Center]]="Canon",Materials!G$49,Materials!G$45)))</f>
        <v>8</v>
      </c>
      <c r="AF2357" s="102">
        <f>'Cali Frames'!D293</f>
        <v>126.7</v>
      </c>
      <c r="AG2357" s="115"/>
      <c r="AH2357" s="405">
        <f t="shared" si="846"/>
        <v>25</v>
      </c>
      <c r="AI2357" s="406"/>
      <c r="AJ2357" s="405">
        <f t="shared" si="835"/>
        <v>190.94266666666667</v>
      </c>
      <c r="AK2357" s="1068">
        <f t="shared" si="847"/>
        <v>0.61811466666666659</v>
      </c>
      <c r="AL2357" s="406">
        <f>Table1[[#This Row],[WSP/Dealer]]/Table1[[#This Row],[OD Sq Inch]]</f>
        <v>0.36954915003695493</v>
      </c>
      <c r="AM2357" s="399">
        <f>Table1[[#This Row],[OD Wdth]]*Table1[[#This Row],[OD Hgt]]</f>
        <v>1353</v>
      </c>
      <c r="AN2357" s="400">
        <f>Table1[[#This Row],[Min VO]]+Table1[[#This Row],[Max VO]]</f>
        <v>72</v>
      </c>
      <c r="AO2357" s="115"/>
      <c r="AP2357" s="121">
        <v>1000</v>
      </c>
      <c r="AQ2357" s="121">
        <f>(Table1[[#This Row],[Desgnr/Retail P]]*0.05)</f>
        <v>50</v>
      </c>
      <c r="AR2357" s="121">
        <f>IF(A2357="Codarus",(AP2357*0.13))</f>
        <v>130</v>
      </c>
      <c r="AS2357" s="121">
        <f>SUM(Table1[[#This Row],[Substrate $]:[GP FINISH]])+Table1[[#This Row],[Retail Royalty]]+Table1[[#This Row],[Retail$Comm]]</f>
        <v>345.9426666666667</v>
      </c>
      <c r="AT2357" s="830">
        <f>IF(AP2357=0,"-",(AP2357-AS2357)/AP2357)</f>
        <v>0.65405733333333327</v>
      </c>
      <c r="AU2357" s="1359">
        <f t="shared" si="841"/>
        <v>0.98691885333333329</v>
      </c>
    </row>
    <row r="2358" spans="1:47" s="170" customFormat="1" x14ac:dyDescent="0.2">
      <c r="A2358" s="101" t="s">
        <v>58</v>
      </c>
      <c r="B2358" s="1064" t="s">
        <v>121</v>
      </c>
      <c r="C2358" s="1336" t="s">
        <v>5403</v>
      </c>
      <c r="D2358" s="94"/>
      <c r="E2358" s="1680" t="s">
        <v>5404</v>
      </c>
      <c r="F2358" s="625" t="s">
        <v>124</v>
      </c>
      <c r="G2358" s="303" t="s">
        <v>819</v>
      </c>
      <c r="H2358" s="101" t="s">
        <v>819</v>
      </c>
      <c r="I2358" s="303" t="s">
        <v>52</v>
      </c>
      <c r="J2358" s="487" t="s">
        <v>53</v>
      </c>
      <c r="K2358" s="303" t="s">
        <v>54</v>
      </c>
      <c r="L2358" s="101" t="s">
        <v>55</v>
      </c>
      <c r="M2358" s="692">
        <v>575</v>
      </c>
      <c r="N2358" s="114"/>
      <c r="O2358" s="400" t="s">
        <v>56</v>
      </c>
      <c r="P2358" s="400">
        <v>32</v>
      </c>
      <c r="Q2358" s="400">
        <v>40</v>
      </c>
      <c r="R2358" s="400">
        <v>32</v>
      </c>
      <c r="S2358" s="400">
        <v>40</v>
      </c>
      <c r="T2358" s="400">
        <v>32</v>
      </c>
      <c r="U2358" s="101">
        <v>40</v>
      </c>
      <c r="V2358" s="106">
        <f>IF(J2358="Canvas",P2358+Border,P2358)</f>
        <v>40</v>
      </c>
      <c r="W2358" s="106">
        <f>IF(J2358="Canvas",Q2358+Border,Q2358)</f>
        <v>48</v>
      </c>
      <c r="X2358" s="137">
        <v>40</v>
      </c>
      <c r="Y2358" s="101">
        <v>40</v>
      </c>
      <c r="Z2358" s="101">
        <v>48</v>
      </c>
      <c r="AA2358" s="1069">
        <f t="shared" si="842"/>
        <v>13.333333333333334</v>
      </c>
      <c r="AB2358" s="184">
        <f t="shared" si="843"/>
        <v>280.53333333333336</v>
      </c>
      <c r="AC2358" s="104">
        <f t="shared" si="844"/>
        <v>8.8000000000000007</v>
      </c>
      <c r="AD2358" s="107">
        <f t="shared" si="845"/>
        <v>22.442666666666668</v>
      </c>
      <c r="AE2358" s="104">
        <f>IF(Table1[[#This Row],[Work Center]]="SwissQ",Materials!G$37,IF(Table1[[#This Row],[Work Center]]="Inca",Materials!G$29,IF(Table1[[#This Row],[Work Center]]="Canon",Materials!G$49,Materials!G$45)))</f>
        <v>8</v>
      </c>
      <c r="AF2358" s="102">
        <f>'Cali FPS'!C58</f>
        <v>83.3</v>
      </c>
      <c r="AG2358" s="121"/>
      <c r="AH2358" s="405">
        <f t="shared" si="846"/>
        <v>28.75</v>
      </c>
      <c r="AI2358" s="405"/>
      <c r="AJ2358" s="406">
        <f t="shared" si="835"/>
        <v>151.29266666666666</v>
      </c>
      <c r="AK2358" s="1068">
        <f t="shared" si="847"/>
        <v>0.73688231884057975</v>
      </c>
      <c r="AL2358" s="406">
        <f>Table1[[#This Row],[WSP/Dealer]]/Table1[[#This Row],[OD Sq Inch]]</f>
        <v>0.44921875</v>
      </c>
      <c r="AM2358" s="399">
        <f>Table1[[#This Row],[OD Wdth]]*Table1[[#This Row],[OD Hgt]]</f>
        <v>1280</v>
      </c>
      <c r="AN2358" s="400">
        <f>Table1[[#This Row],[Min VO]]+Table1[[#This Row],[Max VO]]</f>
        <v>72</v>
      </c>
      <c r="AO2358" s="115"/>
      <c r="AP2358" s="115"/>
      <c r="AQ2358" s="121"/>
      <c r="AR2358" s="121"/>
      <c r="AS2358" s="121"/>
      <c r="AT2358" s="104"/>
      <c r="AU2358" s="1359" t="str">
        <f t="shared" si="841"/>
        <v>-</v>
      </c>
    </row>
    <row r="2359" spans="1:47" s="170" customFormat="1" x14ac:dyDescent="0.2">
      <c r="A2359" s="60" t="s">
        <v>58</v>
      </c>
      <c r="B2359" s="279" t="s">
        <v>445</v>
      </c>
      <c r="C2359" s="81" t="s">
        <v>5407</v>
      </c>
      <c r="D2359" s="94"/>
      <c r="E2359" s="492" t="s">
        <v>5408</v>
      </c>
      <c r="F2359" s="83" t="s">
        <v>448</v>
      </c>
      <c r="G2359" s="92" t="s">
        <v>191</v>
      </c>
      <c r="H2359" s="60" t="s">
        <v>191</v>
      </c>
      <c r="I2359" s="92" t="s">
        <v>52</v>
      </c>
      <c r="J2359" s="60" t="s">
        <v>53</v>
      </c>
      <c r="K2359" s="92" t="s">
        <v>54</v>
      </c>
      <c r="L2359" s="60" t="s">
        <v>55</v>
      </c>
      <c r="M2359" s="647">
        <v>900</v>
      </c>
      <c r="N2359" s="639">
        <v>950</v>
      </c>
      <c r="O2359" s="60" t="s">
        <v>56</v>
      </c>
      <c r="P2359" s="273">
        <v>48</v>
      </c>
      <c r="Q2359" s="273">
        <v>60</v>
      </c>
      <c r="R2359" s="60">
        <v>48</v>
      </c>
      <c r="S2359" s="273">
        <v>60</v>
      </c>
      <c r="T2359" s="273">
        <f>Table1[[#This Row],[VO Wdth]]</f>
        <v>48</v>
      </c>
      <c r="U2359" s="273">
        <f>Table1[[#This Row],[VO Hgt]]</f>
        <v>60</v>
      </c>
      <c r="V2359" s="946">
        <f t="shared" ref="V2359:V2366" si="848">IF(J2359="Canvas",P2359+BorderGW,P2359)</f>
        <v>56</v>
      </c>
      <c r="W2359" s="946">
        <f t="shared" ref="W2359:W2366" si="849">IF(J2359="Canvas",Q2359+BorderGW,Q2359)</f>
        <v>68</v>
      </c>
      <c r="X2359" s="138">
        <v>69</v>
      </c>
      <c r="Y2359" s="60">
        <v>56</v>
      </c>
      <c r="Z2359" s="60">
        <v>68</v>
      </c>
      <c r="AA2359" s="717">
        <f t="shared" si="842"/>
        <v>26.444444444444443</v>
      </c>
      <c r="AB2359" s="125">
        <f t="shared" si="843"/>
        <v>556.39111111111106</v>
      </c>
      <c r="AC2359" s="69">
        <f t="shared" si="844"/>
        <v>17.453333333333333</v>
      </c>
      <c r="AD2359" s="48">
        <f t="shared" si="845"/>
        <v>44.511288888888885</v>
      </c>
      <c r="AE2359" s="69">
        <f>IF(Table1[[#This Row],[Work Center]]="SwissQ",Materials!G$37,IF(Table1[[#This Row],[Work Center]]="Inca",Materials!G$29,IF(Table1[[#This Row],[Work Center]]="Canon",Materials!G$49,Materials!G$45)))</f>
        <v>8</v>
      </c>
      <c r="AF2359" s="69">
        <f>'Cali FPS'!C121</f>
        <v>188.18</v>
      </c>
      <c r="AG2359" s="83"/>
      <c r="AH2359" s="498">
        <f t="shared" si="846"/>
        <v>45</v>
      </c>
      <c r="AI2359" s="498"/>
      <c r="AJ2359" s="69">
        <f t="shared" si="835"/>
        <v>303.14462222222221</v>
      </c>
      <c r="AK2359" s="650">
        <f t="shared" si="847"/>
        <v>0.66317264197530867</v>
      </c>
      <c r="AL2359" s="225">
        <f>Table1[[#This Row],[WSP/Dealer]]/Table1[[#This Row],[OD Sq Inch]]</f>
        <v>0.3125</v>
      </c>
      <c r="AM2359" s="218">
        <f>Table1[[#This Row],[OD Wdth]]*Table1[[#This Row],[OD Hgt]]</f>
        <v>2880</v>
      </c>
      <c r="AN2359" s="216">
        <f>Table1[[#This Row],[Min VO]]+Table1[[#This Row],[Max VO]]</f>
        <v>108</v>
      </c>
      <c r="AO2359" s="60"/>
      <c r="AP2359" s="60"/>
      <c r="AQ2359" s="69"/>
      <c r="AR2359" s="69"/>
      <c r="AS2359" s="69"/>
      <c r="AT2359" s="69"/>
      <c r="AU2359" s="650" t="str">
        <f t="shared" si="841"/>
        <v>-</v>
      </c>
    </row>
    <row r="2360" spans="1:47" s="170" customFormat="1" x14ac:dyDescent="0.2">
      <c r="A2360" s="60" t="s">
        <v>58</v>
      </c>
      <c r="B2360" s="1061" t="s">
        <v>445</v>
      </c>
      <c r="C2360" s="81" t="s">
        <v>5409</v>
      </c>
      <c r="D2360" s="94"/>
      <c r="E2360" s="492" t="s">
        <v>5410</v>
      </c>
      <c r="F2360" s="83" t="s">
        <v>448</v>
      </c>
      <c r="G2360" s="92" t="s">
        <v>191</v>
      </c>
      <c r="H2360" s="60" t="s">
        <v>191</v>
      </c>
      <c r="I2360" s="92" t="s">
        <v>52</v>
      </c>
      <c r="J2360" s="60" t="s">
        <v>53</v>
      </c>
      <c r="K2360" s="92" t="s">
        <v>54</v>
      </c>
      <c r="L2360" s="60" t="s">
        <v>55</v>
      </c>
      <c r="M2360" s="647">
        <v>900</v>
      </c>
      <c r="N2360" s="639">
        <v>950</v>
      </c>
      <c r="O2360" s="60" t="s">
        <v>56</v>
      </c>
      <c r="P2360" s="61">
        <v>48</v>
      </c>
      <c r="Q2360" s="61">
        <v>60</v>
      </c>
      <c r="R2360" s="60">
        <v>48</v>
      </c>
      <c r="S2360" s="61">
        <v>60</v>
      </c>
      <c r="T2360" s="61">
        <f>Table1[[#This Row],[VO Wdth]]</f>
        <v>48</v>
      </c>
      <c r="U2360" s="61">
        <f>Table1[[#This Row],[VO Hgt]]</f>
        <v>60</v>
      </c>
      <c r="V2360" s="47">
        <f t="shared" si="848"/>
        <v>56</v>
      </c>
      <c r="W2360" s="47">
        <f t="shared" si="849"/>
        <v>68</v>
      </c>
      <c r="X2360" s="138">
        <v>69</v>
      </c>
      <c r="Y2360" s="60">
        <v>56</v>
      </c>
      <c r="Z2360" s="60">
        <v>68</v>
      </c>
      <c r="AA2360" s="717">
        <f t="shared" si="842"/>
        <v>26.444444444444443</v>
      </c>
      <c r="AB2360" s="125">
        <f t="shared" si="843"/>
        <v>556.39111111111106</v>
      </c>
      <c r="AC2360" s="69">
        <f t="shared" si="844"/>
        <v>17.453333333333333</v>
      </c>
      <c r="AD2360" s="48">
        <f t="shared" si="845"/>
        <v>44.511288888888885</v>
      </c>
      <c r="AE2360" s="69">
        <f>IF(Table1[[#This Row],[Work Center]]="SwissQ",Materials!G$37,IF(Table1[[#This Row],[Work Center]]="Inca",Materials!G$29,IF(Table1[[#This Row],[Work Center]]="Canon",Materials!G$49,Materials!G$45)))</f>
        <v>8</v>
      </c>
      <c r="AF2360" s="69">
        <f>'Cali FPS'!C121</f>
        <v>188.18</v>
      </c>
      <c r="AG2360" s="83"/>
      <c r="AH2360" s="112">
        <f t="shared" si="846"/>
        <v>45</v>
      </c>
      <c r="AI2360" s="112"/>
      <c r="AJ2360" s="69">
        <f t="shared" si="835"/>
        <v>303.14462222222221</v>
      </c>
      <c r="AK2360" s="62">
        <f t="shared" si="847"/>
        <v>0.66317264197530867</v>
      </c>
      <c r="AL2360" s="225">
        <f>Table1[[#This Row],[WSP/Dealer]]/Table1[[#This Row],[OD Sq Inch]]</f>
        <v>0.3125</v>
      </c>
      <c r="AM2360" s="218">
        <f>Table1[[#This Row],[OD Wdth]]*Table1[[#This Row],[OD Hgt]]</f>
        <v>2880</v>
      </c>
      <c r="AN2360" s="216">
        <f>Table1[[#This Row],[Min VO]]+Table1[[#This Row],[Max VO]]</f>
        <v>108</v>
      </c>
      <c r="AO2360" s="46"/>
      <c r="AP2360" s="60"/>
      <c r="AQ2360" s="69"/>
      <c r="AR2360" s="69"/>
      <c r="AS2360" s="69"/>
      <c r="AT2360" s="69"/>
      <c r="AU2360" s="62" t="str">
        <f t="shared" si="841"/>
        <v>-</v>
      </c>
    </row>
    <row r="2361" spans="1:47" s="170" customFormat="1" x14ac:dyDescent="0.2">
      <c r="A2361" s="68" t="s">
        <v>58</v>
      </c>
      <c r="B2361" s="1061" t="s">
        <v>146</v>
      </c>
      <c r="C2361" s="82" t="s">
        <v>5411</v>
      </c>
      <c r="D2361" s="94" t="s">
        <v>5412</v>
      </c>
      <c r="E2361" s="378" t="s">
        <v>5413</v>
      </c>
      <c r="F2361" s="84" t="s">
        <v>634</v>
      </c>
      <c r="G2361" s="282" t="s">
        <v>5414</v>
      </c>
      <c r="H2361" s="68" t="s">
        <v>5414</v>
      </c>
      <c r="I2361" s="282" t="s">
        <v>52</v>
      </c>
      <c r="J2361" s="68" t="s">
        <v>53</v>
      </c>
      <c r="K2361" s="282" t="s">
        <v>54</v>
      </c>
      <c r="L2361" s="68" t="s">
        <v>55</v>
      </c>
      <c r="M2361" s="380">
        <v>850</v>
      </c>
      <c r="N2361" s="639">
        <v>890</v>
      </c>
      <c r="O2361" s="68" t="s">
        <v>64</v>
      </c>
      <c r="P2361" s="68">
        <v>40</v>
      </c>
      <c r="Q2361" s="68">
        <v>65</v>
      </c>
      <c r="R2361" s="68">
        <v>40</v>
      </c>
      <c r="S2361" s="65">
        <v>65</v>
      </c>
      <c r="T2361" s="65">
        <f>Table1[[#This Row],[VO Wdth]]</f>
        <v>40</v>
      </c>
      <c r="U2361" s="65">
        <f>Table1[[#This Row],[VO Hgt]]</f>
        <v>65</v>
      </c>
      <c r="V2361" s="66">
        <f t="shared" si="848"/>
        <v>48</v>
      </c>
      <c r="W2361" s="66">
        <f t="shared" si="849"/>
        <v>73</v>
      </c>
      <c r="X2361" s="189">
        <v>53</v>
      </c>
      <c r="Y2361" s="68"/>
      <c r="Z2361" s="68"/>
      <c r="AA2361" s="699">
        <f t="shared" si="842"/>
        <v>24.333333333333332</v>
      </c>
      <c r="AB2361" s="382">
        <f>AA2361*Swiss1</f>
        <v>688.63333333333333</v>
      </c>
      <c r="AC2361" s="74">
        <f t="shared" si="844"/>
        <v>16.059999999999999</v>
      </c>
      <c r="AD2361" s="161">
        <f>Table1[[#This Row],[Substrate SF]]*Materials!C$37</f>
        <v>68.133333333333326</v>
      </c>
      <c r="AE2361" s="104">
        <f>IF(Table1[[#This Row],[Work Center]]="SwissQ",Materials!G$37,IF(Table1[[#This Row],[Work Center]]="Inca",Materials!G$29,IF(Table1[[#This Row],[Work Center]]="Canon",Materials!G$49,Materials!G$45)))</f>
        <v>20</v>
      </c>
      <c r="AF2361" s="74">
        <f>'Cali FPS'!C90</f>
        <v>174.42250000000001</v>
      </c>
      <c r="AG2361" s="84"/>
      <c r="AH2361" s="498">
        <f t="shared" si="846"/>
        <v>42.5</v>
      </c>
      <c r="AI2361" s="498"/>
      <c r="AJ2361" s="74">
        <f t="shared" si="835"/>
        <v>321.11583333333334</v>
      </c>
      <c r="AK2361" s="650">
        <f t="shared" si="847"/>
        <v>0.62221666666666675</v>
      </c>
      <c r="AL2361" s="225">
        <f>Table1[[#This Row],[WSP/Dealer]]/Table1[[#This Row],[OD Sq Inch]]</f>
        <v>0.32692307692307693</v>
      </c>
      <c r="AM2361" s="235">
        <f>Table1[[#This Row],[OD Wdth]]*Table1[[#This Row],[OD Hgt]]</f>
        <v>2600</v>
      </c>
      <c r="AN2361" s="238">
        <f>Table1[[#This Row],[Min VO]]+Table1[[#This Row],[Max VO]]</f>
        <v>105</v>
      </c>
      <c r="AO2361" s="68"/>
      <c r="AP2361" s="68"/>
      <c r="AQ2361" s="74"/>
      <c r="AR2361" s="74"/>
      <c r="AS2361" s="74"/>
      <c r="AT2361" s="74"/>
      <c r="AU2361" s="661" t="str">
        <f t="shared" si="841"/>
        <v>-</v>
      </c>
    </row>
    <row r="2362" spans="1:47" s="170" customFormat="1" x14ac:dyDescent="0.2">
      <c r="A2362" s="86" t="s">
        <v>58</v>
      </c>
      <c r="B2362" s="279" t="s">
        <v>146</v>
      </c>
      <c r="C2362" s="80" t="s">
        <v>5411</v>
      </c>
      <c r="D2362" s="94" t="s">
        <v>5412</v>
      </c>
      <c r="E2362" s="90" t="s">
        <v>5413</v>
      </c>
      <c r="F2362" s="85" t="s">
        <v>634</v>
      </c>
      <c r="G2362" s="91" t="s">
        <v>5414</v>
      </c>
      <c r="H2362" s="86" t="s">
        <v>5414</v>
      </c>
      <c r="I2362" s="91" t="s">
        <v>52</v>
      </c>
      <c r="J2362" s="86" t="s">
        <v>53</v>
      </c>
      <c r="K2362" s="91" t="s">
        <v>54</v>
      </c>
      <c r="L2362" s="86" t="s">
        <v>55</v>
      </c>
      <c r="M2362" s="976">
        <v>850</v>
      </c>
      <c r="N2362" s="639">
        <v>890</v>
      </c>
      <c r="O2362" s="60" t="s">
        <v>56</v>
      </c>
      <c r="P2362" s="60">
        <v>40</v>
      </c>
      <c r="Q2362" s="60">
        <v>65</v>
      </c>
      <c r="R2362" s="60">
        <v>40</v>
      </c>
      <c r="S2362" s="273">
        <v>65</v>
      </c>
      <c r="T2362" s="273">
        <f>Table1[[#This Row],[VO Wdth]]</f>
        <v>40</v>
      </c>
      <c r="U2362" s="273">
        <f>Table1[[#This Row],[VO Hgt]]</f>
        <v>65</v>
      </c>
      <c r="V2362" s="47">
        <f t="shared" si="848"/>
        <v>48</v>
      </c>
      <c r="W2362" s="47">
        <f t="shared" si="849"/>
        <v>73</v>
      </c>
      <c r="X2362" s="138">
        <v>53</v>
      </c>
      <c r="Y2362" s="60"/>
      <c r="Z2362" s="60"/>
      <c r="AA2362" s="717">
        <f t="shared" si="842"/>
        <v>24.333333333333332</v>
      </c>
      <c r="AB2362" s="125">
        <f>AA2362*IncaG</f>
        <v>511.9733333333333</v>
      </c>
      <c r="AC2362" s="69">
        <f t="shared" si="844"/>
        <v>16.059999999999999</v>
      </c>
      <c r="AD2362" s="48">
        <f>AA2362*IncaC</f>
        <v>40.957866666666668</v>
      </c>
      <c r="AE2362" s="104">
        <f>IF(Table1[[#This Row],[Work Center]]="SwissQ",Materials!G$37,IF(Table1[[#This Row],[Work Center]]="Inca",Materials!G$29,IF(Table1[[#This Row],[Work Center]]="Canon",Materials!G$49,Materials!G$45)))</f>
        <v>8</v>
      </c>
      <c r="AF2362" s="69">
        <f>'Cali FPS'!C$90</f>
        <v>174.42250000000001</v>
      </c>
      <c r="AG2362" s="115"/>
      <c r="AH2362" s="112">
        <f t="shared" si="846"/>
        <v>42.5</v>
      </c>
      <c r="AI2362" s="112"/>
      <c r="AJ2362" s="69">
        <f t="shared" si="835"/>
        <v>281.9403666666667</v>
      </c>
      <c r="AK2362" s="62">
        <f t="shared" si="847"/>
        <v>0.66830545098039207</v>
      </c>
      <c r="AL2362" s="225">
        <f>Table1[[#This Row],[WSP/Dealer]]/Table1[[#This Row],[OD Sq Inch]]</f>
        <v>0.32692307692307693</v>
      </c>
      <c r="AM2362" s="218">
        <f>Table1[[#This Row],[OD Wdth]]*Table1[[#This Row],[OD Hgt]]</f>
        <v>2600</v>
      </c>
      <c r="AN2362" s="216">
        <f>Table1[[#This Row],[Min VO]]+Table1[[#This Row],[Max VO]]</f>
        <v>105</v>
      </c>
      <c r="AO2362" s="101"/>
      <c r="AP2362" s="101"/>
      <c r="AQ2362" s="104"/>
      <c r="AR2362" s="104"/>
      <c r="AS2362" s="104"/>
      <c r="AT2362" s="104"/>
      <c r="AU2362" s="830" t="str">
        <f t="shared" si="841"/>
        <v>-</v>
      </c>
    </row>
    <row r="2363" spans="1:47" s="170" customFormat="1" x14ac:dyDescent="0.2">
      <c r="A2363" s="68" t="s">
        <v>58</v>
      </c>
      <c r="B2363" s="1061" t="s">
        <v>146</v>
      </c>
      <c r="C2363" s="82" t="s">
        <v>5415</v>
      </c>
      <c r="D2363" s="94" t="s">
        <v>5416</v>
      </c>
      <c r="E2363" s="378" t="s">
        <v>5413</v>
      </c>
      <c r="F2363" s="84" t="s">
        <v>634</v>
      </c>
      <c r="G2363" s="282" t="s">
        <v>5414</v>
      </c>
      <c r="H2363" s="68" t="s">
        <v>5417</v>
      </c>
      <c r="I2363" s="282" t="s">
        <v>52</v>
      </c>
      <c r="J2363" s="68" t="s">
        <v>53</v>
      </c>
      <c r="K2363" s="282" t="s">
        <v>69</v>
      </c>
      <c r="L2363" s="68" t="s">
        <v>73</v>
      </c>
      <c r="M2363" s="380">
        <f>850+215</f>
        <v>1065</v>
      </c>
      <c r="N2363" s="639">
        <v>1150</v>
      </c>
      <c r="O2363" s="68" t="s">
        <v>64</v>
      </c>
      <c r="P2363" s="68">
        <v>40</v>
      </c>
      <c r="Q2363" s="68">
        <v>65</v>
      </c>
      <c r="R2363" s="68">
        <v>40</v>
      </c>
      <c r="S2363" s="623">
        <v>65</v>
      </c>
      <c r="T2363" s="68">
        <v>41</v>
      </c>
      <c r="U2363" s="623" t="str">
        <f>RIGHT(Table1[[#This Row],[OD]],2)</f>
        <v>66</v>
      </c>
      <c r="V2363" s="917">
        <f t="shared" si="848"/>
        <v>48</v>
      </c>
      <c r="W2363" s="917">
        <f t="shared" si="849"/>
        <v>73</v>
      </c>
      <c r="X2363" s="189">
        <v>53</v>
      </c>
      <c r="Y2363" s="68"/>
      <c r="Z2363" s="68"/>
      <c r="AA2363" s="699">
        <f t="shared" si="842"/>
        <v>24.333333333333332</v>
      </c>
      <c r="AB2363" s="382">
        <f>AA2363*Swiss1</f>
        <v>688.63333333333333</v>
      </c>
      <c r="AC2363" s="74">
        <f t="shared" si="844"/>
        <v>16.059999999999999</v>
      </c>
      <c r="AD2363" s="161">
        <f>Table1[[#This Row],[Substrate SF]]*Materials!C$37</f>
        <v>68.133333333333326</v>
      </c>
      <c r="AE2363" s="104">
        <f>IF(Table1[[#This Row],[Work Center]]="SwissQ",Materials!G$37,IF(Table1[[#This Row],[Work Center]]="Inca",Materials!G$29,IF(Table1[[#This Row],[Work Center]]="Canon",Materials!G$49,Materials!G$45)))</f>
        <v>20</v>
      </c>
      <c r="AF2363" s="74">
        <f>'Cali Frames'!D451</f>
        <v>226.94</v>
      </c>
      <c r="AG2363" s="84"/>
      <c r="AH2363" s="112">
        <f t="shared" si="846"/>
        <v>53.25</v>
      </c>
      <c r="AI2363" s="112"/>
      <c r="AJ2363" s="74">
        <f t="shared" si="835"/>
        <v>384.38333333333333</v>
      </c>
      <c r="AK2363" s="62">
        <f t="shared" si="847"/>
        <v>0.63907668231611892</v>
      </c>
      <c r="AL2363" s="225">
        <f>Table1[[#This Row],[WSP/Dealer]]/Table1[[#This Row],[OD Sq Inch]]</f>
        <v>0.39356984478935697</v>
      </c>
      <c r="AM2363" s="63">
        <f>Table1[[#This Row],[OD Wdth]]*Table1[[#This Row],[OD Hgt]]</f>
        <v>2706</v>
      </c>
      <c r="AN2363" s="238">
        <f>Table1[[#This Row],[Min VO]]+Table1[[#This Row],[Max VO]]</f>
        <v>105</v>
      </c>
      <c r="AO2363" s="68"/>
      <c r="AP2363" s="68"/>
      <c r="AQ2363" s="74"/>
      <c r="AR2363" s="74"/>
      <c r="AS2363" s="74"/>
      <c r="AT2363" s="74"/>
      <c r="AU2363" s="1001" t="str">
        <f t="shared" si="841"/>
        <v>-</v>
      </c>
    </row>
    <row r="2364" spans="1:47" s="173" customFormat="1" x14ac:dyDescent="0.2">
      <c r="A2364" s="86" t="s">
        <v>58</v>
      </c>
      <c r="B2364" s="1061" t="s">
        <v>146</v>
      </c>
      <c r="C2364" s="80" t="s">
        <v>5418</v>
      </c>
      <c r="D2364" s="94" t="s">
        <v>5419</v>
      </c>
      <c r="E2364" s="90" t="s">
        <v>5413</v>
      </c>
      <c r="F2364" s="85" t="s">
        <v>634</v>
      </c>
      <c r="G2364" s="91" t="s">
        <v>5414</v>
      </c>
      <c r="H2364" s="86" t="s">
        <v>5417</v>
      </c>
      <c r="I2364" s="91" t="s">
        <v>52</v>
      </c>
      <c r="J2364" s="86" t="s">
        <v>53</v>
      </c>
      <c r="K2364" s="91" t="s">
        <v>69</v>
      </c>
      <c r="L2364" s="86" t="s">
        <v>70</v>
      </c>
      <c r="M2364" s="976">
        <f>850+185</f>
        <v>1035</v>
      </c>
      <c r="N2364" s="656">
        <v>1100</v>
      </c>
      <c r="O2364" s="60" t="s">
        <v>56</v>
      </c>
      <c r="P2364" s="60">
        <v>40</v>
      </c>
      <c r="Q2364" s="60">
        <v>65</v>
      </c>
      <c r="R2364" s="60">
        <v>40</v>
      </c>
      <c r="S2364" s="61">
        <v>65</v>
      </c>
      <c r="T2364" s="46">
        <v>41</v>
      </c>
      <c r="U2364" s="61" t="str">
        <f>RIGHT(Table1[[#This Row],[OD]],2)</f>
        <v>66</v>
      </c>
      <c r="V2364" s="47">
        <f t="shared" si="848"/>
        <v>48</v>
      </c>
      <c r="W2364" s="47">
        <f t="shared" si="849"/>
        <v>73</v>
      </c>
      <c r="X2364" s="138">
        <v>53</v>
      </c>
      <c r="Y2364" s="60"/>
      <c r="Z2364" s="60"/>
      <c r="AA2364" s="717">
        <f t="shared" si="842"/>
        <v>24.333333333333332</v>
      </c>
      <c r="AB2364" s="125">
        <f>AA2364*IncaG</f>
        <v>511.9733333333333</v>
      </c>
      <c r="AC2364" s="69">
        <f t="shared" si="844"/>
        <v>16.059999999999999</v>
      </c>
      <c r="AD2364" s="48">
        <f>AA2364*IncaC</f>
        <v>40.957866666666668</v>
      </c>
      <c r="AE2364" s="104">
        <f>IF(Table1[[#This Row],[Work Center]]="SwissQ",Materials!G$37,IF(Table1[[#This Row],[Work Center]]="Inca",Materials!G$29,IF(Table1[[#This Row],[Work Center]]="Canon",Materials!G$49,Materials!G$45)))</f>
        <v>8</v>
      </c>
      <c r="AF2364" s="69"/>
      <c r="AG2364" s="115"/>
      <c r="AH2364" s="112">
        <f t="shared" si="846"/>
        <v>51.75</v>
      </c>
      <c r="AI2364" s="112"/>
      <c r="AJ2364" s="48">
        <f t="shared" si="835"/>
        <v>116.76786666666666</v>
      </c>
      <c r="AK2364" s="62">
        <f t="shared" si="847"/>
        <v>0.88718080515297904</v>
      </c>
      <c r="AL2364" s="225">
        <f>Table1[[#This Row],[WSP/Dealer]]/Table1[[#This Row],[OD Sq Inch]]</f>
        <v>0.38248337028824836</v>
      </c>
      <c r="AM2364" s="103">
        <f>Table1[[#This Row],[OD Wdth]]*Table1[[#This Row],[OD Hgt]]</f>
        <v>2706</v>
      </c>
      <c r="AN2364" s="216">
        <f>Table1[[#This Row],[Min VO]]+Table1[[#This Row],[Max VO]]</f>
        <v>105</v>
      </c>
      <c r="AO2364" s="101"/>
      <c r="AP2364" s="101"/>
      <c r="AQ2364" s="104"/>
      <c r="AR2364" s="104"/>
      <c r="AS2364" s="104"/>
      <c r="AT2364" s="104"/>
      <c r="AU2364" s="830" t="str">
        <f t="shared" si="841"/>
        <v>-</v>
      </c>
    </row>
    <row r="2365" spans="1:47" s="173" customFormat="1" x14ac:dyDescent="0.2">
      <c r="A2365" s="60" t="s">
        <v>58</v>
      </c>
      <c r="B2365" s="274"/>
      <c r="C2365" s="80" t="s">
        <v>5418</v>
      </c>
      <c r="D2365" s="94" t="s">
        <v>5419</v>
      </c>
      <c r="E2365" s="492" t="s">
        <v>5413</v>
      </c>
      <c r="F2365" s="83" t="s">
        <v>634</v>
      </c>
      <c r="G2365" s="92" t="s">
        <v>5414</v>
      </c>
      <c r="H2365" s="60" t="s">
        <v>5417</v>
      </c>
      <c r="I2365" s="92" t="s">
        <v>52</v>
      </c>
      <c r="J2365" s="60" t="s">
        <v>53</v>
      </c>
      <c r="K2365" s="92" t="s">
        <v>69</v>
      </c>
      <c r="L2365" s="60" t="s">
        <v>70</v>
      </c>
      <c r="M2365" s="622">
        <f>850+185</f>
        <v>1035</v>
      </c>
      <c r="N2365" s="656">
        <v>1100</v>
      </c>
      <c r="O2365" s="60" t="s">
        <v>64</v>
      </c>
      <c r="P2365" s="60">
        <v>40</v>
      </c>
      <c r="Q2365" s="60">
        <v>65</v>
      </c>
      <c r="R2365" s="60">
        <v>40</v>
      </c>
      <c r="S2365" s="273">
        <v>65</v>
      </c>
      <c r="T2365" s="60">
        <v>41</v>
      </c>
      <c r="U2365" s="273" t="str">
        <f>RIGHT(Table1[[#This Row],[OD]],2)</f>
        <v>66</v>
      </c>
      <c r="V2365" s="47">
        <f t="shared" si="848"/>
        <v>48</v>
      </c>
      <c r="W2365" s="47">
        <f t="shared" si="849"/>
        <v>73</v>
      </c>
      <c r="X2365" s="138">
        <v>53</v>
      </c>
      <c r="Y2365" s="60"/>
      <c r="Z2365" s="60"/>
      <c r="AA2365" s="717">
        <f t="shared" si="842"/>
        <v>24.333333333333332</v>
      </c>
      <c r="AB2365" s="389">
        <f>AA2365*Swiss1</f>
        <v>688.63333333333333</v>
      </c>
      <c r="AC2365" s="69">
        <f t="shared" si="844"/>
        <v>16.059999999999999</v>
      </c>
      <c r="AD2365" s="150">
        <f>Table1[[#This Row],[Substrate SF]]*Materials!C$37</f>
        <v>68.133333333333326</v>
      </c>
      <c r="AE2365" s="69">
        <f>IF(Table1[[#This Row],[Work Center]]="SwissQ",Materials!G$37,IF(Table1[[#This Row],[Work Center]]="Inca",Materials!G$29,IF(Table1[[#This Row],[Work Center]]="Canon",Materials!G$49,Materials!G$45)))</f>
        <v>20</v>
      </c>
      <c r="AF2365" s="69">
        <f>'Cali Frames'!D316</f>
        <v>238.17500000000001</v>
      </c>
      <c r="AG2365" s="83"/>
      <c r="AH2365" s="69">
        <f t="shared" si="846"/>
        <v>51.75</v>
      </c>
      <c r="AI2365" s="69"/>
      <c r="AJ2365" s="69">
        <f t="shared" si="835"/>
        <v>394.11833333333334</v>
      </c>
      <c r="AK2365" s="650">
        <f t="shared" si="847"/>
        <v>0.61920933977455717</v>
      </c>
      <c r="AL2365" s="225">
        <f>Table1[[#This Row],[WSP/Dealer]]/Table1[[#This Row],[OD Sq Inch]]</f>
        <v>0.38248337028824836</v>
      </c>
      <c r="AM2365" s="46">
        <f>Table1[[#This Row],[OD Wdth]]*Table1[[#This Row],[OD Hgt]]</f>
        <v>2706</v>
      </c>
      <c r="AN2365" s="216">
        <f>Table1[[#This Row],[Min VO]]+Table1[[#This Row],[Max VO]]</f>
        <v>105</v>
      </c>
      <c r="AO2365" s="60"/>
      <c r="AP2365" s="60"/>
      <c r="AQ2365" s="69"/>
      <c r="AR2365" s="69"/>
      <c r="AS2365" s="69"/>
      <c r="AT2365" s="69"/>
      <c r="AU2365" s="650" t="str">
        <f t="shared" si="841"/>
        <v>-</v>
      </c>
    </row>
    <row r="2366" spans="1:47" s="170" customFormat="1" x14ac:dyDescent="0.2">
      <c r="A2366" s="86" t="s">
        <v>58</v>
      </c>
      <c r="B2366" s="1061" t="s">
        <v>146</v>
      </c>
      <c r="C2366" s="80" t="s">
        <v>5415</v>
      </c>
      <c r="D2366" s="94" t="s">
        <v>5416</v>
      </c>
      <c r="E2366" s="90" t="s">
        <v>5413</v>
      </c>
      <c r="F2366" s="85" t="s">
        <v>634</v>
      </c>
      <c r="G2366" s="91" t="s">
        <v>5414</v>
      </c>
      <c r="H2366" s="86" t="s">
        <v>5417</v>
      </c>
      <c r="I2366" s="91" t="s">
        <v>52</v>
      </c>
      <c r="J2366" s="86" t="s">
        <v>53</v>
      </c>
      <c r="K2366" s="91" t="s">
        <v>69</v>
      </c>
      <c r="L2366" s="86" t="s">
        <v>73</v>
      </c>
      <c r="M2366" s="976">
        <f>850+215</f>
        <v>1065</v>
      </c>
      <c r="N2366" s="656">
        <v>1100</v>
      </c>
      <c r="O2366" s="60" t="s">
        <v>56</v>
      </c>
      <c r="P2366" s="60">
        <v>40</v>
      </c>
      <c r="Q2366" s="60">
        <v>65</v>
      </c>
      <c r="R2366" s="60">
        <v>40</v>
      </c>
      <c r="S2366" s="273">
        <v>65</v>
      </c>
      <c r="T2366" s="60">
        <v>41</v>
      </c>
      <c r="U2366" s="273" t="str">
        <f>RIGHT(Table1[[#This Row],[OD]],2)</f>
        <v>66</v>
      </c>
      <c r="V2366" s="946">
        <f t="shared" si="848"/>
        <v>48</v>
      </c>
      <c r="W2366" s="946">
        <f t="shared" si="849"/>
        <v>73</v>
      </c>
      <c r="X2366" s="138">
        <v>53</v>
      </c>
      <c r="Y2366" s="60"/>
      <c r="Z2366" s="60"/>
      <c r="AA2366" s="717">
        <f t="shared" si="842"/>
        <v>24.333333333333332</v>
      </c>
      <c r="AB2366" s="125">
        <f>AA2366*IncaG</f>
        <v>511.9733333333333</v>
      </c>
      <c r="AC2366" s="69">
        <f t="shared" si="844"/>
        <v>16.059999999999999</v>
      </c>
      <c r="AD2366" s="48">
        <f>AA2366*IncaC</f>
        <v>40.957866666666668</v>
      </c>
      <c r="AE2366" s="104">
        <f>IF(Table1[[#This Row],[Work Center]]="SwissQ",Materials!G$37,IF(Table1[[#This Row],[Work Center]]="Inca",Materials!G$29,IF(Table1[[#This Row],[Work Center]]="Canon",Materials!G$49,Materials!G$45)))</f>
        <v>8</v>
      </c>
      <c r="AF2366" s="69"/>
      <c r="AG2366" s="115"/>
      <c r="AH2366" s="498">
        <f t="shared" si="846"/>
        <v>53.25</v>
      </c>
      <c r="AI2366" s="498"/>
      <c r="AJ2366" s="69">
        <f t="shared" si="835"/>
        <v>118.26786666666666</v>
      </c>
      <c r="AK2366" s="650">
        <f t="shared" si="847"/>
        <v>0.88895035993740212</v>
      </c>
      <c r="AL2366" s="225">
        <f>Table1[[#This Row],[WSP/Dealer]]/Table1[[#This Row],[OD Sq Inch]]</f>
        <v>0.39356984478935697</v>
      </c>
      <c r="AM2366" s="103">
        <f>Table1[[#This Row],[OD Wdth]]*Table1[[#This Row],[OD Hgt]]</f>
        <v>2706</v>
      </c>
      <c r="AN2366" s="216">
        <f>Table1[[#This Row],[Min VO]]+Table1[[#This Row],[Max VO]]</f>
        <v>105</v>
      </c>
      <c r="AO2366" s="101"/>
      <c r="AP2366" s="101"/>
      <c r="AQ2366" s="104"/>
      <c r="AR2366" s="104"/>
      <c r="AS2366" s="104"/>
      <c r="AT2366" s="104"/>
      <c r="AU2366" s="830" t="str">
        <f t="shared" si="841"/>
        <v>-</v>
      </c>
    </row>
    <row r="2367" spans="1:47" s="170" customFormat="1" hidden="1" x14ac:dyDescent="0.2">
      <c r="A2367" s="349" t="s">
        <v>669</v>
      </c>
      <c r="B2367" s="279" t="s">
        <v>88</v>
      </c>
      <c r="C2367" s="82" t="s">
        <v>5420</v>
      </c>
      <c r="D2367" s="94" t="s">
        <v>5421</v>
      </c>
      <c r="E2367" s="378" t="s">
        <v>5422</v>
      </c>
      <c r="F2367" s="84" t="s">
        <v>634</v>
      </c>
      <c r="G2367" s="282" t="s">
        <v>5423</v>
      </c>
      <c r="H2367" s="68" t="s">
        <v>5424</v>
      </c>
      <c r="I2367" s="282" t="s">
        <v>52</v>
      </c>
      <c r="J2367" s="349" t="s">
        <v>280</v>
      </c>
      <c r="K2367" s="282" t="s">
        <v>69</v>
      </c>
      <c r="L2367" s="68" t="s">
        <v>73</v>
      </c>
      <c r="M2367" s="380">
        <v>1320</v>
      </c>
      <c r="N2367" s="71"/>
      <c r="O2367" s="68" t="s">
        <v>64</v>
      </c>
      <c r="P2367" s="68">
        <v>52</v>
      </c>
      <c r="Q2367" s="68">
        <v>84</v>
      </c>
      <c r="R2367" s="68">
        <v>52</v>
      </c>
      <c r="S2367" s="623">
        <v>84</v>
      </c>
      <c r="T2367" s="68">
        <v>53</v>
      </c>
      <c r="U2367" s="68" t="str">
        <f>RIGHT(H2367,2)</f>
        <v>85</v>
      </c>
      <c r="V2367" s="917">
        <f>IF(J2367="Canvas",P2367+Border,P2367)</f>
        <v>52</v>
      </c>
      <c r="W2367" s="917">
        <f>IF(J2367="Canvas",Q2367+Border,Q2367)</f>
        <v>84</v>
      </c>
      <c r="X2367" s="189" t="s">
        <v>2471</v>
      </c>
      <c r="Y2367" s="68"/>
      <c r="Z2367" s="68"/>
      <c r="AA2367" s="699">
        <f t="shared" si="842"/>
        <v>30.333333333333332</v>
      </c>
      <c r="AB2367" s="382">
        <f>AA2367*Swiss1</f>
        <v>858.43333333333328</v>
      </c>
      <c r="AC2367" s="74">
        <f>PETG60</f>
        <v>58.32</v>
      </c>
      <c r="AD2367" s="161">
        <f>Table1[[#This Row],[Substrate SF]]*Materials!C$37</f>
        <v>84.933333333333323</v>
      </c>
      <c r="AE2367" s="104">
        <f>IF(Table1[[#This Row],[Work Center]]="SwissQ",Materials!G$37,IF(Table1[[#This Row],[Work Center]]="Inca",Materials!G$29,IF(Table1[[#This Row],[Work Center]]="Canon",Materials!G$49,Materials!G$45)))</f>
        <v>20</v>
      </c>
      <c r="AF2367" s="74">
        <f>'Cali Frames'!D$477</f>
        <v>311.04500000000002</v>
      </c>
      <c r="AG2367" s="84"/>
      <c r="AH2367" s="112">
        <f t="shared" si="846"/>
        <v>66</v>
      </c>
      <c r="AI2367" s="112"/>
      <c r="AJ2367" s="74">
        <f t="shared" si="835"/>
        <v>540.2983333333334</v>
      </c>
      <c r="AK2367" s="62">
        <f t="shared" si="847"/>
        <v>0.59068308080808074</v>
      </c>
      <c r="AL2367" s="225">
        <f>Table1[[#This Row],[WSP/Dealer]]/Table1[[#This Row],[OD Sq Inch]]</f>
        <v>0.293007769145394</v>
      </c>
      <c r="AM2367" s="63">
        <f>Table1[[#This Row],[OD Wdth]]*Table1[[#This Row],[OD Hgt]]</f>
        <v>4505</v>
      </c>
      <c r="AN2367" s="238">
        <f>Table1[[#This Row],[Min VO]]+Table1[[#This Row],[Max VO]]</f>
        <v>136</v>
      </c>
      <c r="AO2367" s="68"/>
      <c r="AP2367" s="68"/>
      <c r="AQ2367" s="74"/>
      <c r="AR2367" s="74"/>
      <c r="AS2367" s="74"/>
      <c r="AT2367" s="74"/>
      <c r="AU2367" s="1001" t="str">
        <f t="shared" si="841"/>
        <v>-</v>
      </c>
    </row>
    <row r="2368" spans="1:47" s="170" customFormat="1" hidden="1" x14ac:dyDescent="0.2">
      <c r="A2368" s="86" t="s">
        <v>669</v>
      </c>
      <c r="B2368" s="279" t="s">
        <v>88</v>
      </c>
      <c r="C2368" s="122" t="s">
        <v>5420</v>
      </c>
      <c r="D2368" s="94" t="s">
        <v>5421</v>
      </c>
      <c r="E2368" s="90" t="s">
        <v>5422</v>
      </c>
      <c r="F2368" s="85" t="s">
        <v>634</v>
      </c>
      <c r="G2368" s="91" t="s">
        <v>5423</v>
      </c>
      <c r="H2368" s="86" t="s">
        <v>5424</v>
      </c>
      <c r="I2368" s="91" t="s">
        <v>52</v>
      </c>
      <c r="J2368" s="86" t="s">
        <v>280</v>
      </c>
      <c r="K2368" s="91" t="s">
        <v>69</v>
      </c>
      <c r="L2368" s="86" t="s">
        <v>73</v>
      </c>
      <c r="M2368" s="976">
        <v>1320</v>
      </c>
      <c r="N2368" s="71"/>
      <c r="O2368" s="551" t="s">
        <v>56</v>
      </c>
      <c r="P2368" s="101">
        <v>52</v>
      </c>
      <c r="Q2368" s="101">
        <v>84</v>
      </c>
      <c r="R2368" s="60">
        <v>52</v>
      </c>
      <c r="S2368" s="273">
        <v>84</v>
      </c>
      <c r="T2368" s="101">
        <v>53</v>
      </c>
      <c r="U2368" s="101" t="str">
        <f>RIGHT(H2368,2)</f>
        <v>85</v>
      </c>
      <c r="V2368" s="608">
        <f>IF(J2368="Canvas",P2368+Border,P2368)</f>
        <v>52</v>
      </c>
      <c r="W2368" s="608">
        <f>IF(J2368="Canvas",Q2368+Border,Q2368)</f>
        <v>84</v>
      </c>
      <c r="X2368" s="137" t="s">
        <v>2471</v>
      </c>
      <c r="Y2368" s="101"/>
      <c r="Z2368" s="101"/>
      <c r="AA2368" s="649">
        <f t="shared" si="842"/>
        <v>30.333333333333332</v>
      </c>
      <c r="AB2368" s="184">
        <f>AA2368*IncaG</f>
        <v>638.21333333333325</v>
      </c>
      <c r="AC2368" s="104">
        <f>PETG60</f>
        <v>58.32</v>
      </c>
      <c r="AD2368" s="107">
        <f>AA2368*IncaC</f>
        <v>51.057066666666664</v>
      </c>
      <c r="AE2368" s="104">
        <f>IF(Table1[[#This Row],[Work Center]]="SwissQ",Materials!G$37,IF(Table1[[#This Row],[Work Center]]="Inca",Materials!G$29,IF(Table1[[#This Row],[Work Center]]="Canon",Materials!G$49,Materials!G$45)))</f>
        <v>8</v>
      </c>
      <c r="AF2368" s="74">
        <f>'Cali Frames'!D$477</f>
        <v>311.04500000000002</v>
      </c>
      <c r="AG2368" s="115"/>
      <c r="AH2368" s="498">
        <f t="shared" si="846"/>
        <v>66</v>
      </c>
      <c r="AI2368" s="498"/>
      <c r="AJ2368" s="104">
        <f t="shared" si="835"/>
        <v>494.42206666666669</v>
      </c>
      <c r="AK2368" s="650">
        <f t="shared" si="847"/>
        <v>0.62543782828282823</v>
      </c>
      <c r="AL2368" s="225">
        <f>Table1[[#This Row],[WSP/Dealer]]/Table1[[#This Row],[OD Sq Inch]]</f>
        <v>0.293007769145394</v>
      </c>
      <c r="AM2368" s="101">
        <f>Table1[[#This Row],[OD Wdth]]*Table1[[#This Row],[OD Hgt]]</f>
        <v>4505</v>
      </c>
      <c r="AN2368" s="216">
        <f>Table1[[#This Row],[Min VO]]+Table1[[#This Row],[Max VO]]</f>
        <v>136</v>
      </c>
      <c r="AO2368" s="101"/>
      <c r="AP2368" s="101"/>
      <c r="AQ2368" s="104"/>
      <c r="AR2368" s="104"/>
      <c r="AS2368" s="104"/>
      <c r="AT2368" s="104"/>
      <c r="AU2368" s="830" t="str">
        <f t="shared" si="841"/>
        <v>-</v>
      </c>
    </row>
    <row r="2369" spans="1:47" s="173" customFormat="1" x14ac:dyDescent="0.2">
      <c r="A2369" s="68" t="s">
        <v>58</v>
      </c>
      <c r="B2369" s="1061" t="s">
        <v>159</v>
      </c>
      <c r="C2369" s="82" t="s">
        <v>5425</v>
      </c>
      <c r="D2369" s="94" t="s">
        <v>5426</v>
      </c>
      <c r="E2369" s="378" t="s">
        <v>5422</v>
      </c>
      <c r="F2369" s="84" t="s">
        <v>634</v>
      </c>
      <c r="G2369" s="282" t="s">
        <v>5423</v>
      </c>
      <c r="H2369" s="282" t="s">
        <v>5423</v>
      </c>
      <c r="I2369" s="282" t="s">
        <v>52</v>
      </c>
      <c r="J2369" s="68" t="s">
        <v>53</v>
      </c>
      <c r="K2369" s="282" t="s">
        <v>54</v>
      </c>
      <c r="L2369" s="68" t="s">
        <v>55</v>
      </c>
      <c r="M2369" s="380">
        <v>1300</v>
      </c>
      <c r="N2369" s="639">
        <v>1350</v>
      </c>
      <c r="O2369" s="68" t="s">
        <v>56</v>
      </c>
      <c r="P2369" s="68">
        <v>52</v>
      </c>
      <c r="Q2369" s="68">
        <v>84</v>
      </c>
      <c r="R2369" s="68">
        <v>52</v>
      </c>
      <c r="S2369" s="623">
        <v>84</v>
      </c>
      <c r="T2369" s="623">
        <f>Table1[[#This Row],[VO Wdth]]</f>
        <v>52</v>
      </c>
      <c r="U2369" s="623">
        <f>Table1[[#This Row],[VO Hgt]]</f>
        <v>84</v>
      </c>
      <c r="V2369" s="66">
        <f>IF(J2369="Canvas",P2369+BorderGW,P2369)</f>
        <v>60</v>
      </c>
      <c r="W2369" s="66">
        <f>IF(J2369="Canvas",Q2369+BorderGW,Q2369)</f>
        <v>92</v>
      </c>
      <c r="X2369" s="189">
        <v>63</v>
      </c>
      <c r="Y2369" s="68"/>
      <c r="Z2369" s="68"/>
      <c r="AA2369" s="699">
        <f t="shared" si="842"/>
        <v>38.333333333333336</v>
      </c>
      <c r="AB2369" s="382">
        <f>AA2369*Swiss1</f>
        <v>1084.8333333333335</v>
      </c>
      <c r="AC2369" s="74">
        <f t="shared" ref="AC2369:AC2374" si="850">AA2369*Canvas</f>
        <v>25.300000000000004</v>
      </c>
      <c r="AD2369" s="48">
        <f>AA2369*IncaC</f>
        <v>64.522666666666666</v>
      </c>
      <c r="AE2369" s="104">
        <f>IF(Table1[[#This Row],[Work Center]]="SwissQ",Materials!G$37,IF(Table1[[#This Row],[Work Center]]="Inca",Materials!G$29,IF(Table1[[#This Row],[Work Center]]="Canon",Materials!G$49,Materials!G$45)))</f>
        <v>8</v>
      </c>
      <c r="AF2369" s="73">
        <f>'Cali FPS'!C141</f>
        <v>232.10249999999999</v>
      </c>
      <c r="AG2369" s="84"/>
      <c r="AH2369" s="498">
        <f t="shared" si="846"/>
        <v>65</v>
      </c>
      <c r="AI2369" s="498"/>
      <c r="AJ2369" s="74">
        <f t="shared" si="835"/>
        <v>394.92516666666666</v>
      </c>
      <c r="AK2369" s="650">
        <f t="shared" si="847"/>
        <v>0.69621141025641031</v>
      </c>
      <c r="AL2369" s="225">
        <f>Table1[[#This Row],[WSP/Dealer]]/Table1[[#This Row],[OD Sq Inch]]</f>
        <v>0.29761904761904762</v>
      </c>
      <c r="AM2369" s="63">
        <f>Table1[[#This Row],[OD Wdth]]*Table1[[#This Row],[OD Hgt]]</f>
        <v>4368</v>
      </c>
      <c r="AN2369" s="238">
        <f>Table1[[#This Row],[Min VO]]+Table1[[#This Row],[Max VO]]</f>
        <v>136</v>
      </c>
      <c r="AO2369" s="68"/>
      <c r="AP2369" s="68"/>
      <c r="AQ2369" s="74"/>
      <c r="AR2369" s="74"/>
      <c r="AS2369" s="74"/>
      <c r="AT2369" s="74"/>
      <c r="AU2369" s="1001" t="str">
        <f t="shared" si="841"/>
        <v>-</v>
      </c>
    </row>
    <row r="2370" spans="1:47" s="170" customFormat="1" x14ac:dyDescent="0.2">
      <c r="A2370" s="86" t="s">
        <v>58</v>
      </c>
      <c r="B2370" s="1061" t="s">
        <v>159</v>
      </c>
      <c r="C2370" s="80" t="s">
        <v>5425</v>
      </c>
      <c r="D2370" s="94" t="s">
        <v>5426</v>
      </c>
      <c r="E2370" s="90" t="s">
        <v>5422</v>
      </c>
      <c r="F2370" s="85" t="s">
        <v>634</v>
      </c>
      <c r="G2370" s="91" t="s">
        <v>5423</v>
      </c>
      <c r="H2370" s="91" t="s">
        <v>5423</v>
      </c>
      <c r="I2370" s="91" t="s">
        <v>52</v>
      </c>
      <c r="J2370" s="86" t="s">
        <v>53</v>
      </c>
      <c r="K2370" s="91" t="s">
        <v>54</v>
      </c>
      <c r="L2370" s="86" t="s">
        <v>55</v>
      </c>
      <c r="M2370" s="976">
        <v>1300</v>
      </c>
      <c r="N2370" s="639">
        <v>1350</v>
      </c>
      <c r="O2370" s="60" t="s">
        <v>56</v>
      </c>
      <c r="P2370" s="60">
        <v>52</v>
      </c>
      <c r="Q2370" s="60">
        <v>84</v>
      </c>
      <c r="R2370" s="60">
        <v>52</v>
      </c>
      <c r="S2370" s="273">
        <v>84</v>
      </c>
      <c r="T2370" s="273">
        <f>Table1[[#This Row],[VO Wdth]]</f>
        <v>52</v>
      </c>
      <c r="U2370" s="273">
        <f>Table1[[#This Row],[VO Hgt]]</f>
        <v>84</v>
      </c>
      <c r="V2370" s="47">
        <f>IF(J2370="Canvas",P2370+BorderGW,P2370)</f>
        <v>60</v>
      </c>
      <c r="W2370" s="47">
        <f>IF(J2370="Canvas",Q2370+BorderGW,Q2370)</f>
        <v>92</v>
      </c>
      <c r="X2370" s="138">
        <v>63</v>
      </c>
      <c r="Y2370" s="60"/>
      <c r="Z2370" s="60"/>
      <c r="AA2370" s="717">
        <f t="shared" si="842"/>
        <v>38.333333333333336</v>
      </c>
      <c r="AB2370" s="125">
        <f>AA2370*IncaG</f>
        <v>806.5333333333333</v>
      </c>
      <c r="AC2370" s="69">
        <f t="shared" si="850"/>
        <v>25.300000000000004</v>
      </c>
      <c r="AD2370" s="48">
        <f>AA2370*IncaC</f>
        <v>64.522666666666666</v>
      </c>
      <c r="AE2370" s="104">
        <f>IF(Table1[[#This Row],[Work Center]]="SwissQ",Materials!G$37,IF(Table1[[#This Row],[Work Center]]="Inca",Materials!G$29,IF(Table1[[#This Row],[Work Center]]="Canon",Materials!G$49,Materials!G$45)))</f>
        <v>8</v>
      </c>
      <c r="AF2370" s="72">
        <f>'Cali FPS'!C$141</f>
        <v>232.10249999999999</v>
      </c>
      <c r="AG2370" s="115"/>
      <c r="AH2370" s="498">
        <f t="shared" si="846"/>
        <v>65</v>
      </c>
      <c r="AI2370" s="498"/>
      <c r="AJ2370" s="69">
        <f t="shared" si="835"/>
        <v>394.92516666666666</v>
      </c>
      <c r="AK2370" s="650">
        <f t="shared" si="847"/>
        <v>0.69621141025641031</v>
      </c>
      <c r="AL2370" s="225">
        <f>Table1[[#This Row],[WSP/Dealer]]/Table1[[#This Row],[OD Sq Inch]]</f>
        <v>0.29761904761904762</v>
      </c>
      <c r="AM2370" s="103">
        <f>Table1[[#This Row],[OD Wdth]]*Table1[[#This Row],[OD Hgt]]</f>
        <v>4368</v>
      </c>
      <c r="AN2370" s="216">
        <f>Table1[[#This Row],[Min VO]]+Table1[[#This Row],[Max VO]]</f>
        <v>136</v>
      </c>
      <c r="AO2370" s="101"/>
      <c r="AP2370" s="101"/>
      <c r="AQ2370" s="104"/>
      <c r="AR2370" s="104"/>
      <c r="AS2370" s="104"/>
      <c r="AT2370" s="104"/>
      <c r="AU2370" s="830" t="str">
        <f t="shared" si="841"/>
        <v>-</v>
      </c>
    </row>
    <row r="2371" spans="1:47" s="170" customFormat="1" x14ac:dyDescent="0.2">
      <c r="A2371" s="68" t="s">
        <v>58</v>
      </c>
      <c r="B2371" s="1061" t="s">
        <v>159</v>
      </c>
      <c r="C2371" s="82" t="s">
        <v>5427</v>
      </c>
      <c r="D2371" s="94" t="s">
        <v>5428</v>
      </c>
      <c r="E2371" s="378" t="s">
        <v>5422</v>
      </c>
      <c r="F2371" s="84" t="s">
        <v>634</v>
      </c>
      <c r="G2371" s="282" t="s">
        <v>5423</v>
      </c>
      <c r="H2371" s="68" t="s">
        <v>5424</v>
      </c>
      <c r="I2371" s="282" t="s">
        <v>52</v>
      </c>
      <c r="J2371" s="68" t="s">
        <v>53</v>
      </c>
      <c r="K2371" s="282" t="s">
        <v>69</v>
      </c>
      <c r="L2371" s="68" t="s">
        <v>70</v>
      </c>
      <c r="M2371" s="380">
        <f>M2370+120</f>
        <v>1420</v>
      </c>
      <c r="N2371" s="639">
        <v>1600</v>
      </c>
      <c r="O2371" s="68" t="s">
        <v>64</v>
      </c>
      <c r="P2371" s="68">
        <v>52</v>
      </c>
      <c r="Q2371" s="68">
        <v>84</v>
      </c>
      <c r="R2371" s="68">
        <v>52</v>
      </c>
      <c r="S2371" s="623">
        <v>84</v>
      </c>
      <c r="T2371" s="68">
        <v>53</v>
      </c>
      <c r="U2371" s="623" t="str">
        <f>RIGHT(Table1[[#This Row],[OD]],2)</f>
        <v>85</v>
      </c>
      <c r="V2371" s="917">
        <f>IF(J2371="Canvas",P2371+BorderGW,P2371)</f>
        <v>60</v>
      </c>
      <c r="W2371" s="917">
        <f>IF(J2371="Canvas",Q2371+BorderGW,Q2371)</f>
        <v>92</v>
      </c>
      <c r="X2371" s="189">
        <v>63</v>
      </c>
      <c r="Y2371" s="68"/>
      <c r="Z2371" s="68"/>
      <c r="AA2371" s="699">
        <f t="shared" si="842"/>
        <v>38.333333333333336</v>
      </c>
      <c r="AB2371" s="382">
        <f>AA2371*Swiss1</f>
        <v>1084.8333333333335</v>
      </c>
      <c r="AC2371" s="74">
        <f t="shared" si="850"/>
        <v>25.300000000000004</v>
      </c>
      <c r="AD2371" s="161">
        <f>Table1[[#This Row],[Substrate SF]]*Materials!C$37</f>
        <v>107.33333333333333</v>
      </c>
      <c r="AE2371" s="104">
        <f>IF(Table1[[#This Row],[Work Center]]="SwissQ",Materials!G$37,IF(Table1[[#This Row],[Work Center]]="Inca",Materials!G$29,IF(Table1[[#This Row],[Work Center]]="Canon",Materials!G$49,Materials!G$45)))</f>
        <v>20</v>
      </c>
      <c r="AF2371" s="74">
        <f>'Cali Frames'!D477</f>
        <v>311.04500000000002</v>
      </c>
      <c r="AG2371" s="84"/>
      <c r="AH2371" s="498">
        <f t="shared" si="846"/>
        <v>71</v>
      </c>
      <c r="AI2371" s="498"/>
      <c r="AJ2371" s="74">
        <f t="shared" si="835"/>
        <v>534.67833333333328</v>
      </c>
      <c r="AK2371" s="650">
        <f t="shared" si="847"/>
        <v>0.62346596244131458</v>
      </c>
      <c r="AL2371" s="225">
        <f>Table1[[#This Row],[WSP/Dealer]]/Table1[[#This Row],[OD Sq Inch]]</f>
        <v>0.31520532741398444</v>
      </c>
      <c r="AM2371" s="235">
        <f>Table1[[#This Row],[OD Wdth]]*Table1[[#This Row],[OD Hgt]]</f>
        <v>4505</v>
      </c>
      <c r="AN2371" s="238">
        <f>Table1[[#This Row],[Min VO]]+Table1[[#This Row],[Max VO]]</f>
        <v>136</v>
      </c>
      <c r="AO2371" s="68"/>
      <c r="AP2371" s="68"/>
      <c r="AQ2371" s="74"/>
      <c r="AR2371" s="74"/>
      <c r="AS2371" s="74"/>
      <c r="AT2371" s="74"/>
      <c r="AU2371" s="1001" t="str">
        <f t="shared" si="841"/>
        <v>-</v>
      </c>
    </row>
    <row r="2372" spans="1:47" s="170" customFormat="1" x14ac:dyDescent="0.2">
      <c r="A2372" s="68" t="s">
        <v>58</v>
      </c>
      <c r="B2372" s="1061" t="s">
        <v>406</v>
      </c>
      <c r="C2372" s="82" t="s">
        <v>5429</v>
      </c>
      <c r="D2372" s="94" t="s">
        <v>5430</v>
      </c>
      <c r="E2372" s="378" t="s">
        <v>5422</v>
      </c>
      <c r="F2372" s="84" t="s">
        <v>634</v>
      </c>
      <c r="G2372" s="282" t="s">
        <v>5431</v>
      </c>
      <c r="H2372" s="68" t="s">
        <v>5424</v>
      </c>
      <c r="I2372" s="282" t="s">
        <v>52</v>
      </c>
      <c r="J2372" s="68" t="s">
        <v>53</v>
      </c>
      <c r="K2372" s="282" t="s">
        <v>69</v>
      </c>
      <c r="L2372" s="68" t="s">
        <v>73</v>
      </c>
      <c r="M2372" s="380">
        <f>1300+290</f>
        <v>1590</v>
      </c>
      <c r="N2372" s="639">
        <v>1500</v>
      </c>
      <c r="O2372" s="68" t="s">
        <v>64</v>
      </c>
      <c r="P2372" s="68">
        <v>52</v>
      </c>
      <c r="Q2372" s="68">
        <v>84</v>
      </c>
      <c r="R2372" s="68">
        <v>52</v>
      </c>
      <c r="S2372" s="623">
        <v>84</v>
      </c>
      <c r="T2372" s="68">
        <v>53</v>
      </c>
      <c r="U2372" s="68">
        <v>85</v>
      </c>
      <c r="V2372" s="917">
        <f>IF(J2372="Canvas",P2372+Border,P2372)</f>
        <v>60</v>
      </c>
      <c r="W2372" s="917">
        <f>IF(J2372="Canvas",Q2372+Border,Q2372)</f>
        <v>92</v>
      </c>
      <c r="X2372" s="189">
        <v>63</v>
      </c>
      <c r="Y2372" s="68"/>
      <c r="Z2372" s="68"/>
      <c r="AA2372" s="699">
        <f t="shared" si="842"/>
        <v>38.333333333333336</v>
      </c>
      <c r="AB2372" s="382">
        <f>AA2372*Swiss1</f>
        <v>1084.8333333333335</v>
      </c>
      <c r="AC2372" s="74">
        <f t="shared" si="850"/>
        <v>25.300000000000004</v>
      </c>
      <c r="AD2372" s="161">
        <f>Table1[[#This Row],[Substrate SF]]*Materials!C$37</f>
        <v>107.33333333333333</v>
      </c>
      <c r="AE2372" s="104">
        <f>IF(Table1[[#This Row],[Work Center]]="SwissQ",Materials!G$37,IF(Table1[[#This Row],[Work Center]]="Inca",Materials!G$29,IF(Table1[[#This Row],[Work Center]]="Canon",Materials!G$49,Materials!G$45)))</f>
        <v>20</v>
      </c>
      <c r="AF2372" s="74">
        <f>'Cali Frames'!D344</f>
        <v>326.02499999999998</v>
      </c>
      <c r="AG2372" s="84"/>
      <c r="AH2372" s="498">
        <f t="shared" si="846"/>
        <v>79.5</v>
      </c>
      <c r="AI2372" s="498"/>
      <c r="AJ2372" s="74">
        <f t="shared" si="835"/>
        <v>558.1583333333333</v>
      </c>
      <c r="AK2372" s="650">
        <f t="shared" si="847"/>
        <v>0.64895702306079661</v>
      </c>
      <c r="AL2372" s="225">
        <f>Table1[[#This Row],[WSP/Dealer]]/Table1[[#This Row],[OD Sq Inch]]</f>
        <v>0.35294117647058826</v>
      </c>
      <c r="AM2372" s="68">
        <f>Table1[[#This Row],[OD Wdth]]*Table1[[#This Row],[OD Hgt]]</f>
        <v>4505</v>
      </c>
      <c r="AN2372" s="238">
        <f>Table1[[#This Row],[Min VO]]+Table1[[#This Row],[Max VO]]</f>
        <v>136</v>
      </c>
      <c r="AO2372" s="68"/>
      <c r="AP2372" s="68"/>
      <c r="AQ2372" s="74"/>
      <c r="AR2372" s="74"/>
      <c r="AS2372" s="74"/>
      <c r="AT2372" s="74"/>
      <c r="AU2372" s="1001" t="str">
        <f t="shared" si="841"/>
        <v>-</v>
      </c>
    </row>
    <row r="2373" spans="1:47" s="173" customFormat="1" x14ac:dyDescent="0.2">
      <c r="A2373" s="86" t="s">
        <v>58</v>
      </c>
      <c r="B2373" s="1061" t="s">
        <v>159</v>
      </c>
      <c r="C2373" s="80" t="s">
        <v>5427</v>
      </c>
      <c r="D2373" s="94" t="s">
        <v>5428</v>
      </c>
      <c r="E2373" s="90" t="s">
        <v>5422</v>
      </c>
      <c r="F2373" s="85" t="s">
        <v>634</v>
      </c>
      <c r="G2373" s="91" t="s">
        <v>5423</v>
      </c>
      <c r="H2373" s="86" t="s">
        <v>5424</v>
      </c>
      <c r="I2373" s="91" t="s">
        <v>52</v>
      </c>
      <c r="J2373" s="86" t="s">
        <v>53</v>
      </c>
      <c r="K2373" s="91" t="s">
        <v>69</v>
      </c>
      <c r="L2373" s="86" t="s">
        <v>70</v>
      </c>
      <c r="M2373" s="976">
        <f>M2372+120</f>
        <v>1710</v>
      </c>
      <c r="N2373" s="639">
        <v>1600</v>
      </c>
      <c r="O2373" s="60" t="s">
        <v>56</v>
      </c>
      <c r="P2373" s="60">
        <v>52</v>
      </c>
      <c r="Q2373" s="60">
        <v>84</v>
      </c>
      <c r="R2373" s="60">
        <v>52</v>
      </c>
      <c r="S2373" s="273">
        <v>84</v>
      </c>
      <c r="T2373" s="60">
        <v>53</v>
      </c>
      <c r="U2373" s="273" t="str">
        <f>RIGHT(Table1[[#This Row],[OD]],2)</f>
        <v>85</v>
      </c>
      <c r="V2373" s="47">
        <f>IF(J2373="Canvas",P2373+BorderGW,P2373)</f>
        <v>60</v>
      </c>
      <c r="W2373" s="47">
        <f>IF(J2373="Canvas",Q2373+BorderGW,Q2373)</f>
        <v>92</v>
      </c>
      <c r="X2373" s="138">
        <v>63</v>
      </c>
      <c r="Y2373" s="60"/>
      <c r="Z2373" s="60"/>
      <c r="AA2373" s="717">
        <f t="shared" si="842"/>
        <v>38.333333333333336</v>
      </c>
      <c r="AB2373" s="125">
        <f>AA2373*IncaG</f>
        <v>806.5333333333333</v>
      </c>
      <c r="AC2373" s="69">
        <f t="shared" si="850"/>
        <v>25.300000000000004</v>
      </c>
      <c r="AD2373" s="48">
        <f>AA2373*IncaC</f>
        <v>64.522666666666666</v>
      </c>
      <c r="AE2373" s="104">
        <f>IF(Table1[[#This Row],[Work Center]]="SwissQ",Materials!G$37,IF(Table1[[#This Row],[Work Center]]="Inca",Materials!G$29,IF(Table1[[#This Row],[Work Center]]="Canon",Materials!G$49,Materials!G$45)))</f>
        <v>8</v>
      </c>
      <c r="AF2373" s="69"/>
      <c r="AG2373" s="115"/>
      <c r="AH2373" s="112">
        <f t="shared" si="846"/>
        <v>85.5</v>
      </c>
      <c r="AI2373" s="112"/>
      <c r="AJ2373" s="48">
        <f t="shared" si="835"/>
        <v>183.32266666666666</v>
      </c>
      <c r="AK2373" s="62">
        <f t="shared" si="847"/>
        <v>0.89279376218323581</v>
      </c>
      <c r="AL2373" s="225">
        <f>Table1[[#This Row],[WSP/Dealer]]/Table1[[#This Row],[OD Sq Inch]]</f>
        <v>0.37957824639289678</v>
      </c>
      <c r="AM2373" s="218">
        <f>Table1[[#This Row],[OD Wdth]]*Table1[[#This Row],[OD Hgt]]</f>
        <v>4505</v>
      </c>
      <c r="AN2373" s="216">
        <f>Table1[[#This Row],[Min VO]]+Table1[[#This Row],[Max VO]]</f>
        <v>136</v>
      </c>
      <c r="AO2373" s="103"/>
      <c r="AP2373" s="101"/>
      <c r="AQ2373" s="104"/>
      <c r="AR2373" s="104"/>
      <c r="AS2373" s="104"/>
      <c r="AT2373" s="104"/>
      <c r="AU2373" s="108" t="str">
        <f t="shared" si="841"/>
        <v>-</v>
      </c>
    </row>
    <row r="2374" spans="1:47" s="170" customFormat="1" x14ac:dyDescent="0.2">
      <c r="A2374" s="86" t="s">
        <v>58</v>
      </c>
      <c r="B2374" s="1061" t="s">
        <v>406</v>
      </c>
      <c r="C2374" s="80" t="s">
        <v>5429</v>
      </c>
      <c r="D2374" s="94" t="s">
        <v>5430</v>
      </c>
      <c r="E2374" s="90" t="s">
        <v>5422</v>
      </c>
      <c r="F2374" s="85" t="s">
        <v>634</v>
      </c>
      <c r="G2374" s="91" t="s">
        <v>5431</v>
      </c>
      <c r="H2374" s="86" t="s">
        <v>5424</v>
      </c>
      <c r="I2374" s="91" t="s">
        <v>52</v>
      </c>
      <c r="J2374" s="86" t="s">
        <v>53</v>
      </c>
      <c r="K2374" s="91" t="s">
        <v>69</v>
      </c>
      <c r="L2374" s="86" t="s">
        <v>73</v>
      </c>
      <c r="M2374" s="976">
        <f>1300+290</f>
        <v>1590</v>
      </c>
      <c r="N2374" s="639">
        <v>1500</v>
      </c>
      <c r="O2374" s="551" t="s">
        <v>56</v>
      </c>
      <c r="P2374" s="101">
        <v>52</v>
      </c>
      <c r="Q2374" s="101">
        <v>84</v>
      </c>
      <c r="R2374" s="60">
        <v>52</v>
      </c>
      <c r="S2374" s="273">
        <v>84</v>
      </c>
      <c r="T2374" s="101">
        <v>53</v>
      </c>
      <c r="U2374" s="101">
        <v>85</v>
      </c>
      <c r="V2374" s="608">
        <f>IF(J2374="Canvas",P2374+Border,P2374)</f>
        <v>60</v>
      </c>
      <c r="W2374" s="608">
        <f>IF(J2374="Canvas",Q2374+Border,Q2374)</f>
        <v>92</v>
      </c>
      <c r="X2374" s="189">
        <v>63</v>
      </c>
      <c r="Y2374" s="68"/>
      <c r="Z2374" s="68"/>
      <c r="AA2374" s="649">
        <f t="shared" si="842"/>
        <v>38.333333333333336</v>
      </c>
      <c r="AB2374" s="184">
        <f>AA2374*IncaG</f>
        <v>806.5333333333333</v>
      </c>
      <c r="AC2374" s="104">
        <f t="shared" si="850"/>
        <v>25.300000000000004</v>
      </c>
      <c r="AD2374" s="104">
        <f>AA2374*IncaC</f>
        <v>64.522666666666666</v>
      </c>
      <c r="AE2374" s="104">
        <f>IF(Table1[[#This Row],[Work Center]]="SwissQ",Materials!G$37,IF(Table1[[#This Row],[Work Center]]="Inca",Materials!G$29,IF(Table1[[#This Row],[Work Center]]="Canon",Materials!G$49,Materials!G$45)))</f>
        <v>8</v>
      </c>
      <c r="AF2374" s="74">
        <f>'Cali Frames'!D$477</f>
        <v>311.04500000000002</v>
      </c>
      <c r="AG2374" s="115"/>
      <c r="AH2374" s="498">
        <f t="shared" si="846"/>
        <v>79.5</v>
      </c>
      <c r="AI2374" s="498"/>
      <c r="AJ2374" s="104">
        <f t="shared" si="835"/>
        <v>488.36766666666665</v>
      </c>
      <c r="AK2374" s="650">
        <f t="shared" si="847"/>
        <v>0.69285052410901471</v>
      </c>
      <c r="AL2374" s="225">
        <f>Table1[[#This Row],[WSP/Dealer]]/Table1[[#This Row],[OD Sq Inch]]</f>
        <v>0.35294117647058826</v>
      </c>
      <c r="AM2374" s="101">
        <f>Table1[[#This Row],[OD Wdth]]*Table1[[#This Row],[OD Hgt]]</f>
        <v>4505</v>
      </c>
      <c r="AN2374" s="216">
        <f>Table1[[#This Row],[Min VO]]+Table1[[#This Row],[Max VO]]</f>
        <v>136</v>
      </c>
      <c r="AO2374" s="101"/>
      <c r="AP2374" s="101"/>
      <c r="AQ2374" s="104"/>
      <c r="AR2374" s="104"/>
      <c r="AS2374" s="104"/>
      <c r="AT2374" s="104"/>
      <c r="AU2374" s="830" t="str">
        <f t="shared" si="841"/>
        <v>-</v>
      </c>
    </row>
    <row r="2375" spans="1:47" s="173" customFormat="1" x14ac:dyDescent="0.2">
      <c r="A2375" s="60" t="s">
        <v>581</v>
      </c>
      <c r="B2375" s="1061" t="s">
        <v>292</v>
      </c>
      <c r="C2375" s="80" t="s">
        <v>5432</v>
      </c>
      <c r="D2375" s="94" t="s">
        <v>5433</v>
      </c>
      <c r="E2375" s="492" t="s">
        <v>5422</v>
      </c>
      <c r="F2375" s="83" t="s">
        <v>634</v>
      </c>
      <c r="G2375" s="92" t="s">
        <v>5431</v>
      </c>
      <c r="H2375" s="60" t="s">
        <v>5424</v>
      </c>
      <c r="I2375" s="92" t="s">
        <v>52</v>
      </c>
      <c r="J2375" s="60" t="s">
        <v>53</v>
      </c>
      <c r="K2375" s="92" t="s">
        <v>69</v>
      </c>
      <c r="L2375" s="60" t="s">
        <v>76</v>
      </c>
      <c r="M2375" s="647">
        <f>1300+290</f>
        <v>1590</v>
      </c>
      <c r="N2375" s="124"/>
      <c r="O2375" s="60" t="s">
        <v>64</v>
      </c>
      <c r="P2375" s="60"/>
      <c r="Q2375" s="60"/>
      <c r="R2375" s="60"/>
      <c r="S2375" s="273"/>
      <c r="T2375" s="60"/>
      <c r="U2375" s="60"/>
      <c r="V2375" s="946"/>
      <c r="W2375" s="946"/>
      <c r="X2375" s="60"/>
      <c r="Y2375" s="60"/>
      <c r="Z2375" s="60"/>
      <c r="AA2375" s="717"/>
      <c r="AB2375" s="125"/>
      <c r="AC2375" s="69"/>
      <c r="AD2375" s="448"/>
      <c r="AE2375" s="540"/>
      <c r="AF2375" s="72"/>
      <c r="AG2375" s="540"/>
      <c r="AH2375" s="540"/>
      <c r="AI2375" s="540"/>
      <c r="AJ2375" s="540"/>
      <c r="AK2375" s="650"/>
      <c r="AL2375" s="540"/>
      <c r="AM2375" s="95"/>
      <c r="AN2375" s="83"/>
      <c r="AO2375" s="83"/>
      <c r="AP2375" s="83"/>
      <c r="AQ2375" s="540"/>
      <c r="AR2375" s="540"/>
      <c r="AS2375" s="540"/>
      <c r="AT2375" s="69"/>
      <c r="AU2375" s="1361" t="str">
        <f t="shared" si="841"/>
        <v>-</v>
      </c>
    </row>
    <row r="2376" spans="1:47" s="173" customFormat="1" hidden="1" x14ac:dyDescent="0.2">
      <c r="A2376" s="68" t="s">
        <v>1287</v>
      </c>
      <c r="B2376" s="1072" t="s">
        <v>3859</v>
      </c>
      <c r="C2376" s="82" t="s">
        <v>5418</v>
      </c>
      <c r="D2376" s="94"/>
      <c r="E2376" s="378" t="s">
        <v>5434</v>
      </c>
      <c r="F2376" s="84" t="s">
        <v>634</v>
      </c>
      <c r="G2376" s="282" t="s">
        <v>5435</v>
      </c>
      <c r="H2376" s="68" t="s">
        <v>5435</v>
      </c>
      <c r="I2376" s="282" t="s">
        <v>52</v>
      </c>
      <c r="J2376" s="140" t="s">
        <v>53</v>
      </c>
      <c r="K2376" s="282" t="s">
        <v>69</v>
      </c>
      <c r="L2376" s="68" t="s">
        <v>70</v>
      </c>
      <c r="M2376" s="379">
        <v>1300</v>
      </c>
      <c r="N2376" s="93"/>
      <c r="O2376" s="68" t="s">
        <v>56</v>
      </c>
      <c r="P2376" s="68">
        <v>54</v>
      </c>
      <c r="Q2376" s="68">
        <v>86</v>
      </c>
      <c r="R2376" s="68">
        <v>54</v>
      </c>
      <c r="S2376" s="623">
        <v>86</v>
      </c>
      <c r="T2376" s="68">
        <v>55</v>
      </c>
      <c r="U2376" s="623">
        <v>87</v>
      </c>
      <c r="V2376" s="917">
        <f>IF(J2376="Canvas",P2376+Border,P2376)</f>
        <v>62</v>
      </c>
      <c r="W2376" s="917">
        <f>IF(J2376="Canvas",Q2376+Border,Q2376)</f>
        <v>94</v>
      </c>
      <c r="X2376" s="68">
        <v>62</v>
      </c>
      <c r="Y2376" s="68"/>
      <c r="Z2376" s="68"/>
      <c r="AA2376" s="699">
        <f t="shared" ref="AA2376:AA2388" si="851">V2376*W2376/144</f>
        <v>40.472222222222221</v>
      </c>
      <c r="AB2376" s="297">
        <f>AA2376*IncaG</f>
        <v>851.53555555555556</v>
      </c>
      <c r="AC2376" s="74">
        <f>AA2376*Canvas</f>
        <v>26.711666666666666</v>
      </c>
      <c r="AD2376" s="67">
        <f>AA2376*IncaC</f>
        <v>68.122844444444439</v>
      </c>
      <c r="AE2376" s="74">
        <f>IF(Table1[[#This Row],[Work Center]]="SwissQ",Materials!G$37,IF(Table1[[#This Row],[Work Center]]="Inca",Materials!G$29,IF(Table1[[#This Row],[Work Center]]="Canon",Materials!G$49,Materials!G$45)))</f>
        <v>8</v>
      </c>
      <c r="AF2376" s="73">
        <f>'Cali Frames'!D346</f>
        <v>332.64</v>
      </c>
      <c r="AG2376" s="84"/>
      <c r="AH2376" s="67">
        <f t="shared" ref="AH2376:AH2407" si="852">(M2376*0.05)</f>
        <v>65</v>
      </c>
      <c r="AI2376" s="67"/>
      <c r="AJ2376" s="74">
        <f t="shared" ref="AJ2376:AJ2388" si="853">SUM(AC2376:AH2376)</f>
        <v>500.4745111111111</v>
      </c>
      <c r="AK2376" s="661">
        <f t="shared" ref="AK2376:AK2407" si="854">(M2376-AJ2376)/M2376</f>
        <v>0.61501960683760692</v>
      </c>
      <c r="AL2376" s="240">
        <f>Table1[[#This Row],[WSP/Dealer]]/Table1[[#This Row],[OD Sq Inch]]</f>
        <v>0.2716823406478579</v>
      </c>
      <c r="AM2376" s="63">
        <f>Table1[[#This Row],[OD Wdth]]*Table1[[#This Row],[OD Hgt]]</f>
        <v>4785</v>
      </c>
      <c r="AN2376" s="238">
        <f>Table1[[#This Row],[Min VO]]+Table1[[#This Row],[Max VO]]</f>
        <v>140</v>
      </c>
      <c r="AO2376" s="84"/>
      <c r="AP2376" s="84"/>
      <c r="AQ2376" s="126"/>
      <c r="AR2376" s="126"/>
      <c r="AS2376" s="126"/>
      <c r="AT2376" s="74"/>
      <c r="AU2376" s="1357" t="str">
        <f t="shared" si="841"/>
        <v>-</v>
      </c>
    </row>
    <row r="2377" spans="1:47" s="170" customFormat="1" x14ac:dyDescent="0.2">
      <c r="A2377" s="60" t="s">
        <v>581</v>
      </c>
      <c r="B2377" s="1061" t="s">
        <v>292</v>
      </c>
      <c r="C2377" s="80" t="s">
        <v>5436</v>
      </c>
      <c r="D2377" s="94" t="s">
        <v>5437</v>
      </c>
      <c r="E2377" s="492" t="s">
        <v>5438</v>
      </c>
      <c r="F2377" s="83" t="s">
        <v>634</v>
      </c>
      <c r="G2377" s="92" t="s">
        <v>5439</v>
      </c>
      <c r="H2377" s="60" t="s">
        <v>5440</v>
      </c>
      <c r="I2377" s="92" t="s">
        <v>52</v>
      </c>
      <c r="J2377" s="59" t="s">
        <v>53</v>
      </c>
      <c r="K2377" s="92" t="s">
        <v>69</v>
      </c>
      <c r="L2377" s="60" t="s">
        <v>76</v>
      </c>
      <c r="M2377" s="647">
        <v>1100</v>
      </c>
      <c r="N2377" s="656">
        <v>1100</v>
      </c>
      <c r="O2377" s="60" t="s">
        <v>64</v>
      </c>
      <c r="P2377" s="60">
        <v>40</v>
      </c>
      <c r="Q2377" s="60">
        <v>65</v>
      </c>
      <c r="R2377" s="60">
        <v>40</v>
      </c>
      <c r="S2377" s="60">
        <v>65</v>
      </c>
      <c r="T2377" s="60">
        <v>41</v>
      </c>
      <c r="U2377" s="60">
        <v>66</v>
      </c>
      <c r="V2377" s="174">
        <f>IF(J2377="Canvas",P2377+BorderL,P2377)</f>
        <v>51</v>
      </c>
      <c r="W2377" s="174">
        <f>IF(J2377="Canvas",Q2377+BorderL,Q2377)</f>
        <v>76</v>
      </c>
      <c r="X2377" s="138"/>
      <c r="Y2377" s="60"/>
      <c r="Z2377" s="60"/>
      <c r="AA2377" s="678">
        <f t="shared" si="851"/>
        <v>26.916666666666668</v>
      </c>
      <c r="AB2377" s="329">
        <f>Table1[[#This Row],[Substrate SF]]*Swiss1</f>
        <v>761.74166666666667</v>
      </c>
      <c r="AC2377" s="176">
        <f>AA2377*Canvas</f>
        <v>17.765000000000001</v>
      </c>
      <c r="AD2377" s="175">
        <f>Table1[[#This Row],[Substrate SF]]*Materials!C$37</f>
        <v>75.36666666666666</v>
      </c>
      <c r="AE2377" s="69">
        <f>IF(Table1[[#This Row],[Work Center]]="SwissQ",Materials!G$37,IF(Table1[[#This Row],[Work Center]]="Inca",Materials!G$29,IF(Table1[[#This Row],[Work Center]]="Canon",Materials!G$49,Materials!G$45)))</f>
        <v>20</v>
      </c>
      <c r="AF2377" s="72"/>
      <c r="AG2377" s="540"/>
      <c r="AH2377" s="48">
        <f t="shared" si="852"/>
        <v>55</v>
      </c>
      <c r="AI2377" s="48"/>
      <c r="AJ2377" s="176">
        <f t="shared" si="853"/>
        <v>168.13166666666666</v>
      </c>
      <c r="AK2377" s="62">
        <f t="shared" si="854"/>
        <v>0.84715303030303035</v>
      </c>
      <c r="AL2377" s="225">
        <f>Table1[[#This Row],[WSP/Dealer]]/Table1[[#This Row],[OD Sq Inch]]</f>
        <v>0.4065040650406504</v>
      </c>
      <c r="AM2377" s="173">
        <f>Table1[[#This Row],[OD Wdth]]*Table1[[#This Row],[OD Hgt]]</f>
        <v>2706</v>
      </c>
      <c r="AN2377" s="180">
        <f>Table1[[#This Row],[Min VO]]+Table1[[#This Row],[Max VO]]</f>
        <v>105</v>
      </c>
      <c r="AO2377" s="83"/>
      <c r="AP2377" s="821"/>
      <c r="AQ2377" s="821"/>
      <c r="AR2377" s="821"/>
      <c r="AS2377" s="821"/>
      <c r="AT2377" s="72"/>
      <c r="AU2377" s="1361" t="str">
        <f t="shared" si="841"/>
        <v>-</v>
      </c>
    </row>
    <row r="2378" spans="1:47" s="170" customFormat="1" hidden="1" x14ac:dyDescent="0.2">
      <c r="A2378" s="216" t="s">
        <v>272</v>
      </c>
      <c r="B2378" s="1061" t="s">
        <v>273</v>
      </c>
      <c r="C2378" s="959" t="s">
        <v>5441</v>
      </c>
      <c r="D2378" s="94"/>
      <c r="E2378" s="959" t="s">
        <v>5442</v>
      </c>
      <c r="F2378" s="217" t="s">
        <v>634</v>
      </c>
      <c r="G2378" s="272" t="s">
        <v>5439</v>
      </c>
      <c r="H2378" s="216" t="s">
        <v>5439</v>
      </c>
      <c r="I2378" s="1759" t="s">
        <v>108</v>
      </c>
      <c r="J2378" s="216" t="s">
        <v>53</v>
      </c>
      <c r="K2378" s="272" t="s">
        <v>54</v>
      </c>
      <c r="L2378" s="216" t="s">
        <v>55</v>
      </c>
      <c r="M2378" s="979">
        <v>400</v>
      </c>
      <c r="N2378" s="226"/>
      <c r="O2378" s="216" t="s">
        <v>109</v>
      </c>
      <c r="P2378" s="218">
        <v>40</v>
      </c>
      <c r="Q2378" s="218">
        <v>65</v>
      </c>
      <c r="R2378" s="216">
        <v>40</v>
      </c>
      <c r="S2378" s="218">
        <v>65</v>
      </c>
      <c r="T2378" s="218">
        <v>40</v>
      </c>
      <c r="U2378" s="218">
        <v>65</v>
      </c>
      <c r="V2378" s="222">
        <f>IF(J2378="Canvas",P2378+BorderGW,P2378)</f>
        <v>48</v>
      </c>
      <c r="W2378" s="222">
        <f>IF(J2378="Canvas",Q2378+BorderGW,Q2378)</f>
        <v>73</v>
      </c>
      <c r="X2378" s="223">
        <v>80</v>
      </c>
      <c r="Y2378" s="216"/>
      <c r="Z2378" s="216"/>
      <c r="AA2378" s="718">
        <f t="shared" si="851"/>
        <v>24.333333333333332</v>
      </c>
      <c r="AB2378" s="233">
        <f>AA2378*EPSONM</f>
        <v>109.5</v>
      </c>
      <c r="AC2378" s="225">
        <f>AA2378*Canvas</f>
        <v>16.059999999999999</v>
      </c>
      <c r="AD2378" s="207">
        <f>Table1[[#This Row],[Ink g/mL]]*EPSONC</f>
        <v>24.09</v>
      </c>
      <c r="AE2378" s="104">
        <f>IF(Table1[[#This Row],[Work Center]]="SwissQ",Materials!G$37,IF(Table1[[#This Row],[Work Center]]="Inca",Materials!G$29,IF(Table1[[#This Row],[Work Center]]="Canon",Materials!G$49,Materials!G$45)))</f>
        <v>5</v>
      </c>
      <c r="AF2378" s="225">
        <f>'Cali FPS'!C90</f>
        <v>174.42250000000001</v>
      </c>
      <c r="AG2378" s="115"/>
      <c r="AH2378" s="112">
        <f t="shared" si="852"/>
        <v>20</v>
      </c>
      <c r="AI2378" s="112"/>
      <c r="AJ2378" s="207">
        <f t="shared" si="853"/>
        <v>239.57250000000002</v>
      </c>
      <c r="AK2378" s="62">
        <f t="shared" si="854"/>
        <v>0.40106874999999997</v>
      </c>
      <c r="AL2378" s="225">
        <f>Table1[[#This Row],[WSP/Dealer]]/Table1[[#This Row],[OD Sq Inch]]</f>
        <v>0.15384615384615385</v>
      </c>
      <c r="AM2378" s="103">
        <f>Table1[[#This Row],[OD Wdth]]*Table1[[#This Row],[OD Hgt]]</f>
        <v>2600</v>
      </c>
      <c r="AN2378" s="216">
        <f>Table1[[#This Row],[Min VO]]+Table1[[#This Row],[Max VO]]</f>
        <v>105</v>
      </c>
      <c r="AO2378" s="216" t="s">
        <v>683</v>
      </c>
      <c r="AP2378" s="226"/>
      <c r="AQ2378" s="226"/>
      <c r="AR2378" s="226"/>
      <c r="AS2378" s="226"/>
      <c r="AT2378" s="226"/>
      <c r="AU2378" s="1369" t="str">
        <f t="shared" si="841"/>
        <v>-</v>
      </c>
    </row>
    <row r="2379" spans="1:47" s="170" customFormat="1" hidden="1" x14ac:dyDescent="0.2">
      <c r="A2379" s="216" t="s">
        <v>272</v>
      </c>
      <c r="B2379" s="1061" t="s">
        <v>273</v>
      </c>
      <c r="C2379" s="959" t="s">
        <v>5441</v>
      </c>
      <c r="D2379" s="94"/>
      <c r="E2379" s="803" t="s">
        <v>5442</v>
      </c>
      <c r="F2379" s="217" t="s">
        <v>634</v>
      </c>
      <c r="G2379" s="272" t="s">
        <v>5439</v>
      </c>
      <c r="H2379" s="216" t="s">
        <v>5439</v>
      </c>
      <c r="I2379" s="272" t="s">
        <v>52</v>
      </c>
      <c r="J2379" s="216" t="s">
        <v>53</v>
      </c>
      <c r="K2379" s="272" t="s">
        <v>54</v>
      </c>
      <c r="L2379" s="216" t="s">
        <v>55</v>
      </c>
      <c r="M2379" s="975">
        <f>Table1[[#This Row],[Desgnr/Retail P]]</f>
        <v>0</v>
      </c>
      <c r="N2379" s="219"/>
      <c r="O2379" s="216" t="s">
        <v>56</v>
      </c>
      <c r="P2379" s="216">
        <v>40</v>
      </c>
      <c r="Q2379" s="216">
        <v>65</v>
      </c>
      <c r="R2379" s="216">
        <v>40</v>
      </c>
      <c r="S2379" s="216">
        <v>65</v>
      </c>
      <c r="T2379" s="216">
        <v>40</v>
      </c>
      <c r="U2379" s="216">
        <v>65</v>
      </c>
      <c r="V2379" s="907">
        <f>IF(J2379="Canvas",P2379+BorderGW,P2379)</f>
        <v>48</v>
      </c>
      <c r="W2379" s="907">
        <f>IF(J2379="Canvas",Q2379+BorderGW,Q2379)</f>
        <v>73</v>
      </c>
      <c r="X2379" s="223">
        <v>82</v>
      </c>
      <c r="Y2379" s="216"/>
      <c r="Z2379" s="216"/>
      <c r="AA2379" s="718">
        <f t="shared" si="851"/>
        <v>24.333333333333332</v>
      </c>
      <c r="AB2379" s="233">
        <f>AA2379*IncaG</f>
        <v>511.9733333333333</v>
      </c>
      <c r="AC2379" s="225">
        <f>AA2379*Canvas</f>
        <v>16.059999999999999</v>
      </c>
      <c r="AD2379" s="206">
        <f>Table1[[#This Row],[Ink g/mL]]*Materials!$C$29</f>
        <v>40.957866666666668</v>
      </c>
      <c r="AE2379" s="104">
        <f>IF(Table1[[#This Row],[Work Center]]="SwissQ",Materials!G$37,IF(Table1[[#This Row],[Work Center]]="Inca",Materials!G$29,IF(Table1[[#This Row],[Work Center]]="Canon",Materials!G$49,Materials!G$45)))</f>
        <v>8</v>
      </c>
      <c r="AF2379" s="226">
        <f>'CALI_SONDER '!H23</f>
        <v>139.37</v>
      </c>
      <c r="AG2379" s="225"/>
      <c r="AH2379" s="112">
        <f t="shared" si="852"/>
        <v>0</v>
      </c>
      <c r="AI2379" s="112"/>
      <c r="AJ2379" s="225">
        <f t="shared" si="853"/>
        <v>204.38786666666667</v>
      </c>
      <c r="AK2379" s="62" t="e">
        <f t="shared" si="854"/>
        <v>#DIV/0!</v>
      </c>
      <c r="AL2379" s="225">
        <f>Table1[[#This Row],[WSP/Dealer]]/Table1[[#This Row],[OD Sq Inch]]</f>
        <v>0</v>
      </c>
      <c r="AM2379" s="218">
        <f>Table1[[#This Row],[OD Wdth]]*Table1[[#This Row],[OD Hgt]]</f>
        <v>2600</v>
      </c>
      <c r="AN2379" s="216">
        <f>Table1[[#This Row],[Min VO]]+Table1[[#This Row],[Max VO]]</f>
        <v>105</v>
      </c>
      <c r="AO2379" s="216" t="s">
        <v>683</v>
      </c>
      <c r="AP2379" s="226"/>
      <c r="AQ2379" s="226"/>
      <c r="AR2379" s="226"/>
      <c r="AS2379" s="226"/>
      <c r="AT2379" s="226"/>
      <c r="AU2379" s="1365" t="str">
        <f t="shared" si="841"/>
        <v>-</v>
      </c>
    </row>
    <row r="2380" spans="1:47" s="170" customFormat="1" x14ac:dyDescent="0.2">
      <c r="A2380" s="60" t="s">
        <v>58</v>
      </c>
      <c r="B2380" s="1061" t="s">
        <v>261</v>
      </c>
      <c r="C2380" s="80" t="s">
        <v>5443</v>
      </c>
      <c r="D2380" s="94" t="s">
        <v>5444</v>
      </c>
      <c r="E2380" s="80" t="s">
        <v>5445</v>
      </c>
      <c r="F2380" s="83" t="s">
        <v>114</v>
      </c>
      <c r="G2380" s="92" t="s">
        <v>1651</v>
      </c>
      <c r="H2380" s="60" t="s">
        <v>193</v>
      </c>
      <c r="I2380" s="92" t="s">
        <v>52</v>
      </c>
      <c r="J2380" s="60" t="s">
        <v>53</v>
      </c>
      <c r="K2380" s="92" t="s">
        <v>69</v>
      </c>
      <c r="L2380" s="60" t="s">
        <v>70</v>
      </c>
      <c r="M2380" s="1280">
        <v>1200</v>
      </c>
      <c r="N2380" s="639">
        <v>1250</v>
      </c>
      <c r="O2380" s="60" t="s">
        <v>64</v>
      </c>
      <c r="P2380" s="60">
        <v>60</v>
      </c>
      <c r="Q2380" s="60">
        <v>48</v>
      </c>
      <c r="R2380" s="60">
        <v>48</v>
      </c>
      <c r="S2380" s="273">
        <v>60</v>
      </c>
      <c r="T2380" s="60">
        <v>61</v>
      </c>
      <c r="U2380" s="60">
        <v>49</v>
      </c>
      <c r="V2380" s="946">
        <f t="shared" ref="V2380:V2386" si="855">IF(J2380="Canvas",P2380+Border,P2380)</f>
        <v>68</v>
      </c>
      <c r="W2380" s="946">
        <f t="shared" ref="W2380:W2386" si="856">IF(J2380="Canvas",Q2380+Border,Q2380)</f>
        <v>56</v>
      </c>
      <c r="X2380" s="138" t="s">
        <v>152</v>
      </c>
      <c r="Y2380" s="60"/>
      <c r="Z2380" s="60"/>
      <c r="AA2380" s="717">
        <f t="shared" si="851"/>
        <v>26.444444444444443</v>
      </c>
      <c r="AB2380" s="389">
        <f>AA2380*Swiss1</f>
        <v>748.37777777777774</v>
      </c>
      <c r="AC2380" s="143">
        <f>Table1[[#This Row],[Substrate SF]]*Canvas</f>
        <v>17.453333333333333</v>
      </c>
      <c r="AD2380" s="143">
        <f>Table1[[#This Row],[Substrate SF]]*Materials!C$37</f>
        <v>74.044444444444437</v>
      </c>
      <c r="AE2380" s="69">
        <f>IF(Table1[[#This Row],[Work Center]]="SwissQ",Materials!G$37,IF(Table1[[#This Row],[Work Center]]="Inca",Materials!G$29,IF(Table1[[#This Row],[Work Center]]="Canon",Materials!G$49,Materials!G$45)))</f>
        <v>20</v>
      </c>
      <c r="AF2380" s="69">
        <f>'Cali Frames'!D$470</f>
        <v>263.70999999999998</v>
      </c>
      <c r="AG2380" s="83"/>
      <c r="AH2380" s="498">
        <f t="shared" si="852"/>
        <v>60</v>
      </c>
      <c r="AI2380" s="498"/>
      <c r="AJ2380" s="69">
        <f t="shared" si="853"/>
        <v>435.20777777777778</v>
      </c>
      <c r="AK2380" s="650">
        <f t="shared" si="854"/>
        <v>0.63732685185185189</v>
      </c>
      <c r="AL2380" s="225">
        <f>Table1[[#This Row],[WSP/Dealer]]/Table1[[#This Row],[OD Sq Inch]]</f>
        <v>0.40147206423553028</v>
      </c>
      <c r="AM2380" s="216">
        <f>Table1[[#This Row],[OD Wdth]]*Table1[[#This Row],[OD Hgt]]</f>
        <v>2989</v>
      </c>
      <c r="AN2380" s="216">
        <f>Table1[[#This Row],[Min VO]]+Table1[[#This Row],[Max VO]]</f>
        <v>108</v>
      </c>
      <c r="AO2380" s="60"/>
      <c r="AP2380" s="60"/>
      <c r="AQ2380" s="69"/>
      <c r="AR2380" s="69"/>
      <c r="AS2380" s="69"/>
      <c r="AT2380" s="69"/>
      <c r="AU2380" s="650" t="str">
        <f t="shared" si="841"/>
        <v>-</v>
      </c>
    </row>
    <row r="2381" spans="1:47" s="170" customFormat="1" x14ac:dyDescent="0.2">
      <c r="A2381" s="101" t="s">
        <v>58</v>
      </c>
      <c r="B2381" s="1061" t="s">
        <v>406</v>
      </c>
      <c r="C2381" s="80" t="s">
        <v>5446</v>
      </c>
      <c r="D2381" s="94" t="s">
        <v>5447</v>
      </c>
      <c r="E2381" s="122" t="s">
        <v>5448</v>
      </c>
      <c r="F2381" s="115" t="s">
        <v>114</v>
      </c>
      <c r="G2381" s="303" t="s">
        <v>1651</v>
      </c>
      <c r="H2381" s="101" t="s">
        <v>193</v>
      </c>
      <c r="I2381" s="303" t="s">
        <v>52</v>
      </c>
      <c r="J2381" s="60" t="s">
        <v>53</v>
      </c>
      <c r="K2381" s="303" t="s">
        <v>69</v>
      </c>
      <c r="L2381" s="101" t="s">
        <v>73</v>
      </c>
      <c r="M2381" s="388">
        <v>1150</v>
      </c>
      <c r="N2381" s="639">
        <v>1250</v>
      </c>
      <c r="O2381" s="101" t="s">
        <v>64</v>
      </c>
      <c r="P2381" s="101">
        <v>60</v>
      </c>
      <c r="Q2381" s="101">
        <v>48</v>
      </c>
      <c r="R2381" s="60">
        <v>48</v>
      </c>
      <c r="S2381" s="273">
        <v>60</v>
      </c>
      <c r="T2381" s="101">
        <v>61</v>
      </c>
      <c r="U2381" s="101">
        <v>49</v>
      </c>
      <c r="V2381" s="608">
        <f t="shared" si="855"/>
        <v>68</v>
      </c>
      <c r="W2381" s="608">
        <f t="shared" si="856"/>
        <v>56</v>
      </c>
      <c r="X2381" s="137" t="s">
        <v>152</v>
      </c>
      <c r="Y2381" s="101"/>
      <c r="Z2381" s="101"/>
      <c r="AA2381" s="649">
        <f t="shared" si="851"/>
        <v>26.444444444444443</v>
      </c>
      <c r="AB2381" s="389">
        <f>AA2381*Swiss1</f>
        <v>748.37777777777774</v>
      </c>
      <c r="AC2381" s="143">
        <f>Table1[[#This Row],[Substrate SF]]*Canvas</f>
        <v>17.453333333333333</v>
      </c>
      <c r="AD2381" s="606">
        <f>Table1[[#This Row],[Substrate SF]]*Materials!C$37</f>
        <v>74.044444444444437</v>
      </c>
      <c r="AE2381" s="104">
        <f>IF(Table1[[#This Row],[Work Center]]="SwissQ",Materials!G$37,IF(Table1[[#This Row],[Work Center]]="Inca",Materials!G$29,IF(Table1[[#This Row],[Work Center]]="Canon",Materials!G$49,Materials!G$45)))</f>
        <v>20</v>
      </c>
      <c r="AF2381" s="74">
        <f>'Cali Frames'!D$470</f>
        <v>263.70999999999998</v>
      </c>
      <c r="AG2381" s="115"/>
      <c r="AH2381" s="112">
        <f t="shared" si="852"/>
        <v>57.5</v>
      </c>
      <c r="AI2381" s="112"/>
      <c r="AJ2381" s="104">
        <f t="shared" si="853"/>
        <v>432.70777777777778</v>
      </c>
      <c r="AK2381" s="62">
        <f t="shared" si="854"/>
        <v>0.62373236714975844</v>
      </c>
      <c r="AL2381" s="225">
        <f>Table1[[#This Row],[WSP/Dealer]]/Table1[[#This Row],[OD Sq Inch]]</f>
        <v>0.38474406155904983</v>
      </c>
      <c r="AM2381" s="218">
        <f>Table1[[#This Row],[OD Wdth]]*Table1[[#This Row],[OD Hgt]]</f>
        <v>2989</v>
      </c>
      <c r="AN2381" s="216">
        <f>Table1[[#This Row],[Min VO]]+Table1[[#This Row],[Max VO]]</f>
        <v>108</v>
      </c>
      <c r="AO2381" s="101"/>
      <c r="AP2381" s="101"/>
      <c r="AQ2381" s="104"/>
      <c r="AR2381" s="104"/>
      <c r="AS2381" s="104"/>
      <c r="AT2381" s="104"/>
      <c r="AU2381" s="830" t="str">
        <f t="shared" si="841"/>
        <v>-</v>
      </c>
    </row>
    <row r="2382" spans="1:47" s="170" customFormat="1" x14ac:dyDescent="0.2">
      <c r="A2382" s="101" t="s">
        <v>58</v>
      </c>
      <c r="B2382" s="279" t="s">
        <v>406</v>
      </c>
      <c r="C2382" s="122" t="s">
        <v>5449</v>
      </c>
      <c r="D2382" s="94" t="s">
        <v>5450</v>
      </c>
      <c r="E2382" s="122" t="s">
        <v>5451</v>
      </c>
      <c r="F2382" s="115" t="s">
        <v>114</v>
      </c>
      <c r="G2382" s="282" t="s">
        <v>1651</v>
      </c>
      <c r="H2382" s="68" t="s">
        <v>5452</v>
      </c>
      <c r="I2382" s="303" t="s">
        <v>52</v>
      </c>
      <c r="J2382" s="86" t="s">
        <v>283</v>
      </c>
      <c r="K2382" s="303" t="s">
        <v>69</v>
      </c>
      <c r="L2382" s="101" t="s">
        <v>73</v>
      </c>
      <c r="M2382" s="810">
        <v>1210</v>
      </c>
      <c r="N2382" s="639">
        <v>1100</v>
      </c>
      <c r="O2382" s="101" t="s">
        <v>64</v>
      </c>
      <c r="P2382" s="101">
        <v>48</v>
      </c>
      <c r="Q2382" s="101">
        <v>60</v>
      </c>
      <c r="R2382" s="60">
        <v>48</v>
      </c>
      <c r="S2382" s="273">
        <v>60</v>
      </c>
      <c r="T2382" s="101">
        <v>49</v>
      </c>
      <c r="U2382" s="101" t="str">
        <f>RIGHT(H2382,2)</f>
        <v>49</v>
      </c>
      <c r="V2382" s="608">
        <f t="shared" si="855"/>
        <v>48</v>
      </c>
      <c r="W2382" s="608">
        <f t="shared" si="856"/>
        <v>60</v>
      </c>
      <c r="X2382" s="137" t="str">
        <f>J2382</f>
        <v>MDF</v>
      </c>
      <c r="Y2382" s="101"/>
      <c r="Z2382" s="101"/>
      <c r="AA2382" s="649">
        <f t="shared" si="851"/>
        <v>20</v>
      </c>
      <c r="AB2382" s="184">
        <f>Table1[[#This Row],[Substrate SF]]*Swiss1</f>
        <v>566</v>
      </c>
      <c r="AC2382" s="104">
        <f>MDFSHEET</f>
        <v>24.35</v>
      </c>
      <c r="AD2382" s="104">
        <f>Table1[[#This Row],[Substrate SF]]*Materials!C$37</f>
        <v>56</v>
      </c>
      <c r="AE2382" s="104">
        <f>IF(Table1[[#This Row],[Work Center]]="SwissQ",Materials!G$37,IF(Table1[[#This Row],[Work Center]]="Inca",Materials!G$29,IF(Table1[[#This Row],[Work Center]]="Canon",Materials!G$49,Materials!G$45)))</f>
        <v>20</v>
      </c>
      <c r="AF2382" s="74">
        <f>'Cali Frames'!D$529</f>
        <v>185.62</v>
      </c>
      <c r="AG2382" s="115"/>
      <c r="AH2382" s="498">
        <f t="shared" si="852"/>
        <v>60.5</v>
      </c>
      <c r="AI2382" s="498"/>
      <c r="AJ2382" s="104">
        <f t="shared" si="853"/>
        <v>346.47</v>
      </c>
      <c r="AK2382" s="650">
        <f t="shared" si="854"/>
        <v>0.71366115702479338</v>
      </c>
      <c r="AL2382" s="225">
        <f>Table1[[#This Row],[WSP/Dealer]]/Table1[[#This Row],[OD Sq Inch]]</f>
        <v>0.50395668471470223</v>
      </c>
      <c r="AM2382" s="101">
        <f>Table1[[#This Row],[OD Wdth]]*Table1[[#This Row],[OD Hgt]]</f>
        <v>2401</v>
      </c>
      <c r="AN2382" s="216">
        <f>Table1[[#This Row],[Min VO]]+Table1[[#This Row],[Max VO]]</f>
        <v>108</v>
      </c>
      <c r="AO2382" s="101"/>
      <c r="AP2382" s="101"/>
      <c r="AQ2382" s="104"/>
      <c r="AR2382" s="104"/>
      <c r="AS2382" s="104"/>
      <c r="AT2382" s="104"/>
      <c r="AU2382" s="830" t="str">
        <f t="shared" si="841"/>
        <v>-</v>
      </c>
    </row>
    <row r="2383" spans="1:47" s="170" customFormat="1" x14ac:dyDescent="0.2">
      <c r="A2383" s="60" t="s">
        <v>58</v>
      </c>
      <c r="B2383" s="279" t="s">
        <v>261</v>
      </c>
      <c r="C2383" s="80" t="s">
        <v>5453</v>
      </c>
      <c r="D2383" s="94" t="s">
        <v>5454</v>
      </c>
      <c r="E2383" s="80" t="s">
        <v>5455</v>
      </c>
      <c r="F2383" s="83" t="s">
        <v>114</v>
      </c>
      <c r="G2383" s="92" t="s">
        <v>1651</v>
      </c>
      <c r="H2383" s="60" t="s">
        <v>5452</v>
      </c>
      <c r="I2383" s="92" t="s">
        <v>52</v>
      </c>
      <c r="J2383" s="60" t="s">
        <v>53</v>
      </c>
      <c r="K2383" s="92" t="s">
        <v>69</v>
      </c>
      <c r="L2383" s="60" t="s">
        <v>70</v>
      </c>
      <c r="M2383" s="1280">
        <v>1200</v>
      </c>
      <c r="N2383" s="639">
        <v>1250</v>
      </c>
      <c r="O2383" s="60" t="s">
        <v>64</v>
      </c>
      <c r="P2383" s="60">
        <v>60</v>
      </c>
      <c r="Q2383" s="60">
        <v>48</v>
      </c>
      <c r="R2383" s="60">
        <v>48</v>
      </c>
      <c r="S2383" s="273">
        <v>60</v>
      </c>
      <c r="T2383" s="60">
        <v>61</v>
      </c>
      <c r="U2383" s="60">
        <v>49</v>
      </c>
      <c r="V2383" s="946">
        <f t="shared" si="855"/>
        <v>68</v>
      </c>
      <c r="W2383" s="946">
        <f t="shared" si="856"/>
        <v>56</v>
      </c>
      <c r="X2383" s="138" t="s">
        <v>152</v>
      </c>
      <c r="Y2383" s="60"/>
      <c r="Z2383" s="60"/>
      <c r="AA2383" s="717">
        <f t="shared" si="851"/>
        <v>26.444444444444443</v>
      </c>
      <c r="AB2383" s="389">
        <f>AA2383*Swiss1</f>
        <v>748.37777777777774</v>
      </c>
      <c r="AC2383" s="143">
        <f>Table1[[#This Row],[Substrate SF]]*Canvas</f>
        <v>17.453333333333333</v>
      </c>
      <c r="AD2383" s="143">
        <f>Table1[[#This Row],[Substrate SF]]*Materials!C$37</f>
        <v>74.044444444444437</v>
      </c>
      <c r="AE2383" s="69">
        <f>IF(Table1[[#This Row],[Work Center]]="SwissQ",Materials!G$37,IF(Table1[[#This Row],[Work Center]]="Inca",Materials!G$29,IF(Table1[[#This Row],[Work Center]]="Canon",Materials!G$49,Materials!G$45)))</f>
        <v>20</v>
      </c>
      <c r="AF2383" s="69">
        <f>'Cali Frames'!D$470</f>
        <v>263.70999999999998</v>
      </c>
      <c r="AG2383" s="83"/>
      <c r="AH2383" s="498">
        <f t="shared" si="852"/>
        <v>60</v>
      </c>
      <c r="AI2383" s="498"/>
      <c r="AJ2383" s="69">
        <f t="shared" si="853"/>
        <v>435.20777777777778</v>
      </c>
      <c r="AK2383" s="650">
        <f t="shared" si="854"/>
        <v>0.63732685185185189</v>
      </c>
      <c r="AL2383" s="225">
        <f>Table1[[#This Row],[WSP/Dealer]]/Table1[[#This Row],[OD Sq Inch]]</f>
        <v>0.40147206423553028</v>
      </c>
      <c r="AM2383" s="216">
        <f>Table1[[#This Row],[OD Wdth]]*Table1[[#This Row],[OD Hgt]]</f>
        <v>2989</v>
      </c>
      <c r="AN2383" s="216">
        <f>Table1[[#This Row],[Min VO]]+Table1[[#This Row],[Max VO]]</f>
        <v>108</v>
      </c>
      <c r="AO2383" s="60"/>
      <c r="AP2383" s="60"/>
      <c r="AQ2383" s="69"/>
      <c r="AR2383" s="69"/>
      <c r="AS2383" s="69"/>
      <c r="AT2383" s="69"/>
      <c r="AU2383" s="650" t="str">
        <f t="shared" si="841"/>
        <v>-</v>
      </c>
    </row>
    <row r="2384" spans="1:47" s="170" customFormat="1" x14ac:dyDescent="0.2">
      <c r="A2384" s="101" t="s">
        <v>58</v>
      </c>
      <c r="B2384" s="279" t="s">
        <v>406</v>
      </c>
      <c r="C2384" s="80" t="s">
        <v>5456</v>
      </c>
      <c r="D2384" s="94" t="s">
        <v>5457</v>
      </c>
      <c r="E2384" s="122" t="s">
        <v>5458</v>
      </c>
      <c r="F2384" s="115" t="s">
        <v>114</v>
      </c>
      <c r="G2384" s="282" t="s">
        <v>1651</v>
      </c>
      <c r="H2384" s="68" t="s">
        <v>1651</v>
      </c>
      <c r="I2384" s="303" t="s">
        <v>52</v>
      </c>
      <c r="J2384" s="655" t="s">
        <v>53</v>
      </c>
      <c r="K2384" s="303" t="s">
        <v>54</v>
      </c>
      <c r="L2384" s="101" t="s">
        <v>55</v>
      </c>
      <c r="M2384" s="810">
        <v>1210</v>
      </c>
      <c r="N2384" s="639">
        <v>1000</v>
      </c>
      <c r="O2384" s="101" t="s">
        <v>64</v>
      </c>
      <c r="P2384" s="101">
        <v>48</v>
      </c>
      <c r="Q2384" s="101">
        <v>60</v>
      </c>
      <c r="R2384" s="60">
        <v>48</v>
      </c>
      <c r="S2384" s="273">
        <v>60</v>
      </c>
      <c r="T2384" s="273">
        <f>Table1[[#This Row],[VO Wdth]]</f>
        <v>48</v>
      </c>
      <c r="U2384" s="273">
        <f>Table1[[#This Row],[VO Hgt]]</f>
        <v>60</v>
      </c>
      <c r="V2384" s="608">
        <f t="shared" si="855"/>
        <v>56</v>
      </c>
      <c r="W2384" s="608">
        <f t="shared" si="856"/>
        <v>68</v>
      </c>
      <c r="X2384" s="137" t="s">
        <v>152</v>
      </c>
      <c r="Y2384" s="101"/>
      <c r="Z2384" s="101"/>
      <c r="AA2384" s="649">
        <f t="shared" si="851"/>
        <v>26.444444444444443</v>
      </c>
      <c r="AB2384" s="389">
        <f>AA2384*Swiss1</f>
        <v>748.37777777777774</v>
      </c>
      <c r="AC2384" s="143">
        <f>Table1[[#This Row],[Substrate SF]]*Canvas</f>
        <v>17.453333333333333</v>
      </c>
      <c r="AD2384" s="606">
        <f>Table1[[#This Row],[Substrate SF]]*Materials!C$37</f>
        <v>74.044444444444437</v>
      </c>
      <c r="AE2384" s="104">
        <f>IF(Table1[[#This Row],[Work Center]]="SwissQ",Materials!G$37,IF(Table1[[#This Row],[Work Center]]="Inca",Materials!G$29,IF(Table1[[#This Row],[Work Center]]="Canon",Materials!G$49,Materials!G$45)))</f>
        <v>20</v>
      </c>
      <c r="AF2384" s="104">
        <f>'Cali FPS'!C$121</f>
        <v>188.18</v>
      </c>
      <c r="AG2384" s="115"/>
      <c r="AH2384" s="498">
        <f t="shared" si="852"/>
        <v>60.5</v>
      </c>
      <c r="AI2384" s="498"/>
      <c r="AJ2384" s="104">
        <f t="shared" si="853"/>
        <v>360.17777777777781</v>
      </c>
      <c r="AK2384" s="650">
        <f t="shared" si="854"/>
        <v>0.7023324150596878</v>
      </c>
      <c r="AL2384" s="225">
        <f>Table1[[#This Row],[WSP/Dealer]]/Table1[[#This Row],[OD Sq Inch]]</f>
        <v>0.4201388888888889</v>
      </c>
      <c r="AM2384" s="216">
        <f>Table1[[#This Row],[OD Wdth]]*Table1[[#This Row],[OD Hgt]]</f>
        <v>2880</v>
      </c>
      <c r="AN2384" s="216">
        <f>Table1[[#This Row],[Min VO]]+Table1[[#This Row],[Max VO]]</f>
        <v>108</v>
      </c>
      <c r="AO2384" s="101"/>
      <c r="AP2384" s="101"/>
      <c r="AQ2384" s="104"/>
      <c r="AR2384" s="104"/>
      <c r="AS2384" s="104"/>
      <c r="AT2384" s="104"/>
      <c r="AU2384" s="830" t="str">
        <f t="shared" si="841"/>
        <v>-</v>
      </c>
    </row>
    <row r="2385" spans="1:47" s="170" customFormat="1" x14ac:dyDescent="0.2">
      <c r="A2385" s="101" t="s">
        <v>58</v>
      </c>
      <c r="B2385" s="279" t="s">
        <v>406</v>
      </c>
      <c r="C2385" s="80" t="s">
        <v>5459</v>
      </c>
      <c r="D2385" s="94" t="s">
        <v>5460</v>
      </c>
      <c r="E2385" s="122" t="s">
        <v>5461</v>
      </c>
      <c r="F2385" s="115" t="s">
        <v>114</v>
      </c>
      <c r="G2385" s="303" t="s">
        <v>1651</v>
      </c>
      <c r="H2385" s="101" t="s">
        <v>5452</v>
      </c>
      <c r="I2385" s="303" t="s">
        <v>52</v>
      </c>
      <c r="J2385" s="60" t="s">
        <v>53</v>
      </c>
      <c r="K2385" s="303" t="s">
        <v>69</v>
      </c>
      <c r="L2385" s="101" t="s">
        <v>73</v>
      </c>
      <c r="M2385" s="1498">
        <v>1210</v>
      </c>
      <c r="N2385" s="639">
        <v>1250</v>
      </c>
      <c r="O2385" s="101" t="s">
        <v>64</v>
      </c>
      <c r="P2385" s="101">
        <v>60</v>
      </c>
      <c r="Q2385" s="101">
        <v>48</v>
      </c>
      <c r="R2385" s="60">
        <v>48</v>
      </c>
      <c r="S2385" s="273">
        <v>60</v>
      </c>
      <c r="T2385" s="101">
        <v>61</v>
      </c>
      <c r="U2385" s="101">
        <v>49</v>
      </c>
      <c r="V2385" s="608">
        <f t="shared" si="855"/>
        <v>68</v>
      </c>
      <c r="W2385" s="608">
        <f t="shared" si="856"/>
        <v>56</v>
      </c>
      <c r="X2385" s="137" t="s">
        <v>152</v>
      </c>
      <c r="Y2385" s="101"/>
      <c r="Z2385" s="101"/>
      <c r="AA2385" s="649">
        <f t="shared" si="851"/>
        <v>26.444444444444443</v>
      </c>
      <c r="AB2385" s="389">
        <f>AA2385*Swiss1</f>
        <v>748.37777777777774</v>
      </c>
      <c r="AC2385" s="143">
        <f>Table1[[#This Row],[Substrate SF]]*Canvas</f>
        <v>17.453333333333333</v>
      </c>
      <c r="AD2385" s="606">
        <f>Table1[[#This Row],[Substrate SF]]*Materials!C$37</f>
        <v>74.044444444444437</v>
      </c>
      <c r="AE2385" s="104">
        <f>IF(Table1[[#This Row],[Work Center]]="SwissQ",Materials!G$37,IF(Table1[[#This Row],[Work Center]]="Inca",Materials!G$29,IF(Table1[[#This Row],[Work Center]]="Canon",Materials!G$49,Materials!G$45)))</f>
        <v>20</v>
      </c>
      <c r="AF2385" s="74">
        <f>'Cali Frames'!D$470</f>
        <v>263.70999999999998</v>
      </c>
      <c r="AG2385" s="115"/>
      <c r="AH2385" s="498">
        <f t="shared" si="852"/>
        <v>60.5</v>
      </c>
      <c r="AI2385" s="498"/>
      <c r="AJ2385" s="104">
        <f t="shared" si="853"/>
        <v>435.70777777777778</v>
      </c>
      <c r="AK2385" s="650">
        <f t="shared" si="854"/>
        <v>0.63991092745638201</v>
      </c>
      <c r="AL2385" s="225">
        <f>Table1[[#This Row],[WSP/Dealer]]/Table1[[#This Row],[OD Sq Inch]]</f>
        <v>0.40481766477082637</v>
      </c>
      <c r="AM2385" s="216">
        <f>Table1[[#This Row],[OD Wdth]]*Table1[[#This Row],[OD Hgt]]</f>
        <v>2989</v>
      </c>
      <c r="AN2385" s="216">
        <f>Table1[[#This Row],[Min VO]]+Table1[[#This Row],[Max VO]]</f>
        <v>108</v>
      </c>
      <c r="AO2385" s="101"/>
      <c r="AP2385" s="101"/>
      <c r="AQ2385" s="104"/>
      <c r="AR2385" s="104"/>
      <c r="AS2385" s="104"/>
      <c r="AT2385" s="104"/>
      <c r="AU2385" s="830" t="str">
        <f t="shared" si="841"/>
        <v>-</v>
      </c>
    </row>
    <row r="2386" spans="1:47" s="173" customFormat="1" x14ac:dyDescent="0.2">
      <c r="A2386" s="101" t="s">
        <v>58</v>
      </c>
      <c r="B2386" s="279" t="s">
        <v>406</v>
      </c>
      <c r="C2386" s="122" t="s">
        <v>5462</v>
      </c>
      <c r="D2386" s="94" t="s">
        <v>5463</v>
      </c>
      <c r="E2386" s="122" t="s">
        <v>5464</v>
      </c>
      <c r="F2386" s="115" t="s">
        <v>114</v>
      </c>
      <c r="G2386" s="282" t="s">
        <v>1651</v>
      </c>
      <c r="H2386" s="68" t="s">
        <v>5452</v>
      </c>
      <c r="I2386" s="303" t="s">
        <v>52</v>
      </c>
      <c r="J2386" s="86" t="s">
        <v>283</v>
      </c>
      <c r="K2386" s="303" t="s">
        <v>69</v>
      </c>
      <c r="L2386" s="101" t="s">
        <v>73</v>
      </c>
      <c r="M2386" s="810">
        <v>1210</v>
      </c>
      <c r="N2386" s="639">
        <v>1100</v>
      </c>
      <c r="O2386" s="101" t="s">
        <v>64</v>
      </c>
      <c r="P2386" s="101">
        <v>48</v>
      </c>
      <c r="Q2386" s="101">
        <v>60</v>
      </c>
      <c r="R2386" s="60">
        <v>48</v>
      </c>
      <c r="S2386" s="273">
        <v>60</v>
      </c>
      <c r="T2386" s="101">
        <v>49</v>
      </c>
      <c r="U2386" s="101" t="str">
        <f>RIGHT(H2386,2)</f>
        <v>49</v>
      </c>
      <c r="V2386" s="608">
        <f t="shared" si="855"/>
        <v>48</v>
      </c>
      <c r="W2386" s="608">
        <f t="shared" si="856"/>
        <v>60</v>
      </c>
      <c r="X2386" s="137" t="str">
        <f>J2386</f>
        <v>MDF</v>
      </c>
      <c r="Y2386" s="101"/>
      <c r="Z2386" s="101"/>
      <c r="AA2386" s="649">
        <f t="shared" si="851"/>
        <v>20</v>
      </c>
      <c r="AB2386" s="184">
        <f>Table1[[#This Row],[Substrate SF]]*Swiss1</f>
        <v>566</v>
      </c>
      <c r="AC2386" s="104">
        <f>MDFSHEET</f>
        <v>24.35</v>
      </c>
      <c r="AD2386" s="107">
        <f>Table1[[#This Row],[Substrate SF]]*Materials!C$37</f>
        <v>56</v>
      </c>
      <c r="AE2386" s="104">
        <f>IF(Table1[[#This Row],[Work Center]]="SwissQ",Materials!G$37,IF(Table1[[#This Row],[Work Center]]="Inca",Materials!G$29,IF(Table1[[#This Row],[Work Center]]="Canon",Materials!G$49,Materials!G$45)))</f>
        <v>20</v>
      </c>
      <c r="AF2386" s="74">
        <f>'Cali Frames'!D$529</f>
        <v>185.62</v>
      </c>
      <c r="AG2386" s="115"/>
      <c r="AH2386" s="498">
        <f t="shared" si="852"/>
        <v>60.5</v>
      </c>
      <c r="AI2386" s="498"/>
      <c r="AJ2386" s="104">
        <f t="shared" si="853"/>
        <v>346.47</v>
      </c>
      <c r="AK2386" s="650">
        <f t="shared" si="854"/>
        <v>0.71366115702479338</v>
      </c>
      <c r="AL2386" s="225">
        <f>Table1[[#This Row],[WSP/Dealer]]/Table1[[#This Row],[OD Sq Inch]]</f>
        <v>0.50395668471470223</v>
      </c>
      <c r="AM2386" s="103">
        <f>Table1[[#This Row],[OD Wdth]]*Table1[[#This Row],[OD Hgt]]</f>
        <v>2401</v>
      </c>
      <c r="AN2386" s="216">
        <f>Table1[[#This Row],[Min VO]]+Table1[[#This Row],[Max VO]]</f>
        <v>108</v>
      </c>
      <c r="AO2386" s="101"/>
      <c r="AP2386" s="101"/>
      <c r="AQ2386" s="104"/>
      <c r="AR2386" s="104"/>
      <c r="AS2386" s="104"/>
      <c r="AT2386" s="104"/>
      <c r="AU2386" s="830" t="str">
        <f t="shared" si="841"/>
        <v>-</v>
      </c>
    </row>
    <row r="2387" spans="1:47" s="170" customFormat="1" x14ac:dyDescent="0.2">
      <c r="A2387" s="60" t="s">
        <v>58</v>
      </c>
      <c r="B2387" s="279" t="s">
        <v>445</v>
      </c>
      <c r="C2387" s="80" t="s">
        <v>5465</v>
      </c>
      <c r="D2387" s="94"/>
      <c r="E2387" s="492" t="s">
        <v>5466</v>
      </c>
      <c r="F2387" s="83" t="s">
        <v>448</v>
      </c>
      <c r="G2387" s="92" t="s">
        <v>482</v>
      </c>
      <c r="H2387" s="60" t="s">
        <v>482</v>
      </c>
      <c r="I2387" s="92" t="s">
        <v>52</v>
      </c>
      <c r="J2387" s="59" t="s">
        <v>53</v>
      </c>
      <c r="K2387" s="92" t="s">
        <v>54</v>
      </c>
      <c r="L2387" s="60" t="s">
        <v>55</v>
      </c>
      <c r="M2387" s="179">
        <v>920</v>
      </c>
      <c r="N2387" s="639">
        <v>850</v>
      </c>
      <c r="O2387" s="60" t="s">
        <v>56</v>
      </c>
      <c r="P2387" s="60">
        <v>40</v>
      </c>
      <c r="Q2387" s="60">
        <v>60</v>
      </c>
      <c r="R2387" s="60">
        <v>40</v>
      </c>
      <c r="S2387" s="60">
        <v>60</v>
      </c>
      <c r="T2387" s="60">
        <v>40</v>
      </c>
      <c r="U2387" s="60">
        <v>60</v>
      </c>
      <c r="V2387" s="946">
        <f>IF(J2387="Canvas",P2387+BorderGW,P2387)</f>
        <v>48</v>
      </c>
      <c r="W2387" s="946">
        <f>IF(J2387="Canvas",Q2387+BorderGW,Q2387)</f>
        <v>68</v>
      </c>
      <c r="X2387" s="138">
        <v>69</v>
      </c>
      <c r="Y2387" s="60">
        <v>48</v>
      </c>
      <c r="Z2387" s="60">
        <v>68</v>
      </c>
      <c r="AA2387" s="717">
        <f t="shared" si="851"/>
        <v>22.666666666666668</v>
      </c>
      <c r="AB2387" s="125">
        <f>AA2387*IncaG</f>
        <v>476.90666666666669</v>
      </c>
      <c r="AC2387" s="69">
        <f>AA2387*Canvas</f>
        <v>14.96</v>
      </c>
      <c r="AD2387" s="48">
        <f>AA2387*IncaC</f>
        <v>38.152533333333338</v>
      </c>
      <c r="AE2387" s="69">
        <f>IF(Table1[[#This Row],[Work Center]]="SwissQ",Materials!G$37,IF(Table1[[#This Row],[Work Center]]="Inca",Materials!G$29,IF(Table1[[#This Row],[Work Center]]="Canon",Materials!G$49,Materials!G$45)))</f>
        <v>8</v>
      </c>
      <c r="AF2387" s="72">
        <f>'Cali FPS'!C89</f>
        <v>112.01750000000001</v>
      </c>
      <c r="AG2387" s="83"/>
      <c r="AH2387" s="498">
        <f t="shared" si="852"/>
        <v>46</v>
      </c>
      <c r="AI2387" s="498"/>
      <c r="AJ2387" s="69">
        <f t="shared" si="853"/>
        <v>219.13003333333336</v>
      </c>
      <c r="AK2387" s="650">
        <f t="shared" si="854"/>
        <v>0.76181518115942026</v>
      </c>
      <c r="AL2387" s="225">
        <f>Table1[[#This Row],[WSP/Dealer]]/Table1[[#This Row],[OD Sq Inch]]</f>
        <v>0.38333333333333336</v>
      </c>
      <c r="AM2387" s="218">
        <f>Table1[[#This Row],[OD Wdth]]*Table1[[#This Row],[OD Hgt]]</f>
        <v>2400</v>
      </c>
      <c r="AN2387" s="216">
        <f>Table1[[#This Row],[Min VO]]+Table1[[#This Row],[Max VO]]</f>
        <v>100</v>
      </c>
      <c r="AO2387" s="83"/>
      <c r="AP2387" s="83"/>
      <c r="AQ2387" s="540"/>
      <c r="AR2387" s="540"/>
      <c r="AS2387" s="540"/>
      <c r="AT2387" s="69"/>
      <c r="AU2387" s="1361" t="str">
        <f t="shared" si="841"/>
        <v>-</v>
      </c>
    </row>
    <row r="2388" spans="1:47" s="170" customFormat="1" x14ac:dyDescent="0.2">
      <c r="A2388" s="60" t="s">
        <v>58</v>
      </c>
      <c r="B2388" s="1061" t="s">
        <v>445</v>
      </c>
      <c r="C2388" s="80" t="s">
        <v>5467</v>
      </c>
      <c r="D2388" s="94"/>
      <c r="E2388" s="492" t="s">
        <v>5468</v>
      </c>
      <c r="F2388" s="83" t="s">
        <v>448</v>
      </c>
      <c r="G2388" s="92" t="s">
        <v>482</v>
      </c>
      <c r="H2388" s="60" t="s">
        <v>482</v>
      </c>
      <c r="I2388" s="92" t="s">
        <v>52</v>
      </c>
      <c r="J2388" s="59" t="s">
        <v>53</v>
      </c>
      <c r="K2388" s="92" t="s">
        <v>54</v>
      </c>
      <c r="L2388" s="60" t="s">
        <v>55</v>
      </c>
      <c r="M2388" s="647">
        <v>920</v>
      </c>
      <c r="N2388" s="639">
        <v>850</v>
      </c>
      <c r="O2388" s="60" t="s">
        <v>56</v>
      </c>
      <c r="P2388" s="60">
        <v>40</v>
      </c>
      <c r="Q2388" s="60">
        <v>60</v>
      </c>
      <c r="R2388" s="60">
        <v>40</v>
      </c>
      <c r="S2388" s="46">
        <v>60</v>
      </c>
      <c r="T2388" s="46">
        <v>40</v>
      </c>
      <c r="U2388" s="46">
        <v>60</v>
      </c>
      <c r="V2388" s="47">
        <f>IF(J2388="Canvas",P2388+BorderGW,P2388)</f>
        <v>48</v>
      </c>
      <c r="W2388" s="47">
        <f>IF(J2388="Canvas",Q2388+BorderGW,Q2388)</f>
        <v>68</v>
      </c>
      <c r="X2388" s="138">
        <v>69</v>
      </c>
      <c r="Y2388" s="60">
        <v>48</v>
      </c>
      <c r="Z2388" s="60">
        <v>68</v>
      </c>
      <c r="AA2388" s="717">
        <f t="shared" si="851"/>
        <v>22.666666666666668</v>
      </c>
      <c r="AB2388" s="125">
        <f>AA2388*IncaG</f>
        <v>476.90666666666669</v>
      </c>
      <c r="AC2388" s="48">
        <f>AA2388*Canvas</f>
        <v>14.96</v>
      </c>
      <c r="AD2388" s="48">
        <f>AA2388*IncaC</f>
        <v>38.152533333333338</v>
      </c>
      <c r="AE2388" s="69">
        <f>IF(Table1[[#This Row],[Work Center]]="SwissQ",Materials!G$37,IF(Table1[[#This Row],[Work Center]]="Inca",Materials!G$29,IF(Table1[[#This Row],[Work Center]]="Canon",Materials!G$49,Materials!G$45)))</f>
        <v>8</v>
      </c>
      <c r="AF2388" s="72">
        <f>'Cali FPS'!C89</f>
        <v>112.01750000000001</v>
      </c>
      <c r="AG2388" s="83"/>
      <c r="AH2388" s="112">
        <f t="shared" si="852"/>
        <v>46</v>
      </c>
      <c r="AI2388" s="112"/>
      <c r="AJ2388" s="48">
        <f t="shared" si="853"/>
        <v>219.13003333333336</v>
      </c>
      <c r="AK2388" s="62">
        <f t="shared" si="854"/>
        <v>0.76181518115942026</v>
      </c>
      <c r="AL2388" s="225">
        <f>Table1[[#This Row],[WSP/Dealer]]/Table1[[#This Row],[OD Sq Inch]]</f>
        <v>0.38333333333333336</v>
      </c>
      <c r="AM2388" s="218">
        <f>Table1[[#This Row],[OD Wdth]]*Table1[[#This Row],[OD Hgt]]</f>
        <v>2400</v>
      </c>
      <c r="AN2388" s="216">
        <f>Table1[[#This Row],[Min VO]]+Table1[[#This Row],[Max VO]]</f>
        <v>100</v>
      </c>
      <c r="AO2388" s="95"/>
      <c r="AP2388" s="83"/>
      <c r="AQ2388" s="540"/>
      <c r="AR2388" s="540"/>
      <c r="AS2388" s="540"/>
      <c r="AT2388" s="69"/>
      <c r="AU2388" s="1355" t="str">
        <f t="shared" si="841"/>
        <v>-</v>
      </c>
    </row>
    <row r="2389" spans="1:47" s="170" customFormat="1" hidden="1" x14ac:dyDescent="0.2">
      <c r="A2389" s="68"/>
      <c r="B2389" s="1061"/>
      <c r="C2389" s="1053" t="s">
        <v>5469</v>
      </c>
      <c r="D2389" s="94"/>
      <c r="E2389" s="378" t="s">
        <v>5470</v>
      </c>
      <c r="F2389" s="84" t="s">
        <v>960</v>
      </c>
      <c r="G2389" s="282" t="s">
        <v>3858</v>
      </c>
      <c r="H2389" s="68"/>
      <c r="I2389" s="282" t="s">
        <v>304</v>
      </c>
      <c r="J2389" s="68" t="s">
        <v>257</v>
      </c>
      <c r="K2389" s="282" t="s">
        <v>258</v>
      </c>
      <c r="L2389" s="68" t="s">
        <v>83</v>
      </c>
      <c r="M2389" s="380"/>
      <c r="N2389" s="71"/>
      <c r="O2389" s="68"/>
      <c r="P2389" s="68"/>
      <c r="Q2389" s="68"/>
      <c r="R2389" s="68"/>
      <c r="S2389" s="68"/>
      <c r="T2389" s="68"/>
      <c r="U2389" s="68"/>
      <c r="V2389" s="917"/>
      <c r="W2389" s="917"/>
      <c r="X2389" s="189"/>
      <c r="Y2389" s="68"/>
      <c r="Z2389" s="68"/>
      <c r="AA2389" s="699"/>
      <c r="AB2389" s="297"/>
      <c r="AC2389" s="74"/>
      <c r="AD2389" s="126"/>
      <c r="AE2389" s="126"/>
      <c r="AF2389" s="73"/>
      <c r="AG2389" s="126"/>
      <c r="AH2389" s="112">
        <f t="shared" si="852"/>
        <v>0</v>
      </c>
      <c r="AI2389" s="112"/>
      <c r="AJ2389" s="126"/>
      <c r="AK2389" s="62" t="e">
        <f t="shared" si="854"/>
        <v>#DIV/0!</v>
      </c>
      <c r="AL2389" s="225" t="e">
        <f>Table1[[#This Row],[WSP/Dealer]]/Table1[[#This Row],[OD Sq Inch]]</f>
        <v>#DIV/0!</v>
      </c>
      <c r="AM2389" s="84"/>
      <c r="AN2389" s="216">
        <f>Table1[[#This Row],[Min VO]]+Table1[[#This Row],[Max VO]]</f>
        <v>0</v>
      </c>
      <c r="AO2389" s="84"/>
      <c r="AP2389" s="84"/>
      <c r="AQ2389" s="126"/>
      <c r="AR2389" s="126"/>
      <c r="AS2389" s="126"/>
      <c r="AT2389" s="74"/>
      <c r="AU2389" s="1357" t="str">
        <f t="shared" si="841"/>
        <v>-</v>
      </c>
    </row>
    <row r="2390" spans="1:47" s="170" customFormat="1" hidden="1" x14ac:dyDescent="0.2">
      <c r="A2390" s="86" t="s">
        <v>5471</v>
      </c>
      <c r="C2390" s="327" t="s">
        <v>5472</v>
      </c>
      <c r="D2390" s="94"/>
      <c r="E2390" s="90" t="s">
        <v>5473</v>
      </c>
      <c r="F2390" s="85" t="s">
        <v>634</v>
      </c>
      <c r="G2390" s="91" t="s">
        <v>5474</v>
      </c>
      <c r="H2390" s="86" t="s">
        <v>5475</v>
      </c>
      <c r="I2390" s="91" t="s">
        <v>794</v>
      </c>
      <c r="J2390" s="86" t="s">
        <v>53</v>
      </c>
      <c r="K2390" s="91" t="s">
        <v>69</v>
      </c>
      <c r="L2390" s="86" t="s">
        <v>73</v>
      </c>
      <c r="M2390" s="976">
        <v>250</v>
      </c>
      <c r="N2390" s="87"/>
      <c r="O2390" s="101" t="s">
        <v>795</v>
      </c>
      <c r="P2390" s="60">
        <v>20</v>
      </c>
      <c r="Q2390" s="60">
        <v>24</v>
      </c>
      <c r="R2390" s="101">
        <v>20</v>
      </c>
      <c r="S2390" s="101">
        <v>24</v>
      </c>
      <c r="T2390" s="101">
        <v>21</v>
      </c>
      <c r="U2390" s="101">
        <v>25</v>
      </c>
      <c r="V2390" s="608">
        <f>IF(J2390="Canvas",P2390+Border,P2390)</f>
        <v>28</v>
      </c>
      <c r="W2390" s="608">
        <f>IF(J2390="Canvas",Q2390+Border,Q2390)</f>
        <v>32</v>
      </c>
      <c r="X2390" s="137" t="s">
        <v>796</v>
      </c>
      <c r="Y2390" s="101"/>
      <c r="Z2390" s="101"/>
      <c r="AA2390" s="649">
        <f t="shared" ref="AA2390:AA2416" si="857">V2390*W2390/144</f>
        <v>6.2222222222222223</v>
      </c>
      <c r="AB2390" s="184">
        <v>0</v>
      </c>
      <c r="AC2390" s="104">
        <f>TX!H31</f>
        <v>52</v>
      </c>
      <c r="AD2390" s="121">
        <f>AA2390*IncaC</f>
        <v>10.473244444444445</v>
      </c>
      <c r="AE2390" s="104">
        <v>0</v>
      </c>
      <c r="AF2390" s="121">
        <f>'Cali Frames'!D417</f>
        <v>79.642499999999998</v>
      </c>
      <c r="AG2390" s="115"/>
      <c r="AH2390" s="498">
        <f t="shared" si="852"/>
        <v>12.5</v>
      </c>
      <c r="AI2390" s="498"/>
      <c r="AJ2390" s="121">
        <f t="shared" ref="AJ2390:AJ2416" si="858">SUM(AC2390:AH2390)</f>
        <v>154.61574444444443</v>
      </c>
      <c r="AK2390" s="650">
        <f t="shared" si="854"/>
        <v>0.3815370222222223</v>
      </c>
      <c r="AL2390" s="225">
        <f>Table1[[#This Row],[WSP/Dealer]]/Table1[[#This Row],[OD Sq Inch]]</f>
        <v>0.47619047619047616</v>
      </c>
      <c r="AM2390" s="216">
        <f>Table1[[#This Row],[OD Wdth]]*Table1[[#This Row],[OD Hgt]]</f>
        <v>525</v>
      </c>
      <c r="AN2390" s="216">
        <f>Table1[[#This Row],[Min VO]]+Table1[[#This Row],[Max VO]]</f>
        <v>44</v>
      </c>
      <c r="AO2390" s="115"/>
      <c r="AP2390" s="115"/>
      <c r="AQ2390" s="121"/>
      <c r="AR2390" s="121"/>
      <c r="AS2390" s="121"/>
      <c r="AT2390" s="104"/>
      <c r="AU2390" s="1359" t="str">
        <f t="shared" si="841"/>
        <v>-</v>
      </c>
    </row>
    <row r="2391" spans="1:47" s="170" customFormat="1" x14ac:dyDescent="0.2">
      <c r="A2391" s="101" t="s">
        <v>58</v>
      </c>
      <c r="B2391" s="1061" t="s">
        <v>88</v>
      </c>
      <c r="C2391" s="80" t="s">
        <v>5476</v>
      </c>
      <c r="D2391" s="94" t="s">
        <v>5477</v>
      </c>
      <c r="E2391" s="122" t="s">
        <v>5478</v>
      </c>
      <c r="F2391" s="115" t="s">
        <v>634</v>
      </c>
      <c r="G2391" s="303" t="s">
        <v>4474</v>
      </c>
      <c r="H2391" s="101" t="s">
        <v>750</v>
      </c>
      <c r="I2391" s="303" t="s">
        <v>52</v>
      </c>
      <c r="J2391" s="60" t="s">
        <v>53</v>
      </c>
      <c r="K2391" s="303" t="s">
        <v>69</v>
      </c>
      <c r="L2391" s="101" t="s">
        <v>73</v>
      </c>
      <c r="M2391" s="388">
        <v>621.5</v>
      </c>
      <c r="N2391" s="639">
        <v>680</v>
      </c>
      <c r="O2391" s="551" t="s">
        <v>56</v>
      </c>
      <c r="P2391" s="101">
        <v>38</v>
      </c>
      <c r="Q2391" s="101">
        <v>38</v>
      </c>
      <c r="R2391" s="60">
        <v>38</v>
      </c>
      <c r="S2391" s="273">
        <v>38</v>
      </c>
      <c r="T2391" s="101">
        <v>39</v>
      </c>
      <c r="U2391" s="101">
        <v>39</v>
      </c>
      <c r="V2391" s="608">
        <f>IF(J2391="Canvas",P2391+Border,P2391)</f>
        <v>46</v>
      </c>
      <c r="W2391" s="608">
        <f>IF(J2391="Canvas",Q2391+Border,Q2391)</f>
        <v>46</v>
      </c>
      <c r="X2391" s="137">
        <v>53</v>
      </c>
      <c r="Y2391" s="101"/>
      <c r="Z2391" s="101"/>
      <c r="AA2391" s="649">
        <f t="shared" si="857"/>
        <v>14.694444444444445</v>
      </c>
      <c r="AB2391" s="184">
        <f>AA2391*IncaG</f>
        <v>309.17111111111109</v>
      </c>
      <c r="AC2391" s="104">
        <f>AA2391*Canvas</f>
        <v>9.6983333333333341</v>
      </c>
      <c r="AD2391" s="104">
        <f>AA2391*IncaC</f>
        <v>24.733688888888889</v>
      </c>
      <c r="AE2391" s="104">
        <f>IF(Table1[[#This Row],[Work Center]]="SwissQ",Materials!G$37,IF(Table1[[#This Row],[Work Center]]="Inca",Materials!G$29,IF(Table1[[#This Row],[Work Center]]="Canon",Materials!G$49,Materials!G$45)))</f>
        <v>8</v>
      </c>
      <c r="AF2391" s="74">
        <f>'Cali Frames'!D$441</f>
        <v>143.51750000000001</v>
      </c>
      <c r="AG2391" s="115"/>
      <c r="AH2391" s="498">
        <f t="shared" si="852"/>
        <v>31.075000000000003</v>
      </c>
      <c r="AI2391" s="498"/>
      <c r="AJ2391" s="104">
        <f t="shared" si="858"/>
        <v>217.02452222222223</v>
      </c>
      <c r="AK2391" s="650">
        <f t="shared" si="854"/>
        <v>0.65080527397872534</v>
      </c>
      <c r="AL2391" s="225">
        <f>Table1[[#This Row],[WSP/Dealer]]/Table1[[#This Row],[OD Sq Inch]]</f>
        <v>0.40861275476660092</v>
      </c>
      <c r="AM2391" s="101">
        <f>Table1[[#This Row],[OD Wdth]]*Table1[[#This Row],[OD Hgt]]</f>
        <v>1521</v>
      </c>
      <c r="AN2391" s="216">
        <f>Table1[[#This Row],[Min VO]]+Table1[[#This Row],[Max VO]]</f>
        <v>76</v>
      </c>
      <c r="AO2391" s="101"/>
      <c r="AP2391" s="101"/>
      <c r="AQ2391" s="104"/>
      <c r="AR2391" s="104"/>
      <c r="AS2391" s="104"/>
      <c r="AT2391" s="104"/>
      <c r="AU2391" s="830" t="str">
        <f t="shared" si="841"/>
        <v>-</v>
      </c>
    </row>
    <row r="2392" spans="1:47" s="170" customFormat="1" hidden="1" x14ac:dyDescent="0.2">
      <c r="A2392" s="101" t="s">
        <v>669</v>
      </c>
      <c r="B2392" s="1061" t="s">
        <v>88</v>
      </c>
      <c r="C2392" s="122" t="s">
        <v>5479</v>
      </c>
      <c r="D2392" s="94" t="s">
        <v>5480</v>
      </c>
      <c r="E2392" s="122" t="s">
        <v>5481</v>
      </c>
      <c r="F2392" s="115" t="s">
        <v>634</v>
      </c>
      <c r="G2392" s="303" t="s">
        <v>5482</v>
      </c>
      <c r="H2392" s="101" t="s">
        <v>750</v>
      </c>
      <c r="I2392" s="303" t="s">
        <v>52</v>
      </c>
      <c r="J2392" s="60" t="s">
        <v>280</v>
      </c>
      <c r="K2392" s="303" t="s">
        <v>69</v>
      </c>
      <c r="L2392" s="101" t="s">
        <v>73</v>
      </c>
      <c r="M2392" s="810">
        <v>621.5</v>
      </c>
      <c r="N2392" s="71"/>
      <c r="O2392" s="551" t="s">
        <v>56</v>
      </c>
      <c r="P2392" s="101">
        <v>38</v>
      </c>
      <c r="Q2392" s="101">
        <v>38</v>
      </c>
      <c r="R2392" s="60">
        <v>38</v>
      </c>
      <c r="S2392" s="273">
        <v>38</v>
      </c>
      <c r="T2392" s="101">
        <v>39</v>
      </c>
      <c r="U2392" s="101" t="str">
        <f>RIGHT(H2392,2)</f>
        <v>39</v>
      </c>
      <c r="V2392" s="608">
        <f>IF(J2392="Canvas",P2392+Border,P2392)</f>
        <v>38</v>
      </c>
      <c r="W2392" s="608">
        <f>IF(J2392="Canvas",Q2392+Border,Q2392)</f>
        <v>38</v>
      </c>
      <c r="X2392" s="137" t="s">
        <v>675</v>
      </c>
      <c r="Y2392" s="101"/>
      <c r="Z2392" s="101"/>
      <c r="AA2392" s="649">
        <f t="shared" si="857"/>
        <v>10.027777777777779</v>
      </c>
      <c r="AB2392" s="184">
        <f>AA2392*IncaG</f>
        <v>210.98444444444445</v>
      </c>
      <c r="AC2392" s="104">
        <f>PETG48/2</f>
        <v>24.33</v>
      </c>
      <c r="AD2392" s="104">
        <f>AA2392*IncaC</f>
        <v>16.878755555555557</v>
      </c>
      <c r="AE2392" s="104">
        <f>IF(Table1[[#This Row],[Work Center]]="SwissQ",Materials!G$37,IF(Table1[[#This Row],[Work Center]]="Inca",Materials!G$29,IF(Table1[[#This Row],[Work Center]]="Canon",Materials!G$49,Materials!G$45)))</f>
        <v>8</v>
      </c>
      <c r="AF2392" s="74">
        <f>'Cali Frames'!D$441</f>
        <v>143.51750000000001</v>
      </c>
      <c r="AG2392" s="115"/>
      <c r="AH2392" s="498">
        <f t="shared" si="852"/>
        <v>31.075000000000003</v>
      </c>
      <c r="AI2392" s="498"/>
      <c r="AJ2392" s="104">
        <f t="shared" si="858"/>
        <v>223.80125555555554</v>
      </c>
      <c r="AK2392" s="650">
        <f t="shared" si="854"/>
        <v>0.63990143917046571</v>
      </c>
      <c r="AL2392" s="225">
        <f>Table1[[#This Row],[WSP/Dealer]]/Table1[[#This Row],[OD Sq Inch]]</f>
        <v>0.40861275476660092</v>
      </c>
      <c r="AM2392" s="101">
        <f>Table1[[#This Row],[OD Wdth]]*Table1[[#This Row],[OD Hgt]]</f>
        <v>1521</v>
      </c>
      <c r="AN2392" s="216">
        <f>Table1[[#This Row],[Min VO]]+Table1[[#This Row],[Max VO]]</f>
        <v>76</v>
      </c>
      <c r="AO2392" s="101"/>
      <c r="AP2392" s="101"/>
      <c r="AQ2392" s="104"/>
      <c r="AR2392" s="104"/>
      <c r="AS2392" s="104"/>
      <c r="AT2392" s="104"/>
      <c r="AU2392" s="830" t="str">
        <f t="shared" si="841"/>
        <v>-</v>
      </c>
    </row>
    <row r="2393" spans="1:47" s="170" customFormat="1" x14ac:dyDescent="0.2">
      <c r="A2393" s="101" t="s">
        <v>58</v>
      </c>
      <c r="B2393" s="279" t="s">
        <v>406</v>
      </c>
      <c r="C2393" s="80" t="s">
        <v>5483</v>
      </c>
      <c r="D2393" s="94" t="s">
        <v>5484</v>
      </c>
      <c r="E2393" s="122" t="s">
        <v>5485</v>
      </c>
      <c r="F2393" s="115" t="s">
        <v>634</v>
      </c>
      <c r="G2393" s="303" t="s">
        <v>913</v>
      </c>
      <c r="H2393" s="101" t="s">
        <v>5486</v>
      </c>
      <c r="I2393" s="303" t="s">
        <v>52</v>
      </c>
      <c r="J2393" s="60" t="s">
        <v>53</v>
      </c>
      <c r="K2393" s="303" t="s">
        <v>69</v>
      </c>
      <c r="L2393" s="101" t="s">
        <v>70</v>
      </c>
      <c r="M2393" s="388">
        <v>1430</v>
      </c>
      <c r="N2393" s="639">
        <v>1450</v>
      </c>
      <c r="O2393" s="60" t="s">
        <v>64</v>
      </c>
      <c r="P2393" s="101">
        <v>60</v>
      </c>
      <c r="Q2393" s="101">
        <v>72</v>
      </c>
      <c r="R2393" s="60">
        <v>60</v>
      </c>
      <c r="S2393" s="273">
        <v>72</v>
      </c>
      <c r="T2393" s="101">
        <v>61</v>
      </c>
      <c r="U2393" s="101">
        <v>73</v>
      </c>
      <c r="V2393" s="608">
        <f>IF(J2393="Canvas",P2393+BorderL,P2393)</f>
        <v>71</v>
      </c>
      <c r="W2393" s="608">
        <f>IF(J2393="Canvas",Q2393+BorderL,Q2393)</f>
        <v>83</v>
      </c>
      <c r="X2393" s="137">
        <v>82</v>
      </c>
      <c r="Y2393" s="101"/>
      <c r="Z2393" s="101"/>
      <c r="AA2393" s="649">
        <f t="shared" si="857"/>
        <v>40.923611111111114</v>
      </c>
      <c r="AB2393" s="125">
        <f t="shared" ref="AB2393:AB2403" si="859">AA2393*Swiss1</f>
        <v>1158.1381944444445</v>
      </c>
      <c r="AC2393" s="104">
        <f>AA2393*Canvas</f>
        <v>27.009583333333335</v>
      </c>
      <c r="AD2393" s="107">
        <f>Table1[[#This Row],[Substrate SF]]*Materials!C$37</f>
        <v>114.58611111111111</v>
      </c>
      <c r="AE2393" s="104">
        <f>IF(Table1[[#This Row],[Work Center]]="SwissQ",Materials!G$37,IF(Table1[[#This Row],[Work Center]]="Inca",Materials!G$29,IF(Table1[[#This Row],[Work Center]]="Canon",Materials!G$49,Materials!G$45)))</f>
        <v>20</v>
      </c>
      <c r="AF2393" s="104">
        <f>'Cali Frames'!D$350</f>
        <v>324.01249999999999</v>
      </c>
      <c r="AG2393" s="115"/>
      <c r="AH2393" s="112">
        <f t="shared" si="852"/>
        <v>71.5</v>
      </c>
      <c r="AI2393" s="112"/>
      <c r="AJ2393" s="104">
        <f t="shared" si="858"/>
        <v>557.10819444444439</v>
      </c>
      <c r="AK2393" s="62">
        <f t="shared" si="854"/>
        <v>0.61041385003885007</v>
      </c>
      <c r="AL2393" s="225">
        <f>Table1[[#This Row],[WSP/Dealer]]/Table1[[#This Row],[OD Sq Inch]]</f>
        <v>0.32113182124410511</v>
      </c>
      <c r="AM2393" s="101">
        <f>Table1[[#This Row],[OD Wdth]]*Table1[[#This Row],[OD Hgt]]</f>
        <v>4453</v>
      </c>
      <c r="AN2393" s="216">
        <f>Table1[[#This Row],[Min VO]]+Table1[[#This Row],[Max VO]]</f>
        <v>132</v>
      </c>
      <c r="AO2393" s="101"/>
      <c r="AP2393" s="101"/>
      <c r="AQ2393" s="104"/>
      <c r="AR2393" s="104"/>
      <c r="AS2393" s="104"/>
      <c r="AT2393" s="104"/>
      <c r="AU2393" s="830" t="str">
        <f t="shared" si="841"/>
        <v>-</v>
      </c>
    </row>
    <row r="2394" spans="1:47" s="170" customFormat="1" x14ac:dyDescent="0.2">
      <c r="A2394" s="101" t="s">
        <v>58</v>
      </c>
      <c r="B2394" s="1061" t="s">
        <v>406</v>
      </c>
      <c r="C2394" s="122" t="s">
        <v>5487</v>
      </c>
      <c r="D2394" s="94" t="s">
        <v>5488</v>
      </c>
      <c r="E2394" s="122" t="s">
        <v>5485</v>
      </c>
      <c r="F2394" s="115" t="s">
        <v>634</v>
      </c>
      <c r="G2394" s="303" t="s">
        <v>623</v>
      </c>
      <c r="H2394" s="101" t="s">
        <v>2397</v>
      </c>
      <c r="I2394" s="303" t="s">
        <v>52</v>
      </c>
      <c r="J2394" s="655" t="s">
        <v>280</v>
      </c>
      <c r="K2394" s="303" t="s">
        <v>69</v>
      </c>
      <c r="L2394" s="101" t="s">
        <v>70</v>
      </c>
      <c r="M2394" s="810">
        <v>1430</v>
      </c>
      <c r="N2394" s="639">
        <v>1450</v>
      </c>
      <c r="O2394" s="60" t="s">
        <v>64</v>
      </c>
      <c r="P2394" s="101">
        <v>60</v>
      </c>
      <c r="Q2394" s="101">
        <v>72</v>
      </c>
      <c r="R2394" s="60">
        <v>60</v>
      </c>
      <c r="S2394" s="273">
        <v>72</v>
      </c>
      <c r="T2394" s="103">
        <v>62</v>
      </c>
      <c r="U2394" s="103" t="str">
        <f>RIGHT(H2394,2)</f>
        <v>74</v>
      </c>
      <c r="V2394" s="106">
        <f>IF(J2394="Canvas",P2394+BorderL,P2394)</f>
        <v>60</v>
      </c>
      <c r="W2394" s="106">
        <f>IF(J2394="Canvas",Q2394+BorderL,Q2394)</f>
        <v>72</v>
      </c>
      <c r="X2394" s="137" t="s">
        <v>2471</v>
      </c>
      <c r="Y2394" s="101"/>
      <c r="Z2394" s="101"/>
      <c r="AA2394" s="649">
        <f t="shared" si="857"/>
        <v>30</v>
      </c>
      <c r="AB2394" s="125">
        <f t="shared" si="859"/>
        <v>849</v>
      </c>
      <c r="AC2394" s="104">
        <f>PETG60</f>
        <v>58.32</v>
      </c>
      <c r="AD2394" s="107">
        <f>Table1[[#This Row],[Substrate SF]]*Materials!C$37</f>
        <v>84</v>
      </c>
      <c r="AE2394" s="104">
        <f>IF(Table1[[#This Row],[Work Center]]="SwissQ",Materials!G$37,IF(Table1[[#This Row],[Work Center]]="Inca",Materials!G$29,IF(Table1[[#This Row],[Work Center]]="Canon",Materials!G$49,Materials!G$45)))</f>
        <v>20</v>
      </c>
      <c r="AF2394" s="104">
        <f>'Cali Frames'!D$350</f>
        <v>324.01249999999999</v>
      </c>
      <c r="AG2394" s="115"/>
      <c r="AH2394" s="498">
        <f t="shared" si="852"/>
        <v>71.5</v>
      </c>
      <c r="AI2394" s="498"/>
      <c r="AJ2394" s="104">
        <f t="shared" si="858"/>
        <v>557.83249999999998</v>
      </c>
      <c r="AK2394" s="650">
        <f t="shared" si="854"/>
        <v>0.6099073426573427</v>
      </c>
      <c r="AL2394" s="225">
        <f>Table1[[#This Row],[WSP/Dealer]]/Table1[[#This Row],[OD Sq Inch]]</f>
        <v>0.31168265039232779</v>
      </c>
      <c r="AM2394" s="218">
        <f>Table1[[#This Row],[OD Wdth]]*Table1[[#This Row],[OD Hgt]]</f>
        <v>4588</v>
      </c>
      <c r="AN2394" s="216">
        <f>Table1[[#This Row],[Min VO]]+Table1[[#This Row],[Max VO]]</f>
        <v>132</v>
      </c>
      <c r="AO2394" s="101"/>
      <c r="AP2394" s="101"/>
      <c r="AQ2394" s="104"/>
      <c r="AR2394" s="104"/>
      <c r="AS2394" s="104"/>
      <c r="AT2394" s="104"/>
      <c r="AU2394" s="830" t="str">
        <f t="shared" si="841"/>
        <v>-</v>
      </c>
    </row>
    <row r="2395" spans="1:47" s="170" customFormat="1" x14ac:dyDescent="0.2">
      <c r="A2395" s="60" t="s">
        <v>58</v>
      </c>
      <c r="B2395" s="1061" t="s">
        <v>96</v>
      </c>
      <c r="C2395" s="80" t="s">
        <v>5489</v>
      </c>
      <c r="D2395" s="94"/>
      <c r="E2395" s="492" t="s">
        <v>5490</v>
      </c>
      <c r="F2395" s="83" t="s">
        <v>650</v>
      </c>
      <c r="G2395" s="92" t="s">
        <v>482</v>
      </c>
      <c r="H2395" s="60" t="s">
        <v>482</v>
      </c>
      <c r="I2395" s="92" t="s">
        <v>52</v>
      </c>
      <c r="J2395" s="59" t="s">
        <v>53</v>
      </c>
      <c r="K2395" s="92" t="s">
        <v>54</v>
      </c>
      <c r="L2395" s="60" t="s">
        <v>55</v>
      </c>
      <c r="M2395" s="647">
        <v>850</v>
      </c>
      <c r="N2395" s="656">
        <v>850</v>
      </c>
      <c r="O2395" s="60" t="s">
        <v>64</v>
      </c>
      <c r="P2395" s="60">
        <v>40</v>
      </c>
      <c r="Q2395" s="60">
        <v>60</v>
      </c>
      <c r="R2395" s="60">
        <v>40</v>
      </c>
      <c r="S2395" s="273">
        <v>60</v>
      </c>
      <c r="T2395" s="60">
        <v>40</v>
      </c>
      <c r="U2395" s="60">
        <v>60</v>
      </c>
      <c r="V2395" s="946">
        <f>IF(J2395="Canvas",P2395+Materials!C$5,P2395)</f>
        <v>47</v>
      </c>
      <c r="W2395" s="946">
        <f>IF(J2395="Canvas",Q2395+Materials!C$5,Q2395)</f>
        <v>67</v>
      </c>
      <c r="X2395" s="138"/>
      <c r="Y2395" s="60">
        <v>47</v>
      </c>
      <c r="Z2395" s="60">
        <v>67</v>
      </c>
      <c r="AA2395" s="717">
        <f t="shared" si="857"/>
        <v>21.868055555555557</v>
      </c>
      <c r="AB2395" s="125">
        <f t="shared" si="859"/>
        <v>618.86597222222224</v>
      </c>
      <c r="AC2395" s="69">
        <f>AA2395*Canvas</f>
        <v>14.432916666666669</v>
      </c>
      <c r="AD2395" s="69">
        <f>Table1[[#This Row],[Substrate SF]]*Materials!C$37</f>
        <v>61.230555555555554</v>
      </c>
      <c r="AE2395" s="69">
        <f>IF(Table1[[#This Row],[Work Center]]="SwissQ",Materials!G$37,IF(Table1[[#This Row],[Work Center]]="Inca",Materials!G$29,IF(Table1[[#This Row],[Work Center]]="Canon",Materials!G$49,Materials!G$45)))</f>
        <v>20</v>
      </c>
      <c r="AF2395" s="72">
        <f>'Cali FPS'!C89</f>
        <v>112.01750000000001</v>
      </c>
      <c r="AG2395" s="83"/>
      <c r="AH2395" s="48">
        <f t="shared" si="852"/>
        <v>42.5</v>
      </c>
      <c r="AI2395" s="48"/>
      <c r="AJ2395" s="176">
        <f t="shared" si="858"/>
        <v>250.18097222222224</v>
      </c>
      <c r="AK2395" s="62">
        <f t="shared" si="854"/>
        <v>0.70566944444444446</v>
      </c>
      <c r="AL2395" s="225">
        <f>Table1[[#This Row],[WSP/Dealer]]/Table1[[#This Row],[OD Sq Inch]]</f>
        <v>0.35416666666666669</v>
      </c>
      <c r="AM2395" s="180">
        <f>Table1[[#This Row],[OD Wdth]]*Table1[[#This Row],[OD Hgt]]</f>
        <v>2400</v>
      </c>
      <c r="AN2395" s="180">
        <f>Table1[[#This Row],[Min VO]]+Table1[[#This Row],[Max VO]]</f>
        <v>100</v>
      </c>
      <c r="AO2395" s="83"/>
      <c r="AP2395" s="83"/>
      <c r="AQ2395" s="540"/>
      <c r="AR2395" s="540"/>
      <c r="AS2395" s="540"/>
      <c r="AT2395" s="69"/>
      <c r="AU2395" s="1361" t="str">
        <f t="shared" si="841"/>
        <v>-</v>
      </c>
    </row>
    <row r="2396" spans="1:47" s="170" customFormat="1" x14ac:dyDescent="0.2">
      <c r="A2396" s="101" t="s">
        <v>58</v>
      </c>
      <c r="B2396" s="1061" t="s">
        <v>406</v>
      </c>
      <c r="C2396" s="122" t="s">
        <v>5491</v>
      </c>
      <c r="D2396" s="94" t="s">
        <v>5492</v>
      </c>
      <c r="E2396" s="122" t="s">
        <v>5493</v>
      </c>
      <c r="F2396" s="115" t="s">
        <v>634</v>
      </c>
      <c r="G2396" s="303" t="s">
        <v>4560</v>
      </c>
      <c r="H2396" s="101" t="s">
        <v>5494</v>
      </c>
      <c r="I2396" s="303" t="s">
        <v>52</v>
      </c>
      <c r="J2396" s="655" t="s">
        <v>280</v>
      </c>
      <c r="K2396" s="303" t="s">
        <v>69</v>
      </c>
      <c r="L2396" s="101" t="s">
        <v>70</v>
      </c>
      <c r="M2396" s="810">
        <v>533.5</v>
      </c>
      <c r="N2396" s="639">
        <v>580</v>
      </c>
      <c r="O2396" s="60" t="s">
        <v>64</v>
      </c>
      <c r="P2396" s="101">
        <v>30</v>
      </c>
      <c r="Q2396" s="101">
        <v>36</v>
      </c>
      <c r="R2396" s="60">
        <v>30</v>
      </c>
      <c r="S2396" s="273">
        <v>36</v>
      </c>
      <c r="T2396" s="103">
        <v>31</v>
      </c>
      <c r="U2396" s="103" t="str">
        <f>RIGHT(H2396,2)</f>
        <v>37</v>
      </c>
      <c r="V2396" s="106">
        <f t="shared" ref="V2396:V2405" si="860">IF(J2396="Canvas",P2396+Border,P2396)</f>
        <v>30</v>
      </c>
      <c r="W2396" s="106">
        <f t="shared" ref="W2396:W2405" si="861">IF(J2396="Canvas",Q2396+Border,Q2396)</f>
        <v>36</v>
      </c>
      <c r="X2396" s="137" t="s">
        <v>675</v>
      </c>
      <c r="Y2396" s="101"/>
      <c r="Z2396" s="101"/>
      <c r="AA2396" s="649">
        <f t="shared" si="857"/>
        <v>7.5</v>
      </c>
      <c r="AB2396" s="125">
        <f t="shared" si="859"/>
        <v>212.25</v>
      </c>
      <c r="AC2396" s="104">
        <f>PETG48/3</f>
        <v>16.22</v>
      </c>
      <c r="AD2396" s="107">
        <f>Table1[[#This Row],[Substrate SF]]*Materials!C$37</f>
        <v>21</v>
      </c>
      <c r="AE2396" s="104">
        <f>IF(Table1[[#This Row],[Work Center]]="SwissQ",Materials!G$37,IF(Table1[[#This Row],[Work Center]]="Inca",Materials!G$29,IF(Table1[[#This Row],[Work Center]]="Canon",Materials!G$49,Materials!G$45)))</f>
        <v>20</v>
      </c>
      <c r="AF2396" s="104">
        <f>'Cali Frames'!D$290</f>
        <v>115.185</v>
      </c>
      <c r="AG2396" s="115"/>
      <c r="AH2396" s="112">
        <f t="shared" si="852"/>
        <v>26.675000000000001</v>
      </c>
      <c r="AI2396" s="112"/>
      <c r="AJ2396" s="107">
        <f t="shared" si="858"/>
        <v>199.08</v>
      </c>
      <c r="AK2396" s="62">
        <f t="shared" si="854"/>
        <v>0.6268416119962511</v>
      </c>
      <c r="AL2396" s="225">
        <f>Table1[[#This Row],[WSP/Dealer]]/Table1[[#This Row],[OD Sq Inch]]</f>
        <v>0.46512641673931998</v>
      </c>
      <c r="AM2396" s="103">
        <f>Table1[[#This Row],[OD Wdth]]*Table1[[#This Row],[OD Hgt]]</f>
        <v>1147</v>
      </c>
      <c r="AN2396" s="216">
        <f>Table1[[#This Row],[Min VO]]+Table1[[#This Row],[Max VO]]</f>
        <v>66</v>
      </c>
      <c r="AO2396" s="103"/>
      <c r="AP2396" s="101"/>
      <c r="AQ2396" s="104"/>
      <c r="AR2396" s="104"/>
      <c r="AS2396" s="104"/>
      <c r="AT2396" s="104"/>
      <c r="AU2396" s="830" t="str">
        <f t="shared" si="841"/>
        <v>-</v>
      </c>
    </row>
    <row r="2397" spans="1:47" s="170" customFormat="1" x14ac:dyDescent="0.2">
      <c r="A2397" s="101" t="s">
        <v>58</v>
      </c>
      <c r="B2397" s="1061" t="s">
        <v>406</v>
      </c>
      <c r="C2397" s="80" t="s">
        <v>5495</v>
      </c>
      <c r="D2397" s="94" t="s">
        <v>5496</v>
      </c>
      <c r="E2397" s="122" t="s">
        <v>5493</v>
      </c>
      <c r="F2397" s="115" t="s">
        <v>634</v>
      </c>
      <c r="G2397" s="303" t="s">
        <v>5497</v>
      </c>
      <c r="H2397" s="101" t="s">
        <v>5494</v>
      </c>
      <c r="I2397" s="303" t="s">
        <v>52</v>
      </c>
      <c r="J2397" s="60" t="s">
        <v>53</v>
      </c>
      <c r="K2397" s="303" t="s">
        <v>69</v>
      </c>
      <c r="L2397" s="101" t="s">
        <v>70</v>
      </c>
      <c r="M2397" s="388">
        <v>533.5</v>
      </c>
      <c r="N2397" s="639">
        <v>580</v>
      </c>
      <c r="O2397" s="60" t="s">
        <v>64</v>
      </c>
      <c r="P2397" s="101">
        <v>30</v>
      </c>
      <c r="Q2397" s="101">
        <v>36</v>
      </c>
      <c r="R2397" s="60">
        <v>30</v>
      </c>
      <c r="S2397" s="273">
        <v>36</v>
      </c>
      <c r="T2397" s="101">
        <v>31</v>
      </c>
      <c r="U2397" s="101">
        <v>37</v>
      </c>
      <c r="V2397" s="106">
        <f t="shared" si="860"/>
        <v>38</v>
      </c>
      <c r="W2397" s="106">
        <f t="shared" si="861"/>
        <v>44</v>
      </c>
      <c r="X2397" s="137" t="s">
        <v>761</v>
      </c>
      <c r="Y2397" s="101"/>
      <c r="Z2397" s="101"/>
      <c r="AA2397" s="649">
        <f t="shared" si="857"/>
        <v>11.611111111111111</v>
      </c>
      <c r="AB2397" s="125">
        <f t="shared" si="859"/>
        <v>328.59444444444443</v>
      </c>
      <c r="AC2397" s="104">
        <f>AA2397*Canvas</f>
        <v>7.6633333333333331</v>
      </c>
      <c r="AD2397" s="107">
        <f>Table1[[#This Row],[Substrate SF]]*Materials!C$37</f>
        <v>32.511111111111106</v>
      </c>
      <c r="AE2397" s="104">
        <f>IF(Table1[[#This Row],[Work Center]]="SwissQ",Materials!G$37,IF(Table1[[#This Row],[Work Center]]="Inca",Materials!G$29,IF(Table1[[#This Row],[Work Center]]="Canon",Materials!G$49,Materials!G$45)))</f>
        <v>20</v>
      </c>
      <c r="AF2397" s="104">
        <f>'Cali Frames'!D$290</f>
        <v>115.185</v>
      </c>
      <c r="AG2397" s="115"/>
      <c r="AH2397" s="112">
        <f t="shared" si="852"/>
        <v>26.675000000000001</v>
      </c>
      <c r="AI2397" s="112"/>
      <c r="AJ2397" s="107">
        <f t="shared" si="858"/>
        <v>202.03444444444446</v>
      </c>
      <c r="AK2397" s="62">
        <f t="shared" si="854"/>
        <v>0.62130375924190351</v>
      </c>
      <c r="AL2397" s="225">
        <f>Table1[[#This Row],[WSP/Dealer]]/Table1[[#This Row],[OD Sq Inch]]</f>
        <v>0.46512641673931998</v>
      </c>
      <c r="AM2397" s="218">
        <f>Table1[[#This Row],[OD Wdth]]*Table1[[#This Row],[OD Hgt]]</f>
        <v>1147</v>
      </c>
      <c r="AN2397" s="216">
        <f>Table1[[#This Row],[Min VO]]+Table1[[#This Row],[Max VO]]</f>
        <v>66</v>
      </c>
      <c r="AO2397" s="101"/>
      <c r="AP2397" s="101"/>
      <c r="AQ2397" s="104"/>
      <c r="AR2397" s="104"/>
      <c r="AS2397" s="104"/>
      <c r="AT2397" s="104"/>
      <c r="AU2397" s="830" t="str">
        <f t="shared" si="841"/>
        <v>-</v>
      </c>
    </row>
    <row r="2398" spans="1:47" s="170" customFormat="1" x14ac:dyDescent="0.2">
      <c r="A2398" s="101" t="s">
        <v>58</v>
      </c>
      <c r="B2398" s="1061" t="s">
        <v>406</v>
      </c>
      <c r="C2398" s="122" t="s">
        <v>5498</v>
      </c>
      <c r="D2398" s="94" t="s">
        <v>5499</v>
      </c>
      <c r="E2398" s="122" t="s">
        <v>5500</v>
      </c>
      <c r="F2398" s="115" t="s">
        <v>634</v>
      </c>
      <c r="G2398" s="303" t="s">
        <v>4560</v>
      </c>
      <c r="H2398" s="101" t="s">
        <v>5494</v>
      </c>
      <c r="I2398" s="303" t="s">
        <v>52</v>
      </c>
      <c r="J2398" s="655" t="s">
        <v>280</v>
      </c>
      <c r="K2398" s="303" t="s">
        <v>69</v>
      </c>
      <c r="L2398" s="101" t="s">
        <v>70</v>
      </c>
      <c r="M2398" s="810">
        <v>533.5</v>
      </c>
      <c r="N2398" s="639">
        <v>580</v>
      </c>
      <c r="O2398" s="60" t="s">
        <v>64</v>
      </c>
      <c r="P2398" s="101">
        <v>30</v>
      </c>
      <c r="Q2398" s="101">
        <v>36</v>
      </c>
      <c r="R2398" s="60">
        <v>30</v>
      </c>
      <c r="S2398" s="273">
        <v>36</v>
      </c>
      <c r="T2398" s="101">
        <v>31</v>
      </c>
      <c r="U2398" s="101" t="str">
        <f>RIGHT(H2398,2)</f>
        <v>37</v>
      </c>
      <c r="V2398" s="608">
        <f t="shared" si="860"/>
        <v>30</v>
      </c>
      <c r="W2398" s="608">
        <f t="shared" si="861"/>
        <v>36</v>
      </c>
      <c r="X2398" s="137" t="s">
        <v>675</v>
      </c>
      <c r="Y2398" s="101"/>
      <c r="Z2398" s="101"/>
      <c r="AA2398" s="649">
        <f t="shared" si="857"/>
        <v>7.5</v>
      </c>
      <c r="AB2398" s="125">
        <f t="shared" si="859"/>
        <v>212.25</v>
      </c>
      <c r="AC2398" s="104">
        <f>PETG48/3</f>
        <v>16.22</v>
      </c>
      <c r="AD2398" s="107">
        <f>Table1[[#This Row],[Substrate SF]]*Materials!C$37</f>
        <v>21</v>
      </c>
      <c r="AE2398" s="104">
        <f>IF(Table1[[#This Row],[Work Center]]="SwissQ",Materials!G$37,IF(Table1[[#This Row],[Work Center]]="Inca",Materials!G$29,IF(Table1[[#This Row],[Work Center]]="Canon",Materials!G$49,Materials!G$45)))</f>
        <v>20</v>
      </c>
      <c r="AF2398" s="104">
        <f>'Cali Frames'!D$290</f>
        <v>115.185</v>
      </c>
      <c r="AG2398" s="115"/>
      <c r="AH2398" s="498">
        <f t="shared" si="852"/>
        <v>26.675000000000001</v>
      </c>
      <c r="AI2398" s="498"/>
      <c r="AJ2398" s="104">
        <f t="shared" si="858"/>
        <v>199.08</v>
      </c>
      <c r="AK2398" s="650">
        <f t="shared" si="854"/>
        <v>0.6268416119962511</v>
      </c>
      <c r="AL2398" s="225">
        <f>Table1[[#This Row],[WSP/Dealer]]/Table1[[#This Row],[OD Sq Inch]]</f>
        <v>0.46512641673931998</v>
      </c>
      <c r="AM2398" s="218">
        <f>Table1[[#This Row],[OD Wdth]]*Table1[[#This Row],[OD Hgt]]</f>
        <v>1147</v>
      </c>
      <c r="AN2398" s="216">
        <f>Table1[[#This Row],[Min VO]]+Table1[[#This Row],[Max VO]]</f>
        <v>66</v>
      </c>
      <c r="AO2398" s="101"/>
      <c r="AP2398" s="101"/>
      <c r="AQ2398" s="104"/>
      <c r="AR2398" s="104"/>
      <c r="AS2398" s="104"/>
      <c r="AT2398" s="104"/>
      <c r="AU2398" s="830" t="str">
        <f t="shared" si="841"/>
        <v>-</v>
      </c>
    </row>
    <row r="2399" spans="1:47" s="170" customFormat="1" x14ac:dyDescent="0.2">
      <c r="A2399" s="101" t="s">
        <v>58</v>
      </c>
      <c r="B2399" s="1061" t="s">
        <v>406</v>
      </c>
      <c r="C2399" s="80" t="s">
        <v>5501</v>
      </c>
      <c r="D2399" s="94" t="s">
        <v>5502</v>
      </c>
      <c r="E2399" s="122" t="s">
        <v>5500</v>
      </c>
      <c r="F2399" s="115" t="s">
        <v>634</v>
      </c>
      <c r="G2399" s="303" t="s">
        <v>5497</v>
      </c>
      <c r="H2399" s="303" t="s">
        <v>5494</v>
      </c>
      <c r="I2399" s="303" t="s">
        <v>52</v>
      </c>
      <c r="J2399" s="60" t="s">
        <v>53</v>
      </c>
      <c r="K2399" s="303" t="s">
        <v>69</v>
      </c>
      <c r="L2399" s="101" t="s">
        <v>70</v>
      </c>
      <c r="M2399" s="388">
        <v>560</v>
      </c>
      <c r="N2399" s="639">
        <v>580</v>
      </c>
      <c r="O2399" s="60" t="s">
        <v>64</v>
      </c>
      <c r="P2399" s="101">
        <v>30</v>
      </c>
      <c r="Q2399" s="101">
        <v>36</v>
      </c>
      <c r="R2399" s="60">
        <v>30</v>
      </c>
      <c r="S2399" s="273">
        <v>36</v>
      </c>
      <c r="T2399" s="101">
        <v>31</v>
      </c>
      <c r="U2399" s="101">
        <v>37</v>
      </c>
      <c r="V2399" s="106">
        <f t="shared" si="860"/>
        <v>38</v>
      </c>
      <c r="W2399" s="106">
        <f t="shared" si="861"/>
        <v>44</v>
      </c>
      <c r="X2399" s="137" t="s">
        <v>761</v>
      </c>
      <c r="Y2399" s="101"/>
      <c r="Z2399" s="101"/>
      <c r="AA2399" s="649">
        <f t="shared" si="857"/>
        <v>11.611111111111111</v>
      </c>
      <c r="AB2399" s="125">
        <f t="shared" si="859"/>
        <v>328.59444444444443</v>
      </c>
      <c r="AC2399" s="104">
        <f>AA2399*Canvas</f>
        <v>7.6633333333333331</v>
      </c>
      <c r="AD2399" s="107">
        <f>Table1[[#This Row],[Substrate SF]]*Materials!C$37</f>
        <v>32.511111111111106</v>
      </c>
      <c r="AE2399" s="104">
        <f>IF(Table1[[#This Row],[Work Center]]="SwissQ",Materials!G$37,IF(Table1[[#This Row],[Work Center]]="Inca",Materials!G$29,IF(Table1[[#This Row],[Work Center]]="Canon",Materials!G$49,Materials!G$45)))</f>
        <v>20</v>
      </c>
      <c r="AF2399" s="104">
        <f>'Cali Frames'!D$290</f>
        <v>115.185</v>
      </c>
      <c r="AG2399" s="115"/>
      <c r="AH2399" s="112">
        <f t="shared" si="852"/>
        <v>28</v>
      </c>
      <c r="AI2399" s="112"/>
      <c r="AJ2399" s="104">
        <f t="shared" si="858"/>
        <v>203.35944444444445</v>
      </c>
      <c r="AK2399" s="62">
        <f t="shared" si="854"/>
        <v>0.63685813492063492</v>
      </c>
      <c r="AL2399" s="225">
        <f>Table1[[#This Row],[WSP/Dealer]]/Table1[[#This Row],[OD Sq Inch]]</f>
        <v>0.48823016564952049</v>
      </c>
      <c r="AM2399" s="103">
        <f>Table1[[#This Row],[OD Wdth]]*Table1[[#This Row],[OD Hgt]]</f>
        <v>1147</v>
      </c>
      <c r="AN2399" s="216">
        <f>Table1[[#This Row],[Min VO]]+Table1[[#This Row],[Max VO]]</f>
        <v>66</v>
      </c>
      <c r="AO2399" s="101"/>
      <c r="AP2399" s="101"/>
      <c r="AQ2399" s="104"/>
      <c r="AR2399" s="104"/>
      <c r="AS2399" s="104"/>
      <c r="AT2399" s="104"/>
      <c r="AU2399" s="830" t="str">
        <f t="shared" si="841"/>
        <v>-</v>
      </c>
    </row>
    <row r="2400" spans="1:47" s="170" customFormat="1" x14ac:dyDescent="0.2">
      <c r="A2400" s="101" t="s">
        <v>58</v>
      </c>
      <c r="B2400" s="1061" t="s">
        <v>406</v>
      </c>
      <c r="C2400" s="122" t="s">
        <v>5503</v>
      </c>
      <c r="D2400" s="94" t="s">
        <v>5504</v>
      </c>
      <c r="E2400" s="122" t="s">
        <v>5505</v>
      </c>
      <c r="F2400" s="115" t="s">
        <v>634</v>
      </c>
      <c r="G2400" s="303" t="s">
        <v>4560</v>
      </c>
      <c r="H2400" s="101" t="s">
        <v>5494</v>
      </c>
      <c r="I2400" s="101" t="s">
        <v>52</v>
      </c>
      <c r="J2400" s="655" t="s">
        <v>280</v>
      </c>
      <c r="K2400" s="101" t="s">
        <v>69</v>
      </c>
      <c r="L2400" s="101" t="s">
        <v>70</v>
      </c>
      <c r="M2400" s="810">
        <v>533.5</v>
      </c>
      <c r="N2400" s="639">
        <v>580</v>
      </c>
      <c r="O2400" s="60" t="s">
        <v>64</v>
      </c>
      <c r="P2400" s="101">
        <v>30</v>
      </c>
      <c r="Q2400" s="101">
        <v>36</v>
      </c>
      <c r="R2400" s="60">
        <v>30</v>
      </c>
      <c r="S2400" s="273">
        <v>36</v>
      </c>
      <c r="T2400" s="101">
        <v>31</v>
      </c>
      <c r="U2400" s="101" t="str">
        <f>RIGHT(H2400,2)</f>
        <v>37</v>
      </c>
      <c r="V2400" s="106">
        <f t="shared" si="860"/>
        <v>30</v>
      </c>
      <c r="W2400" s="106">
        <f t="shared" si="861"/>
        <v>36</v>
      </c>
      <c r="X2400" s="137" t="s">
        <v>675</v>
      </c>
      <c r="Y2400" s="101"/>
      <c r="Z2400" s="101"/>
      <c r="AA2400" s="649">
        <f t="shared" si="857"/>
        <v>7.5</v>
      </c>
      <c r="AB2400" s="125">
        <f t="shared" si="859"/>
        <v>212.25</v>
      </c>
      <c r="AC2400" s="104">
        <f>PETG48/3</f>
        <v>16.22</v>
      </c>
      <c r="AD2400" s="107">
        <f>Table1[[#This Row],[Substrate SF]]*Materials!C$37</f>
        <v>21</v>
      </c>
      <c r="AE2400" s="104">
        <f>IF(Table1[[#This Row],[Work Center]]="SwissQ",Materials!G$37,IF(Table1[[#This Row],[Work Center]]="Inca",Materials!G$29,IF(Table1[[#This Row],[Work Center]]="Canon",Materials!G$49,Materials!G$45)))</f>
        <v>20</v>
      </c>
      <c r="AF2400" s="104">
        <f>'Cali Frames'!D$290</f>
        <v>115.185</v>
      </c>
      <c r="AG2400" s="115"/>
      <c r="AH2400" s="112">
        <f t="shared" si="852"/>
        <v>26.675000000000001</v>
      </c>
      <c r="AI2400" s="112"/>
      <c r="AJ2400" s="107">
        <f t="shared" si="858"/>
        <v>199.08</v>
      </c>
      <c r="AK2400" s="62">
        <f t="shared" si="854"/>
        <v>0.6268416119962511</v>
      </c>
      <c r="AL2400" s="225">
        <f>Table1[[#This Row],[WSP/Dealer]]/Table1[[#This Row],[OD Sq Inch]]</f>
        <v>0.46512641673931998</v>
      </c>
      <c r="AM2400" s="218">
        <f>Table1[[#This Row],[OD Wdth]]*Table1[[#This Row],[OD Hgt]]</f>
        <v>1147</v>
      </c>
      <c r="AN2400" s="216">
        <f>Table1[[#This Row],[Min VO]]+Table1[[#This Row],[Max VO]]</f>
        <v>66</v>
      </c>
      <c r="AO2400" s="101"/>
      <c r="AP2400" s="101"/>
      <c r="AQ2400" s="104"/>
      <c r="AR2400" s="104"/>
      <c r="AS2400" s="104"/>
      <c r="AT2400" s="104"/>
      <c r="AU2400" s="830" t="str">
        <f t="shared" si="841"/>
        <v>-</v>
      </c>
    </row>
    <row r="2401" spans="1:47" s="399" customFormat="1" x14ac:dyDescent="0.2">
      <c r="A2401" s="101" t="s">
        <v>58</v>
      </c>
      <c r="B2401" s="1061" t="s">
        <v>406</v>
      </c>
      <c r="C2401" s="80" t="s">
        <v>5506</v>
      </c>
      <c r="D2401" s="94" t="s">
        <v>5507</v>
      </c>
      <c r="E2401" s="122" t="s">
        <v>5505</v>
      </c>
      <c r="F2401" s="115" t="s">
        <v>634</v>
      </c>
      <c r="G2401" s="303" t="s">
        <v>5497</v>
      </c>
      <c r="H2401" s="303" t="s">
        <v>5494</v>
      </c>
      <c r="I2401" s="303" t="s">
        <v>52</v>
      </c>
      <c r="J2401" s="60" t="s">
        <v>53</v>
      </c>
      <c r="K2401" s="303" t="s">
        <v>69</v>
      </c>
      <c r="L2401" s="101" t="s">
        <v>70</v>
      </c>
      <c r="M2401" s="388">
        <v>560</v>
      </c>
      <c r="N2401" s="639">
        <v>580</v>
      </c>
      <c r="O2401" s="60" t="s">
        <v>64</v>
      </c>
      <c r="P2401" s="101">
        <v>30</v>
      </c>
      <c r="Q2401" s="101">
        <v>36</v>
      </c>
      <c r="R2401" s="60">
        <v>30</v>
      </c>
      <c r="S2401" s="273">
        <v>36</v>
      </c>
      <c r="T2401" s="101">
        <v>31</v>
      </c>
      <c r="U2401" s="101">
        <v>37</v>
      </c>
      <c r="V2401" s="608">
        <f t="shared" si="860"/>
        <v>38</v>
      </c>
      <c r="W2401" s="608">
        <f t="shared" si="861"/>
        <v>44</v>
      </c>
      <c r="X2401" s="137" t="s">
        <v>761</v>
      </c>
      <c r="Y2401" s="101"/>
      <c r="Z2401" s="101"/>
      <c r="AA2401" s="649">
        <f t="shared" si="857"/>
        <v>11.611111111111111</v>
      </c>
      <c r="AB2401" s="125">
        <f t="shared" si="859"/>
        <v>328.59444444444443</v>
      </c>
      <c r="AC2401" s="104">
        <f>AA2401*Canvas</f>
        <v>7.6633333333333331</v>
      </c>
      <c r="AD2401" s="107">
        <f>Table1[[#This Row],[Substrate SF]]*Materials!C$37</f>
        <v>32.511111111111106</v>
      </c>
      <c r="AE2401" s="104">
        <f>IF(Table1[[#This Row],[Work Center]]="SwissQ",Materials!G$37,IF(Table1[[#This Row],[Work Center]]="Inca",Materials!G$29,IF(Table1[[#This Row],[Work Center]]="Canon",Materials!G$49,Materials!G$45)))</f>
        <v>20</v>
      </c>
      <c r="AF2401" s="104">
        <f>'Cali Frames'!D$290</f>
        <v>115.185</v>
      </c>
      <c r="AG2401" s="115"/>
      <c r="AH2401" s="112">
        <f t="shared" si="852"/>
        <v>28</v>
      </c>
      <c r="AI2401" s="112"/>
      <c r="AJ2401" s="104">
        <f t="shared" si="858"/>
        <v>203.35944444444445</v>
      </c>
      <c r="AK2401" s="62">
        <f t="shared" si="854"/>
        <v>0.63685813492063492</v>
      </c>
      <c r="AL2401" s="225">
        <f>Table1[[#This Row],[WSP/Dealer]]/Table1[[#This Row],[OD Sq Inch]]</f>
        <v>0.48823016564952049</v>
      </c>
      <c r="AM2401" s="97">
        <f>Table1[[#This Row],[OD Wdth]]*Table1[[#This Row],[OD Hgt]]</f>
        <v>1147</v>
      </c>
      <c r="AN2401" s="216">
        <f>Table1[[#This Row],[Min VO]]+Table1[[#This Row],[Max VO]]</f>
        <v>66</v>
      </c>
      <c r="AO2401" s="101"/>
      <c r="AP2401" s="101"/>
      <c r="AQ2401" s="104"/>
      <c r="AR2401" s="104"/>
      <c r="AS2401" s="104"/>
      <c r="AT2401" s="104"/>
      <c r="AU2401" s="830" t="str">
        <f t="shared" si="841"/>
        <v>-</v>
      </c>
    </row>
    <row r="2402" spans="1:47" s="170" customFormat="1" x14ac:dyDescent="0.2">
      <c r="A2402" s="101" t="s">
        <v>58</v>
      </c>
      <c r="B2402" s="1061" t="s">
        <v>406</v>
      </c>
      <c r="C2402" s="80" t="s">
        <v>5508</v>
      </c>
      <c r="D2402" s="94" t="s">
        <v>5509</v>
      </c>
      <c r="E2402" s="122" t="s">
        <v>5510</v>
      </c>
      <c r="F2402" s="115" t="s">
        <v>634</v>
      </c>
      <c r="G2402" s="303" t="s">
        <v>5497</v>
      </c>
      <c r="H2402" s="101" t="s">
        <v>5494</v>
      </c>
      <c r="I2402" s="303" t="s">
        <v>52</v>
      </c>
      <c r="J2402" s="60" t="s">
        <v>53</v>
      </c>
      <c r="K2402" s="303" t="s">
        <v>69</v>
      </c>
      <c r="L2402" s="101" t="s">
        <v>70</v>
      </c>
      <c r="M2402" s="388">
        <v>533.5</v>
      </c>
      <c r="N2402" s="639">
        <v>580</v>
      </c>
      <c r="O2402" s="551" t="s">
        <v>64</v>
      </c>
      <c r="P2402" s="101">
        <v>30</v>
      </c>
      <c r="Q2402" s="101">
        <v>36</v>
      </c>
      <c r="R2402" s="60">
        <v>30</v>
      </c>
      <c r="S2402" s="273">
        <v>36</v>
      </c>
      <c r="T2402" s="101">
        <v>31</v>
      </c>
      <c r="U2402" s="101">
        <v>37</v>
      </c>
      <c r="V2402" s="608">
        <f t="shared" si="860"/>
        <v>38</v>
      </c>
      <c r="W2402" s="608">
        <f t="shared" si="861"/>
        <v>44</v>
      </c>
      <c r="X2402" s="137" t="s">
        <v>761</v>
      </c>
      <c r="Y2402" s="101"/>
      <c r="Z2402" s="101"/>
      <c r="AA2402" s="649">
        <f t="shared" si="857"/>
        <v>11.611111111111111</v>
      </c>
      <c r="AB2402" s="125">
        <f t="shared" si="859"/>
        <v>328.59444444444443</v>
      </c>
      <c r="AC2402" s="104">
        <f>AA2402*Canvas</f>
        <v>7.6633333333333331</v>
      </c>
      <c r="AD2402" s="107">
        <f>Table1[[#This Row],[Substrate SF]]*Materials!C$37</f>
        <v>32.511111111111106</v>
      </c>
      <c r="AE2402" s="104">
        <f>IF(Table1[[#This Row],[Work Center]]="SwissQ",Materials!G$37,IF(Table1[[#This Row],[Work Center]]="Inca",Materials!G$29,IF(Table1[[#This Row],[Work Center]]="Canon",Materials!G$49,Materials!G$45)))</f>
        <v>20</v>
      </c>
      <c r="AF2402" s="104">
        <f>'Cali Frames'!D$290</f>
        <v>115.185</v>
      </c>
      <c r="AG2402" s="115"/>
      <c r="AH2402" s="498">
        <f t="shared" si="852"/>
        <v>26.675000000000001</v>
      </c>
      <c r="AI2402" s="498"/>
      <c r="AJ2402" s="104">
        <f t="shared" si="858"/>
        <v>202.03444444444446</v>
      </c>
      <c r="AK2402" s="650">
        <f t="shared" si="854"/>
        <v>0.62130375924190351</v>
      </c>
      <c r="AL2402" s="225">
        <f>Table1[[#This Row],[WSP/Dealer]]/Table1[[#This Row],[OD Sq Inch]]</f>
        <v>0.46512641673931998</v>
      </c>
      <c r="AM2402" s="97">
        <f>Table1[[#This Row],[OD Wdth]]*Table1[[#This Row],[OD Hgt]]</f>
        <v>1147</v>
      </c>
      <c r="AN2402" s="216">
        <f>Table1[[#This Row],[Min VO]]+Table1[[#This Row],[Max VO]]</f>
        <v>66</v>
      </c>
      <c r="AO2402" s="101"/>
      <c r="AP2402" s="101"/>
      <c r="AQ2402" s="104"/>
      <c r="AR2402" s="104"/>
      <c r="AS2402" s="104"/>
      <c r="AT2402" s="104"/>
      <c r="AU2402" s="830" t="str">
        <f t="shared" si="841"/>
        <v>-</v>
      </c>
    </row>
    <row r="2403" spans="1:47" s="170" customFormat="1" x14ac:dyDescent="0.2">
      <c r="A2403" s="101" t="s">
        <v>58</v>
      </c>
      <c r="B2403" s="279" t="s">
        <v>406</v>
      </c>
      <c r="C2403" s="122" t="s">
        <v>5511</v>
      </c>
      <c r="D2403" s="94" t="s">
        <v>5512</v>
      </c>
      <c r="E2403" s="122" t="s">
        <v>5513</v>
      </c>
      <c r="F2403" s="115" t="s">
        <v>634</v>
      </c>
      <c r="G2403" s="303" t="s">
        <v>4560</v>
      </c>
      <c r="H2403" s="101" t="s">
        <v>5494</v>
      </c>
      <c r="I2403" s="303" t="s">
        <v>52</v>
      </c>
      <c r="J2403" s="655" t="s">
        <v>280</v>
      </c>
      <c r="K2403" s="101" t="s">
        <v>69</v>
      </c>
      <c r="L2403" s="101" t="s">
        <v>70</v>
      </c>
      <c r="M2403" s="810">
        <v>533.5</v>
      </c>
      <c r="N2403" s="639">
        <v>580</v>
      </c>
      <c r="O2403" s="551" t="s">
        <v>64</v>
      </c>
      <c r="P2403" s="101">
        <v>30</v>
      </c>
      <c r="Q2403" s="101">
        <v>36</v>
      </c>
      <c r="R2403" s="60">
        <v>30</v>
      </c>
      <c r="S2403" s="273">
        <v>36</v>
      </c>
      <c r="T2403" s="101">
        <v>31</v>
      </c>
      <c r="U2403" s="101" t="str">
        <f>RIGHT(H2403,2)</f>
        <v>37</v>
      </c>
      <c r="V2403" s="106">
        <f t="shared" si="860"/>
        <v>30</v>
      </c>
      <c r="W2403" s="106">
        <f t="shared" si="861"/>
        <v>36</v>
      </c>
      <c r="X2403" s="137" t="s">
        <v>675</v>
      </c>
      <c r="Y2403" s="101"/>
      <c r="Z2403" s="101"/>
      <c r="AA2403" s="649">
        <f t="shared" si="857"/>
        <v>7.5</v>
      </c>
      <c r="AB2403" s="125">
        <f t="shared" si="859"/>
        <v>212.25</v>
      </c>
      <c r="AC2403" s="104">
        <f>PETG48/3</f>
        <v>16.22</v>
      </c>
      <c r="AD2403" s="107">
        <f>Table1[[#This Row],[Substrate SF]]*Materials!C$37</f>
        <v>21</v>
      </c>
      <c r="AE2403" s="104">
        <f>IF(Table1[[#This Row],[Work Center]]="SwissQ",Materials!G$37,IF(Table1[[#This Row],[Work Center]]="Inca",Materials!G$29,IF(Table1[[#This Row],[Work Center]]="Canon",Materials!G$49,Materials!G$45)))</f>
        <v>20</v>
      </c>
      <c r="AF2403" s="104">
        <f>'Cali Frames'!D$290</f>
        <v>115.185</v>
      </c>
      <c r="AG2403" s="115"/>
      <c r="AH2403" s="498">
        <f t="shared" si="852"/>
        <v>26.675000000000001</v>
      </c>
      <c r="AI2403" s="498"/>
      <c r="AJ2403" s="104">
        <f t="shared" si="858"/>
        <v>199.08</v>
      </c>
      <c r="AK2403" s="650">
        <f t="shared" si="854"/>
        <v>0.6268416119962511</v>
      </c>
      <c r="AL2403" s="225">
        <f>Table1[[#This Row],[WSP/Dealer]]/Table1[[#This Row],[OD Sq Inch]]</f>
        <v>0.46512641673931998</v>
      </c>
      <c r="AM2403" s="97">
        <f>Table1[[#This Row],[OD Wdth]]*Table1[[#This Row],[OD Hgt]]</f>
        <v>1147</v>
      </c>
      <c r="AN2403" s="216">
        <f>Table1[[#This Row],[Min VO]]+Table1[[#This Row],[Max VO]]</f>
        <v>66</v>
      </c>
      <c r="AO2403" s="101"/>
      <c r="AP2403" s="101"/>
      <c r="AQ2403" s="104"/>
      <c r="AR2403" s="104"/>
      <c r="AS2403" s="104"/>
      <c r="AT2403" s="104"/>
      <c r="AU2403" s="830" t="str">
        <f t="shared" si="841"/>
        <v>-</v>
      </c>
    </row>
    <row r="2404" spans="1:47" s="170" customFormat="1" hidden="1" x14ac:dyDescent="0.2">
      <c r="A2404" s="86" t="s">
        <v>5471</v>
      </c>
      <c r="B2404" s="274"/>
      <c r="C2404" s="327" t="s">
        <v>5514</v>
      </c>
      <c r="D2404" s="94"/>
      <c r="E2404" s="90" t="s">
        <v>5515</v>
      </c>
      <c r="F2404" s="85" t="s">
        <v>634</v>
      </c>
      <c r="G2404" s="91" t="s">
        <v>5474</v>
      </c>
      <c r="H2404" s="86" t="s">
        <v>5475</v>
      </c>
      <c r="I2404" s="91" t="s">
        <v>794</v>
      </c>
      <c r="J2404" s="86" t="s">
        <v>53</v>
      </c>
      <c r="K2404" s="91" t="s">
        <v>69</v>
      </c>
      <c r="L2404" s="86" t="s">
        <v>73</v>
      </c>
      <c r="M2404" s="976">
        <v>250</v>
      </c>
      <c r="N2404" s="87"/>
      <c r="O2404" s="101" t="s">
        <v>795</v>
      </c>
      <c r="P2404" s="60">
        <v>20</v>
      </c>
      <c r="Q2404" s="60">
        <v>24</v>
      </c>
      <c r="R2404" s="101">
        <v>20</v>
      </c>
      <c r="S2404" s="101">
        <v>24</v>
      </c>
      <c r="T2404" s="101">
        <v>21</v>
      </c>
      <c r="U2404" s="101">
        <v>25</v>
      </c>
      <c r="V2404" s="608">
        <f t="shared" si="860"/>
        <v>28</v>
      </c>
      <c r="W2404" s="608">
        <f t="shared" si="861"/>
        <v>32</v>
      </c>
      <c r="X2404" s="137" t="s">
        <v>796</v>
      </c>
      <c r="Y2404" s="101"/>
      <c r="Z2404" s="101"/>
      <c r="AA2404" s="649">
        <f t="shared" si="857"/>
        <v>6.2222222222222223</v>
      </c>
      <c r="AB2404" s="184">
        <v>0</v>
      </c>
      <c r="AC2404" s="104">
        <f>TX!H32</f>
        <v>52</v>
      </c>
      <c r="AD2404" s="120">
        <f>AA2404*IncaC</f>
        <v>10.473244444444445</v>
      </c>
      <c r="AE2404" s="104">
        <v>0</v>
      </c>
      <c r="AF2404" s="121">
        <f>'Cali Frames'!D417</f>
        <v>79.642499999999998</v>
      </c>
      <c r="AG2404" s="115"/>
      <c r="AH2404" s="498">
        <f t="shared" si="852"/>
        <v>12.5</v>
      </c>
      <c r="AI2404" s="498"/>
      <c r="AJ2404" s="121">
        <f t="shared" si="858"/>
        <v>154.61574444444443</v>
      </c>
      <c r="AK2404" s="650">
        <f t="shared" si="854"/>
        <v>0.3815370222222223</v>
      </c>
      <c r="AL2404" s="225">
        <f>Table1[[#This Row],[WSP/Dealer]]/Table1[[#This Row],[OD Sq Inch]]</f>
        <v>0.47619047619047616</v>
      </c>
      <c r="AM2404" s="97">
        <f>Table1[[#This Row],[OD Wdth]]*Table1[[#This Row],[OD Hgt]]</f>
        <v>525</v>
      </c>
      <c r="AN2404" s="216">
        <f>Table1[[#This Row],[Min VO]]+Table1[[#This Row],[Max VO]]</f>
        <v>44</v>
      </c>
      <c r="AO2404" s="115"/>
      <c r="AP2404" s="115"/>
      <c r="AQ2404" s="121"/>
      <c r="AR2404" s="121"/>
      <c r="AS2404" s="121"/>
      <c r="AT2404" s="104"/>
      <c r="AU2404" s="1359" t="str">
        <f t="shared" si="841"/>
        <v>-</v>
      </c>
    </row>
    <row r="2405" spans="1:47" s="170" customFormat="1" x14ac:dyDescent="0.2">
      <c r="A2405" s="101" t="s">
        <v>58</v>
      </c>
      <c r="B2405" s="1061" t="s">
        <v>88</v>
      </c>
      <c r="C2405" s="80" t="s">
        <v>5516</v>
      </c>
      <c r="D2405" s="94" t="s">
        <v>5517</v>
      </c>
      <c r="E2405" s="122" t="s">
        <v>5518</v>
      </c>
      <c r="F2405" s="115" t="s">
        <v>634</v>
      </c>
      <c r="G2405" s="303" t="s">
        <v>4474</v>
      </c>
      <c r="H2405" s="101" t="s">
        <v>750</v>
      </c>
      <c r="I2405" s="303" t="s">
        <v>52</v>
      </c>
      <c r="J2405" s="60" t="s">
        <v>53</v>
      </c>
      <c r="K2405" s="303" t="s">
        <v>69</v>
      </c>
      <c r="L2405" s="101" t="s">
        <v>73</v>
      </c>
      <c r="M2405" s="810">
        <v>621.5</v>
      </c>
      <c r="N2405" s="639">
        <v>680</v>
      </c>
      <c r="O2405" s="551" t="s">
        <v>56</v>
      </c>
      <c r="P2405" s="101">
        <v>38</v>
      </c>
      <c r="Q2405" s="101">
        <v>38</v>
      </c>
      <c r="R2405" s="60">
        <v>38</v>
      </c>
      <c r="S2405" s="273">
        <v>38</v>
      </c>
      <c r="T2405" s="101">
        <v>39</v>
      </c>
      <c r="U2405" s="101">
        <v>39</v>
      </c>
      <c r="V2405" s="608">
        <f t="shared" si="860"/>
        <v>46</v>
      </c>
      <c r="W2405" s="608">
        <f t="shared" si="861"/>
        <v>46</v>
      </c>
      <c r="X2405" s="137">
        <v>122</v>
      </c>
      <c r="Y2405" s="101"/>
      <c r="Z2405" s="101"/>
      <c r="AA2405" s="649">
        <f t="shared" si="857"/>
        <v>14.694444444444445</v>
      </c>
      <c r="AB2405" s="184">
        <f t="shared" ref="AB2405:AB2410" si="862">AA2405*IncaG</f>
        <v>309.17111111111109</v>
      </c>
      <c r="AC2405" s="104">
        <f>AA2405*Canvas</f>
        <v>9.6983333333333341</v>
      </c>
      <c r="AD2405" s="107">
        <f>AA2405*IncaC</f>
        <v>24.733688888888889</v>
      </c>
      <c r="AE2405" s="104">
        <f>IF(Table1[[#This Row],[Work Center]]="SwissQ",Materials!G$37,IF(Table1[[#This Row],[Work Center]]="Inca",Materials!G$29,IF(Table1[[#This Row],[Work Center]]="Canon",Materials!G$49,Materials!G$45)))</f>
        <v>8</v>
      </c>
      <c r="AF2405" s="74">
        <f>'Cali Frames'!D$441</f>
        <v>143.51750000000001</v>
      </c>
      <c r="AG2405" s="115"/>
      <c r="AH2405" s="498">
        <f t="shared" si="852"/>
        <v>31.075000000000003</v>
      </c>
      <c r="AI2405" s="498"/>
      <c r="AJ2405" s="104">
        <f t="shared" si="858"/>
        <v>217.02452222222223</v>
      </c>
      <c r="AK2405" s="650">
        <f t="shared" si="854"/>
        <v>0.65080527397872534</v>
      </c>
      <c r="AL2405" s="225">
        <f>Table1[[#This Row],[WSP/Dealer]]/Table1[[#This Row],[OD Sq Inch]]</f>
        <v>0.40861275476660092</v>
      </c>
      <c r="AM2405" s="218">
        <f>Table1[[#This Row],[OD Wdth]]*Table1[[#This Row],[OD Hgt]]</f>
        <v>1521</v>
      </c>
      <c r="AN2405" s="216">
        <f>Table1[[#This Row],[Min VO]]+Table1[[#This Row],[Max VO]]</f>
        <v>76</v>
      </c>
      <c r="AO2405" s="101"/>
      <c r="AP2405" s="101"/>
      <c r="AQ2405" s="104"/>
      <c r="AR2405" s="104"/>
      <c r="AS2405" s="104"/>
      <c r="AT2405" s="104"/>
      <c r="AU2405" s="830" t="str">
        <f t="shared" si="841"/>
        <v>-</v>
      </c>
    </row>
    <row r="2406" spans="1:47" s="170" customFormat="1" x14ac:dyDescent="0.2">
      <c r="A2406" s="101" t="s">
        <v>58</v>
      </c>
      <c r="B2406" s="1061" t="s">
        <v>406</v>
      </c>
      <c r="C2406" s="122" t="s">
        <v>5519</v>
      </c>
      <c r="D2406" s="94" t="s">
        <v>5520</v>
      </c>
      <c r="E2406" s="122" t="s">
        <v>5521</v>
      </c>
      <c r="F2406" s="115" t="s">
        <v>634</v>
      </c>
      <c r="G2406" s="303" t="s">
        <v>5482</v>
      </c>
      <c r="H2406" s="303" t="s">
        <v>5482</v>
      </c>
      <c r="I2406" s="303" t="s">
        <v>52</v>
      </c>
      <c r="J2406" s="655" t="s">
        <v>53</v>
      </c>
      <c r="K2406" s="303" t="s">
        <v>54</v>
      </c>
      <c r="L2406" s="101" t="s">
        <v>55</v>
      </c>
      <c r="M2406" s="810">
        <v>621.5</v>
      </c>
      <c r="N2406" s="639">
        <v>660</v>
      </c>
      <c r="O2406" s="551" t="s">
        <v>56</v>
      </c>
      <c r="P2406" s="101">
        <v>38</v>
      </c>
      <c r="Q2406" s="101">
        <v>38</v>
      </c>
      <c r="R2406" s="60">
        <v>38</v>
      </c>
      <c r="S2406" s="273">
        <v>38</v>
      </c>
      <c r="T2406" s="273">
        <f>Table1[[#This Row],[VO Wdth]]</f>
        <v>38</v>
      </c>
      <c r="U2406" s="273">
        <f>Table1[[#This Row],[VO Hgt]]</f>
        <v>38</v>
      </c>
      <c r="V2406" s="608">
        <f>IF(J2406="Canvas",P2406+BorderGW,P2406)</f>
        <v>46</v>
      </c>
      <c r="W2406" s="608">
        <f>IF(J2406="Canvas",Q2406+BorderGW,Q2406)</f>
        <v>46</v>
      </c>
      <c r="X2406" s="137">
        <v>53</v>
      </c>
      <c r="Y2406" s="101"/>
      <c r="Z2406" s="101"/>
      <c r="AA2406" s="649">
        <f t="shared" si="857"/>
        <v>14.694444444444445</v>
      </c>
      <c r="AB2406" s="184">
        <f t="shared" si="862"/>
        <v>309.17111111111109</v>
      </c>
      <c r="AC2406" s="104">
        <f>AA2406*Canvas</f>
        <v>9.6983333333333341</v>
      </c>
      <c r="AD2406" s="104">
        <f>AA2406*IncaC</f>
        <v>24.733688888888889</v>
      </c>
      <c r="AE2406" s="104">
        <f>IF(Table1[[#This Row],[Work Center]]="SwissQ",Materials!G$37,IF(Table1[[#This Row],[Work Center]]="Inca",Materials!G$29,IF(Table1[[#This Row],[Work Center]]="Canon",Materials!G$49,Materials!G$45)))</f>
        <v>8</v>
      </c>
      <c r="AF2406" s="74">
        <f>'Cali FPS'!C$77</f>
        <v>105.7</v>
      </c>
      <c r="AG2406" s="115"/>
      <c r="AH2406" s="498">
        <f t="shared" si="852"/>
        <v>31.075000000000003</v>
      </c>
      <c r="AI2406" s="498"/>
      <c r="AJ2406" s="104">
        <f t="shared" si="858"/>
        <v>179.20702222222224</v>
      </c>
      <c r="AK2406" s="650">
        <f t="shared" si="854"/>
        <v>0.71165402699561986</v>
      </c>
      <c r="AL2406" s="225">
        <f>Table1[[#This Row],[WSP/Dealer]]/Table1[[#This Row],[OD Sq Inch]]</f>
        <v>0.43040166204986152</v>
      </c>
      <c r="AM2406" s="101">
        <f>Table1[[#This Row],[OD Wdth]]*Table1[[#This Row],[OD Hgt]]</f>
        <v>1444</v>
      </c>
      <c r="AN2406" s="216">
        <f>Table1[[#This Row],[Min VO]]+Table1[[#This Row],[Max VO]]</f>
        <v>76</v>
      </c>
      <c r="AO2406" s="101"/>
      <c r="AP2406" s="101"/>
      <c r="AQ2406" s="104"/>
      <c r="AR2406" s="104"/>
      <c r="AS2406" s="104"/>
      <c r="AT2406" s="104"/>
      <c r="AU2406" s="830" t="str">
        <f t="shared" si="841"/>
        <v>-</v>
      </c>
    </row>
    <row r="2407" spans="1:47" s="399" customFormat="1" hidden="1" x14ac:dyDescent="0.2">
      <c r="A2407" s="101" t="s">
        <v>669</v>
      </c>
      <c r="B2407" s="1061" t="s">
        <v>88</v>
      </c>
      <c r="C2407" s="122" t="s">
        <v>5522</v>
      </c>
      <c r="D2407" s="94" t="s">
        <v>5523</v>
      </c>
      <c r="E2407" s="122" t="s">
        <v>5524</v>
      </c>
      <c r="F2407" s="115" t="s">
        <v>634</v>
      </c>
      <c r="G2407" s="303" t="s">
        <v>5482</v>
      </c>
      <c r="H2407" s="101" t="s">
        <v>750</v>
      </c>
      <c r="I2407" s="303" t="s">
        <v>52</v>
      </c>
      <c r="J2407" s="655" t="s">
        <v>280</v>
      </c>
      <c r="K2407" s="303" t="s">
        <v>69</v>
      </c>
      <c r="L2407" s="101" t="s">
        <v>73</v>
      </c>
      <c r="M2407" s="810">
        <v>621.5</v>
      </c>
      <c r="N2407" s="71"/>
      <c r="O2407" s="551" t="s">
        <v>56</v>
      </c>
      <c r="P2407" s="101">
        <v>38</v>
      </c>
      <c r="Q2407" s="101">
        <v>38</v>
      </c>
      <c r="R2407" s="60">
        <v>38</v>
      </c>
      <c r="S2407" s="273">
        <v>38</v>
      </c>
      <c r="T2407" s="101">
        <v>39</v>
      </c>
      <c r="U2407" s="101" t="str">
        <f>RIGHT(H2407,2)</f>
        <v>39</v>
      </c>
      <c r="V2407" s="608">
        <f>IF(J2407="Canvas",P2407+Border,P2407)</f>
        <v>38</v>
      </c>
      <c r="W2407" s="608">
        <f>IF(J2407="Canvas",Q2407+Border,Q2407)</f>
        <v>38</v>
      </c>
      <c r="X2407" s="137" t="s">
        <v>675</v>
      </c>
      <c r="Y2407" s="101"/>
      <c r="Z2407" s="101"/>
      <c r="AA2407" s="649">
        <f t="shared" si="857"/>
        <v>10.027777777777779</v>
      </c>
      <c r="AB2407" s="184">
        <f t="shared" si="862"/>
        <v>210.98444444444445</v>
      </c>
      <c r="AC2407" s="104">
        <f>PETG48/2</f>
        <v>24.33</v>
      </c>
      <c r="AD2407" s="104">
        <f>AA2407*IncaC</f>
        <v>16.878755555555557</v>
      </c>
      <c r="AE2407" s="104">
        <f>IF(Table1[[#This Row],[Work Center]]="SwissQ",Materials!G$37,IF(Table1[[#This Row],[Work Center]]="Inca",Materials!G$29,IF(Table1[[#This Row],[Work Center]]="Canon",Materials!G$49,Materials!G$45)))</f>
        <v>8</v>
      </c>
      <c r="AF2407" s="74">
        <f>'Cali Frames'!D$441</f>
        <v>143.51750000000001</v>
      </c>
      <c r="AG2407" s="115"/>
      <c r="AH2407" s="498">
        <f t="shared" si="852"/>
        <v>31.075000000000003</v>
      </c>
      <c r="AI2407" s="498"/>
      <c r="AJ2407" s="104">
        <f t="shared" si="858"/>
        <v>223.80125555555554</v>
      </c>
      <c r="AK2407" s="650">
        <f t="shared" si="854"/>
        <v>0.63990143917046571</v>
      </c>
      <c r="AL2407" s="225">
        <f>Table1[[#This Row],[WSP/Dealer]]/Table1[[#This Row],[OD Sq Inch]]</f>
        <v>0.40861275476660092</v>
      </c>
      <c r="AM2407" s="101">
        <f>Table1[[#This Row],[OD Wdth]]*Table1[[#This Row],[OD Hgt]]</f>
        <v>1521</v>
      </c>
      <c r="AN2407" s="216">
        <f>Table1[[#This Row],[Min VO]]+Table1[[#This Row],[Max VO]]</f>
        <v>76</v>
      </c>
      <c r="AO2407" s="101"/>
      <c r="AP2407" s="101"/>
      <c r="AQ2407" s="104"/>
      <c r="AR2407" s="104"/>
      <c r="AS2407" s="104"/>
      <c r="AT2407" s="104"/>
      <c r="AU2407" s="830" t="str">
        <f t="shared" si="841"/>
        <v>-</v>
      </c>
    </row>
    <row r="2408" spans="1:47" s="170" customFormat="1" hidden="1" x14ac:dyDescent="0.2">
      <c r="A2408" s="68" t="s">
        <v>187</v>
      </c>
      <c r="B2408" s="1061" t="s">
        <v>292</v>
      </c>
      <c r="C2408" s="804" t="s">
        <v>5525</v>
      </c>
      <c r="D2408" s="94"/>
      <c r="E2408" s="378" t="s">
        <v>5526</v>
      </c>
      <c r="F2408" s="84" t="s">
        <v>349</v>
      </c>
      <c r="G2408" s="282" t="s">
        <v>1148</v>
      </c>
      <c r="H2408" s="282" t="s">
        <v>1149</v>
      </c>
      <c r="I2408" s="68" t="s">
        <v>52</v>
      </c>
      <c r="J2408" s="68" t="s">
        <v>53</v>
      </c>
      <c r="K2408" s="68" t="s">
        <v>54</v>
      </c>
      <c r="L2408" s="68"/>
      <c r="M2408" s="380">
        <v>400</v>
      </c>
      <c r="N2408" s="71"/>
      <c r="O2408" s="68" t="s">
        <v>56</v>
      </c>
      <c r="P2408" s="68">
        <v>9</v>
      </c>
      <c r="Q2408" s="68">
        <v>10</v>
      </c>
      <c r="R2408" s="68">
        <v>9</v>
      </c>
      <c r="S2408" s="68">
        <v>10</v>
      </c>
      <c r="T2408" s="68">
        <v>10</v>
      </c>
      <c r="U2408" s="68">
        <v>11</v>
      </c>
      <c r="V2408" s="66">
        <f>IF(J2408="Canvas",P2408+Border,P2408)</f>
        <v>17</v>
      </c>
      <c r="W2408" s="66">
        <f>IF(J2408="Canvas",Q2408+Border,Q2408)</f>
        <v>18</v>
      </c>
      <c r="X2408" s="189"/>
      <c r="Y2408" s="68"/>
      <c r="Z2408" s="68"/>
      <c r="AA2408" s="699">
        <f t="shared" si="857"/>
        <v>2.125</v>
      </c>
      <c r="AB2408" s="297">
        <f t="shared" si="862"/>
        <v>44.71</v>
      </c>
      <c r="AC2408" s="74">
        <f t="shared" ref="AC2408:AC2413" si="863">AA2408*Canvas</f>
        <v>1.4025000000000001</v>
      </c>
      <c r="AD2408" s="319">
        <f>Table1[[#This Row],[Substrate SF]]*IncaC</f>
        <v>3.5768</v>
      </c>
      <c r="AE2408" s="278">
        <f>IF(Table1[[#This Row],[Work Center]]="SwissQ",Materials!G$37,IF(Table1[[#This Row],[Work Center]]="Inca",Materials!G$29,IF(Table1[[#This Row],[Work Center]]="Canon",Materials!G$49,Materials!G$45)))</f>
        <v>8</v>
      </c>
      <c r="AF2408" s="321">
        <f>'Cali Frames'!D$256</f>
        <v>76.37</v>
      </c>
      <c r="AG2408" s="126"/>
      <c r="AH2408" s="263">
        <f t="shared" ref="AH2408:AH2436" si="864">(M2408*0.05)</f>
        <v>20</v>
      </c>
      <c r="AI2408" s="263"/>
      <c r="AJ2408" s="278">
        <f t="shared" si="858"/>
        <v>109.3493</v>
      </c>
      <c r="AK2408" s="62">
        <f t="shared" ref="AK2408:AK2439" si="865">(M2408-AJ2408)/M2408</f>
        <v>0.7266267500000001</v>
      </c>
      <c r="AL2408" s="225">
        <f>Table1[[#This Row],[WSP/Dealer]]/Table1[[#This Row],[OD Sq Inch]]</f>
        <v>3.6363636363636362</v>
      </c>
      <c r="AM2408" s="170">
        <f>Table1[[#This Row],[OD Wdth]]*Table1[[#This Row],[OD Hgt]]</f>
        <v>110</v>
      </c>
      <c r="AN2408" s="216">
        <f>Table1[[#This Row],[Min VO]]+Table1[[#This Row],[Max VO]]</f>
        <v>19</v>
      </c>
      <c r="AO2408" s="119"/>
      <c r="AP2408" s="84"/>
      <c r="AQ2408" s="126"/>
      <c r="AR2408" s="126"/>
      <c r="AS2408" s="126"/>
      <c r="AT2408" s="74"/>
      <c r="AU2408" s="1356" t="str">
        <f t="shared" si="841"/>
        <v>-</v>
      </c>
    </row>
    <row r="2409" spans="1:47" s="868" customFormat="1" x14ac:dyDescent="0.2">
      <c r="A2409" s="551" t="s">
        <v>58</v>
      </c>
      <c r="B2409" s="1150" t="s">
        <v>310</v>
      </c>
      <c r="C2409" s="804" t="s">
        <v>5527</v>
      </c>
      <c r="D2409" s="77"/>
      <c r="E2409" s="804" t="s">
        <v>5528</v>
      </c>
      <c r="F2409" s="653" t="s">
        <v>308</v>
      </c>
      <c r="G2409" s="885" t="s">
        <v>379</v>
      </c>
      <c r="H2409" s="551" t="s">
        <v>379</v>
      </c>
      <c r="I2409" s="885" t="s">
        <v>52</v>
      </c>
      <c r="J2409" s="856" t="s">
        <v>53</v>
      </c>
      <c r="K2409" s="885" t="s">
        <v>54</v>
      </c>
      <c r="L2409" s="551" t="s">
        <v>55</v>
      </c>
      <c r="M2409" s="1579">
        <v>1120</v>
      </c>
      <c r="N2409" s="896"/>
      <c r="O2409" s="551" t="s">
        <v>56</v>
      </c>
      <c r="P2409" s="551">
        <v>48</v>
      </c>
      <c r="Q2409" s="551">
        <v>72</v>
      </c>
      <c r="R2409" s="551">
        <v>48</v>
      </c>
      <c r="S2409" s="551">
        <v>72</v>
      </c>
      <c r="T2409" s="551">
        <v>48</v>
      </c>
      <c r="U2409" s="551">
        <v>72</v>
      </c>
      <c r="V2409" s="881">
        <f>IF(J2409="Canvas",P2409+Border,P2409)</f>
        <v>56</v>
      </c>
      <c r="W2409" s="881">
        <f>IF(J2409="Canvas",Q2409+Border,Q2409)</f>
        <v>80</v>
      </c>
      <c r="X2409" s="551">
        <v>82</v>
      </c>
      <c r="Y2409" s="551">
        <v>56</v>
      </c>
      <c r="Z2409" s="551">
        <v>80</v>
      </c>
      <c r="AA2409" s="860">
        <f t="shared" si="857"/>
        <v>31.111111111111111</v>
      </c>
      <c r="AB2409" s="861">
        <f t="shared" si="862"/>
        <v>654.57777777777778</v>
      </c>
      <c r="AC2409" s="863">
        <f t="shared" si="863"/>
        <v>20.533333333333335</v>
      </c>
      <c r="AD2409" s="994">
        <f>Table1[[#This Row],[Substrate SF]]*IncaC</f>
        <v>52.36622222222222</v>
      </c>
      <c r="AE2409" s="867">
        <f>IF(Table1[[#This Row],[Work Center]]="SwissQ",Materials!G$37,IF(Table1[[#This Row],[Work Center]]="Inca",Materials!G$29,IF(Table1[[#This Row],[Work Center]]="Canon",Materials!G$49,Materials!G$45)))</f>
        <v>8</v>
      </c>
      <c r="AF2409" s="71">
        <f>'Cali FPS'!C126</f>
        <v>189.88</v>
      </c>
      <c r="AG2409" s="864"/>
      <c r="AH2409" s="867">
        <f t="shared" si="864"/>
        <v>56</v>
      </c>
      <c r="AI2409" s="867"/>
      <c r="AJ2409" s="867">
        <f t="shared" si="858"/>
        <v>326.77955555555553</v>
      </c>
      <c r="AK2409" s="1163">
        <f t="shared" si="865"/>
        <v>0.70823253968253963</v>
      </c>
      <c r="AL2409" s="895">
        <f>Table1[[#This Row],[WSP/Dealer]]/Table1[[#This Row],[OD Sq Inch]]</f>
        <v>0.32407407407407407</v>
      </c>
      <c r="AM2409" s="869">
        <f>Table1[[#This Row],[OD Wdth]]*Table1[[#This Row],[OD Hgt]]</f>
        <v>3456</v>
      </c>
      <c r="AN2409" s="779">
        <f>Table1[[#This Row],[Min VO]]+Table1[[#This Row],[Max VO]]</f>
        <v>120</v>
      </c>
      <c r="AO2409" s="653"/>
      <c r="AP2409" s="653"/>
      <c r="AQ2409" s="864">
        <f>(Table1[[#This Row],[Desgnr/Retail P]]*0.05)</f>
        <v>0</v>
      </c>
      <c r="AR2409" s="864" t="b">
        <f>IF(A2409="Codarus",(AP2409*0.13))</f>
        <v>0</v>
      </c>
      <c r="AS2409" s="864" t="e" cm="1">
        <f t="array" ref="AS2409">SUM(AC2409:AG2409+AQ+AR)</f>
        <v>#NAME?</v>
      </c>
      <c r="AT2409" s="863" t="e">
        <f>(AP2409-AS2409)/AP2409</f>
        <v>#NAME?</v>
      </c>
      <c r="AU2409" s="1364" t="str">
        <f t="shared" si="841"/>
        <v>-</v>
      </c>
    </row>
    <row r="2410" spans="1:47" s="170" customFormat="1" x14ac:dyDescent="0.2">
      <c r="A2410" s="68" t="s">
        <v>58</v>
      </c>
      <c r="B2410" s="1072" t="s">
        <v>310</v>
      </c>
      <c r="C2410" s="378" t="s">
        <v>5529</v>
      </c>
      <c r="D2410" s="94"/>
      <c r="E2410" s="378" t="s">
        <v>5528</v>
      </c>
      <c r="F2410" s="84" t="s">
        <v>308</v>
      </c>
      <c r="G2410" s="282" t="s">
        <v>379</v>
      </c>
      <c r="H2410" s="68" t="s">
        <v>990</v>
      </c>
      <c r="I2410" s="282" t="s">
        <v>52</v>
      </c>
      <c r="J2410" s="140" t="s">
        <v>53</v>
      </c>
      <c r="K2410" s="282" t="s">
        <v>69</v>
      </c>
      <c r="L2410" s="68" t="s">
        <v>70</v>
      </c>
      <c r="M2410" s="380">
        <v>1300</v>
      </c>
      <c r="N2410" s="93"/>
      <c r="O2410" s="68" t="s">
        <v>56</v>
      </c>
      <c r="P2410" s="68">
        <v>48</v>
      </c>
      <c r="Q2410" s="68">
        <v>72</v>
      </c>
      <c r="R2410" s="68">
        <v>48</v>
      </c>
      <c r="S2410" s="68">
        <v>72</v>
      </c>
      <c r="T2410" s="68">
        <v>49</v>
      </c>
      <c r="U2410" s="68">
        <v>73</v>
      </c>
      <c r="V2410" s="917">
        <f>IF(J2410="Canvas",P2410+Border,P2410)</f>
        <v>56</v>
      </c>
      <c r="W2410" s="917">
        <f>IF(J2410="Canvas",Q2410+Border,Q2410)</f>
        <v>80</v>
      </c>
      <c r="X2410" s="68">
        <v>82</v>
      </c>
      <c r="Y2410" s="68">
        <v>56</v>
      </c>
      <c r="Z2410" s="68">
        <v>80</v>
      </c>
      <c r="AA2410" s="699">
        <f t="shared" si="857"/>
        <v>31.111111111111111</v>
      </c>
      <c r="AB2410" s="297">
        <f t="shared" si="862"/>
        <v>654.57777777777778</v>
      </c>
      <c r="AC2410" s="74">
        <f t="shared" si="863"/>
        <v>20.533333333333335</v>
      </c>
      <c r="AD2410" s="320">
        <f>Table1[[#This Row],[Substrate SF]]*IncaC</f>
        <v>52.36622222222222</v>
      </c>
      <c r="AE2410" s="278">
        <f>IF(Table1[[#This Row],[Work Center]]="SwissQ",Materials!G$37,IF(Table1[[#This Row],[Work Center]]="Inca",Materials!G$29,IF(Table1[[#This Row],[Work Center]]="Canon",Materials!G$49,Materials!G$45)))</f>
        <v>8</v>
      </c>
      <c r="AF2410" s="73">
        <f>'Cali Frames'!D337</f>
        <v>263.8</v>
      </c>
      <c r="AG2410" s="126"/>
      <c r="AH2410" s="278">
        <f t="shared" si="864"/>
        <v>65</v>
      </c>
      <c r="AI2410" s="278"/>
      <c r="AJ2410" s="278">
        <f t="shared" si="858"/>
        <v>409.69955555555555</v>
      </c>
      <c r="AK2410" s="1001">
        <f t="shared" si="865"/>
        <v>0.6848464957264957</v>
      </c>
      <c r="AL2410" s="240">
        <f>Table1[[#This Row],[WSP/Dealer]]/Table1[[#This Row],[OD Sq Inch]]</f>
        <v>0.36343304445065699</v>
      </c>
      <c r="AM2410" s="274">
        <f>Table1[[#This Row],[OD Wdth]]*Table1[[#This Row],[OD Hgt]]</f>
        <v>3577</v>
      </c>
      <c r="AN2410" s="238">
        <f>Table1[[#This Row],[Min VO]]+Table1[[#This Row],[Max VO]]</f>
        <v>120</v>
      </c>
      <c r="AO2410" s="84"/>
      <c r="AP2410" s="84"/>
      <c r="AQ2410" s="126">
        <f>(Table1[[#This Row],[Desgnr/Retail P]]*0.05)</f>
        <v>0</v>
      </c>
      <c r="AR2410" s="126" t="b">
        <f>IF(A2410="Codarus",(AP2410*0.13))</f>
        <v>0</v>
      </c>
      <c r="AS2410" s="126" t="e" cm="1">
        <f t="array" ref="AS2410">SUM(AC2410:AG2410+AQ+AR)</f>
        <v>#NAME?</v>
      </c>
      <c r="AT2410" s="74" t="e">
        <f>(AP2410-AS2410)/AP2410</f>
        <v>#NAME?</v>
      </c>
      <c r="AU2410" s="1357" t="str">
        <f t="shared" ref="AU2410:AU2473" si="866">IF(AQ2410=0,"-",(AQ2410-AT2410)/AQ2410)</f>
        <v>-</v>
      </c>
    </row>
    <row r="2411" spans="1:47" s="170" customFormat="1" hidden="1" x14ac:dyDescent="0.2">
      <c r="A2411" s="437" t="s">
        <v>187</v>
      </c>
      <c r="B2411" s="1061" t="s">
        <v>734</v>
      </c>
      <c r="C2411" s="1676" t="s">
        <v>5530</v>
      </c>
      <c r="D2411" s="94"/>
      <c r="E2411" s="1676" t="s">
        <v>5531</v>
      </c>
      <c r="F2411" s="84" t="s">
        <v>737</v>
      </c>
      <c r="G2411" s="282" t="s">
        <v>482</v>
      </c>
      <c r="H2411" s="68" t="s">
        <v>488</v>
      </c>
      <c r="I2411" s="1682" t="s">
        <v>52</v>
      </c>
      <c r="J2411" s="140" t="s">
        <v>53</v>
      </c>
      <c r="K2411" s="1682" t="s">
        <v>1412</v>
      </c>
      <c r="L2411" s="68" t="s">
        <v>73</v>
      </c>
      <c r="M2411" s="1688">
        <v>3300</v>
      </c>
      <c r="N2411" s="71"/>
      <c r="O2411" s="68" t="s">
        <v>109</v>
      </c>
      <c r="P2411" s="68">
        <v>40</v>
      </c>
      <c r="Q2411" s="68">
        <v>60</v>
      </c>
      <c r="R2411" s="68">
        <v>40</v>
      </c>
      <c r="S2411" s="68">
        <v>60</v>
      </c>
      <c r="T2411" s="68">
        <v>41</v>
      </c>
      <c r="U2411" s="68">
        <v>61</v>
      </c>
      <c r="V2411" s="917">
        <f>IF(J2411="Canvas",P2411+BorderGW,P2411)</f>
        <v>48</v>
      </c>
      <c r="W2411" s="917">
        <f>IF(J2411="Canvas",Q2411+BorderGW,Q2411)</f>
        <v>68</v>
      </c>
      <c r="X2411" s="189">
        <v>69</v>
      </c>
      <c r="Y2411" s="68">
        <v>48</v>
      </c>
      <c r="Z2411" s="68">
        <v>68</v>
      </c>
      <c r="AA2411" s="699">
        <f t="shared" si="857"/>
        <v>22.666666666666668</v>
      </c>
      <c r="AB2411" s="372">
        <f>AA2411*EPSONM</f>
        <v>102</v>
      </c>
      <c r="AC2411" s="240">
        <f t="shared" si="863"/>
        <v>14.96</v>
      </c>
      <c r="AD2411" s="208">
        <f>Table1[[#This Row],[Ink g/mL]]*EPSONC</f>
        <v>22.44</v>
      </c>
      <c r="AE2411" s="74">
        <f>IF(Table1[[#This Row],[Work Center]]="SwissQ",Materials!G$37,IF(Table1[[#This Row],[Work Center]]="Inca",Materials!G$29,IF(Table1[[#This Row],[Work Center]]="Canon",Materials!G$49,Materials!G$45)))</f>
        <v>5</v>
      </c>
      <c r="AF2411" s="73">
        <f>'Cali Frames'!D450</f>
        <v>224.10500000000002</v>
      </c>
      <c r="AG2411" s="126"/>
      <c r="AH2411" s="498">
        <f t="shared" si="864"/>
        <v>165</v>
      </c>
      <c r="AI2411" s="498"/>
      <c r="AJ2411" s="240">
        <f t="shared" si="858"/>
        <v>431.505</v>
      </c>
      <c r="AK2411" s="650">
        <f t="shared" si="865"/>
        <v>0.86924090909090901</v>
      </c>
      <c r="AL2411" s="225">
        <f>Table1[[#This Row],[WSP/Dealer]]/Table1[[#This Row],[OD Sq Inch]]</f>
        <v>1.3194722111155537</v>
      </c>
      <c r="AM2411" s="235">
        <f>Table1[[#This Row],[OD Wdth]]*Table1[[#This Row],[OD Hgt]]</f>
        <v>2501</v>
      </c>
      <c r="AN2411" s="274" t="str">
        <f>Table1[[#This Row],[Color]]</f>
        <v>NF</v>
      </c>
      <c r="AO2411" s="84"/>
      <c r="AP2411" s="84"/>
      <c r="AQ2411" s="126"/>
      <c r="AR2411" s="126"/>
      <c r="AS2411" s="126"/>
      <c r="AT2411" s="74"/>
      <c r="AU2411" s="1357" t="str">
        <f t="shared" si="866"/>
        <v>-</v>
      </c>
    </row>
    <row r="2412" spans="1:47" s="170" customFormat="1" hidden="1" x14ac:dyDescent="0.2">
      <c r="A2412" s="437" t="s">
        <v>187</v>
      </c>
      <c r="B2412" s="1061" t="s">
        <v>734</v>
      </c>
      <c r="C2412" s="1676" t="s">
        <v>5532</v>
      </c>
      <c r="D2412" s="94"/>
      <c r="E2412" s="1676" t="s">
        <v>5533</v>
      </c>
      <c r="F2412" s="84" t="s">
        <v>737</v>
      </c>
      <c r="G2412" s="282" t="s">
        <v>482</v>
      </c>
      <c r="H2412" s="68" t="s">
        <v>482</v>
      </c>
      <c r="I2412" s="1682" t="s">
        <v>52</v>
      </c>
      <c r="J2412" s="140" t="s">
        <v>53</v>
      </c>
      <c r="K2412" s="1682" t="s">
        <v>54</v>
      </c>
      <c r="L2412" s="68" t="s">
        <v>55</v>
      </c>
      <c r="M2412" s="1688">
        <v>2860</v>
      </c>
      <c r="N2412" s="71"/>
      <c r="O2412" s="68" t="s">
        <v>109</v>
      </c>
      <c r="P2412" s="68">
        <v>40</v>
      </c>
      <c r="Q2412" s="68">
        <v>60</v>
      </c>
      <c r="R2412" s="68">
        <v>40</v>
      </c>
      <c r="S2412" s="68">
        <v>60</v>
      </c>
      <c r="T2412" s="68">
        <v>40</v>
      </c>
      <c r="U2412" s="68">
        <v>60</v>
      </c>
      <c r="V2412" s="66">
        <f>IF(J2412="Canvas",P2412+BorderGW,P2412)</f>
        <v>48</v>
      </c>
      <c r="W2412" s="66">
        <f>IF(J2412="Canvas",Q2412+BorderGW,Q2412)</f>
        <v>68</v>
      </c>
      <c r="X2412" s="189">
        <v>69</v>
      </c>
      <c r="Y2412" s="68">
        <v>48</v>
      </c>
      <c r="Z2412" s="68">
        <v>68</v>
      </c>
      <c r="AA2412" s="699">
        <f t="shared" si="857"/>
        <v>22.666666666666668</v>
      </c>
      <c r="AB2412" s="372">
        <f>AA2412*EPSONM</f>
        <v>102</v>
      </c>
      <c r="AC2412" s="240">
        <f t="shared" si="863"/>
        <v>14.96</v>
      </c>
      <c r="AD2412" s="208">
        <f>Table1[[#This Row],[Ink g/mL]]*EPSONC</f>
        <v>22.44</v>
      </c>
      <c r="AE2412" s="74">
        <f>IF(Table1[[#This Row],[Work Center]]="SwissQ",Materials!G$37,IF(Table1[[#This Row],[Work Center]]="Inca",Materials!G$29,IF(Table1[[#This Row],[Work Center]]="Canon",Materials!G$49,Materials!G$45)))</f>
        <v>5</v>
      </c>
      <c r="AF2412" s="73">
        <f>'Cali FPS'!C89</f>
        <v>112.01750000000001</v>
      </c>
      <c r="AG2412" s="126"/>
      <c r="AH2412" s="112">
        <f t="shared" si="864"/>
        <v>143</v>
      </c>
      <c r="AI2412" s="112"/>
      <c r="AJ2412" s="208">
        <f t="shared" si="858"/>
        <v>297.41750000000002</v>
      </c>
      <c r="AK2412" s="62">
        <f t="shared" si="865"/>
        <v>0.89600786713286718</v>
      </c>
      <c r="AL2412" s="225">
        <f>Table1[[#This Row],[WSP/Dealer]]/Table1[[#This Row],[OD Sq Inch]]</f>
        <v>1.1916666666666667</v>
      </c>
      <c r="AM2412" s="235">
        <f>Table1[[#This Row],[OD Wdth]]*Table1[[#This Row],[OD Hgt]]</f>
        <v>2400</v>
      </c>
      <c r="AN2412" s="274" t="str">
        <f>Table1[[#This Row],[Color]]</f>
        <v>GW</v>
      </c>
      <c r="AO2412" s="84"/>
      <c r="AP2412" s="84"/>
      <c r="AQ2412" s="126"/>
      <c r="AR2412" s="126"/>
      <c r="AS2412" s="126"/>
      <c r="AT2412" s="74"/>
      <c r="AU2412" s="1357" t="str">
        <f t="shared" si="866"/>
        <v>-</v>
      </c>
    </row>
    <row r="2413" spans="1:47" s="170" customFormat="1" hidden="1" x14ac:dyDescent="0.2">
      <c r="A2413" s="437" t="s">
        <v>187</v>
      </c>
      <c r="B2413" s="1061" t="s">
        <v>734</v>
      </c>
      <c r="C2413" s="1676" t="s">
        <v>5534</v>
      </c>
      <c r="D2413" s="94"/>
      <c r="E2413" s="1676" t="s">
        <v>5533</v>
      </c>
      <c r="F2413" s="84" t="s">
        <v>737</v>
      </c>
      <c r="G2413" s="282" t="s">
        <v>482</v>
      </c>
      <c r="H2413" s="68" t="s">
        <v>488</v>
      </c>
      <c r="I2413" s="1682" t="s">
        <v>52</v>
      </c>
      <c r="J2413" s="140" t="s">
        <v>53</v>
      </c>
      <c r="K2413" s="1682" t="s">
        <v>1410</v>
      </c>
      <c r="L2413" s="68" t="s">
        <v>70</v>
      </c>
      <c r="M2413" s="1688">
        <v>3300</v>
      </c>
      <c r="N2413" s="71"/>
      <c r="O2413" s="68" t="s">
        <v>109</v>
      </c>
      <c r="P2413" s="68">
        <v>40</v>
      </c>
      <c r="Q2413" s="68">
        <v>60</v>
      </c>
      <c r="R2413" s="68">
        <v>40</v>
      </c>
      <c r="S2413" s="68">
        <v>60</v>
      </c>
      <c r="T2413" s="68">
        <v>41</v>
      </c>
      <c r="U2413" s="68">
        <v>61</v>
      </c>
      <c r="V2413" s="66">
        <f>IF(J2413="Canvas",P2413+BorderGW,P2413)</f>
        <v>48</v>
      </c>
      <c r="W2413" s="66">
        <f>IF(J2413="Canvas",Q2413+BorderGW,Q2413)</f>
        <v>68</v>
      </c>
      <c r="X2413" s="189">
        <v>69</v>
      </c>
      <c r="Y2413" s="68">
        <v>48</v>
      </c>
      <c r="Z2413" s="68">
        <v>68</v>
      </c>
      <c r="AA2413" s="699">
        <f t="shared" si="857"/>
        <v>22.666666666666668</v>
      </c>
      <c r="AB2413" s="372">
        <f>AA2413*EPSONM</f>
        <v>102</v>
      </c>
      <c r="AC2413" s="240">
        <f t="shared" si="863"/>
        <v>14.96</v>
      </c>
      <c r="AD2413" s="208">
        <f>Table1[[#This Row],[Ink g/mL]]*EPSONC</f>
        <v>22.44</v>
      </c>
      <c r="AE2413" s="74">
        <f>IF(Table1[[#This Row],[Work Center]]="SwissQ",Materials!G$37,IF(Table1[[#This Row],[Work Center]]="Inca",Materials!G$29,IF(Table1[[#This Row],[Work Center]]="Canon",Materials!G$49,Materials!G$45)))</f>
        <v>5</v>
      </c>
      <c r="AF2413" s="73" t="e">
        <f>'Cali Frames'!#REF!</f>
        <v>#REF!</v>
      </c>
      <c r="AG2413" s="126"/>
      <c r="AH2413" s="498">
        <f t="shared" si="864"/>
        <v>165</v>
      </c>
      <c r="AI2413" s="498"/>
      <c r="AJ2413" s="240" t="e">
        <f t="shared" si="858"/>
        <v>#REF!</v>
      </c>
      <c r="AK2413" s="650" t="e">
        <f t="shared" si="865"/>
        <v>#REF!</v>
      </c>
      <c r="AL2413" s="225">
        <f>Table1[[#This Row],[WSP/Dealer]]/Table1[[#This Row],[OD Sq Inch]]</f>
        <v>1.3194722111155537</v>
      </c>
      <c r="AM2413" s="235">
        <f>Table1[[#This Row],[OD Wdth]]*Table1[[#This Row],[OD Hgt]]</f>
        <v>2501</v>
      </c>
      <c r="AN2413" s="274" t="str">
        <f>Table1[[#This Row],[Color]]</f>
        <v>BF</v>
      </c>
      <c r="AO2413" s="84"/>
      <c r="AP2413" s="84"/>
      <c r="AQ2413" s="126"/>
      <c r="AR2413" s="126"/>
      <c r="AS2413" s="126"/>
      <c r="AT2413" s="74"/>
      <c r="AU2413" s="1357" t="str">
        <f t="shared" si="866"/>
        <v>-</v>
      </c>
    </row>
    <row r="2414" spans="1:47" s="170" customFormat="1" hidden="1" x14ac:dyDescent="0.2">
      <c r="A2414" s="437" t="s">
        <v>187</v>
      </c>
      <c r="B2414" s="1061" t="s">
        <v>734</v>
      </c>
      <c r="C2414" s="1679" t="s">
        <v>5535</v>
      </c>
      <c r="D2414" s="94"/>
      <c r="E2414" s="1679" t="s">
        <v>5536</v>
      </c>
      <c r="F2414" s="84" t="s">
        <v>737</v>
      </c>
      <c r="G2414" s="282" t="s">
        <v>482</v>
      </c>
      <c r="H2414" s="68" t="s">
        <v>482</v>
      </c>
      <c r="I2414" s="457" t="s">
        <v>108</v>
      </c>
      <c r="J2414" s="68" t="s">
        <v>197</v>
      </c>
      <c r="K2414" s="457" t="s">
        <v>198</v>
      </c>
      <c r="L2414" s="274" t="s">
        <v>199</v>
      </c>
      <c r="M2414" s="1564">
        <v>120</v>
      </c>
      <c r="N2414" s="71"/>
      <c r="O2414" s="68" t="s">
        <v>109</v>
      </c>
      <c r="P2414" s="68">
        <v>40</v>
      </c>
      <c r="Q2414" s="68">
        <v>60</v>
      </c>
      <c r="R2414" s="68">
        <v>40</v>
      </c>
      <c r="S2414" s="68">
        <v>60</v>
      </c>
      <c r="T2414" s="68">
        <v>40</v>
      </c>
      <c r="U2414" s="68">
        <v>60</v>
      </c>
      <c r="V2414" s="686">
        <f>Table1[[#This Row],[VO Wdth]]+Materials!$C$7</f>
        <v>42</v>
      </c>
      <c r="W2414" s="686">
        <f>Table1[[#This Row],[VO Hgt]]+Materials!$C$7</f>
        <v>62</v>
      </c>
      <c r="X2414" s="343" t="s">
        <v>197</v>
      </c>
      <c r="Y2414" s="68">
        <v>42</v>
      </c>
      <c r="Z2414" s="68">
        <v>62</v>
      </c>
      <c r="AA2414" s="699">
        <f t="shared" si="857"/>
        <v>18.083333333333332</v>
      </c>
      <c r="AB2414" s="783">
        <v>12</v>
      </c>
      <c r="AC2414" s="74">
        <f>Table1[[#This Row],[Substrate SF]]*POster</f>
        <v>13.453999999999999</v>
      </c>
      <c r="AD2414" s="240">
        <f>Table1[[#This Row],[Ink g/mL]]*EPSONC</f>
        <v>2.64</v>
      </c>
      <c r="AE2414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414" s="73">
        <v>0</v>
      </c>
      <c r="AG2414" s="126">
        <f>Materials!D$76</f>
        <v>10.82</v>
      </c>
      <c r="AH2414" s="498">
        <f t="shared" si="864"/>
        <v>6</v>
      </c>
      <c r="AI2414" s="498"/>
      <c r="AJ2414" s="278">
        <f t="shared" si="858"/>
        <v>42.914000000000001</v>
      </c>
      <c r="AK2414" s="650">
        <f t="shared" si="865"/>
        <v>0.64238333333333331</v>
      </c>
      <c r="AL2414" s="225">
        <f>Table1[[#This Row],[WSP/Dealer]]/Table1[[#This Row],[OD Sq Inch]]</f>
        <v>0.05</v>
      </c>
      <c r="AM2414" s="274">
        <f>Table1[[#This Row],[OD Wdth]]*Table1[[#This Row],[OD Hgt]]</f>
        <v>2400</v>
      </c>
      <c r="AN2414" s="84"/>
      <c r="AO2414" s="84"/>
      <c r="AP2414" s="84"/>
      <c r="AQ2414" s="126"/>
      <c r="AR2414" s="126"/>
      <c r="AS2414" s="126"/>
      <c r="AT2414" s="74"/>
      <c r="AU2414" s="1357" t="str">
        <f t="shared" si="866"/>
        <v>-</v>
      </c>
    </row>
    <row r="2415" spans="1:47" s="170" customFormat="1" hidden="1" x14ac:dyDescent="0.2">
      <c r="A2415" s="373"/>
      <c r="B2415" s="1061"/>
      <c r="C2415" s="1336" t="s">
        <v>5537</v>
      </c>
      <c r="D2415" s="94"/>
      <c r="E2415" s="378" t="s">
        <v>5538</v>
      </c>
      <c r="F2415" s="84" t="s">
        <v>737</v>
      </c>
      <c r="G2415" s="282" t="s">
        <v>482</v>
      </c>
      <c r="H2415" s="282" t="s">
        <v>488</v>
      </c>
      <c r="I2415" s="282" t="s">
        <v>108</v>
      </c>
      <c r="J2415" s="140" t="s">
        <v>53</v>
      </c>
      <c r="K2415" s="282" t="s">
        <v>69</v>
      </c>
      <c r="L2415" s="68" t="s">
        <v>70</v>
      </c>
      <c r="M2415" s="379">
        <v>400</v>
      </c>
      <c r="N2415" s="71"/>
      <c r="O2415" s="68" t="s">
        <v>109</v>
      </c>
      <c r="P2415" s="68">
        <v>40</v>
      </c>
      <c r="Q2415" s="68">
        <v>60</v>
      </c>
      <c r="R2415" s="68">
        <v>40</v>
      </c>
      <c r="S2415" s="63">
        <v>60</v>
      </c>
      <c r="T2415" s="68">
        <v>41</v>
      </c>
      <c r="U2415" s="68">
        <v>61</v>
      </c>
      <c r="V2415" s="686">
        <f>IF(J2415="Canvas",P2415+Border,P2415)</f>
        <v>48</v>
      </c>
      <c r="W2415" s="686">
        <f>IF(J2415="Canvas",Q2415+Border,Q2415)</f>
        <v>68</v>
      </c>
      <c r="X2415" s="189">
        <v>69</v>
      </c>
      <c r="Y2415" s="68">
        <v>48</v>
      </c>
      <c r="Z2415" s="974">
        <v>68</v>
      </c>
      <c r="AA2415" s="729">
        <f t="shared" si="857"/>
        <v>22.666666666666668</v>
      </c>
      <c r="AB2415" s="372">
        <f>AA2415*EPSONM</f>
        <v>102</v>
      </c>
      <c r="AC2415" s="240">
        <f>AA2415*Canvas</f>
        <v>14.96</v>
      </c>
      <c r="AD2415" s="208">
        <f>Table1[[#This Row],[Ink g/mL]]*EPSONC</f>
        <v>22.44</v>
      </c>
      <c r="AE2415" s="74">
        <f>IF(Table1[[#This Row],[Work Center]]="SwissQ",Materials!G$37,IF(Table1[[#This Row],[Work Center]]="Inca",Materials!G$29,IF(Table1[[#This Row],[Work Center]]="Canon",Materials!G$49,Materials!G$45)))</f>
        <v>5</v>
      </c>
      <c r="AF2415" s="794">
        <f>'Cali Frames'!D$315</f>
        <v>164.9025</v>
      </c>
      <c r="AG2415" s="240"/>
      <c r="AH2415" s="498">
        <f t="shared" si="864"/>
        <v>20</v>
      </c>
      <c r="AI2415" s="498"/>
      <c r="AJ2415" s="240">
        <f t="shared" si="858"/>
        <v>227.30250000000001</v>
      </c>
      <c r="AK2415" s="650">
        <f t="shared" si="865"/>
        <v>0.43174374999999998</v>
      </c>
      <c r="AL2415" s="225">
        <f>Table1[[#This Row],[WSP/Dealer]]/Table1[[#This Row],[OD Sq Inch]]</f>
        <v>0.15993602558976411</v>
      </c>
      <c r="AM2415" s="235">
        <f>Table1[[#This Row],[OD Wdth]]*Table1[[#This Row],[OD Hgt]]</f>
        <v>2501</v>
      </c>
      <c r="AN2415" s="274" t="str">
        <f>Table1[[#This Row],[Color]]</f>
        <v>BF</v>
      </c>
      <c r="AO2415" s="119" t="str">
        <f>Table1[[#This Row],[Print Type]]</f>
        <v>Reductive</v>
      </c>
      <c r="AP2415" s="84"/>
      <c r="AQ2415" s="126"/>
      <c r="AR2415" s="126"/>
      <c r="AS2415" s="126"/>
      <c r="AT2415" s="74"/>
      <c r="AU2415" s="1356" t="str">
        <f t="shared" si="866"/>
        <v>-</v>
      </c>
    </row>
    <row r="2416" spans="1:47" s="170" customFormat="1" hidden="1" x14ac:dyDescent="0.2">
      <c r="A2416" s="485" t="s">
        <v>318</v>
      </c>
      <c r="B2416" s="1061" t="s">
        <v>96</v>
      </c>
      <c r="C2416" s="1336" t="s">
        <v>5539</v>
      </c>
      <c r="D2416" s="94">
        <v>193543</v>
      </c>
      <c r="E2416" s="327" t="s">
        <v>5540</v>
      </c>
      <c r="F2416" s="115" t="s">
        <v>737</v>
      </c>
      <c r="G2416" s="303" t="s">
        <v>482</v>
      </c>
      <c r="H2416" s="101" t="s">
        <v>488</v>
      </c>
      <c r="I2416" s="101" t="s">
        <v>108</v>
      </c>
      <c r="J2416" s="487" t="s">
        <v>53</v>
      </c>
      <c r="K2416" s="101" t="s">
        <v>69</v>
      </c>
      <c r="L2416" s="101" t="s">
        <v>70</v>
      </c>
      <c r="M2416" s="1769">
        <v>450</v>
      </c>
      <c r="N2416" s="786">
        <v>995</v>
      </c>
      <c r="O2416" s="101" t="s">
        <v>109</v>
      </c>
      <c r="P2416" s="101">
        <v>40</v>
      </c>
      <c r="Q2416" s="101">
        <v>60</v>
      </c>
      <c r="R2416" s="101">
        <v>40</v>
      </c>
      <c r="S2416" s="101">
        <v>60</v>
      </c>
      <c r="T2416" s="101">
        <v>41</v>
      </c>
      <c r="U2416" s="101">
        <v>61</v>
      </c>
      <c r="V2416" s="918">
        <f>IF(J2416="Canvas",P2416+Border,P2416)</f>
        <v>48</v>
      </c>
      <c r="W2416" s="918">
        <f>IF(J2416="Canvas",Q2416+Border,Q2416)</f>
        <v>68</v>
      </c>
      <c r="X2416" s="137">
        <v>59</v>
      </c>
      <c r="Y2416" s="101">
        <v>48</v>
      </c>
      <c r="Z2416" s="101">
        <v>68</v>
      </c>
      <c r="AA2416" s="834">
        <f t="shared" si="857"/>
        <v>22.666666666666668</v>
      </c>
      <c r="AB2416" s="704">
        <f>AA2416*EPSONM</f>
        <v>102</v>
      </c>
      <c r="AC2416" s="660">
        <f>AA2416*Canvas</f>
        <v>14.96</v>
      </c>
      <c r="AD2416" s="210">
        <f>Table1[[#This Row],[Ink g/mL]]*EPSONC</f>
        <v>22.44</v>
      </c>
      <c r="AE2416" s="104">
        <f>IF(Table1[[#This Row],[Work Center]]="SwissQ",Materials!G$37,IF(Table1[[#This Row],[Work Center]]="Inca",Materials!G$29,IF(Table1[[#This Row],[Work Center]]="Canon",Materials!G$49,Materials!G$45)))</f>
        <v>5</v>
      </c>
      <c r="AF2416" s="794">
        <f>'Cali Frames'!D315</f>
        <v>164.9025</v>
      </c>
      <c r="AG2416" s="660"/>
      <c r="AH2416" s="498">
        <f t="shared" si="864"/>
        <v>22.5</v>
      </c>
      <c r="AI2416" s="498"/>
      <c r="AJ2416" s="660">
        <f t="shared" si="858"/>
        <v>229.80250000000001</v>
      </c>
      <c r="AK2416" s="650">
        <f t="shared" si="865"/>
        <v>0.48932777777777775</v>
      </c>
      <c r="AL2416" s="225">
        <f>Table1[[#This Row],[WSP/Dealer]]/Table1[[#This Row],[OD Sq Inch]]</f>
        <v>0.1799280287884846</v>
      </c>
      <c r="AM2416" s="229">
        <f>Table1[[#This Row],[OD Wdth]]*Table1[[#This Row],[OD Hgt]]</f>
        <v>2501</v>
      </c>
      <c r="AN2416" s="400" t="str">
        <f>Table1[[#This Row],[Color]]</f>
        <v>BF</v>
      </c>
      <c r="AO2416" s="115" t="str">
        <f>Table1[[#This Row],[Print Type]]</f>
        <v>Reductive</v>
      </c>
      <c r="AP2416" s="115"/>
      <c r="AQ2416" s="121"/>
      <c r="AR2416" s="121"/>
      <c r="AS2416" s="121"/>
      <c r="AT2416" s="104"/>
      <c r="AU2416" s="1359" t="str">
        <f t="shared" si="866"/>
        <v>-</v>
      </c>
    </row>
    <row r="2417" spans="1:47" s="1427" customFormat="1" hidden="1" x14ac:dyDescent="0.2">
      <c r="A2417" s="373" t="s">
        <v>187</v>
      </c>
      <c r="B2417" s="1061" t="s">
        <v>261</v>
      </c>
      <c r="C2417" s="1053" t="s">
        <v>5541</v>
      </c>
      <c r="D2417" s="94"/>
      <c r="E2417" s="378" t="s">
        <v>5542</v>
      </c>
      <c r="F2417" s="84" t="s">
        <v>737</v>
      </c>
      <c r="G2417" s="282" t="s">
        <v>482</v>
      </c>
      <c r="H2417" s="282"/>
      <c r="I2417" s="282" t="s">
        <v>52</v>
      </c>
      <c r="J2417" s="140" t="s">
        <v>53</v>
      </c>
      <c r="K2417" s="282" t="s">
        <v>54</v>
      </c>
      <c r="L2417" s="68" t="s">
        <v>55</v>
      </c>
      <c r="M2417" s="380"/>
      <c r="N2417" s="71"/>
      <c r="O2417" s="68" t="s">
        <v>109</v>
      </c>
      <c r="P2417" s="68"/>
      <c r="Q2417" s="68"/>
      <c r="R2417" s="68"/>
      <c r="S2417" s="68"/>
      <c r="T2417" s="68"/>
      <c r="U2417" s="68"/>
      <c r="V2417" s="1198"/>
      <c r="W2417" s="1198"/>
      <c r="X2417" s="189"/>
      <c r="Y2417" s="68"/>
      <c r="Z2417" s="68"/>
      <c r="AA2417" s="699"/>
      <c r="AB2417" s="297"/>
      <c r="AC2417" s="74"/>
      <c r="AD2417" s="74"/>
      <c r="AE2417" s="74"/>
      <c r="AF2417" s="73"/>
      <c r="AG2417" s="126"/>
      <c r="AH2417" s="498">
        <f t="shared" si="864"/>
        <v>0</v>
      </c>
      <c r="AI2417" s="498"/>
      <c r="AJ2417" s="74"/>
      <c r="AK2417" s="650" t="e">
        <f t="shared" si="865"/>
        <v>#DIV/0!</v>
      </c>
      <c r="AL2417" s="225" t="e">
        <f>Table1[[#This Row],[WSP/Dealer]]/Table1[[#This Row],[OD Sq Inch]]</f>
        <v>#DIV/0!</v>
      </c>
      <c r="AM2417" s="84"/>
      <c r="AN2417" s="238"/>
      <c r="AO2417" s="84"/>
      <c r="AP2417" s="84"/>
      <c r="AQ2417" s="126"/>
      <c r="AR2417" s="126"/>
      <c r="AS2417" s="126"/>
      <c r="AT2417" s="74"/>
      <c r="AU2417" s="1357" t="str">
        <f t="shared" si="866"/>
        <v>-</v>
      </c>
    </row>
    <row r="2418" spans="1:47" s="170" customFormat="1" hidden="1" x14ac:dyDescent="0.2">
      <c r="A2418" s="437" t="s">
        <v>187</v>
      </c>
      <c r="B2418" s="1061" t="s">
        <v>734</v>
      </c>
      <c r="C2418" s="1676" t="s">
        <v>5543</v>
      </c>
      <c r="D2418" s="94"/>
      <c r="E2418" s="1676" t="s">
        <v>5544</v>
      </c>
      <c r="F2418" s="84" t="s">
        <v>737</v>
      </c>
      <c r="G2418" s="282" t="s">
        <v>482</v>
      </c>
      <c r="H2418" s="68" t="s">
        <v>482</v>
      </c>
      <c r="I2418" s="1682" t="s">
        <v>52</v>
      </c>
      <c r="J2418" s="140" t="s">
        <v>53</v>
      </c>
      <c r="K2418" s="1682" t="s">
        <v>54</v>
      </c>
      <c r="L2418" s="68" t="s">
        <v>55</v>
      </c>
      <c r="M2418" s="1688">
        <v>2860</v>
      </c>
      <c r="N2418" s="71"/>
      <c r="O2418" s="68" t="s">
        <v>109</v>
      </c>
      <c r="P2418" s="68">
        <v>40</v>
      </c>
      <c r="Q2418" s="68">
        <v>60</v>
      </c>
      <c r="R2418" s="68">
        <v>40</v>
      </c>
      <c r="S2418" s="68">
        <v>60</v>
      </c>
      <c r="T2418" s="68">
        <v>40</v>
      </c>
      <c r="U2418" s="68">
        <v>60</v>
      </c>
      <c r="V2418" s="917">
        <f>IF(J2418="Canvas",P2418+BorderGW,P2418)</f>
        <v>48</v>
      </c>
      <c r="W2418" s="917">
        <f>IF(J2418="Canvas",Q2418+BorderGW,Q2418)</f>
        <v>68</v>
      </c>
      <c r="X2418" s="189">
        <v>69</v>
      </c>
      <c r="Y2418" s="68">
        <v>48</v>
      </c>
      <c r="Z2418" s="68">
        <v>68</v>
      </c>
      <c r="AA2418" s="699">
        <f t="shared" ref="AA2418:AA2430" si="867">V2418*W2418/144</f>
        <v>22.666666666666668</v>
      </c>
      <c r="AB2418" s="372">
        <f>AA2418*EPSONM</f>
        <v>102</v>
      </c>
      <c r="AC2418" s="240">
        <f>AA2418*Canvas</f>
        <v>14.96</v>
      </c>
      <c r="AD2418" s="240">
        <f>Table1[[#This Row],[Ink g/mL]]*EPSONC</f>
        <v>22.44</v>
      </c>
      <c r="AE2418" s="74">
        <f>IF(Table1[[#This Row],[Work Center]]="SwissQ",Materials!G$37,IF(Table1[[#This Row],[Work Center]]="Inca",Materials!G$29,IF(Table1[[#This Row],[Work Center]]="Canon",Materials!G$49,Materials!G$45)))</f>
        <v>5</v>
      </c>
      <c r="AF2418" s="73">
        <f>'Cali FPS'!C89</f>
        <v>112.01750000000001</v>
      </c>
      <c r="AG2418" s="126"/>
      <c r="AH2418" s="498">
        <f t="shared" si="864"/>
        <v>143</v>
      </c>
      <c r="AI2418" s="498"/>
      <c r="AJ2418" s="240">
        <f t="shared" ref="AJ2418:AJ2424" si="868">SUM(AC2418:AH2418)</f>
        <v>297.41750000000002</v>
      </c>
      <c r="AK2418" s="650">
        <f t="shared" si="865"/>
        <v>0.89600786713286718</v>
      </c>
      <c r="AL2418" s="225">
        <f>Table1[[#This Row],[WSP/Dealer]]/Table1[[#This Row],[OD Sq Inch]]</f>
        <v>1.1916666666666667</v>
      </c>
      <c r="AM2418" s="238">
        <f>Table1[[#This Row],[OD Wdth]]*Table1[[#This Row],[OD Hgt]]</f>
        <v>2400</v>
      </c>
      <c r="AN2418" s="274" t="str">
        <f>Table1[[#This Row],[Color]]</f>
        <v>GW</v>
      </c>
      <c r="AO2418" s="84"/>
      <c r="AP2418" s="84"/>
      <c r="AQ2418" s="126"/>
      <c r="AR2418" s="126"/>
      <c r="AS2418" s="126"/>
      <c r="AT2418" s="74"/>
      <c r="AU2418" s="1357" t="str">
        <f t="shared" si="866"/>
        <v>-</v>
      </c>
    </row>
    <row r="2419" spans="1:47" s="170" customFormat="1" hidden="1" x14ac:dyDescent="0.2">
      <c r="A2419" s="437" t="s">
        <v>187</v>
      </c>
      <c r="B2419" s="1061" t="s">
        <v>734</v>
      </c>
      <c r="C2419" s="1676" t="s">
        <v>5545</v>
      </c>
      <c r="D2419" s="94"/>
      <c r="E2419" s="1676" t="s">
        <v>5544</v>
      </c>
      <c r="F2419" s="84" t="s">
        <v>737</v>
      </c>
      <c r="G2419" s="282" t="s">
        <v>482</v>
      </c>
      <c r="H2419" s="68" t="s">
        <v>488</v>
      </c>
      <c r="I2419" s="1682" t="s">
        <v>52</v>
      </c>
      <c r="J2419" s="140" t="s">
        <v>53</v>
      </c>
      <c r="K2419" s="1682" t="s">
        <v>1410</v>
      </c>
      <c r="L2419" s="68" t="s">
        <v>70</v>
      </c>
      <c r="M2419" s="1688">
        <v>3300</v>
      </c>
      <c r="N2419" s="71"/>
      <c r="O2419" s="68" t="s">
        <v>109</v>
      </c>
      <c r="P2419" s="68">
        <v>40</v>
      </c>
      <c r="Q2419" s="68">
        <v>60</v>
      </c>
      <c r="R2419" s="68">
        <v>40</v>
      </c>
      <c r="S2419" s="68">
        <v>60</v>
      </c>
      <c r="T2419" s="68">
        <v>41</v>
      </c>
      <c r="U2419" s="68">
        <v>61</v>
      </c>
      <c r="V2419" s="66">
        <f>IF(J2419="Canvas",P2419+BorderGW,P2419)</f>
        <v>48</v>
      </c>
      <c r="W2419" s="66">
        <f>IF(J2419="Canvas",Q2419+BorderGW,Q2419)</f>
        <v>68</v>
      </c>
      <c r="X2419" s="189">
        <v>69</v>
      </c>
      <c r="Y2419" s="68">
        <v>48</v>
      </c>
      <c r="Z2419" s="68">
        <v>68</v>
      </c>
      <c r="AA2419" s="699">
        <f t="shared" si="867"/>
        <v>22.666666666666668</v>
      </c>
      <c r="AB2419" s="372">
        <f>AA2419*EPSONM</f>
        <v>102</v>
      </c>
      <c r="AC2419" s="240">
        <f>AA2419*Canvas</f>
        <v>14.96</v>
      </c>
      <c r="AD2419" s="208">
        <f>Table1[[#This Row],[Ink g/mL]]*EPSONC</f>
        <v>22.44</v>
      </c>
      <c r="AE2419" s="74">
        <f>IF(Table1[[#This Row],[Work Center]]="SwissQ",Materials!G$37,IF(Table1[[#This Row],[Work Center]]="Inca",Materials!G$29,IF(Table1[[#This Row],[Work Center]]="Canon",Materials!G$49,Materials!G$45)))</f>
        <v>5</v>
      </c>
      <c r="AF2419" s="73" t="e">
        <f>'Cali Frames'!#REF!</f>
        <v>#REF!</v>
      </c>
      <c r="AG2419" s="126"/>
      <c r="AH2419" s="498">
        <f t="shared" si="864"/>
        <v>165</v>
      </c>
      <c r="AI2419" s="498"/>
      <c r="AJ2419" s="240" t="e">
        <f t="shared" si="868"/>
        <v>#REF!</v>
      </c>
      <c r="AK2419" s="650" t="e">
        <f t="shared" si="865"/>
        <v>#REF!</v>
      </c>
      <c r="AL2419" s="225">
        <f>Table1[[#This Row],[WSP/Dealer]]/Table1[[#This Row],[OD Sq Inch]]</f>
        <v>1.3194722111155537</v>
      </c>
      <c r="AM2419" s="235">
        <f>Table1[[#This Row],[OD Wdth]]*Table1[[#This Row],[OD Hgt]]</f>
        <v>2501</v>
      </c>
      <c r="AN2419" s="274" t="str">
        <f>Table1[[#This Row],[Color]]</f>
        <v>BF</v>
      </c>
      <c r="AO2419" s="84"/>
      <c r="AP2419" s="84"/>
      <c r="AQ2419" s="126"/>
      <c r="AR2419" s="126"/>
      <c r="AS2419" s="126"/>
      <c r="AT2419" s="74"/>
      <c r="AU2419" s="1357" t="str">
        <f t="shared" si="866"/>
        <v>-</v>
      </c>
    </row>
    <row r="2420" spans="1:47" s="486" customFormat="1" hidden="1" x14ac:dyDescent="0.2">
      <c r="A2420" s="437" t="s">
        <v>187</v>
      </c>
      <c r="B2420" s="1061" t="s">
        <v>734</v>
      </c>
      <c r="C2420" s="1676" t="s">
        <v>5546</v>
      </c>
      <c r="D2420" s="94"/>
      <c r="E2420" s="1676" t="s">
        <v>5544</v>
      </c>
      <c r="F2420" s="84" t="s">
        <v>737</v>
      </c>
      <c r="G2420" s="282" t="s">
        <v>482</v>
      </c>
      <c r="H2420" s="68" t="s">
        <v>488</v>
      </c>
      <c r="I2420" s="439" t="s">
        <v>52</v>
      </c>
      <c r="J2420" s="140" t="s">
        <v>53</v>
      </c>
      <c r="K2420" s="439" t="s">
        <v>1412</v>
      </c>
      <c r="L2420" s="68" t="s">
        <v>73</v>
      </c>
      <c r="M2420" s="445">
        <v>3300</v>
      </c>
      <c r="N2420" s="71"/>
      <c r="O2420" s="68" t="s">
        <v>109</v>
      </c>
      <c r="P2420" s="68">
        <v>40</v>
      </c>
      <c r="Q2420" s="68">
        <v>60</v>
      </c>
      <c r="R2420" s="68">
        <v>40</v>
      </c>
      <c r="S2420" s="68">
        <v>60</v>
      </c>
      <c r="T2420" s="68">
        <v>41</v>
      </c>
      <c r="U2420" s="68">
        <v>61</v>
      </c>
      <c r="V2420" s="66">
        <f>IF(J2420="Canvas",P2420+BorderGW,P2420)</f>
        <v>48</v>
      </c>
      <c r="W2420" s="66">
        <f>IF(J2420="Canvas",Q2420+BorderGW,Q2420)</f>
        <v>68</v>
      </c>
      <c r="X2420" s="189">
        <v>69</v>
      </c>
      <c r="Y2420" s="68">
        <v>48</v>
      </c>
      <c r="Z2420" s="68">
        <v>68</v>
      </c>
      <c r="AA2420" s="699">
        <f t="shared" si="867"/>
        <v>22.666666666666668</v>
      </c>
      <c r="AB2420" s="372">
        <f>AA2420*EPSONM</f>
        <v>102</v>
      </c>
      <c r="AC2420" s="240">
        <f>AA2420*Canvas</f>
        <v>14.96</v>
      </c>
      <c r="AD2420" s="208">
        <f>Table1[[#This Row],[Ink g/mL]]*EPSONC</f>
        <v>22.44</v>
      </c>
      <c r="AE2420" s="74">
        <f>IF(Table1[[#This Row],[Work Center]]="SwissQ",Materials!G$37,IF(Table1[[#This Row],[Work Center]]="Inca",Materials!G$29,IF(Table1[[#This Row],[Work Center]]="Canon",Materials!G$49,Materials!G$45)))</f>
        <v>5</v>
      </c>
      <c r="AF2420" s="73">
        <f>'Cali Frames'!D450</f>
        <v>224.10500000000002</v>
      </c>
      <c r="AG2420" s="126"/>
      <c r="AH2420" s="112">
        <f t="shared" si="864"/>
        <v>165</v>
      </c>
      <c r="AI2420" s="112"/>
      <c r="AJ2420" s="208">
        <f t="shared" si="868"/>
        <v>431.505</v>
      </c>
      <c r="AK2420" s="62">
        <f t="shared" si="865"/>
        <v>0.86924090909090901</v>
      </c>
      <c r="AL2420" s="225">
        <f>Table1[[#This Row],[WSP/Dealer]]/Table1[[#This Row],[OD Sq Inch]]</f>
        <v>1.3194722111155537</v>
      </c>
      <c r="AM2420" s="235">
        <f>Table1[[#This Row],[OD Wdth]]*Table1[[#This Row],[OD Hgt]]</f>
        <v>2501</v>
      </c>
      <c r="AN2420" s="274" t="str">
        <f>Table1[[#This Row],[Color]]</f>
        <v>NF</v>
      </c>
      <c r="AO2420" s="84"/>
      <c r="AP2420" s="84"/>
      <c r="AQ2420" s="126"/>
      <c r="AR2420" s="126"/>
      <c r="AS2420" s="126"/>
      <c r="AT2420" s="74"/>
      <c r="AU2420" s="1357" t="str">
        <f t="shared" si="866"/>
        <v>-</v>
      </c>
    </row>
    <row r="2421" spans="1:47" s="170" customFormat="1" hidden="1" x14ac:dyDescent="0.2">
      <c r="A2421" s="437" t="s">
        <v>187</v>
      </c>
      <c r="B2421" s="1061" t="s">
        <v>734</v>
      </c>
      <c r="C2421" s="1679" t="s">
        <v>5547</v>
      </c>
      <c r="D2421" s="94"/>
      <c r="E2421" s="1679" t="s">
        <v>5548</v>
      </c>
      <c r="F2421" s="84" t="s">
        <v>737</v>
      </c>
      <c r="G2421" s="282" t="s">
        <v>482</v>
      </c>
      <c r="H2421" s="68" t="s">
        <v>482</v>
      </c>
      <c r="I2421" s="457" t="s">
        <v>108</v>
      </c>
      <c r="J2421" s="68" t="s">
        <v>197</v>
      </c>
      <c r="K2421" s="457" t="s">
        <v>198</v>
      </c>
      <c r="L2421" s="274" t="s">
        <v>199</v>
      </c>
      <c r="M2421" s="1564">
        <v>120</v>
      </c>
      <c r="N2421" s="71"/>
      <c r="O2421" s="68" t="s">
        <v>109</v>
      </c>
      <c r="P2421" s="68">
        <v>40</v>
      </c>
      <c r="Q2421" s="68">
        <v>60</v>
      </c>
      <c r="R2421" s="68">
        <v>40</v>
      </c>
      <c r="S2421" s="68">
        <v>60</v>
      </c>
      <c r="T2421" s="68">
        <v>40</v>
      </c>
      <c r="U2421" s="68">
        <v>60</v>
      </c>
      <c r="V2421" s="686">
        <f>Table1[[#This Row],[VO Wdth]]+Materials!$C$7</f>
        <v>42</v>
      </c>
      <c r="W2421" s="686">
        <f>Table1[[#This Row],[VO Hgt]]+Materials!$C$7</f>
        <v>62</v>
      </c>
      <c r="X2421" s="343" t="s">
        <v>197</v>
      </c>
      <c r="Y2421" s="68">
        <v>42</v>
      </c>
      <c r="Z2421" s="68">
        <v>62</v>
      </c>
      <c r="AA2421" s="699">
        <f t="shared" si="867"/>
        <v>18.083333333333332</v>
      </c>
      <c r="AB2421" s="783">
        <v>12</v>
      </c>
      <c r="AC2421" s="74">
        <f>Table1[[#This Row],[Substrate SF]]*POster</f>
        <v>13.453999999999999</v>
      </c>
      <c r="AD2421" s="208">
        <f>Table1[[#This Row],[Ink g/mL]]*EPSONC</f>
        <v>2.64</v>
      </c>
      <c r="AE2421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421" s="73">
        <v>0</v>
      </c>
      <c r="AG2421" s="126">
        <f>Materials!D$76</f>
        <v>10.82</v>
      </c>
      <c r="AH2421" s="498">
        <f t="shared" si="864"/>
        <v>6</v>
      </c>
      <c r="AI2421" s="498"/>
      <c r="AJ2421" s="263">
        <f t="shared" si="868"/>
        <v>42.914000000000001</v>
      </c>
      <c r="AK2421" s="650">
        <f t="shared" si="865"/>
        <v>0.64238333333333331</v>
      </c>
      <c r="AL2421" s="225">
        <f>Table1[[#This Row],[WSP/Dealer]]/Table1[[#This Row],[OD Sq Inch]]</f>
        <v>0.05</v>
      </c>
      <c r="AM2421" s="170">
        <f>Table1[[#This Row],[OD Wdth]]*Table1[[#This Row],[OD Hgt]]</f>
        <v>2400</v>
      </c>
      <c r="AN2421" s="84"/>
      <c r="AO2421" s="84"/>
      <c r="AP2421" s="84"/>
      <c r="AQ2421" s="126"/>
      <c r="AR2421" s="126"/>
      <c r="AS2421" s="126"/>
      <c r="AT2421" s="74"/>
      <c r="AU2421" s="1357" t="str">
        <f t="shared" si="866"/>
        <v>-</v>
      </c>
    </row>
    <row r="2422" spans="1:47" s="170" customFormat="1" hidden="1" x14ac:dyDescent="0.2">
      <c r="A2422" s="485" t="s">
        <v>318</v>
      </c>
      <c r="B2422" s="1061" t="s">
        <v>96</v>
      </c>
      <c r="C2422" s="1336" t="s">
        <v>5549</v>
      </c>
      <c r="D2422" s="94">
        <v>188261</v>
      </c>
      <c r="E2422" s="327" t="s">
        <v>5550</v>
      </c>
      <c r="F2422" s="115" t="s">
        <v>737</v>
      </c>
      <c r="G2422" s="303" t="s">
        <v>482</v>
      </c>
      <c r="H2422" s="101" t="s">
        <v>488</v>
      </c>
      <c r="I2422" s="303" t="s">
        <v>108</v>
      </c>
      <c r="J2422" s="487" t="s">
        <v>53</v>
      </c>
      <c r="K2422" s="303" t="s">
        <v>69</v>
      </c>
      <c r="L2422" s="101" t="s">
        <v>70</v>
      </c>
      <c r="M2422" s="1769">
        <v>450</v>
      </c>
      <c r="N2422" s="786">
        <v>995</v>
      </c>
      <c r="O2422" s="101" t="s">
        <v>109</v>
      </c>
      <c r="P2422" s="101">
        <v>40</v>
      </c>
      <c r="Q2422" s="101">
        <v>60</v>
      </c>
      <c r="R2422" s="101">
        <v>40</v>
      </c>
      <c r="S2422" s="103">
        <v>60</v>
      </c>
      <c r="T2422" s="103">
        <v>41</v>
      </c>
      <c r="U2422" s="103">
        <v>61</v>
      </c>
      <c r="V2422" s="918">
        <f>IF(J2422="Canvas",P2422+Border,P2422)</f>
        <v>48</v>
      </c>
      <c r="W2422" s="918">
        <f>IF(J2422="Canvas",Q2422+Border,Q2422)</f>
        <v>68</v>
      </c>
      <c r="X2422" s="137">
        <v>59</v>
      </c>
      <c r="Y2422" s="101">
        <v>48</v>
      </c>
      <c r="Z2422" s="101">
        <v>68</v>
      </c>
      <c r="AA2422" s="834">
        <f t="shared" si="867"/>
        <v>22.666666666666668</v>
      </c>
      <c r="AB2422" s="704">
        <f>AA2422*EPSONM</f>
        <v>102</v>
      </c>
      <c r="AC2422" s="660">
        <f>AA2422*Canvas</f>
        <v>14.96</v>
      </c>
      <c r="AD2422" s="210">
        <f>Table1[[#This Row],[Ink g/mL]]*EPSONC</f>
        <v>22.44</v>
      </c>
      <c r="AE2422" s="104">
        <f>IF(Table1[[#This Row],[Work Center]]="SwissQ",Materials!G$37,IF(Table1[[#This Row],[Work Center]]="Inca",Materials!G$29,IF(Table1[[#This Row],[Work Center]]="Canon",Materials!G$49,Materials!G$45)))</f>
        <v>5</v>
      </c>
      <c r="AF2422" s="794">
        <f>'Cali Frames'!D$315</f>
        <v>164.9025</v>
      </c>
      <c r="AG2422" s="660"/>
      <c r="AH2422" s="498">
        <f t="shared" si="864"/>
        <v>22.5</v>
      </c>
      <c r="AI2422" s="498"/>
      <c r="AJ2422" s="660">
        <f t="shared" si="868"/>
        <v>229.80250000000001</v>
      </c>
      <c r="AK2422" s="650">
        <f t="shared" si="865"/>
        <v>0.48932777777777775</v>
      </c>
      <c r="AL2422" s="225">
        <f>Table1[[#This Row],[WSP/Dealer]]/Table1[[#This Row],[OD Sq Inch]]</f>
        <v>0.1799280287884846</v>
      </c>
      <c r="AM2422" s="229">
        <f>Table1[[#This Row],[OD Wdth]]*Table1[[#This Row],[OD Hgt]]</f>
        <v>2501</v>
      </c>
      <c r="AN2422" s="400" t="str">
        <f>Table1[[#This Row],[Color]]</f>
        <v>BF</v>
      </c>
      <c r="AO2422" s="115" t="str">
        <f>Table1[[#This Row],[Print Type]]</f>
        <v>Reductive</v>
      </c>
      <c r="AP2422" s="115"/>
      <c r="AQ2422" s="121"/>
      <c r="AR2422" s="121"/>
      <c r="AS2422" s="121"/>
      <c r="AT2422" s="104"/>
      <c r="AU2422" s="1359" t="str">
        <f t="shared" si="866"/>
        <v>-</v>
      </c>
    </row>
    <row r="2423" spans="1:47" s="1427" customFormat="1" x14ac:dyDescent="0.2">
      <c r="A2423" s="101" t="s">
        <v>58</v>
      </c>
      <c r="B2423" s="1061" t="s">
        <v>406</v>
      </c>
      <c r="C2423" s="122" t="s">
        <v>5551</v>
      </c>
      <c r="D2423" s="94" t="s">
        <v>5552</v>
      </c>
      <c r="E2423" s="122" t="s">
        <v>5553</v>
      </c>
      <c r="F2423" s="115" t="s">
        <v>1569</v>
      </c>
      <c r="G2423" s="303" t="s">
        <v>660</v>
      </c>
      <c r="H2423" s="101" t="s">
        <v>573</v>
      </c>
      <c r="I2423" s="303" t="s">
        <v>52</v>
      </c>
      <c r="J2423" s="655" t="s">
        <v>280</v>
      </c>
      <c r="K2423" s="303" t="s">
        <v>69</v>
      </c>
      <c r="L2423" s="101" t="s">
        <v>70</v>
      </c>
      <c r="M2423" s="810">
        <v>968</v>
      </c>
      <c r="N2423" s="639">
        <v>970</v>
      </c>
      <c r="O2423" s="551" t="s">
        <v>56</v>
      </c>
      <c r="P2423" s="101">
        <v>60</v>
      </c>
      <c r="Q2423" s="101">
        <v>40</v>
      </c>
      <c r="R2423" s="60">
        <v>40</v>
      </c>
      <c r="S2423" s="61">
        <v>60</v>
      </c>
      <c r="T2423" s="101">
        <v>61</v>
      </c>
      <c r="U2423" s="101">
        <v>41</v>
      </c>
      <c r="V2423" s="608">
        <f>IF(J2423="Canvas",P2423+Border,P2423)</f>
        <v>60</v>
      </c>
      <c r="W2423" s="608">
        <f>IF(J2423="Canvas",Q2423+Border,Q2423)</f>
        <v>40</v>
      </c>
      <c r="X2423" s="137" t="s">
        <v>2471</v>
      </c>
      <c r="Y2423" s="101"/>
      <c r="Z2423" s="101"/>
      <c r="AA2423" s="649">
        <f t="shared" si="867"/>
        <v>16.666666666666668</v>
      </c>
      <c r="AB2423" s="184">
        <f>AA2423*IncaG</f>
        <v>350.66666666666669</v>
      </c>
      <c r="AC2423" s="104">
        <f>PETG60/2</f>
        <v>29.16</v>
      </c>
      <c r="AD2423" s="107">
        <f>AA2423*IncaC</f>
        <v>28.053333333333335</v>
      </c>
      <c r="AE2423" s="104">
        <f>IF(Table1[[#This Row],[Work Center]]="SwissQ",Materials!G$37,IF(Table1[[#This Row],[Work Center]]="Inca",Materials!G$29,IF(Table1[[#This Row],[Work Center]]="Canon",Materials!G$49,Materials!G$45)))</f>
        <v>8</v>
      </c>
      <c r="AF2423" s="104" t="e">
        <f>'Cali Frames'!#REF!</f>
        <v>#REF!</v>
      </c>
      <c r="AG2423" s="115"/>
      <c r="AH2423" s="498">
        <f t="shared" si="864"/>
        <v>48.400000000000006</v>
      </c>
      <c r="AI2423" s="498"/>
      <c r="AJ2423" s="104" t="e">
        <f t="shared" si="868"/>
        <v>#REF!</v>
      </c>
      <c r="AK2423" s="650" t="e">
        <f t="shared" si="865"/>
        <v>#REF!</v>
      </c>
      <c r="AL2423" s="225">
        <f>Table1[[#This Row],[WSP/Dealer]]/Table1[[#This Row],[OD Sq Inch]]</f>
        <v>0.38704518192722909</v>
      </c>
      <c r="AM2423" s="103">
        <f>Table1[[#This Row],[OD Wdth]]*Table1[[#This Row],[OD Hgt]]</f>
        <v>2501</v>
      </c>
      <c r="AN2423" s="216">
        <f>Table1[[#This Row],[Min VO]]+Table1[[#This Row],[Max VO]]</f>
        <v>100</v>
      </c>
      <c r="AO2423" s="101"/>
      <c r="AP2423" s="101"/>
      <c r="AQ2423" s="104"/>
      <c r="AR2423" s="104"/>
      <c r="AS2423" s="104"/>
      <c r="AT2423" s="104"/>
      <c r="AU2423" s="830" t="str">
        <f t="shared" si="866"/>
        <v>-</v>
      </c>
    </row>
    <row r="2424" spans="1:47" s="173" customFormat="1" x14ac:dyDescent="0.2">
      <c r="A2424" s="101" t="s">
        <v>58</v>
      </c>
      <c r="B2424" s="1061" t="s">
        <v>406</v>
      </c>
      <c r="C2424" s="80" t="s">
        <v>5554</v>
      </c>
      <c r="D2424" s="94" t="s">
        <v>5555</v>
      </c>
      <c r="E2424" s="122" t="s">
        <v>5553</v>
      </c>
      <c r="F2424" s="791" t="s">
        <v>1569</v>
      </c>
      <c r="G2424" s="303" t="s">
        <v>660</v>
      </c>
      <c r="H2424" s="101" t="s">
        <v>573</v>
      </c>
      <c r="I2424" s="303" t="s">
        <v>52</v>
      </c>
      <c r="J2424" s="60" t="s">
        <v>53</v>
      </c>
      <c r="K2424" s="303" t="s">
        <v>69</v>
      </c>
      <c r="L2424" s="101" t="s">
        <v>70</v>
      </c>
      <c r="M2424" s="388">
        <v>968</v>
      </c>
      <c r="N2424" s="639">
        <v>970</v>
      </c>
      <c r="O2424" s="551" t="s">
        <v>56</v>
      </c>
      <c r="P2424" s="101">
        <v>60</v>
      </c>
      <c r="Q2424" s="101">
        <v>40</v>
      </c>
      <c r="R2424" s="60">
        <v>40</v>
      </c>
      <c r="S2424" s="273">
        <v>60</v>
      </c>
      <c r="T2424" s="101">
        <v>61</v>
      </c>
      <c r="U2424" s="101">
        <v>41</v>
      </c>
      <c r="V2424" s="106">
        <f>IF(J2424="Canvas",P2424+Border,P2424)</f>
        <v>68</v>
      </c>
      <c r="W2424" s="106">
        <f>IF(J2424="Canvas",Q2424+Border,Q2424)</f>
        <v>48</v>
      </c>
      <c r="X2424" s="137">
        <v>122</v>
      </c>
      <c r="Y2424" s="101"/>
      <c r="Z2424" s="101"/>
      <c r="AA2424" s="649">
        <f t="shared" si="867"/>
        <v>22.666666666666668</v>
      </c>
      <c r="AB2424" s="184">
        <f>AA2424*IncaG</f>
        <v>476.90666666666669</v>
      </c>
      <c r="AC2424" s="104">
        <f>AA2424*Canvas</f>
        <v>14.96</v>
      </c>
      <c r="AD2424" s="107">
        <f>AA2424*IncaC</f>
        <v>38.152533333333338</v>
      </c>
      <c r="AE2424" s="104">
        <f>IF(Table1[[#This Row],[Work Center]]="SwissQ",Materials!G$37,IF(Table1[[#This Row],[Work Center]]="Inca",Materials!G$29,IF(Table1[[#This Row],[Work Center]]="Canon",Materials!G$49,Materials!G$45)))</f>
        <v>8</v>
      </c>
      <c r="AF2424" s="104" t="e">
        <f>'Cali Frames'!#REF!</f>
        <v>#REF!</v>
      </c>
      <c r="AG2424" s="115"/>
      <c r="AH2424" s="112">
        <f t="shared" si="864"/>
        <v>48.400000000000006</v>
      </c>
      <c r="AI2424" s="112"/>
      <c r="AJ2424" s="104" t="e">
        <f t="shared" si="868"/>
        <v>#REF!</v>
      </c>
      <c r="AK2424" s="62" t="e">
        <f t="shared" si="865"/>
        <v>#REF!</v>
      </c>
      <c r="AL2424" s="225">
        <f>Table1[[#This Row],[WSP/Dealer]]/Table1[[#This Row],[OD Sq Inch]]</f>
        <v>0.38704518192722909</v>
      </c>
      <c r="AM2424" s="218">
        <f>Table1[[#This Row],[OD Wdth]]*Table1[[#This Row],[OD Hgt]]</f>
        <v>2501</v>
      </c>
      <c r="AN2424" s="216">
        <f>Table1[[#This Row],[Min VO]]+Table1[[#This Row],[Max VO]]</f>
        <v>100</v>
      </c>
      <c r="AO2424" s="101"/>
      <c r="AP2424" s="101"/>
      <c r="AQ2424" s="104"/>
      <c r="AR2424" s="104"/>
      <c r="AS2424" s="104"/>
      <c r="AT2424" s="104"/>
      <c r="AU2424" s="830" t="str">
        <f t="shared" si="866"/>
        <v>-</v>
      </c>
    </row>
    <row r="2425" spans="1:47" s="173" customFormat="1" hidden="1" x14ac:dyDescent="0.2">
      <c r="A2425" s="101" t="s">
        <v>110</v>
      </c>
      <c r="B2425" s="1062" t="s">
        <v>134</v>
      </c>
      <c r="C2425" s="1707" t="s">
        <v>5556</v>
      </c>
      <c r="D2425" s="168"/>
      <c r="E2425" s="1707" t="s">
        <v>5557</v>
      </c>
      <c r="F2425" s="115" t="s">
        <v>1569</v>
      </c>
      <c r="G2425" s="1687" t="s">
        <v>572</v>
      </c>
      <c r="H2425" s="101" t="s">
        <v>482</v>
      </c>
      <c r="I2425" s="1687" t="s">
        <v>52</v>
      </c>
      <c r="J2425" s="487" t="s">
        <v>53</v>
      </c>
      <c r="K2425" s="1687" t="s">
        <v>54</v>
      </c>
      <c r="L2425" s="101" t="s">
        <v>55</v>
      </c>
      <c r="M2425" s="1713">
        <v>1000</v>
      </c>
      <c r="N2425" s="102"/>
      <c r="O2425" s="101" t="s">
        <v>56</v>
      </c>
      <c r="P2425" s="101">
        <v>60</v>
      </c>
      <c r="Q2425" s="101">
        <v>40</v>
      </c>
      <c r="R2425" s="101">
        <v>40</v>
      </c>
      <c r="S2425" s="101">
        <v>60</v>
      </c>
      <c r="T2425" s="101">
        <v>40</v>
      </c>
      <c r="U2425" s="101">
        <v>60</v>
      </c>
      <c r="V2425" s="106">
        <f>IF(J2425="Canvas",P2425+Border,P2425)</f>
        <v>68</v>
      </c>
      <c r="W2425" s="106">
        <f>IF(J2425="Canvas",Q2425+Border,Q2425)</f>
        <v>48</v>
      </c>
      <c r="X2425" s="101">
        <v>69</v>
      </c>
      <c r="Y2425" s="101">
        <v>48</v>
      </c>
      <c r="Z2425" s="101">
        <v>68</v>
      </c>
      <c r="AA2425" s="815">
        <f t="shared" si="867"/>
        <v>22.666666666666668</v>
      </c>
      <c r="AB2425" s="184">
        <f>AA2425*IncaG</f>
        <v>476.90666666666669</v>
      </c>
      <c r="AC2425" s="104">
        <f>AA2425*Canvas</f>
        <v>14.96</v>
      </c>
      <c r="AD2425" s="107">
        <f>AA2425*IncaC</f>
        <v>38.152533333333338</v>
      </c>
      <c r="AE2425" s="104">
        <f>IF(Table1[[#This Row],[Work Center]]="SwissQ",Materials!G$37,IF(Table1[[#This Row],[Work Center]]="Inca",Materials!G$29,IF(Table1[[#This Row],[Work Center]]="Canon",Materials!G$49,Materials!G$45)))</f>
        <v>8</v>
      </c>
      <c r="AF2425" s="102">
        <f>'Cali FPS'!C121</f>
        <v>188.18</v>
      </c>
      <c r="AG2425" s="121"/>
      <c r="AH2425" s="104">
        <f t="shared" si="864"/>
        <v>50</v>
      </c>
      <c r="AI2425" s="406">
        <f>IF(A2425="Codarus",(M2425*0.13))</f>
        <v>130</v>
      </c>
      <c r="AJ2425" s="104">
        <f>SUM(AC2425:AI2425)</f>
        <v>429.29253333333338</v>
      </c>
      <c r="AK2425" s="830">
        <f t="shared" si="865"/>
        <v>0.57070746666666661</v>
      </c>
      <c r="AL2425" s="660">
        <f>Table1[[#This Row],[WSP/Dealer]]/Table1[[#This Row],[OD Sq Inch]]</f>
        <v>0.41666666666666669</v>
      </c>
      <c r="AM2425" s="103">
        <f>Table1[[#This Row],[OD Wdth]]*Table1[[#This Row],[OD Hgt]]</f>
        <v>2400</v>
      </c>
      <c r="AN2425" s="266">
        <f>Table1[[#This Row],[Min VO]]+Table1[[#This Row],[Max VO]]</f>
        <v>100</v>
      </c>
      <c r="AO2425" s="115"/>
      <c r="AP2425" s="121">
        <v>2000</v>
      </c>
      <c r="AQ2425" s="121">
        <f>(Table1[[#This Row],[Desgnr/Retail P]]*0.05)</f>
        <v>100</v>
      </c>
      <c r="AR2425" s="121">
        <f>IF(A2425="Codarus",(AP2425*0.13))</f>
        <v>260</v>
      </c>
      <c r="AS2425" s="121">
        <f>SUM(Table1[[#This Row],[Substrate $]:[GP FINISH]])+Table1[[#This Row],[Retail Royalty]]+Table1[[#This Row],[Retail$Comm]]</f>
        <v>609.29253333333338</v>
      </c>
      <c r="AT2425" s="830">
        <f>IF(AP2425=0,"-",(AP2425-AS2425)/AP2425)</f>
        <v>0.69535373333333339</v>
      </c>
      <c r="AU2425" s="1359">
        <f t="shared" si="866"/>
        <v>0.99304646266666663</v>
      </c>
    </row>
    <row r="2426" spans="1:47" s="399" customFormat="1" hidden="1" x14ac:dyDescent="0.2">
      <c r="A2426" s="437" t="s">
        <v>187</v>
      </c>
      <c r="B2426" s="1061" t="s">
        <v>734</v>
      </c>
      <c r="C2426" s="1676" t="s">
        <v>5558</v>
      </c>
      <c r="D2426" s="94"/>
      <c r="E2426" s="1676" t="s">
        <v>5557</v>
      </c>
      <c r="F2426" s="84" t="s">
        <v>1569</v>
      </c>
      <c r="G2426" s="1682" t="s">
        <v>572</v>
      </c>
      <c r="H2426" s="68" t="s">
        <v>482</v>
      </c>
      <c r="I2426" s="1682" t="s">
        <v>52</v>
      </c>
      <c r="J2426" s="140" t="s">
        <v>53</v>
      </c>
      <c r="K2426" s="1682" t="s">
        <v>54</v>
      </c>
      <c r="L2426" s="68" t="s">
        <v>55</v>
      </c>
      <c r="M2426" s="1688">
        <v>2550</v>
      </c>
      <c r="N2426" s="71"/>
      <c r="O2426" s="68" t="s">
        <v>64</v>
      </c>
      <c r="P2426" s="101">
        <v>60</v>
      </c>
      <c r="Q2426" s="101">
        <v>40</v>
      </c>
      <c r="R2426" s="68">
        <v>40</v>
      </c>
      <c r="S2426" s="68">
        <v>60</v>
      </c>
      <c r="T2426" s="63">
        <v>40</v>
      </c>
      <c r="U2426" s="63">
        <v>60</v>
      </c>
      <c r="V2426" s="66">
        <f>IF(J2426="Canvas",P2426+BorderGW,P2426)</f>
        <v>68</v>
      </c>
      <c r="W2426" s="66">
        <f>IF(J2426="Canvas",Q2426+BorderGW,Q2426)</f>
        <v>48</v>
      </c>
      <c r="X2426" s="189">
        <v>69</v>
      </c>
      <c r="Y2426" s="68">
        <v>48</v>
      </c>
      <c r="Z2426" s="68">
        <v>68</v>
      </c>
      <c r="AA2426" s="766">
        <f t="shared" si="867"/>
        <v>22.666666666666668</v>
      </c>
      <c r="AB2426" s="297">
        <f>AA2426*Swiss1</f>
        <v>641.4666666666667</v>
      </c>
      <c r="AC2426" s="74">
        <f>AA2426*Canvas</f>
        <v>14.96</v>
      </c>
      <c r="AD2426" s="67">
        <f>Table1[[#This Row],[Substrate SF]]*Materials!C$37</f>
        <v>63.466666666666669</v>
      </c>
      <c r="AE2426" s="74">
        <f>IF(Table1[[#This Row],[Work Center]]="SwissQ",Materials!G$37,IF(Table1[[#This Row],[Work Center]]="Inca",Materials!G$29,IF(Table1[[#This Row],[Work Center]]="Canon",Materials!G$49,Materials!G$45)))</f>
        <v>20</v>
      </c>
      <c r="AF2426" s="73">
        <f>'Cali FPS'!C89</f>
        <v>112.01750000000001</v>
      </c>
      <c r="AG2426" s="126"/>
      <c r="AH2426" s="498">
        <f t="shared" si="864"/>
        <v>127.5</v>
      </c>
      <c r="AI2426" s="498"/>
      <c r="AJ2426" s="162">
        <f t="shared" ref="AJ2426:AJ2432" si="869">SUM(AC2426:AH2426)</f>
        <v>337.94416666666666</v>
      </c>
      <c r="AK2426" s="650">
        <f t="shared" si="865"/>
        <v>0.86747287581699351</v>
      </c>
      <c r="AL2426" s="225">
        <f>Table1[[#This Row],[WSP/Dealer]]/Table1[[#This Row],[OD Sq Inch]]</f>
        <v>1.0625</v>
      </c>
      <c r="AM2426" s="63">
        <f>Table1[[#This Row],[OD Wdth]]*Table1[[#This Row],[OD Hgt]]</f>
        <v>2400</v>
      </c>
      <c r="AN2426" s="238">
        <f>Table1[[#This Row],[Min VO]]+Table1[[#This Row],[Max VO]]</f>
        <v>100</v>
      </c>
      <c r="AO2426" s="119"/>
      <c r="AP2426" s="84"/>
      <c r="AQ2426" s="126"/>
      <c r="AR2426" s="126"/>
      <c r="AS2426" s="126"/>
      <c r="AT2426" s="74"/>
      <c r="AU2426" s="1356" t="str">
        <f t="shared" si="866"/>
        <v>-</v>
      </c>
    </row>
    <row r="2427" spans="1:47" s="170" customFormat="1" hidden="1" x14ac:dyDescent="0.2">
      <c r="A2427" s="437" t="s">
        <v>187</v>
      </c>
      <c r="B2427" s="1061" t="s">
        <v>734</v>
      </c>
      <c r="C2427" s="1676" t="s">
        <v>5559</v>
      </c>
      <c r="D2427" s="94"/>
      <c r="E2427" s="1676" t="s">
        <v>5557</v>
      </c>
      <c r="F2427" s="84" t="s">
        <v>1569</v>
      </c>
      <c r="G2427" s="1682" t="s">
        <v>572</v>
      </c>
      <c r="H2427" s="68" t="s">
        <v>488</v>
      </c>
      <c r="I2427" s="1682" t="s">
        <v>52</v>
      </c>
      <c r="J2427" s="140" t="s">
        <v>53</v>
      </c>
      <c r="K2427" s="1682" t="s">
        <v>1410</v>
      </c>
      <c r="L2427" s="68" t="s">
        <v>70</v>
      </c>
      <c r="M2427" s="1688">
        <v>2950</v>
      </c>
      <c r="N2427" s="71"/>
      <c r="O2427" s="68" t="s">
        <v>64</v>
      </c>
      <c r="P2427" s="101">
        <v>60</v>
      </c>
      <c r="Q2427" s="101">
        <v>40</v>
      </c>
      <c r="R2427" s="68">
        <v>40</v>
      </c>
      <c r="S2427" s="68">
        <v>60</v>
      </c>
      <c r="T2427" s="68">
        <v>61</v>
      </c>
      <c r="U2427" s="68">
        <v>41</v>
      </c>
      <c r="V2427" s="66">
        <f>IF(J2427="Canvas",P2427+BorderGW,P2427)</f>
        <v>68</v>
      </c>
      <c r="W2427" s="66">
        <f>IF(J2427="Canvas",Q2427+BorderGW,Q2427)</f>
        <v>48</v>
      </c>
      <c r="X2427" s="189">
        <v>69</v>
      </c>
      <c r="Y2427" s="68">
        <v>48</v>
      </c>
      <c r="Z2427" s="68">
        <v>68</v>
      </c>
      <c r="AA2427" s="766">
        <f t="shared" si="867"/>
        <v>22.666666666666668</v>
      </c>
      <c r="AB2427" s="297">
        <f>AA2427*Swiss1</f>
        <v>641.4666666666667</v>
      </c>
      <c r="AC2427" s="74">
        <f>AA2427*Canvas</f>
        <v>14.96</v>
      </c>
      <c r="AD2427" s="67">
        <f>Table1[[#This Row],[Substrate SF]]*Materials!C$37</f>
        <v>63.466666666666669</v>
      </c>
      <c r="AE2427" s="74">
        <f>IF(Table1[[#This Row],[Work Center]]="SwissQ",Materials!G$37,IF(Table1[[#This Row],[Work Center]]="Inca",Materials!G$29,IF(Table1[[#This Row],[Work Center]]="Canon",Materials!G$49,Materials!G$45)))</f>
        <v>20</v>
      </c>
      <c r="AF2427" s="73" t="e">
        <f>'Cali Frames'!#REF!</f>
        <v>#REF!</v>
      </c>
      <c r="AG2427" s="126"/>
      <c r="AH2427" s="498">
        <f t="shared" si="864"/>
        <v>147.5</v>
      </c>
      <c r="AI2427" s="498"/>
      <c r="AJ2427" s="162" t="e">
        <f t="shared" si="869"/>
        <v>#REF!</v>
      </c>
      <c r="AK2427" s="650" t="e">
        <f t="shared" si="865"/>
        <v>#REF!</v>
      </c>
      <c r="AL2427" s="225">
        <f>Table1[[#This Row],[WSP/Dealer]]/Table1[[#This Row],[OD Sq Inch]]</f>
        <v>1.1795281887245102</v>
      </c>
      <c r="AM2427" s="63">
        <f>Table1[[#This Row],[OD Wdth]]*Table1[[#This Row],[OD Hgt]]</f>
        <v>2501</v>
      </c>
      <c r="AN2427" s="238">
        <f>Table1[[#This Row],[Min VO]]+Table1[[#This Row],[Max VO]]</f>
        <v>100</v>
      </c>
      <c r="AO2427" s="84"/>
      <c r="AP2427" s="84"/>
      <c r="AQ2427" s="126"/>
      <c r="AR2427" s="126"/>
      <c r="AS2427" s="126"/>
      <c r="AT2427" s="74"/>
      <c r="AU2427" s="1357" t="str">
        <f t="shared" si="866"/>
        <v>-</v>
      </c>
    </row>
    <row r="2428" spans="1:47" s="1113" customFormat="1" hidden="1" x14ac:dyDescent="0.2">
      <c r="A2428" s="437" t="s">
        <v>187</v>
      </c>
      <c r="B2428" s="1061" t="s">
        <v>734</v>
      </c>
      <c r="C2428" s="1676" t="s">
        <v>5560</v>
      </c>
      <c r="D2428" s="94"/>
      <c r="E2428" s="1676" t="s">
        <v>5557</v>
      </c>
      <c r="F2428" s="84" t="s">
        <v>1569</v>
      </c>
      <c r="G2428" s="1682" t="s">
        <v>572</v>
      </c>
      <c r="H2428" s="68" t="s">
        <v>488</v>
      </c>
      <c r="I2428" s="1682" t="s">
        <v>52</v>
      </c>
      <c r="J2428" s="140" t="s">
        <v>53</v>
      </c>
      <c r="K2428" s="1682" t="s">
        <v>1412</v>
      </c>
      <c r="L2428" s="68" t="s">
        <v>73</v>
      </c>
      <c r="M2428" s="1688">
        <v>2950</v>
      </c>
      <c r="N2428" s="71"/>
      <c r="O2428" s="68" t="s">
        <v>64</v>
      </c>
      <c r="P2428" s="101">
        <v>60</v>
      </c>
      <c r="Q2428" s="101">
        <v>40</v>
      </c>
      <c r="R2428" s="68">
        <v>40</v>
      </c>
      <c r="S2428" s="68">
        <v>60</v>
      </c>
      <c r="T2428" s="68">
        <v>61</v>
      </c>
      <c r="U2428" s="68">
        <v>41</v>
      </c>
      <c r="V2428" s="66">
        <f>IF(J2428="Canvas",P2428+BorderGW,P2428)</f>
        <v>68</v>
      </c>
      <c r="W2428" s="66">
        <f>IF(J2428="Canvas",Q2428+BorderGW,Q2428)</f>
        <v>48</v>
      </c>
      <c r="X2428" s="189">
        <v>69</v>
      </c>
      <c r="Y2428" s="68">
        <v>48</v>
      </c>
      <c r="Z2428" s="68">
        <v>68</v>
      </c>
      <c r="AA2428" s="766">
        <f t="shared" si="867"/>
        <v>22.666666666666668</v>
      </c>
      <c r="AB2428" s="297">
        <f>AA2428*Swiss1</f>
        <v>641.4666666666667</v>
      </c>
      <c r="AC2428" s="74">
        <f>AA2428*Canvas</f>
        <v>14.96</v>
      </c>
      <c r="AD2428" s="67">
        <f>Table1[[#This Row],[Substrate SF]]*Materials!C$37</f>
        <v>63.466666666666669</v>
      </c>
      <c r="AE2428" s="74">
        <f>IF(Table1[[#This Row],[Work Center]]="SwissQ",Materials!G$37,IF(Table1[[#This Row],[Work Center]]="Inca",Materials!G$29,IF(Table1[[#This Row],[Work Center]]="Canon",Materials!G$49,Materials!G$45)))</f>
        <v>20</v>
      </c>
      <c r="AF2428" s="73">
        <f>'Cali Frames'!D450</f>
        <v>224.10500000000002</v>
      </c>
      <c r="AG2428" s="126"/>
      <c r="AH2428" s="498">
        <f t="shared" si="864"/>
        <v>147.5</v>
      </c>
      <c r="AI2428" s="498"/>
      <c r="AJ2428" s="162">
        <f t="shared" si="869"/>
        <v>470.03166666666669</v>
      </c>
      <c r="AK2428" s="650">
        <f t="shared" si="865"/>
        <v>0.84066723163841806</v>
      </c>
      <c r="AL2428" s="225">
        <f>Table1[[#This Row],[WSP/Dealer]]/Table1[[#This Row],[OD Sq Inch]]</f>
        <v>1.1795281887245102</v>
      </c>
      <c r="AM2428" s="63">
        <f>Table1[[#This Row],[OD Wdth]]*Table1[[#This Row],[OD Hgt]]</f>
        <v>2501</v>
      </c>
      <c r="AN2428" s="238">
        <f>Table1[[#This Row],[Min VO]]+Table1[[#This Row],[Max VO]]</f>
        <v>100</v>
      </c>
      <c r="AO2428" s="84"/>
      <c r="AP2428" s="84"/>
      <c r="AQ2428" s="126"/>
      <c r="AR2428" s="126"/>
      <c r="AS2428" s="126"/>
      <c r="AT2428" s="74"/>
      <c r="AU2428" s="1357" t="str">
        <f t="shared" si="866"/>
        <v>-</v>
      </c>
    </row>
    <row r="2429" spans="1:47" s="173" customFormat="1" hidden="1" x14ac:dyDescent="0.2">
      <c r="A2429" s="437" t="s">
        <v>187</v>
      </c>
      <c r="B2429" s="1061" t="s">
        <v>734</v>
      </c>
      <c r="C2429" s="1679" t="s">
        <v>5561</v>
      </c>
      <c r="D2429" s="94"/>
      <c r="E2429" s="1679" t="s">
        <v>5562</v>
      </c>
      <c r="F2429" s="84" t="s">
        <v>1569</v>
      </c>
      <c r="G2429" s="1683" t="s">
        <v>572</v>
      </c>
      <c r="H2429" s="68" t="s">
        <v>482</v>
      </c>
      <c r="I2429" s="457" t="s">
        <v>108</v>
      </c>
      <c r="J2429" s="68" t="s">
        <v>197</v>
      </c>
      <c r="K2429" s="457" t="s">
        <v>198</v>
      </c>
      <c r="L2429" s="274" t="s">
        <v>199</v>
      </c>
      <c r="M2429" s="1564">
        <v>120</v>
      </c>
      <c r="N2429" s="71"/>
      <c r="O2429" s="68" t="s">
        <v>64</v>
      </c>
      <c r="P2429" s="101">
        <v>60</v>
      </c>
      <c r="Q2429" s="101">
        <v>40</v>
      </c>
      <c r="R2429" s="68">
        <v>40</v>
      </c>
      <c r="S2429" s="68">
        <v>60</v>
      </c>
      <c r="T2429" s="68">
        <v>40</v>
      </c>
      <c r="U2429" s="68">
        <v>60</v>
      </c>
      <c r="V2429" s="686">
        <f>Table1[[#This Row],[VO Wdth]]+Materials!$C$7</f>
        <v>62</v>
      </c>
      <c r="W2429" s="686">
        <f>Table1[[#This Row],[VO Hgt]]+Materials!$C$7</f>
        <v>42</v>
      </c>
      <c r="X2429" s="343" t="s">
        <v>197</v>
      </c>
      <c r="Y2429" s="68">
        <v>42</v>
      </c>
      <c r="Z2429" s="68">
        <v>62</v>
      </c>
      <c r="AA2429" s="699">
        <f t="shared" si="867"/>
        <v>18.083333333333332</v>
      </c>
      <c r="AB2429" s="341">
        <f>AA2429*SWISSRML</f>
        <v>36.166666666666664</v>
      </c>
      <c r="AC2429" s="74">
        <f>Table1[[#This Row],[Substrate SF]]*POster</f>
        <v>13.453999999999999</v>
      </c>
      <c r="AD2429" s="263">
        <f>Table1[[#This Row],[Substrate SF]]*SWISSRC</f>
        <v>3.9783333333333331</v>
      </c>
      <c r="AE2429" s="74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429" s="73">
        <v>0</v>
      </c>
      <c r="AG2429" s="126">
        <f>Materials!D$76</f>
        <v>10.82</v>
      </c>
      <c r="AH2429" s="498">
        <f t="shared" si="864"/>
        <v>6</v>
      </c>
      <c r="AI2429" s="498"/>
      <c r="AJ2429" s="278">
        <f t="shared" si="869"/>
        <v>44.252333333333333</v>
      </c>
      <c r="AK2429" s="650">
        <f t="shared" si="865"/>
        <v>0.63123055555555563</v>
      </c>
      <c r="AL2429" s="225">
        <f>Table1[[#This Row],[WSP/Dealer]]/Table1[[#This Row],[OD Sq Inch]]</f>
        <v>0.05</v>
      </c>
      <c r="AM2429" s="170">
        <f>Table1[[#This Row],[OD Wdth]]*Table1[[#This Row],[OD Hgt]]</f>
        <v>2400</v>
      </c>
      <c r="AN2429" s="84"/>
      <c r="AO2429" s="84"/>
      <c r="AP2429" s="84"/>
      <c r="AQ2429" s="126"/>
      <c r="AR2429" s="126"/>
      <c r="AS2429" s="126"/>
      <c r="AT2429" s="74"/>
      <c r="AU2429" s="1357" t="str">
        <f t="shared" si="866"/>
        <v>-</v>
      </c>
    </row>
    <row r="2430" spans="1:47" s="170" customFormat="1" hidden="1" x14ac:dyDescent="0.2">
      <c r="A2430" s="101" t="s">
        <v>95</v>
      </c>
      <c r="B2430" s="1061" t="s">
        <v>96</v>
      </c>
      <c r="C2430" s="1707" t="s">
        <v>5563</v>
      </c>
      <c r="D2430" s="94"/>
      <c r="E2430" s="1707" t="s">
        <v>5564</v>
      </c>
      <c r="F2430" s="115" t="s">
        <v>1569</v>
      </c>
      <c r="G2430" s="1687" t="s">
        <v>637</v>
      </c>
      <c r="H2430" s="101" t="s">
        <v>637</v>
      </c>
      <c r="I2430" s="1687" t="s">
        <v>52</v>
      </c>
      <c r="J2430" s="487" t="s">
        <v>53</v>
      </c>
      <c r="K2430" s="1687" t="s">
        <v>54</v>
      </c>
      <c r="L2430" s="101" t="s">
        <v>55</v>
      </c>
      <c r="M2430" s="494">
        <v>950</v>
      </c>
      <c r="N2430" s="102"/>
      <c r="O2430" s="101" t="s">
        <v>64</v>
      </c>
      <c r="P2430" s="101">
        <v>60</v>
      </c>
      <c r="Q2430" s="101">
        <v>48</v>
      </c>
      <c r="R2430" s="101">
        <v>48</v>
      </c>
      <c r="S2430" s="101">
        <v>60</v>
      </c>
      <c r="T2430" s="101">
        <v>60</v>
      </c>
      <c r="U2430" s="101">
        <v>48</v>
      </c>
      <c r="V2430" s="106">
        <f>IF(J2430="Canvas",P2430+BorderGW,P2430)</f>
        <v>68</v>
      </c>
      <c r="W2430" s="106">
        <f>IF(J2430="Canvas",Q2430+BorderGW,Q2430)</f>
        <v>56</v>
      </c>
      <c r="X2430" s="101">
        <v>69</v>
      </c>
      <c r="Y2430" s="101">
        <v>48</v>
      </c>
      <c r="Z2430" s="101">
        <v>68</v>
      </c>
      <c r="AA2430" s="815">
        <f t="shared" si="867"/>
        <v>26.444444444444443</v>
      </c>
      <c r="AB2430" s="184">
        <f>AA2430*Swiss1</f>
        <v>748.37777777777774</v>
      </c>
      <c r="AC2430" s="104">
        <f>AA2430*Canvas</f>
        <v>17.453333333333333</v>
      </c>
      <c r="AD2430" s="107">
        <f>Table1[[#This Row],[Substrate SF]]*Materials!C$37</f>
        <v>74.044444444444437</v>
      </c>
      <c r="AE2430" s="104">
        <f>IF(Table1[[#This Row],[Work Center]]="SwissQ",Materials!G$37,IF(Table1[[#This Row],[Work Center]]="Inca",Materials!G$29,IF(Table1[[#This Row],[Work Center]]="Canon",Materials!G$49,Materials!G$45)))</f>
        <v>20</v>
      </c>
      <c r="AF2430" s="102">
        <f>'Cali FPS'!C121</f>
        <v>188.18</v>
      </c>
      <c r="AG2430" s="121"/>
      <c r="AH2430" s="104">
        <f t="shared" si="864"/>
        <v>47.5</v>
      </c>
      <c r="AI2430" s="104"/>
      <c r="AJ2430" s="606">
        <f t="shared" si="869"/>
        <v>347.17777777777781</v>
      </c>
      <c r="AK2430" s="830">
        <f t="shared" si="865"/>
        <v>0.6345497076023392</v>
      </c>
      <c r="AL2430" s="660">
        <f>Table1[[#This Row],[WSP/Dealer]]/Table1[[#This Row],[OD Sq Inch]]</f>
        <v>0.3298611111111111</v>
      </c>
      <c r="AM2430" s="103">
        <f>Table1[[#This Row],[OD Wdth]]*Table1[[#This Row],[OD Hgt]]</f>
        <v>2880</v>
      </c>
      <c r="AN2430" s="266">
        <f>Table1[[#This Row],[Min VO]]+Table1[[#This Row],[Max VO]]</f>
        <v>108</v>
      </c>
      <c r="AO2430" s="115"/>
      <c r="AP2430" s="115"/>
      <c r="AQ2430" s="121"/>
      <c r="AR2430" s="121"/>
      <c r="AS2430" s="121"/>
      <c r="AT2430" s="104"/>
      <c r="AU2430" s="1359" t="str">
        <f t="shared" si="866"/>
        <v>-</v>
      </c>
    </row>
    <row r="2431" spans="1:47" s="170" customFormat="1" hidden="1" x14ac:dyDescent="0.2">
      <c r="A2431" s="68" t="s">
        <v>101</v>
      </c>
      <c r="B2431" s="1061" t="s">
        <v>486</v>
      </c>
      <c r="C2431" s="1053" t="s">
        <v>5565</v>
      </c>
      <c r="D2431" s="94"/>
      <c r="E2431" s="378" t="s">
        <v>5566</v>
      </c>
      <c r="F2431" s="84" t="s">
        <v>361</v>
      </c>
      <c r="G2431" s="282" t="s">
        <v>139</v>
      </c>
      <c r="H2431" s="68" t="s">
        <v>139</v>
      </c>
      <c r="I2431" s="282" t="s">
        <v>52</v>
      </c>
      <c r="J2431" s="68" t="s">
        <v>53</v>
      </c>
      <c r="K2431" s="282" t="s">
        <v>54</v>
      </c>
      <c r="L2431" s="68" t="s">
        <v>55</v>
      </c>
      <c r="M2431" s="379">
        <v>190</v>
      </c>
      <c r="N2431" s="71"/>
      <c r="O2431" s="68" t="s">
        <v>56</v>
      </c>
      <c r="P2431" s="68">
        <v>24</v>
      </c>
      <c r="Q2431" s="68">
        <v>24</v>
      </c>
      <c r="R2431" s="68">
        <v>24</v>
      </c>
      <c r="S2431" s="68">
        <v>24</v>
      </c>
      <c r="T2431" s="68">
        <v>24</v>
      </c>
      <c r="U2431" s="68">
        <v>24</v>
      </c>
      <c r="V2431" s="66">
        <f>IF(J2431="Canvas",P2431+BorderGW,P2431)</f>
        <v>32</v>
      </c>
      <c r="W2431" s="66">
        <f>IF(J2431="Canvas",Q2431+BorderGW,Q2431)</f>
        <v>32</v>
      </c>
      <c r="X2431" s="189">
        <v>40</v>
      </c>
      <c r="Y2431" s="917">
        <f>Table1[[#This Row],[Print Wth]]</f>
        <v>32</v>
      </c>
      <c r="Z2431" s="917">
        <f>Table1[[#This Row],[Print Ht]]</f>
        <v>32</v>
      </c>
      <c r="AA2431" s="1027">
        <f>Table1[[#This Row],[Cut Width]]*Table1[[#This Row],[Cut Height]]/144</f>
        <v>7.1111111111111107</v>
      </c>
      <c r="AB2431" s="1130">
        <f>Table1[[#This Row],[Print Wth]]*Table1[[#This Row],[Print Ht]]/144*IncaG</f>
        <v>149.61777777777777</v>
      </c>
      <c r="AC2431" s="278">
        <f>Table1[[#This Row],[Substrate SF]]*Canvas</f>
        <v>4.6933333333333334</v>
      </c>
      <c r="AD2431" s="263">
        <f>(Table1[[#This Row],[Print Wth]]*Table1[[#This Row],[Print Ht]])/144*IncaC</f>
        <v>11.969422222222223</v>
      </c>
      <c r="AE2431" s="74">
        <f>IF(Table1[[#This Row],[Work Center]]="SwissQ",Materials!G$37,IF(Table1[[#This Row],[Work Center]]="Inca",Materials!G$29,IF(Table1[[#This Row],[Work Center]]="Canon",Materials!G$49,Materials!G$45)))</f>
        <v>8</v>
      </c>
      <c r="AF2431" s="73">
        <f>'Cali FPS'!C32</f>
        <v>63.47</v>
      </c>
      <c r="AG2431" s="126"/>
      <c r="AH2431" s="278">
        <f t="shared" si="864"/>
        <v>9.5</v>
      </c>
      <c r="AI2431" s="278"/>
      <c r="AJ2431" s="278">
        <f t="shared" si="869"/>
        <v>97.632755555555548</v>
      </c>
      <c r="AK2431" s="1192">
        <f t="shared" si="865"/>
        <v>0.48614339181286553</v>
      </c>
      <c r="AL2431" s="278">
        <f>Table1[[#This Row],[WSP/Dealer]]/Table1[[#This Row],[OD Sq Inch]]</f>
        <v>0.3298611111111111</v>
      </c>
      <c r="AM2431" s="170">
        <f>Table1[[#This Row],[OD Wdth]]*Table1[[#This Row],[OD Hgt]]</f>
        <v>576</v>
      </c>
      <c r="AN2431" s="274">
        <f>Table1[[#This Row],[Min VO]]+Table1[[#This Row],[Max VO]]</f>
        <v>48</v>
      </c>
      <c r="AO2431" s="84"/>
      <c r="AP2431" s="84"/>
      <c r="AQ2431" s="126"/>
      <c r="AR2431" s="126"/>
      <c r="AS2431" s="126"/>
      <c r="AT2431" s="74"/>
      <c r="AU2431" s="1357" t="str">
        <f t="shared" si="866"/>
        <v>-</v>
      </c>
    </row>
    <row r="2432" spans="1:47" s="170" customFormat="1" x14ac:dyDescent="0.2">
      <c r="A2432" s="101" t="s">
        <v>58</v>
      </c>
      <c r="B2432" s="1061" t="s">
        <v>591</v>
      </c>
      <c r="C2432" s="81" t="s">
        <v>5567</v>
      </c>
      <c r="D2432" s="94" t="s">
        <v>5568</v>
      </c>
      <c r="E2432" s="80" t="s">
        <v>5569</v>
      </c>
      <c r="F2432" s="83" t="s">
        <v>386</v>
      </c>
      <c r="G2432" s="970" t="s">
        <v>1477</v>
      </c>
      <c r="H2432" s="70" t="s">
        <v>1477</v>
      </c>
      <c r="I2432" s="92" t="s">
        <v>52</v>
      </c>
      <c r="J2432" s="59" t="s">
        <v>53</v>
      </c>
      <c r="K2432" s="92" t="s">
        <v>54</v>
      </c>
      <c r="L2432" s="101" t="s">
        <v>55</v>
      </c>
      <c r="M2432" s="388">
        <v>850</v>
      </c>
      <c r="N2432" s="639">
        <v>890</v>
      </c>
      <c r="O2432" s="101" t="s">
        <v>56</v>
      </c>
      <c r="P2432" s="273">
        <v>72</v>
      </c>
      <c r="Q2432" s="273">
        <v>36</v>
      </c>
      <c r="R2432" s="60">
        <v>36</v>
      </c>
      <c r="S2432" s="273">
        <v>72</v>
      </c>
      <c r="T2432" s="273">
        <f>Table1[[#This Row],[VO Wdth]]</f>
        <v>72</v>
      </c>
      <c r="U2432" s="273">
        <f>Table1[[#This Row],[VO Hgt]]</f>
        <v>36</v>
      </c>
      <c r="V2432" s="106">
        <f>IF(J2432="Canvas",P2432+BorderGW,P2432)</f>
        <v>80</v>
      </c>
      <c r="W2432" s="106">
        <f>IF(J2432="Canvas",Q2432+BorderGW,Q2432)</f>
        <v>44</v>
      </c>
      <c r="X2432" s="137">
        <v>82</v>
      </c>
      <c r="Y2432" s="101"/>
      <c r="Z2432" s="101"/>
      <c r="AA2432" s="649">
        <f>V2432*W2432/144</f>
        <v>24.444444444444443</v>
      </c>
      <c r="AB2432" s="184">
        <f>AA2432*IncaG</f>
        <v>514.31111111111102</v>
      </c>
      <c r="AC2432" s="104">
        <f>AA2432*Canvas</f>
        <v>16.133333333333333</v>
      </c>
      <c r="AD2432" s="107">
        <f>AA2432*IncaC</f>
        <v>41.144888888888886</v>
      </c>
      <c r="AE2432" s="104">
        <f>IF(Table1[[#This Row],[Work Center]]="SwissQ",Materials!G$37,IF(Table1[[#This Row],[Work Center]]="Inca",Materials!G$29,IF(Table1[[#This Row],[Work Center]]="Canon",Materials!G$49,Materials!G$45)))</f>
        <v>8</v>
      </c>
      <c r="AF2432" s="74">
        <f>'Cali FPS'!C$76</f>
        <v>175.17499999999998</v>
      </c>
      <c r="AG2432" s="115"/>
      <c r="AH2432" s="112">
        <f t="shared" si="864"/>
        <v>42.5</v>
      </c>
      <c r="AI2432" s="112"/>
      <c r="AJ2432" s="104">
        <f t="shared" si="869"/>
        <v>282.95322222222217</v>
      </c>
      <c r="AK2432" s="62">
        <f t="shared" si="865"/>
        <v>0.66711385620915042</v>
      </c>
      <c r="AL2432" s="225">
        <f>Table1[[#This Row],[WSP/Dealer]]/Table1[[#This Row],[OD Sq Inch]]</f>
        <v>0.32793209876543211</v>
      </c>
      <c r="AM2432" s="218">
        <f>Table1[[#This Row],[OD Wdth]]*Table1[[#This Row],[OD Hgt]]</f>
        <v>2592</v>
      </c>
      <c r="AN2432" s="216">
        <f>Table1[[#This Row],[Min VO]]+Table1[[#This Row],[Max VO]]</f>
        <v>108</v>
      </c>
      <c r="AO2432" s="101"/>
      <c r="AP2432" s="101"/>
      <c r="AQ2432" s="104"/>
      <c r="AR2432" s="104"/>
      <c r="AS2432" s="104"/>
      <c r="AT2432" s="104"/>
      <c r="AU2432" s="830" t="str">
        <f t="shared" si="866"/>
        <v>-</v>
      </c>
    </row>
    <row r="2433" spans="1:47" s="170" customFormat="1" hidden="1" x14ac:dyDescent="0.2">
      <c r="A2433" s="101"/>
      <c r="B2433" s="1061"/>
      <c r="C2433" s="183"/>
      <c r="D2433" s="94"/>
      <c r="E2433" s="327" t="s">
        <v>5570</v>
      </c>
      <c r="F2433" s="115" t="s">
        <v>1103</v>
      </c>
      <c r="G2433" s="303" t="s">
        <v>5571</v>
      </c>
      <c r="H2433" s="1204" t="s">
        <v>5572</v>
      </c>
      <c r="I2433" s="92" t="s">
        <v>304</v>
      </c>
      <c r="J2433" s="59" t="s">
        <v>257</v>
      </c>
      <c r="K2433" s="303" t="s">
        <v>258</v>
      </c>
      <c r="L2433" s="101"/>
      <c r="M2433" s="494"/>
      <c r="N2433" s="71"/>
      <c r="O2433" s="101"/>
      <c r="P2433" s="60"/>
      <c r="Q2433" s="60"/>
      <c r="R2433" s="60"/>
      <c r="S2433" s="60"/>
      <c r="T2433" s="101"/>
      <c r="U2433" s="101"/>
      <c r="V2433" s="106"/>
      <c r="W2433" s="106"/>
      <c r="X2433" s="137"/>
      <c r="Y2433" s="101"/>
      <c r="Z2433" s="101"/>
      <c r="AA2433" s="649"/>
      <c r="AB2433" s="184"/>
      <c r="AC2433" s="104"/>
      <c r="AD2433" s="120"/>
      <c r="AE2433" s="121"/>
      <c r="AF2433" s="102"/>
      <c r="AG2433" s="121"/>
      <c r="AH2433" s="112">
        <f t="shared" si="864"/>
        <v>0</v>
      </c>
      <c r="AI2433" s="112"/>
      <c r="AJ2433" s="104"/>
      <c r="AK2433" s="62" t="e">
        <f t="shared" si="865"/>
        <v>#DIV/0!</v>
      </c>
      <c r="AL2433" s="225" t="e">
        <f>Table1[[#This Row],[WSP/Dealer]]/Table1[[#This Row],[OD Sq Inch]]</f>
        <v>#DIV/0!</v>
      </c>
      <c r="AM2433" s="113"/>
      <c r="AN2433" s="216">
        <f>Table1[[#This Row],[Min VO]]+Table1[[#This Row],[Max VO]]</f>
        <v>0</v>
      </c>
      <c r="AO2433" s="115"/>
      <c r="AP2433" s="115"/>
      <c r="AQ2433" s="121"/>
      <c r="AR2433" s="121"/>
      <c r="AS2433" s="121"/>
      <c r="AT2433" s="104"/>
      <c r="AU2433" s="1359" t="str">
        <f t="shared" si="866"/>
        <v>-</v>
      </c>
    </row>
    <row r="2434" spans="1:47" s="170" customFormat="1" hidden="1" x14ac:dyDescent="0.2">
      <c r="A2434" s="101"/>
      <c r="B2434" s="1061"/>
      <c r="C2434" s="183" t="s">
        <v>5573</v>
      </c>
      <c r="D2434" s="94"/>
      <c r="E2434" s="327" t="s">
        <v>5570</v>
      </c>
      <c r="F2434" s="115" t="s">
        <v>1103</v>
      </c>
      <c r="G2434" s="303" t="s">
        <v>5574</v>
      </c>
      <c r="H2434" s="101"/>
      <c r="I2434" s="92" t="s">
        <v>108</v>
      </c>
      <c r="J2434" s="59" t="s">
        <v>257</v>
      </c>
      <c r="K2434" s="303" t="s">
        <v>258</v>
      </c>
      <c r="L2434" s="101" t="s">
        <v>259</v>
      </c>
      <c r="M2434" s="692">
        <v>1000</v>
      </c>
      <c r="N2434" s="71"/>
      <c r="O2434" s="101" t="s">
        <v>260</v>
      </c>
      <c r="P2434" s="60">
        <v>66</v>
      </c>
      <c r="Q2434" s="60">
        <v>60</v>
      </c>
      <c r="R2434" s="60">
        <v>60</v>
      </c>
      <c r="S2434" s="60">
        <v>66</v>
      </c>
      <c r="T2434" s="101">
        <v>68</v>
      </c>
      <c r="U2434" s="101">
        <v>62</v>
      </c>
      <c r="V2434" s="946">
        <f>Table1[[#This Row],[VO Wdth]]+Materials!$C$50</f>
        <v>68</v>
      </c>
      <c r="W2434" s="946">
        <f>Table1[[#This Row],[VO Hgt]]+Materials!$C$50</f>
        <v>62</v>
      </c>
      <c r="X2434" s="137" t="s">
        <v>257</v>
      </c>
      <c r="Y2434" s="101"/>
      <c r="Z2434" s="101"/>
      <c r="AA2434" s="717">
        <f>V2434*W2434/144</f>
        <v>29.277777777777779</v>
      </c>
      <c r="AB2434" s="125">
        <f>AA2434*canonML</f>
        <v>140.53333333333333</v>
      </c>
      <c r="AC2434" s="69">
        <f>Table1[[#This Row],[Print Wth]]*paper60</f>
        <v>23.12</v>
      </c>
      <c r="AD2434" s="69">
        <f>Table1[[#This Row],[Ink g/mL]]*CanonC</f>
        <v>37.944000000000003</v>
      </c>
      <c r="AE2434" s="104">
        <f>IF(Table1[[#This Row],[Work Center]]="SwissQ",Materials!G$37,IF(Table1[[#This Row],[Work Center]]="Inca",Materials!G$29,IF(Table1[[#This Row],[Work Center]]="Canon",Materials!G$49,Materials!G$45)))</f>
        <v>7</v>
      </c>
      <c r="AF2434" s="102">
        <f>'Cali Frames'!D51</f>
        <v>505.19099999999997</v>
      </c>
      <c r="AG2434" s="121"/>
      <c r="AH2434" s="112">
        <f t="shared" si="864"/>
        <v>50</v>
      </c>
      <c r="AI2434" s="112"/>
      <c r="AJ2434" s="104">
        <f>SUM(AC2434:AH2434)</f>
        <v>623.255</v>
      </c>
      <c r="AK2434" s="62">
        <f t="shared" si="865"/>
        <v>0.376745</v>
      </c>
      <c r="AL2434" s="225" t="e">
        <f>Table1[[#This Row],[WSP/Dealer]]/Table1[[#This Row],[OD Sq Inch]]</f>
        <v>#DIV/0!</v>
      </c>
      <c r="AM2434" s="115"/>
      <c r="AN2434" s="216">
        <f>Table1[[#This Row],[Min VO]]+Table1[[#This Row],[Max VO]]</f>
        <v>126</v>
      </c>
      <c r="AO2434" s="115"/>
      <c r="AP2434" s="115"/>
      <c r="AQ2434" s="121"/>
      <c r="AR2434" s="121"/>
      <c r="AS2434" s="121"/>
      <c r="AT2434" s="104"/>
      <c r="AU2434" s="1359" t="str">
        <f t="shared" si="866"/>
        <v>-</v>
      </c>
    </row>
    <row r="2435" spans="1:47" s="170" customFormat="1" hidden="1" x14ac:dyDescent="0.2">
      <c r="A2435" s="101"/>
      <c r="B2435" s="1061"/>
      <c r="C2435" s="183" t="s">
        <v>5575</v>
      </c>
      <c r="D2435" s="94"/>
      <c r="E2435" s="327" t="s">
        <v>5570</v>
      </c>
      <c r="F2435" s="115" t="s">
        <v>1103</v>
      </c>
      <c r="G2435" s="303" t="s">
        <v>5574</v>
      </c>
      <c r="H2435" s="101"/>
      <c r="I2435" s="92" t="s">
        <v>108</v>
      </c>
      <c r="J2435" s="59" t="s">
        <v>257</v>
      </c>
      <c r="K2435" s="303" t="s">
        <v>258</v>
      </c>
      <c r="L2435" s="101" t="s">
        <v>269</v>
      </c>
      <c r="M2435" s="692">
        <v>1150</v>
      </c>
      <c r="N2435" s="71"/>
      <c r="O2435" s="101" t="s">
        <v>260</v>
      </c>
      <c r="P2435" s="60">
        <v>66</v>
      </c>
      <c r="Q2435" s="60">
        <v>60</v>
      </c>
      <c r="R2435" s="60">
        <v>60</v>
      </c>
      <c r="S2435" s="60">
        <v>66</v>
      </c>
      <c r="T2435" s="101">
        <v>68</v>
      </c>
      <c r="U2435" s="101">
        <v>62</v>
      </c>
      <c r="V2435" s="47">
        <f>Table1[[#This Row],[VO Wdth]]+Materials!$C$50</f>
        <v>68</v>
      </c>
      <c r="W2435" s="47">
        <f>Table1[[#This Row],[VO Hgt]]+Materials!$C$50</f>
        <v>62</v>
      </c>
      <c r="X2435" s="137" t="s">
        <v>257</v>
      </c>
      <c r="Y2435" s="101"/>
      <c r="Z2435" s="101"/>
      <c r="AA2435" s="717">
        <f>V2435*W2435/144</f>
        <v>29.277777777777779</v>
      </c>
      <c r="AB2435" s="125">
        <f>AA2435*canonML</f>
        <v>140.53333333333333</v>
      </c>
      <c r="AC2435" s="69">
        <f>Table1[[#This Row],[Print Wth]]*paper60</f>
        <v>23.12</v>
      </c>
      <c r="AD2435" s="48">
        <f>Table1[[#This Row],[Ink g/mL]]*CanonC</f>
        <v>37.944000000000003</v>
      </c>
      <c r="AE2435" s="104">
        <f>IF(Table1[[#This Row],[Work Center]]="SwissQ",Materials!G$37,IF(Table1[[#This Row],[Work Center]]="Inca",Materials!G$29,IF(Table1[[#This Row],[Work Center]]="Canon",Materials!G$49,Materials!G$45)))</f>
        <v>7</v>
      </c>
      <c r="AF2435" s="102">
        <f>'Cali Frames'!D69</f>
        <v>460.89750000000004</v>
      </c>
      <c r="AG2435" s="121"/>
      <c r="AH2435" s="498">
        <f t="shared" si="864"/>
        <v>57.5</v>
      </c>
      <c r="AI2435" s="498"/>
      <c r="AJ2435" s="104">
        <f>SUM(AC2435:AH2435)</f>
        <v>586.4615</v>
      </c>
      <c r="AK2435" s="650">
        <f t="shared" si="865"/>
        <v>0.49003347826086957</v>
      </c>
      <c r="AL2435" s="225" t="e">
        <f>Table1[[#This Row],[WSP/Dealer]]/Table1[[#This Row],[OD Sq Inch]]</f>
        <v>#DIV/0!</v>
      </c>
      <c r="AM2435" s="113"/>
      <c r="AN2435" s="216">
        <f>Table1[[#This Row],[Min VO]]+Table1[[#This Row],[Max VO]]</f>
        <v>126</v>
      </c>
      <c r="AO2435" s="115"/>
      <c r="AP2435" s="115"/>
      <c r="AQ2435" s="121"/>
      <c r="AR2435" s="121"/>
      <c r="AS2435" s="121"/>
      <c r="AT2435" s="104"/>
      <c r="AU2435" s="1359" t="str">
        <f t="shared" si="866"/>
        <v>-</v>
      </c>
    </row>
    <row r="2436" spans="1:47" s="868" customFormat="1" x14ac:dyDescent="0.2">
      <c r="A2436" s="551" t="s">
        <v>58</v>
      </c>
      <c r="B2436" s="1150" t="s">
        <v>310</v>
      </c>
      <c r="C2436" s="183" t="s">
        <v>5576</v>
      </c>
      <c r="D2436" s="77"/>
      <c r="E2436" s="804" t="s">
        <v>5577</v>
      </c>
      <c r="F2436" s="653" t="s">
        <v>308</v>
      </c>
      <c r="G2436" s="885" t="s">
        <v>63</v>
      </c>
      <c r="H2436" s="885" t="s">
        <v>63</v>
      </c>
      <c r="I2436" s="885" t="s">
        <v>52</v>
      </c>
      <c r="J2436" s="856" t="s">
        <v>53</v>
      </c>
      <c r="K2436" s="885" t="s">
        <v>54</v>
      </c>
      <c r="L2436" s="551" t="s">
        <v>55</v>
      </c>
      <c r="M2436" s="1579">
        <v>1475</v>
      </c>
      <c r="N2436" s="896"/>
      <c r="O2436" s="551" t="s">
        <v>56</v>
      </c>
      <c r="P2436" s="551">
        <v>68</v>
      </c>
      <c r="Q2436" s="551">
        <v>90</v>
      </c>
      <c r="R2436" s="551">
        <v>68</v>
      </c>
      <c r="S2436" s="551">
        <v>90</v>
      </c>
      <c r="T2436" s="551">
        <v>68</v>
      </c>
      <c r="U2436" s="551">
        <v>90</v>
      </c>
      <c r="V2436" s="881">
        <f>IF(J2436="Canvas",P2436+Border,P2436)</f>
        <v>76</v>
      </c>
      <c r="W2436" s="881">
        <f>IF(J2436="Canvas",Q2436+Border,Q2436)</f>
        <v>98</v>
      </c>
      <c r="X2436" s="551">
        <v>122</v>
      </c>
      <c r="Y2436" s="551">
        <v>75</v>
      </c>
      <c r="Z2436" s="551">
        <v>98</v>
      </c>
      <c r="AA2436" s="991">
        <f>V2436*W2436/144</f>
        <v>51.722222222222221</v>
      </c>
      <c r="AB2436" s="893">
        <f>AA2436*IncaG</f>
        <v>1088.2355555555555</v>
      </c>
      <c r="AC2436" s="867">
        <f>AA2436*Canvas</f>
        <v>34.13666666666667</v>
      </c>
      <c r="AD2436" s="867">
        <f>AA2436*IncaC</f>
        <v>87.058844444444446</v>
      </c>
      <c r="AE2436" s="867">
        <f>IF(Table1[[#This Row],[Work Center]]="SwissQ",Materials!G$37,IF(Table1[[#This Row],[Work Center]]="Inca",Materials!G$29,IF(Table1[[#This Row],[Work Center]]="Canon",Materials!G$49,Materials!G$45)))</f>
        <v>8</v>
      </c>
      <c r="AF2436" s="71">
        <f>'Cali FPS'!C167</f>
        <v>275.20999999999998</v>
      </c>
      <c r="AG2436" s="864"/>
      <c r="AH2436" s="863">
        <f t="shared" si="864"/>
        <v>73.75</v>
      </c>
      <c r="AI2436" s="863"/>
      <c r="AJ2436" s="863">
        <f>SUM(AC2436:AH2436)</f>
        <v>478.15551111111108</v>
      </c>
      <c r="AK2436" s="1163">
        <f t="shared" si="865"/>
        <v>0.6758267721280603</v>
      </c>
      <c r="AL2436" s="863">
        <f>Table1[[#This Row],[WSP/Dealer]]/Table1[[#This Row],[OD Sq Inch]]</f>
        <v>0.24101307189542484</v>
      </c>
      <c r="AM2436" s="551">
        <f>Table1[[#This Row],[OD Wdth]]*Table1[[#This Row],[OD Hgt]]</f>
        <v>6120</v>
      </c>
      <c r="AN2436" s="551">
        <f>Table1[[#This Row],[Min VO]]+Table1[[#This Row],[Max VO]]</f>
        <v>158</v>
      </c>
      <c r="AO2436" s="653"/>
      <c r="AP2436" s="653"/>
      <c r="AQ2436" s="864">
        <f>(Table1[[#This Row],[Desgnr/Retail P]]*0.05)</f>
        <v>0</v>
      </c>
      <c r="AR2436" s="864" t="b">
        <f>IF(A2436="Codarus",(AP2436*0.13))</f>
        <v>0</v>
      </c>
      <c r="AS2436" s="864" t="e" cm="1">
        <f t="array" ref="AS2436">SUM(AC2436:AG2436+AQ+AR)</f>
        <v>#NAME?</v>
      </c>
      <c r="AT2436" s="863" t="e">
        <f>(AP2436-AS2436)/AP2436</f>
        <v>#NAME?</v>
      </c>
      <c r="AU2436" s="1364" t="str">
        <f t="shared" si="866"/>
        <v>-</v>
      </c>
    </row>
    <row r="2437" spans="1:47" s="170" customFormat="1" x14ac:dyDescent="0.2">
      <c r="A2437" s="68" t="s">
        <v>58</v>
      </c>
      <c r="B2437" s="1072" t="s">
        <v>310</v>
      </c>
      <c r="C2437" s="1053" t="s">
        <v>5578</v>
      </c>
      <c r="D2437" s="94"/>
      <c r="E2437" s="378" t="s">
        <v>5577</v>
      </c>
      <c r="F2437" s="84" t="s">
        <v>308</v>
      </c>
      <c r="G2437" s="282" t="s">
        <v>63</v>
      </c>
      <c r="H2437" s="68"/>
      <c r="I2437" s="282"/>
      <c r="J2437" s="140"/>
      <c r="K2437" s="282"/>
      <c r="L2437" s="68"/>
      <c r="M2437" s="380">
        <v>1650</v>
      </c>
      <c r="N2437" s="93"/>
      <c r="O2437" s="68" t="s">
        <v>56</v>
      </c>
      <c r="P2437" s="68"/>
      <c r="Q2437" s="68"/>
      <c r="R2437" s="68"/>
      <c r="S2437" s="68"/>
      <c r="T2437" s="68"/>
      <c r="U2437" s="68"/>
      <c r="V2437" s="917"/>
      <c r="W2437" s="917"/>
      <c r="X2437" s="68"/>
      <c r="Y2437" s="68"/>
      <c r="Z2437" s="68"/>
      <c r="AA2437" s="699"/>
      <c r="AB2437" s="297"/>
      <c r="AC2437" s="74"/>
      <c r="AD2437" s="126"/>
      <c r="AE2437" s="126"/>
      <c r="AF2437" s="73"/>
      <c r="AG2437" s="126"/>
      <c r="AH2437" s="126"/>
      <c r="AI2437" s="126"/>
      <c r="AJ2437" s="126"/>
      <c r="AK2437" s="1001"/>
      <c r="AL2437" s="126"/>
      <c r="AM2437" s="84"/>
      <c r="AN2437" s="84"/>
      <c r="AO2437" s="84"/>
      <c r="AP2437" s="84"/>
      <c r="AQ2437" s="126">
        <f>(Table1[[#This Row],[Desgnr/Retail P]]*0.05)</f>
        <v>0</v>
      </c>
      <c r="AR2437" s="126" t="b">
        <f>IF(A2437="Codarus",(AP2437*0.13))</f>
        <v>0</v>
      </c>
      <c r="AS2437" s="126" t="e" cm="1">
        <f t="array" ref="AS2437">SUM(AC2437:AG2437+AQ+AR)</f>
        <v>#NAME?</v>
      </c>
      <c r="AT2437" s="74" t="e">
        <f>(AP2437-AS2437)/AP2437</f>
        <v>#NAME?</v>
      </c>
      <c r="AU2437" s="1357" t="str">
        <f t="shared" si="866"/>
        <v>-</v>
      </c>
    </row>
    <row r="2438" spans="1:47" s="170" customFormat="1" hidden="1" x14ac:dyDescent="0.2">
      <c r="A2438" s="60" t="s">
        <v>318</v>
      </c>
      <c r="B2438" s="1061" t="s">
        <v>319</v>
      </c>
      <c r="C2438" s="1335" t="s">
        <v>5579</v>
      </c>
      <c r="D2438" s="94"/>
      <c r="E2438" s="492" t="s">
        <v>5580</v>
      </c>
      <c r="F2438" s="83" t="s">
        <v>105</v>
      </c>
      <c r="G2438" s="92" t="s">
        <v>643</v>
      </c>
      <c r="H2438" s="60" t="s">
        <v>810</v>
      </c>
      <c r="I2438" s="92" t="s">
        <v>256</v>
      </c>
      <c r="J2438" s="59" t="s">
        <v>257</v>
      </c>
      <c r="K2438" s="92" t="s">
        <v>258</v>
      </c>
      <c r="L2438" s="60" t="s">
        <v>269</v>
      </c>
      <c r="M2438" s="647">
        <v>200</v>
      </c>
      <c r="N2438" s="124"/>
      <c r="O2438" s="60" t="s">
        <v>260</v>
      </c>
      <c r="P2438" s="60">
        <v>20</v>
      </c>
      <c r="Q2438" s="60">
        <v>16</v>
      </c>
      <c r="R2438" s="60">
        <v>16</v>
      </c>
      <c r="S2438" s="60">
        <v>20</v>
      </c>
      <c r="T2438" s="60">
        <v>22</v>
      </c>
      <c r="U2438" s="60">
        <v>18</v>
      </c>
      <c r="V2438" s="946">
        <v>20</v>
      </c>
      <c r="W2438" s="946">
        <v>16</v>
      </c>
      <c r="X2438" s="60" t="s">
        <v>257</v>
      </c>
      <c r="Y2438" s="60">
        <v>20</v>
      </c>
      <c r="Z2438" s="60">
        <v>16</v>
      </c>
      <c r="AA2438" s="717">
        <f t="shared" ref="AA2438:AA2480" si="870">V2438*W2438/144</f>
        <v>2.2222222222222223</v>
      </c>
      <c r="AB2438" s="125">
        <f>AA2438*canonML</f>
        <v>10.666666666666666</v>
      </c>
      <c r="AC2438" s="69">
        <f>Table1[[#This Row],[Print Wth]]*paper60</f>
        <v>6.8000000000000007</v>
      </c>
      <c r="AD2438" s="48">
        <f>Table1[[#This Row],[Ink g/mL]]*CanonC</f>
        <v>2.88</v>
      </c>
      <c r="AE2438" s="69">
        <f>IF(Table1[[#This Row],[Work Center]]="SwissQ",Materials!G$37,IF(Table1[[#This Row],[Work Center]]="Inca",Materials!G$29,IF(Table1[[#This Row],[Work Center]]="Canon",Materials!G$49,Materials!G$45)))</f>
        <v>7</v>
      </c>
      <c r="AF2438" s="72">
        <f>'Cali Frames'!D60</f>
        <v>71.837499999999991</v>
      </c>
      <c r="AG2438" s="540"/>
      <c r="AH2438" s="69">
        <v>0</v>
      </c>
      <c r="AI2438" s="69"/>
      <c r="AJ2438" s="176">
        <f t="shared" ref="AJ2438:AJ2477" si="871">SUM(AC2438:AH2438)</f>
        <v>88.517499999999984</v>
      </c>
      <c r="AK2438" s="650">
        <f t="shared" ref="AK2438:AK2469" si="872">(M2438-AJ2438)/M2438</f>
        <v>0.55741250000000009</v>
      </c>
      <c r="AL2438" s="225">
        <f>Table1[[#This Row],[WSP/Dealer]]/Table1[[#This Row],[OD Sq Inch]]</f>
        <v>0.50505050505050508</v>
      </c>
      <c r="AM2438" s="180">
        <f>Table1[[#This Row],[OD Wdth]]*Table1[[#This Row],[OD Hgt]]</f>
        <v>396</v>
      </c>
      <c r="AN2438" s="83"/>
      <c r="AO2438" s="83"/>
      <c r="AP2438" s="83"/>
      <c r="AQ2438" s="540"/>
      <c r="AR2438" s="540"/>
      <c r="AS2438" s="540"/>
      <c r="AT2438" s="69"/>
      <c r="AU2438" s="1361" t="str">
        <f t="shared" si="866"/>
        <v>-</v>
      </c>
    </row>
    <row r="2439" spans="1:47" s="1427" customFormat="1" x14ac:dyDescent="0.2">
      <c r="A2439" s="60" t="s">
        <v>581</v>
      </c>
      <c r="B2439" s="1061" t="s">
        <v>292</v>
      </c>
      <c r="C2439" s="1335" t="s">
        <v>5581</v>
      </c>
      <c r="D2439" s="94" t="s">
        <v>5582</v>
      </c>
      <c r="E2439" s="492" t="s">
        <v>5583</v>
      </c>
      <c r="F2439" s="83" t="s">
        <v>531</v>
      </c>
      <c r="G2439" s="92" t="s">
        <v>482</v>
      </c>
      <c r="H2439" s="60" t="s">
        <v>488</v>
      </c>
      <c r="I2439" s="92" t="s">
        <v>52</v>
      </c>
      <c r="J2439" s="59" t="s">
        <v>53</v>
      </c>
      <c r="K2439" s="92" t="s">
        <v>82</v>
      </c>
      <c r="L2439" s="60" t="s">
        <v>76</v>
      </c>
      <c r="M2439" s="647">
        <v>970</v>
      </c>
      <c r="N2439" s="656">
        <v>970</v>
      </c>
      <c r="O2439" s="60" t="s">
        <v>56</v>
      </c>
      <c r="P2439" s="60">
        <v>40</v>
      </c>
      <c r="Q2439" s="60">
        <v>60</v>
      </c>
      <c r="R2439" s="60">
        <v>40</v>
      </c>
      <c r="S2439" s="60">
        <v>60</v>
      </c>
      <c r="T2439" s="60">
        <v>41</v>
      </c>
      <c r="U2439" s="60">
        <v>61</v>
      </c>
      <c r="V2439" s="174">
        <f>IF(J2439="Canvas",P2439+BorderL,P2439)</f>
        <v>51</v>
      </c>
      <c r="W2439" s="174">
        <f>IF(J2439="Canvas",Q2439+BorderL,Q2439)</f>
        <v>71</v>
      </c>
      <c r="X2439" s="138">
        <v>53</v>
      </c>
      <c r="Y2439" s="60">
        <v>51</v>
      </c>
      <c r="Z2439" s="60">
        <v>71</v>
      </c>
      <c r="AA2439" s="678">
        <f t="shared" si="870"/>
        <v>25.145833333333332</v>
      </c>
      <c r="AB2439" s="329">
        <f>AA2439*IncaG</f>
        <v>529.06833333333327</v>
      </c>
      <c r="AC2439" s="176">
        <f t="shared" ref="AC2439:AC2476" si="873">AA2439*Canvas</f>
        <v>16.596250000000001</v>
      </c>
      <c r="AD2439" s="175">
        <f>AA2439*IncaC</f>
        <v>42.325466666666664</v>
      </c>
      <c r="AE2439" s="176">
        <f>IF(Table1[[#This Row],[Work Center]]="SwissQ",Materials!G$37,IF(Table1[[#This Row],[Work Center]]="Inca",Materials!G$29,IF(Table1[[#This Row],[Work Center]]="Canon",Materials!G$49,Materials!G$45)))</f>
        <v>8</v>
      </c>
      <c r="AF2439" s="72">
        <f>'Cali Frames'!D375</f>
        <v>178.33</v>
      </c>
      <c r="AG2439" s="540"/>
      <c r="AH2439" s="48">
        <f t="shared" ref="AH2439:AH2475" si="874">(M2439*0.05)</f>
        <v>48.5</v>
      </c>
      <c r="AI2439" s="48"/>
      <c r="AJ2439" s="176">
        <f t="shared" si="871"/>
        <v>293.75171666666665</v>
      </c>
      <c r="AK2439" s="62">
        <f t="shared" si="872"/>
        <v>0.69716317869415811</v>
      </c>
      <c r="AL2439" s="225">
        <f>Table1[[#This Row],[WSP/Dealer]]/Table1[[#This Row],[OD Sq Inch]]</f>
        <v>0.38784486205517793</v>
      </c>
      <c r="AM2439" s="173">
        <f>Table1[[#This Row],[OD Wdth]]*Table1[[#This Row],[OD Hgt]]</f>
        <v>2501</v>
      </c>
      <c r="AN2439" s="180">
        <f>Table1[[#This Row],[Min VO]]+Table1[[#This Row],[Max VO]]</f>
        <v>100</v>
      </c>
      <c r="AO2439" s="83"/>
      <c r="AP2439" s="83"/>
      <c r="AQ2439" s="540"/>
      <c r="AR2439" s="540"/>
      <c r="AS2439" s="540"/>
      <c r="AT2439" s="69"/>
      <c r="AU2439" s="1361" t="str">
        <f t="shared" si="866"/>
        <v>-</v>
      </c>
    </row>
    <row r="2440" spans="1:47" s="170" customFormat="1" x14ac:dyDescent="0.2">
      <c r="A2440" s="68" t="s">
        <v>58</v>
      </c>
      <c r="B2440" s="1072" t="s">
        <v>1013</v>
      </c>
      <c r="C2440" s="1053" t="s">
        <v>5584</v>
      </c>
      <c r="D2440" s="94" t="s">
        <v>5585</v>
      </c>
      <c r="E2440" s="378" t="s">
        <v>5586</v>
      </c>
      <c r="F2440" s="84" t="s">
        <v>531</v>
      </c>
      <c r="G2440" s="282" t="s">
        <v>898</v>
      </c>
      <c r="H2440" s="68" t="s">
        <v>4589</v>
      </c>
      <c r="I2440" s="282" t="s">
        <v>52</v>
      </c>
      <c r="J2440" s="140" t="s">
        <v>53</v>
      </c>
      <c r="K2440" s="282" t="s">
        <v>69</v>
      </c>
      <c r="L2440" s="68" t="s">
        <v>76</v>
      </c>
      <c r="M2440" s="379">
        <v>1400</v>
      </c>
      <c r="N2440" s="93"/>
      <c r="O2440" s="68" t="s">
        <v>56</v>
      </c>
      <c r="P2440" s="68">
        <v>50</v>
      </c>
      <c r="Q2440" s="68">
        <v>74</v>
      </c>
      <c r="R2440" s="68">
        <v>50</v>
      </c>
      <c r="S2440" s="68">
        <v>74</v>
      </c>
      <c r="T2440" s="68">
        <v>51</v>
      </c>
      <c r="U2440" s="68">
        <v>75</v>
      </c>
      <c r="V2440" s="160">
        <f>IF(J2440="Canvas",P2440+Border,P2440)</f>
        <v>58</v>
      </c>
      <c r="W2440" s="160">
        <f>IF(J2440="Canvas",Q2440+Border,Q2440)</f>
        <v>82</v>
      </c>
      <c r="X2440" s="68">
        <v>82</v>
      </c>
      <c r="Y2440" s="68">
        <v>58</v>
      </c>
      <c r="Z2440" s="68">
        <v>82</v>
      </c>
      <c r="AA2440" s="699">
        <f t="shared" si="870"/>
        <v>33.027777777777779</v>
      </c>
      <c r="AB2440" s="297">
        <f>AA2440*IncaG</f>
        <v>694.90444444444438</v>
      </c>
      <c r="AC2440" s="74">
        <f t="shared" si="873"/>
        <v>21.798333333333336</v>
      </c>
      <c r="AD2440" s="67">
        <f>AA2440*IncaC</f>
        <v>55.592355555555557</v>
      </c>
      <c r="AE2440" s="74">
        <f>IF(Table1[[#This Row],[Work Center]]="SwissQ",Materials!G$37,IF(Table1[[#This Row],[Work Center]]="Inca",Materials!G$29,IF(Table1[[#This Row],[Work Center]]="Canon",Materials!G$49,Materials!G$45)))</f>
        <v>8</v>
      </c>
      <c r="AF2440" s="73">
        <f>'Cali Frames'!D379</f>
        <v>392.12</v>
      </c>
      <c r="AG2440" s="126"/>
      <c r="AH2440" s="67">
        <f t="shared" si="874"/>
        <v>70</v>
      </c>
      <c r="AI2440" s="67"/>
      <c r="AJ2440" s="278">
        <f t="shared" si="871"/>
        <v>547.51068888888892</v>
      </c>
      <c r="AK2440" s="661">
        <f t="shared" si="872"/>
        <v>0.60892093650793644</v>
      </c>
      <c r="AL2440" s="240">
        <f>Table1[[#This Row],[WSP/Dealer]]/Table1[[#This Row],[OD Sq Inch]]</f>
        <v>0.36601307189542481</v>
      </c>
      <c r="AM2440" s="170">
        <f>Table1[[#This Row],[OD Wdth]]*Table1[[#This Row],[OD Hgt]]</f>
        <v>3825</v>
      </c>
      <c r="AN2440" s="274">
        <f>Table1[[#This Row],[Min VO]]+Table1[[#This Row],[Max VO]]</f>
        <v>124</v>
      </c>
      <c r="AO2440" s="84"/>
      <c r="AP2440" s="84"/>
      <c r="AQ2440" s="126"/>
      <c r="AR2440" s="126"/>
      <c r="AS2440" s="126"/>
      <c r="AT2440" s="74"/>
      <c r="AU2440" s="1357" t="str">
        <f t="shared" si="866"/>
        <v>-</v>
      </c>
    </row>
    <row r="2441" spans="1:47" s="170" customFormat="1" x14ac:dyDescent="0.2">
      <c r="A2441" s="60" t="s">
        <v>58</v>
      </c>
      <c r="B2441" s="1071" t="s">
        <v>250</v>
      </c>
      <c r="C2441" s="1335" t="s">
        <v>5587</v>
      </c>
      <c r="D2441" s="79"/>
      <c r="E2441" s="492" t="s">
        <v>5588</v>
      </c>
      <c r="F2441" s="83" t="s">
        <v>531</v>
      </c>
      <c r="G2441" s="92" t="s">
        <v>1180</v>
      </c>
      <c r="H2441" s="60" t="s">
        <v>1181</v>
      </c>
      <c r="I2441" s="92" t="s">
        <v>52</v>
      </c>
      <c r="J2441" s="59" t="s">
        <v>53</v>
      </c>
      <c r="K2441" s="92" t="s">
        <v>69</v>
      </c>
      <c r="L2441" s="60" t="s">
        <v>70</v>
      </c>
      <c r="M2441" s="647">
        <v>1900</v>
      </c>
      <c r="N2441" s="124"/>
      <c r="O2441" s="60" t="s">
        <v>64</v>
      </c>
      <c r="P2441" s="60">
        <v>65</v>
      </c>
      <c r="Q2441" s="60">
        <v>90</v>
      </c>
      <c r="R2441" s="60">
        <v>65</v>
      </c>
      <c r="S2441" s="60">
        <v>90</v>
      </c>
      <c r="T2441" s="60">
        <v>66</v>
      </c>
      <c r="U2441" s="60">
        <v>91</v>
      </c>
      <c r="V2441" s="149">
        <f>IF(J2441="Canvas",P2441+Border,P2441)</f>
        <v>73</v>
      </c>
      <c r="W2441" s="149">
        <f>IF(J2441="Canvas",Q2441+Border,Q2441)</f>
        <v>98</v>
      </c>
      <c r="X2441" s="60">
        <v>122</v>
      </c>
      <c r="Y2441" s="60">
        <v>73</v>
      </c>
      <c r="Z2441" s="60">
        <v>98</v>
      </c>
      <c r="AA2441" s="722">
        <f t="shared" si="870"/>
        <v>49.680555555555557</v>
      </c>
      <c r="AB2441" s="125">
        <f>AA2441*Swiss1</f>
        <v>1405.9597222222224</v>
      </c>
      <c r="AC2441" s="69">
        <f t="shared" si="873"/>
        <v>32.789166666666667</v>
      </c>
      <c r="AD2441" s="48">
        <f>Table1[[#This Row],[Substrate SF]]*Materials!C$37</f>
        <v>139.10555555555555</v>
      </c>
      <c r="AE2441" s="69">
        <f>IF(Table1[[#This Row],[Work Center]]="SwissQ",Materials!G$37,IF(Table1[[#This Row],[Work Center]]="Inca",Materials!G$29,IF(Table1[[#This Row],[Work Center]]="Canon",Materials!G$49,Materials!G$45)))</f>
        <v>20</v>
      </c>
      <c r="AF2441" s="72">
        <f>'Cali Frames'!D353</f>
        <v>358.12</v>
      </c>
      <c r="AG2441" s="540"/>
      <c r="AH2441" s="48">
        <f t="shared" si="874"/>
        <v>95</v>
      </c>
      <c r="AI2441" s="48"/>
      <c r="AJ2441" s="176">
        <f t="shared" si="871"/>
        <v>645.01472222222219</v>
      </c>
      <c r="AK2441" s="62">
        <f t="shared" si="872"/>
        <v>0.66051856725146196</v>
      </c>
      <c r="AL2441" s="225">
        <f>Table1[[#This Row],[WSP/Dealer]]/Table1[[#This Row],[OD Sq Inch]]</f>
        <v>0.31635031635031635</v>
      </c>
      <c r="AM2441" s="173">
        <f>Table1[[#This Row],[OD Wdth]]*Table1[[#This Row],[OD Hgt]]</f>
        <v>6006</v>
      </c>
      <c r="AN2441" s="180">
        <f>Table1[[#This Row],[Min VO]]+Table1[[#This Row],[Max VO]]</f>
        <v>155</v>
      </c>
      <c r="AO2441" s="83"/>
      <c r="AP2441" s="83"/>
      <c r="AQ2441" s="540"/>
      <c r="AR2441" s="540"/>
      <c r="AS2441" s="540"/>
      <c r="AT2441" s="69"/>
      <c r="AU2441" s="1361"/>
    </row>
    <row r="2442" spans="1:47" s="173" customFormat="1" hidden="1" x14ac:dyDescent="0.2">
      <c r="A2442" s="60" t="s">
        <v>272</v>
      </c>
      <c r="B2442" s="1061" t="s">
        <v>141</v>
      </c>
      <c r="C2442" s="1335" t="s">
        <v>5589</v>
      </c>
      <c r="D2442" s="94"/>
      <c r="E2442" s="492" t="s">
        <v>5590</v>
      </c>
      <c r="F2442" s="83" t="s">
        <v>531</v>
      </c>
      <c r="G2442" s="92" t="s">
        <v>1290</v>
      </c>
      <c r="H2442" s="60" t="s">
        <v>1290</v>
      </c>
      <c r="I2442" s="92" t="s">
        <v>52</v>
      </c>
      <c r="J2442" s="59" t="s">
        <v>53</v>
      </c>
      <c r="K2442" s="92" t="s">
        <v>54</v>
      </c>
      <c r="L2442" s="60" t="s">
        <v>55</v>
      </c>
      <c r="M2442" s="622">
        <v>215</v>
      </c>
      <c r="N2442" s="124"/>
      <c r="O2442" s="60" t="s">
        <v>56</v>
      </c>
      <c r="P2442" s="60">
        <v>20</v>
      </c>
      <c r="Q2442" s="60">
        <v>30</v>
      </c>
      <c r="R2442" s="60">
        <v>20</v>
      </c>
      <c r="S2442" s="60">
        <v>30</v>
      </c>
      <c r="T2442" s="60">
        <v>20</v>
      </c>
      <c r="U2442" s="60">
        <v>30</v>
      </c>
      <c r="V2442" s="913">
        <f>IF(J2442="Canvas",P2442+Border,P2442)</f>
        <v>28</v>
      </c>
      <c r="W2442" s="913">
        <f>IF(J2442="Canvas",Q2442+Border,Q2442)</f>
        <v>38</v>
      </c>
      <c r="X2442" s="138">
        <v>40</v>
      </c>
      <c r="Y2442" s="60">
        <v>28</v>
      </c>
      <c r="Z2442" s="60">
        <v>38</v>
      </c>
      <c r="AA2442" s="722">
        <f t="shared" si="870"/>
        <v>7.3888888888888893</v>
      </c>
      <c r="AB2442" s="389">
        <f>AA2442*IncaG</f>
        <v>155.46222222222224</v>
      </c>
      <c r="AC2442" s="48">
        <f t="shared" si="873"/>
        <v>4.8766666666666669</v>
      </c>
      <c r="AD2442" s="150">
        <f>AA2442*IncaC</f>
        <v>12.436977777777779</v>
      </c>
      <c r="AE2442" s="69">
        <f>IF(Table1[[#This Row],[Work Center]]="SwissQ",Materials!G$37,IF(Table1[[#This Row],[Work Center]]="Inca",Materials!G$29,IF(Table1[[#This Row],[Work Center]]="Canon",Materials!G$49,Materials!G$45)))</f>
        <v>8</v>
      </c>
      <c r="AF2442" s="72">
        <f>'Cali FPS'!C35</f>
        <v>74.2</v>
      </c>
      <c r="AG2442" s="540"/>
      <c r="AH2442" s="48">
        <f t="shared" si="874"/>
        <v>10.75</v>
      </c>
      <c r="AI2442" s="48"/>
      <c r="AJ2442" s="150">
        <f t="shared" si="871"/>
        <v>110.26364444444445</v>
      </c>
      <c r="AK2442" s="62">
        <f t="shared" si="872"/>
        <v>0.48714583979328163</v>
      </c>
      <c r="AL2442" s="225">
        <f>Table1[[#This Row],[WSP/Dealer]]/Table1[[#This Row],[OD Sq Inch]]</f>
        <v>0.35833333333333334</v>
      </c>
      <c r="AM2442" s="46">
        <f>Table1[[#This Row],[OD Wdth]]*Table1[[#This Row],[OD Hgt]]</f>
        <v>600</v>
      </c>
      <c r="AN2442" s="83"/>
      <c r="AO2442" s="83"/>
      <c r="AP2442" s="83"/>
      <c r="AQ2442" s="540"/>
      <c r="AR2442" s="540"/>
      <c r="AS2442" s="540"/>
      <c r="AT2442" s="69"/>
      <c r="AU2442" s="1361" t="str">
        <f>IF(AQ2442=0,"-",(AQ2442-AT2442)/AQ2442)</f>
        <v>-</v>
      </c>
    </row>
    <row r="2443" spans="1:47" s="170" customFormat="1" x14ac:dyDescent="0.2">
      <c r="A2443" s="60" t="s">
        <v>581</v>
      </c>
      <c r="B2443" s="1061" t="s">
        <v>292</v>
      </c>
      <c r="C2443" s="1335" t="s">
        <v>5591</v>
      </c>
      <c r="D2443" s="94" t="s">
        <v>5592</v>
      </c>
      <c r="E2443" s="492" t="s">
        <v>5593</v>
      </c>
      <c r="F2443" s="83" t="s">
        <v>531</v>
      </c>
      <c r="G2443" s="92" t="s">
        <v>482</v>
      </c>
      <c r="H2443" s="60" t="s">
        <v>488</v>
      </c>
      <c r="I2443" s="92" t="s">
        <v>52</v>
      </c>
      <c r="J2443" s="59" t="s">
        <v>53</v>
      </c>
      <c r="K2443" s="92" t="s">
        <v>82</v>
      </c>
      <c r="L2443" s="60" t="s">
        <v>76</v>
      </c>
      <c r="M2443" s="647">
        <v>970</v>
      </c>
      <c r="N2443" s="656">
        <v>970</v>
      </c>
      <c r="O2443" s="60" t="s">
        <v>56</v>
      </c>
      <c r="P2443" s="60">
        <v>40</v>
      </c>
      <c r="Q2443" s="60">
        <v>60</v>
      </c>
      <c r="R2443" s="60">
        <v>40</v>
      </c>
      <c r="S2443" s="60">
        <v>60</v>
      </c>
      <c r="T2443" s="60">
        <v>41</v>
      </c>
      <c r="U2443" s="60">
        <v>61</v>
      </c>
      <c r="V2443" s="947">
        <f>IF(J2443="Canvas",P2443+BorderL,P2443)</f>
        <v>51</v>
      </c>
      <c r="W2443" s="947">
        <f>IF(J2443="Canvas",Q2443+BorderL,Q2443)</f>
        <v>71</v>
      </c>
      <c r="X2443" s="138">
        <v>53</v>
      </c>
      <c r="Y2443" s="60">
        <v>51</v>
      </c>
      <c r="Z2443" s="60">
        <v>71</v>
      </c>
      <c r="AA2443" s="678">
        <f t="shared" si="870"/>
        <v>25.145833333333332</v>
      </c>
      <c r="AB2443" s="329">
        <f>AA2443*IncaG</f>
        <v>529.06833333333327</v>
      </c>
      <c r="AC2443" s="176">
        <f t="shared" si="873"/>
        <v>16.596250000000001</v>
      </c>
      <c r="AD2443" s="175">
        <f>AA2443*IncaC</f>
        <v>42.325466666666664</v>
      </c>
      <c r="AE2443" s="176">
        <f>IF(Table1[[#This Row],[Work Center]]="SwissQ",Materials!G$37,IF(Table1[[#This Row],[Work Center]]="Inca",Materials!G$29,IF(Table1[[#This Row],[Work Center]]="Canon",Materials!G$49,Materials!G$45)))</f>
        <v>8</v>
      </c>
      <c r="AF2443" s="72">
        <f>'Cali Frames'!D375</f>
        <v>178.33</v>
      </c>
      <c r="AG2443" s="540"/>
      <c r="AH2443" s="48">
        <f t="shared" si="874"/>
        <v>48.5</v>
      </c>
      <c r="AI2443" s="48"/>
      <c r="AJ2443" s="176">
        <f t="shared" si="871"/>
        <v>293.75171666666665</v>
      </c>
      <c r="AK2443" s="62">
        <f t="shared" si="872"/>
        <v>0.69716317869415811</v>
      </c>
      <c r="AL2443" s="225">
        <f>Table1[[#This Row],[WSP/Dealer]]/Table1[[#This Row],[OD Sq Inch]]</f>
        <v>0.38784486205517793</v>
      </c>
      <c r="AM2443" s="173">
        <f>Table1[[#This Row],[OD Wdth]]*Table1[[#This Row],[OD Hgt]]</f>
        <v>2501</v>
      </c>
      <c r="AN2443" s="180">
        <f>Table1[[#This Row],[Min VO]]+Table1[[#This Row],[Max VO]]</f>
        <v>100</v>
      </c>
      <c r="AO2443" s="83"/>
      <c r="AP2443" s="83"/>
      <c r="AQ2443" s="540"/>
      <c r="AR2443" s="540"/>
      <c r="AS2443" s="540"/>
      <c r="AT2443" s="69"/>
      <c r="AU2443" s="1361" t="str">
        <f>IF(AQ2443=0,"-",(AQ2443-AT2443)/AQ2443)</f>
        <v>-</v>
      </c>
    </row>
    <row r="2444" spans="1:47" s="170" customFormat="1" x14ac:dyDescent="0.2">
      <c r="A2444" s="68" t="s">
        <v>58</v>
      </c>
      <c r="B2444" s="1072" t="s">
        <v>1013</v>
      </c>
      <c r="C2444" s="1053" t="s">
        <v>5594</v>
      </c>
      <c r="D2444" s="94" t="s">
        <v>5595</v>
      </c>
      <c r="E2444" s="378" t="s">
        <v>5596</v>
      </c>
      <c r="F2444" s="84" t="s">
        <v>531</v>
      </c>
      <c r="G2444" s="282" t="s">
        <v>898</v>
      </c>
      <c r="H2444" s="68" t="s">
        <v>4589</v>
      </c>
      <c r="I2444" s="282" t="s">
        <v>52</v>
      </c>
      <c r="J2444" s="140" t="s">
        <v>53</v>
      </c>
      <c r="K2444" s="282" t="s">
        <v>69</v>
      </c>
      <c r="L2444" s="68" t="s">
        <v>76</v>
      </c>
      <c r="M2444" s="379">
        <v>1400</v>
      </c>
      <c r="N2444" s="93"/>
      <c r="O2444" s="68" t="s">
        <v>56</v>
      </c>
      <c r="P2444" s="68">
        <v>50</v>
      </c>
      <c r="Q2444" s="68">
        <v>74</v>
      </c>
      <c r="R2444" s="68">
        <v>50</v>
      </c>
      <c r="S2444" s="68">
        <v>74</v>
      </c>
      <c r="T2444" s="63">
        <v>51</v>
      </c>
      <c r="U2444" s="63">
        <v>75</v>
      </c>
      <c r="V2444" s="160">
        <f t="shared" ref="V2444:V2454" si="875">IF(J2444="Canvas",P2444+Border,P2444)</f>
        <v>58</v>
      </c>
      <c r="W2444" s="160">
        <f t="shared" ref="W2444:W2454" si="876">IF(J2444="Canvas",Q2444+Border,Q2444)</f>
        <v>82</v>
      </c>
      <c r="X2444" s="68">
        <v>82</v>
      </c>
      <c r="Y2444" s="63">
        <v>58</v>
      </c>
      <c r="Z2444" s="63">
        <v>82</v>
      </c>
      <c r="AA2444" s="699">
        <f t="shared" si="870"/>
        <v>33.027777777777779</v>
      </c>
      <c r="AB2444" s="297">
        <f>AA2444*IncaG</f>
        <v>694.90444444444438</v>
      </c>
      <c r="AC2444" s="74">
        <f t="shared" si="873"/>
        <v>21.798333333333336</v>
      </c>
      <c r="AD2444" s="67">
        <f>AA2444*IncaC</f>
        <v>55.592355555555557</v>
      </c>
      <c r="AE2444" s="74">
        <f>IF(Table1[[#This Row],[Work Center]]="SwissQ",Materials!G$37,IF(Table1[[#This Row],[Work Center]]="Inca",Materials!G$29,IF(Table1[[#This Row],[Work Center]]="Canon",Materials!G$49,Materials!G$45)))</f>
        <v>8</v>
      </c>
      <c r="AF2444" s="73">
        <f>'Cali Frames'!D379</f>
        <v>392.12</v>
      </c>
      <c r="AG2444" s="126"/>
      <c r="AH2444" s="67">
        <f t="shared" si="874"/>
        <v>70</v>
      </c>
      <c r="AI2444" s="67"/>
      <c r="AJ2444" s="278">
        <f t="shared" si="871"/>
        <v>547.51068888888892</v>
      </c>
      <c r="AK2444" s="661">
        <f t="shared" si="872"/>
        <v>0.60892093650793644</v>
      </c>
      <c r="AL2444" s="240">
        <f>Table1[[#This Row],[WSP/Dealer]]/Table1[[#This Row],[OD Sq Inch]]</f>
        <v>0.36601307189542481</v>
      </c>
      <c r="AM2444" s="170">
        <f>Table1[[#This Row],[OD Wdth]]*Table1[[#This Row],[OD Hgt]]</f>
        <v>3825</v>
      </c>
      <c r="AN2444" s="274">
        <f>Table1[[#This Row],[Min VO]]+Table1[[#This Row],[Max VO]]</f>
        <v>124</v>
      </c>
      <c r="AO2444" s="84"/>
      <c r="AP2444" s="84"/>
      <c r="AQ2444" s="126"/>
      <c r="AR2444" s="126"/>
      <c r="AS2444" s="126"/>
      <c r="AT2444" s="74"/>
      <c r="AU2444" s="1357" t="str">
        <f>IF(AQ2444=0,"-",(AQ2444-AT2444)/AQ2444)</f>
        <v>-</v>
      </c>
    </row>
    <row r="2445" spans="1:47" s="173" customFormat="1" hidden="1" x14ac:dyDescent="0.2">
      <c r="A2445" s="101" t="s">
        <v>110</v>
      </c>
      <c r="B2445" s="1064" t="s">
        <v>102</v>
      </c>
      <c r="C2445" s="1336" t="s">
        <v>5597</v>
      </c>
      <c r="D2445" s="168"/>
      <c r="E2445" s="327" t="s">
        <v>5598</v>
      </c>
      <c r="F2445" s="115" t="s">
        <v>531</v>
      </c>
      <c r="G2445" s="303" t="s">
        <v>5599</v>
      </c>
      <c r="H2445" s="303" t="s">
        <v>5599</v>
      </c>
      <c r="I2445" s="303" t="s">
        <v>52</v>
      </c>
      <c r="J2445" s="487" t="s">
        <v>53</v>
      </c>
      <c r="K2445" s="303" t="s">
        <v>54</v>
      </c>
      <c r="L2445" s="101" t="s">
        <v>55</v>
      </c>
      <c r="M2445" s="494">
        <v>1100</v>
      </c>
      <c r="N2445" s="114"/>
      <c r="O2445" s="101" t="s">
        <v>56</v>
      </c>
      <c r="P2445" s="101">
        <v>52</v>
      </c>
      <c r="Q2445" s="101">
        <v>78</v>
      </c>
      <c r="R2445" s="101">
        <v>52</v>
      </c>
      <c r="S2445" s="101">
        <v>78</v>
      </c>
      <c r="T2445" s="101">
        <v>52</v>
      </c>
      <c r="U2445" s="101">
        <v>78</v>
      </c>
      <c r="V2445" s="165">
        <f t="shared" si="875"/>
        <v>60</v>
      </c>
      <c r="W2445" s="165">
        <f t="shared" si="876"/>
        <v>86</v>
      </c>
      <c r="X2445" s="101">
        <v>62</v>
      </c>
      <c r="Y2445" s="101">
        <v>60</v>
      </c>
      <c r="Z2445" s="101">
        <v>86</v>
      </c>
      <c r="AA2445" s="649">
        <f t="shared" si="870"/>
        <v>35.833333333333336</v>
      </c>
      <c r="AB2445" s="184">
        <f>AA2445*IncaG</f>
        <v>753.93333333333339</v>
      </c>
      <c r="AC2445" s="104">
        <f t="shared" si="873"/>
        <v>23.650000000000002</v>
      </c>
      <c r="AD2445" s="107">
        <f>AA2445*IncaC</f>
        <v>60.314666666666675</v>
      </c>
      <c r="AE2445" s="104">
        <f>IF(Table1[[#This Row],[Work Center]]="SwissQ",Materials!G$37,IF(Table1[[#This Row],[Work Center]]="Inca",Materials!G$29,IF(Table1[[#This Row],[Work Center]]="Canon",Materials!G$49,Materials!G$45)))</f>
        <v>8</v>
      </c>
      <c r="AF2445" s="102">
        <f>'Cali FPS'!C140</f>
        <v>220</v>
      </c>
      <c r="AG2445" s="121"/>
      <c r="AH2445" s="104">
        <f t="shared" si="874"/>
        <v>55</v>
      </c>
      <c r="AI2445" s="104"/>
      <c r="AJ2445" s="406">
        <f t="shared" si="871"/>
        <v>366.96466666666669</v>
      </c>
      <c r="AK2445" s="830">
        <f t="shared" si="872"/>
        <v>0.66639575757575753</v>
      </c>
      <c r="AL2445" s="660">
        <f>Table1[[#This Row],[WSP/Dealer]]/Table1[[#This Row],[OD Sq Inch]]</f>
        <v>0.27120315581854043</v>
      </c>
      <c r="AM2445" s="399">
        <f>Table1[[#This Row],[OD Wdth]]*Table1[[#This Row],[OD Hgt]]</f>
        <v>4056</v>
      </c>
      <c r="AN2445" s="400">
        <f>Table1[[#This Row],[Min VO]]+Table1[[#This Row],[Max VO]]</f>
        <v>130</v>
      </c>
      <c r="AO2445" s="113"/>
      <c r="AP2445" s="121">
        <v>2200</v>
      </c>
      <c r="AQ2445" s="121">
        <f>(Table1[[#This Row],[Desgnr/Retail P]]*0.05)</f>
        <v>110</v>
      </c>
      <c r="AR2445" s="121">
        <f>IF(A2445="Codarus",(AP2445*0.13))</f>
        <v>286</v>
      </c>
      <c r="AS2445" s="121">
        <f>SUM(Table1[[#This Row],[Substrate $]:[GP FINISH]])+Table1[[#This Row],[Retail Royalty]]+Table1[[#This Row],[Retail$Comm]]</f>
        <v>707.96466666666674</v>
      </c>
      <c r="AT2445" s="830">
        <f>IF(AP2445=0,"-",(AP2445-AS2445)/AP2445)</f>
        <v>0.67819787878787874</v>
      </c>
      <c r="AU2445" s="1367">
        <f>IF(AQ2445=0,"-",(AQ2445-AT2445)/AQ2445)</f>
        <v>0.99383456473829201</v>
      </c>
    </row>
    <row r="2446" spans="1:47" s="399" customFormat="1" x14ac:dyDescent="0.2">
      <c r="A2446" s="60" t="s">
        <v>58</v>
      </c>
      <c r="B2446" s="1071" t="s">
        <v>250</v>
      </c>
      <c r="C2446" s="1335" t="s">
        <v>5600</v>
      </c>
      <c r="D2446" s="79"/>
      <c r="E2446" s="492" t="s">
        <v>5601</v>
      </c>
      <c r="F2446" s="83" t="s">
        <v>531</v>
      </c>
      <c r="G2446" s="92" t="s">
        <v>1180</v>
      </c>
      <c r="H2446" s="60" t="s">
        <v>1181</v>
      </c>
      <c r="I2446" s="92" t="s">
        <v>52</v>
      </c>
      <c r="J2446" s="59" t="s">
        <v>53</v>
      </c>
      <c r="K2446" s="92" t="s">
        <v>69</v>
      </c>
      <c r="L2446" s="60" t="s">
        <v>70</v>
      </c>
      <c r="M2446" s="647">
        <v>1900</v>
      </c>
      <c r="N2446" s="124"/>
      <c r="O2446" s="60" t="s">
        <v>64</v>
      </c>
      <c r="P2446" s="60">
        <v>65</v>
      </c>
      <c r="Q2446" s="60">
        <v>90</v>
      </c>
      <c r="R2446" s="60">
        <v>65</v>
      </c>
      <c r="S2446" s="60">
        <v>90</v>
      </c>
      <c r="T2446" s="60">
        <v>66</v>
      </c>
      <c r="U2446" s="60">
        <v>91</v>
      </c>
      <c r="V2446" s="913">
        <f t="shared" si="875"/>
        <v>73</v>
      </c>
      <c r="W2446" s="913">
        <f t="shared" si="876"/>
        <v>98</v>
      </c>
      <c r="X2446" s="60">
        <v>122</v>
      </c>
      <c r="Y2446" s="60">
        <v>73</v>
      </c>
      <c r="Z2446" s="60">
        <v>98</v>
      </c>
      <c r="AA2446" s="722">
        <f t="shared" si="870"/>
        <v>49.680555555555557</v>
      </c>
      <c r="AB2446" s="125">
        <f>AA2446*Swiss1</f>
        <v>1405.9597222222224</v>
      </c>
      <c r="AC2446" s="69">
        <f t="shared" si="873"/>
        <v>32.789166666666667</v>
      </c>
      <c r="AD2446" s="48">
        <f>Table1[[#This Row],[Substrate SF]]*Materials!C$37</f>
        <v>139.10555555555555</v>
      </c>
      <c r="AE2446" s="69">
        <f>IF(Table1[[#This Row],[Work Center]]="SwissQ",Materials!G$37,IF(Table1[[#This Row],[Work Center]]="Inca",Materials!G$29,IF(Table1[[#This Row],[Work Center]]="Canon",Materials!G$49,Materials!G$45)))</f>
        <v>20</v>
      </c>
      <c r="AF2446" s="72">
        <f>'Cali Frames'!D353</f>
        <v>358.12</v>
      </c>
      <c r="AG2446" s="540"/>
      <c r="AH2446" s="69">
        <f t="shared" si="874"/>
        <v>95</v>
      </c>
      <c r="AI2446" s="69"/>
      <c r="AJ2446" s="176">
        <f t="shared" si="871"/>
        <v>645.01472222222219</v>
      </c>
      <c r="AK2446" s="650">
        <f t="shared" si="872"/>
        <v>0.66051856725146196</v>
      </c>
      <c r="AL2446" s="225">
        <f>Table1[[#This Row],[WSP/Dealer]]/Table1[[#This Row],[OD Sq Inch]]</f>
        <v>0.31635031635031635</v>
      </c>
      <c r="AM2446" s="173">
        <f>Table1[[#This Row],[OD Wdth]]*Table1[[#This Row],[OD Hgt]]</f>
        <v>6006</v>
      </c>
      <c r="AN2446" s="180">
        <f>Table1[[#This Row],[Min VO]]+Table1[[#This Row],[Max VO]]</f>
        <v>155</v>
      </c>
      <c r="AO2446" s="83"/>
      <c r="AP2446" s="540"/>
      <c r="AQ2446" s="540"/>
      <c r="AR2446" s="540"/>
      <c r="AS2446" s="540"/>
      <c r="AT2446" s="69"/>
      <c r="AU2446" s="1361"/>
    </row>
    <row r="2447" spans="1:47" s="173" customFormat="1" x14ac:dyDescent="0.2">
      <c r="A2447" s="145" t="s">
        <v>58</v>
      </c>
      <c r="B2447" s="1061" t="s">
        <v>533</v>
      </c>
      <c r="C2447" s="153" t="s">
        <v>5602</v>
      </c>
      <c r="D2447" s="152" t="s">
        <v>5603</v>
      </c>
      <c r="E2447" s="1337" t="s">
        <v>5604</v>
      </c>
      <c r="F2447" s="147" t="s">
        <v>150</v>
      </c>
      <c r="G2447" s="1338" t="s">
        <v>5605</v>
      </c>
      <c r="H2447" s="156" t="s">
        <v>5605</v>
      </c>
      <c r="I2447" s="1338" t="s">
        <v>52</v>
      </c>
      <c r="J2447" s="156" t="s">
        <v>53</v>
      </c>
      <c r="K2447" s="1338" t="s">
        <v>54</v>
      </c>
      <c r="L2447" s="156" t="s">
        <v>55</v>
      </c>
      <c r="M2447" s="977">
        <v>625</v>
      </c>
      <c r="N2447" s="639">
        <v>675</v>
      </c>
      <c r="O2447" s="145" t="s">
        <v>56</v>
      </c>
      <c r="P2447" s="145">
        <v>31</v>
      </c>
      <c r="Q2447" s="145">
        <v>47</v>
      </c>
      <c r="R2447" s="145">
        <v>31</v>
      </c>
      <c r="S2447" s="145">
        <v>47</v>
      </c>
      <c r="T2447" s="698">
        <f>Table1[[#This Row],[VO Wdth]]</f>
        <v>31</v>
      </c>
      <c r="U2447" s="698">
        <f>Table1[[#This Row],[VO Hgt]]</f>
        <v>47</v>
      </c>
      <c r="V2447" s="149">
        <f t="shared" si="875"/>
        <v>39</v>
      </c>
      <c r="W2447" s="149">
        <f t="shared" si="876"/>
        <v>55</v>
      </c>
      <c r="X2447" s="157" t="s">
        <v>57</v>
      </c>
      <c r="Y2447" s="145">
        <v>39</v>
      </c>
      <c r="Z2447" s="145">
        <v>110</v>
      </c>
      <c r="AA2447" s="722">
        <f t="shared" si="870"/>
        <v>14.895833333333334</v>
      </c>
      <c r="AB2447" s="389">
        <f t="shared" ref="AB2447:AB2454" si="877">AA2447*IncaG</f>
        <v>313.40833333333336</v>
      </c>
      <c r="AC2447" s="69">
        <f t="shared" si="873"/>
        <v>9.8312500000000007</v>
      </c>
      <c r="AD2447" s="150">
        <f t="shared" ref="AD2447:AD2454" si="878">AA2447*IncaC</f>
        <v>25.072666666666667</v>
      </c>
      <c r="AE2447" s="104">
        <f>IF(Table1[[#This Row],[Work Center]]="SwissQ",Materials!G$37,IF(Table1[[#This Row],[Work Center]]="Inca",Materials!G$29,IF(Table1[[#This Row],[Work Center]]="Canon",Materials!G$49,Materials!G$45)))</f>
        <v>8</v>
      </c>
      <c r="AF2447" s="143">
        <f>'Cali FPS'!C$54</f>
        <v>105.78750000000001</v>
      </c>
      <c r="AG2447" s="115"/>
      <c r="AH2447" s="112">
        <f t="shared" si="874"/>
        <v>31.25</v>
      </c>
      <c r="AI2447" s="112"/>
      <c r="AJ2447" s="143">
        <f t="shared" si="871"/>
        <v>179.94141666666667</v>
      </c>
      <c r="AK2447" s="62">
        <f t="shared" si="872"/>
        <v>0.71209373333333337</v>
      </c>
      <c r="AL2447" s="225">
        <f>Table1[[#This Row],[WSP/Dealer]]/Table1[[#This Row],[OD Sq Inch]]</f>
        <v>0.42896362388469456</v>
      </c>
      <c r="AM2447" s="218">
        <f>Table1[[#This Row],[OD Wdth]]*Table1[[#This Row],[OD Hgt]]</f>
        <v>1457</v>
      </c>
      <c r="AN2447" s="216">
        <f>Table1[[#This Row],[Min VO]]+Table1[[#This Row],[Max VO]]</f>
        <v>78</v>
      </c>
      <c r="AO2447" s="145"/>
      <c r="AP2447" s="145"/>
      <c r="AQ2447" s="143"/>
      <c r="AR2447" s="143"/>
      <c r="AS2447" s="143"/>
      <c r="AT2447" s="143"/>
      <c r="AU2447" s="1371" t="str">
        <f t="shared" ref="AU2447:AU2478" si="879">IF(AQ2447=0,"-",(AQ2447-AT2447)/AQ2447)</f>
        <v>-</v>
      </c>
    </row>
    <row r="2448" spans="1:47" s="170" customFormat="1" x14ac:dyDescent="0.2">
      <c r="A2448" s="145" t="s">
        <v>58</v>
      </c>
      <c r="B2448" s="279" t="s">
        <v>533</v>
      </c>
      <c r="C2448" s="1337" t="s">
        <v>5606</v>
      </c>
      <c r="D2448" s="152" t="s">
        <v>5607</v>
      </c>
      <c r="E2448" s="1337" t="s">
        <v>5608</v>
      </c>
      <c r="F2448" s="154" t="s">
        <v>150</v>
      </c>
      <c r="G2448" s="177" t="s">
        <v>5605</v>
      </c>
      <c r="H2448" s="145" t="s">
        <v>5605</v>
      </c>
      <c r="I2448" s="177" t="s">
        <v>52</v>
      </c>
      <c r="J2448" s="145" t="s">
        <v>53</v>
      </c>
      <c r="K2448" s="177" t="s">
        <v>54</v>
      </c>
      <c r="L2448" s="145" t="s">
        <v>55</v>
      </c>
      <c r="M2448" s="977">
        <v>625</v>
      </c>
      <c r="N2448" s="639">
        <v>675</v>
      </c>
      <c r="O2448" s="145" t="s">
        <v>56</v>
      </c>
      <c r="P2448" s="145">
        <v>31</v>
      </c>
      <c r="Q2448" s="145">
        <v>47</v>
      </c>
      <c r="R2448" s="145">
        <v>31</v>
      </c>
      <c r="S2448" s="145">
        <v>47</v>
      </c>
      <c r="T2448" s="698">
        <f>Table1[[#This Row],[VO Wdth]]</f>
        <v>31</v>
      </c>
      <c r="U2448" s="698">
        <f>Table1[[#This Row],[VO Hgt]]</f>
        <v>47</v>
      </c>
      <c r="V2448" s="913">
        <f t="shared" si="875"/>
        <v>39</v>
      </c>
      <c r="W2448" s="913">
        <f t="shared" si="876"/>
        <v>55</v>
      </c>
      <c r="X2448" s="157" t="s">
        <v>57</v>
      </c>
      <c r="Y2448" s="145">
        <v>39</v>
      </c>
      <c r="Z2448" s="145">
        <v>110</v>
      </c>
      <c r="AA2448" s="722">
        <f t="shared" si="870"/>
        <v>14.895833333333334</v>
      </c>
      <c r="AB2448" s="389">
        <f t="shared" si="877"/>
        <v>313.40833333333336</v>
      </c>
      <c r="AC2448" s="69">
        <f t="shared" si="873"/>
        <v>9.8312500000000007</v>
      </c>
      <c r="AD2448" s="143">
        <f t="shared" si="878"/>
        <v>25.072666666666667</v>
      </c>
      <c r="AE2448" s="104">
        <f>IF(Table1[[#This Row],[Work Center]]="SwissQ",Materials!G$37,IF(Table1[[#This Row],[Work Center]]="Inca",Materials!G$29,IF(Table1[[#This Row],[Work Center]]="Canon",Materials!G$49,Materials!G$45)))</f>
        <v>8</v>
      </c>
      <c r="AF2448" s="143">
        <f>'Cali FPS'!C$54</f>
        <v>105.78750000000001</v>
      </c>
      <c r="AG2448" s="115"/>
      <c r="AH2448" s="498">
        <f t="shared" si="874"/>
        <v>31.25</v>
      </c>
      <c r="AI2448" s="498"/>
      <c r="AJ2448" s="143">
        <f t="shared" si="871"/>
        <v>179.94141666666667</v>
      </c>
      <c r="AK2448" s="650">
        <f t="shared" si="872"/>
        <v>0.71209373333333337</v>
      </c>
      <c r="AL2448" s="225">
        <f>Table1[[#This Row],[WSP/Dealer]]/Table1[[#This Row],[OD Sq Inch]]</f>
        <v>0.42896362388469456</v>
      </c>
      <c r="AM2448" s="101">
        <f>Table1[[#This Row],[OD Wdth]]*Table1[[#This Row],[OD Hgt]]</f>
        <v>1457</v>
      </c>
      <c r="AN2448" s="216">
        <f>Table1[[#This Row],[Min VO]]+Table1[[#This Row],[Max VO]]</f>
        <v>78</v>
      </c>
      <c r="AO2448" s="145"/>
      <c r="AP2448" s="145"/>
      <c r="AQ2448" s="143"/>
      <c r="AR2448" s="143"/>
      <c r="AS2448" s="143"/>
      <c r="AT2448" s="143"/>
      <c r="AU2448" s="1371" t="str">
        <f t="shared" si="879"/>
        <v>-</v>
      </c>
    </row>
    <row r="2449" spans="1:47" s="170" customFormat="1" hidden="1" x14ac:dyDescent="0.2">
      <c r="A2449" s="145"/>
      <c r="B2449" s="279"/>
      <c r="C2449" s="153" t="s">
        <v>5609</v>
      </c>
      <c r="D2449" s="152"/>
      <c r="E2449" s="1337" t="s">
        <v>5610</v>
      </c>
      <c r="F2449" s="147" t="s">
        <v>150</v>
      </c>
      <c r="G2449" s="1338" t="s">
        <v>5605</v>
      </c>
      <c r="H2449" s="156" t="s">
        <v>5605</v>
      </c>
      <c r="I2449" s="1338" t="s">
        <v>52</v>
      </c>
      <c r="J2449" s="156" t="s">
        <v>53</v>
      </c>
      <c r="K2449" s="1338" t="s">
        <v>54</v>
      </c>
      <c r="L2449" s="156" t="s">
        <v>55</v>
      </c>
      <c r="M2449" s="977">
        <v>625</v>
      </c>
      <c r="N2449" s="71"/>
      <c r="O2449" s="145" t="s">
        <v>56</v>
      </c>
      <c r="P2449" s="145">
        <v>31</v>
      </c>
      <c r="Q2449" s="145">
        <v>47</v>
      </c>
      <c r="R2449" s="145">
        <v>31</v>
      </c>
      <c r="S2449" s="145">
        <v>47</v>
      </c>
      <c r="T2449" s="698">
        <f>Table1[[#This Row],[VO Wdth]]</f>
        <v>31</v>
      </c>
      <c r="U2449" s="698">
        <f>Table1[[#This Row],[VO Hgt]]</f>
        <v>47</v>
      </c>
      <c r="V2449" s="913">
        <f t="shared" si="875"/>
        <v>39</v>
      </c>
      <c r="W2449" s="913">
        <f t="shared" si="876"/>
        <v>55</v>
      </c>
      <c r="X2449" s="157" t="s">
        <v>57</v>
      </c>
      <c r="Y2449" s="145">
        <v>39</v>
      </c>
      <c r="Z2449" s="145">
        <v>110</v>
      </c>
      <c r="AA2449" s="722">
        <f t="shared" si="870"/>
        <v>14.895833333333334</v>
      </c>
      <c r="AB2449" s="389">
        <f t="shared" si="877"/>
        <v>313.40833333333336</v>
      </c>
      <c r="AC2449" s="69">
        <f t="shared" si="873"/>
        <v>9.8312500000000007</v>
      </c>
      <c r="AD2449" s="150">
        <f t="shared" si="878"/>
        <v>25.072666666666667</v>
      </c>
      <c r="AE2449" s="104">
        <f>IF(Table1[[#This Row],[Work Center]]="SwissQ",Materials!G$37,IF(Table1[[#This Row],[Work Center]]="Inca",Materials!G$29,IF(Table1[[#This Row],[Work Center]]="Canon",Materials!G$49,Materials!G$45)))</f>
        <v>8</v>
      </c>
      <c r="AF2449" s="143">
        <f>'Cali FPS'!C$54</f>
        <v>105.78750000000001</v>
      </c>
      <c r="AG2449" s="115"/>
      <c r="AH2449" s="498">
        <f t="shared" si="874"/>
        <v>31.25</v>
      </c>
      <c r="AI2449" s="498"/>
      <c r="AJ2449" s="143">
        <f t="shared" si="871"/>
        <v>179.94141666666667</v>
      </c>
      <c r="AK2449" s="650">
        <f t="shared" si="872"/>
        <v>0.71209373333333337</v>
      </c>
      <c r="AL2449" s="225">
        <f>Table1[[#This Row],[WSP/Dealer]]/Table1[[#This Row],[OD Sq Inch]]</f>
        <v>0.42896362388469456</v>
      </c>
      <c r="AM2449" s="103">
        <f>Table1[[#This Row],[OD Wdth]]*Table1[[#This Row],[OD Hgt]]</f>
        <v>1457</v>
      </c>
      <c r="AN2449" s="216">
        <f>Table1[[#This Row],[Min VO]]+Table1[[#This Row],[Max VO]]</f>
        <v>78</v>
      </c>
      <c r="AO2449" s="145"/>
      <c r="AP2449" s="145"/>
      <c r="AQ2449" s="143"/>
      <c r="AR2449" s="143"/>
      <c r="AS2449" s="143"/>
      <c r="AT2449" s="143"/>
      <c r="AU2449" s="1371" t="str">
        <f t="shared" si="879"/>
        <v>-</v>
      </c>
    </row>
    <row r="2450" spans="1:47" s="170" customFormat="1" hidden="1" x14ac:dyDescent="0.2">
      <c r="A2450" s="145"/>
      <c r="B2450" s="279"/>
      <c r="C2450" s="1337" t="s">
        <v>5611</v>
      </c>
      <c r="D2450" s="152"/>
      <c r="E2450" s="1337" t="s">
        <v>5612</v>
      </c>
      <c r="F2450" s="154" t="s">
        <v>150</v>
      </c>
      <c r="G2450" s="177" t="s">
        <v>5605</v>
      </c>
      <c r="H2450" s="145" t="s">
        <v>5605</v>
      </c>
      <c r="I2450" s="177" t="s">
        <v>52</v>
      </c>
      <c r="J2450" s="145" t="s">
        <v>53</v>
      </c>
      <c r="K2450" s="177" t="s">
        <v>54</v>
      </c>
      <c r="L2450" s="145" t="s">
        <v>55</v>
      </c>
      <c r="M2450" s="977">
        <v>625</v>
      </c>
      <c r="N2450" s="71"/>
      <c r="O2450" s="145" t="s">
        <v>56</v>
      </c>
      <c r="P2450" s="145">
        <v>31</v>
      </c>
      <c r="Q2450" s="145">
        <v>47</v>
      </c>
      <c r="R2450" s="145">
        <v>31</v>
      </c>
      <c r="S2450" s="144">
        <v>47</v>
      </c>
      <c r="T2450" s="1777">
        <f>Table1[[#This Row],[VO Wdth]]</f>
        <v>31</v>
      </c>
      <c r="U2450" s="1777">
        <f>Table1[[#This Row],[VO Hgt]]</f>
        <v>47</v>
      </c>
      <c r="V2450" s="149">
        <f t="shared" si="875"/>
        <v>39</v>
      </c>
      <c r="W2450" s="149">
        <f t="shared" si="876"/>
        <v>55</v>
      </c>
      <c r="X2450" s="157" t="s">
        <v>57</v>
      </c>
      <c r="Y2450" s="145">
        <v>39</v>
      </c>
      <c r="Z2450" s="145">
        <v>110</v>
      </c>
      <c r="AA2450" s="722">
        <f t="shared" si="870"/>
        <v>14.895833333333334</v>
      </c>
      <c r="AB2450" s="389">
        <f t="shared" si="877"/>
        <v>313.40833333333336</v>
      </c>
      <c r="AC2450" s="69">
        <f t="shared" si="873"/>
        <v>9.8312500000000007</v>
      </c>
      <c r="AD2450" s="150">
        <f t="shared" si="878"/>
        <v>25.072666666666667</v>
      </c>
      <c r="AE2450" s="104">
        <f>IF(Table1[[#This Row],[Work Center]]="SwissQ",Materials!G$37,IF(Table1[[#This Row],[Work Center]]="Inca",Materials!G$29,IF(Table1[[#This Row],[Work Center]]="Canon",Materials!G$49,Materials!G$45)))</f>
        <v>8</v>
      </c>
      <c r="AF2450" s="143">
        <f>'Cali FPS'!C$54</f>
        <v>105.78750000000001</v>
      </c>
      <c r="AG2450" s="115"/>
      <c r="AH2450" s="112">
        <f t="shared" si="874"/>
        <v>31.25</v>
      </c>
      <c r="AI2450" s="112"/>
      <c r="AJ2450" s="143">
        <f t="shared" si="871"/>
        <v>179.94141666666667</v>
      </c>
      <c r="AK2450" s="62">
        <f t="shared" si="872"/>
        <v>0.71209373333333337</v>
      </c>
      <c r="AL2450" s="225">
        <f>Table1[[#This Row],[WSP/Dealer]]/Table1[[#This Row],[OD Sq Inch]]</f>
        <v>0.42896362388469456</v>
      </c>
      <c r="AM2450" s="103">
        <f>Table1[[#This Row],[OD Wdth]]*Table1[[#This Row],[OD Hgt]]</f>
        <v>1457</v>
      </c>
      <c r="AN2450" s="216">
        <f>Table1[[#This Row],[Min VO]]+Table1[[#This Row],[Max VO]]</f>
        <v>78</v>
      </c>
      <c r="AO2450" s="144"/>
      <c r="AP2450" s="145"/>
      <c r="AQ2450" s="143"/>
      <c r="AR2450" s="143"/>
      <c r="AS2450" s="143"/>
      <c r="AT2450" s="143"/>
      <c r="AU2450" s="1814" t="str">
        <f t="shared" si="879"/>
        <v>-</v>
      </c>
    </row>
    <row r="2451" spans="1:47" s="170" customFormat="1" x14ac:dyDescent="0.2">
      <c r="A2451" s="145" t="s">
        <v>58</v>
      </c>
      <c r="B2451" s="279" t="s">
        <v>533</v>
      </c>
      <c r="C2451" s="153" t="s">
        <v>5613</v>
      </c>
      <c r="D2451" s="152" t="s">
        <v>5614</v>
      </c>
      <c r="E2451" s="1337" t="s">
        <v>5615</v>
      </c>
      <c r="F2451" s="147" t="s">
        <v>150</v>
      </c>
      <c r="G2451" s="1338" t="s">
        <v>5605</v>
      </c>
      <c r="H2451" s="1338" t="s">
        <v>5605</v>
      </c>
      <c r="I2451" s="1338" t="s">
        <v>52</v>
      </c>
      <c r="J2451" s="156" t="s">
        <v>53</v>
      </c>
      <c r="K2451" s="1338" t="s">
        <v>54</v>
      </c>
      <c r="L2451" s="156" t="s">
        <v>55</v>
      </c>
      <c r="M2451" s="977">
        <v>625</v>
      </c>
      <c r="N2451" s="639">
        <v>675</v>
      </c>
      <c r="O2451" s="145" t="s">
        <v>56</v>
      </c>
      <c r="P2451" s="145">
        <v>31</v>
      </c>
      <c r="Q2451" s="145">
        <v>47</v>
      </c>
      <c r="R2451" s="145">
        <v>31</v>
      </c>
      <c r="S2451" s="144">
        <v>47</v>
      </c>
      <c r="T2451" s="1777">
        <f>Table1[[#This Row],[VO Wdth]]</f>
        <v>31</v>
      </c>
      <c r="U2451" s="1777">
        <f>Table1[[#This Row],[VO Hgt]]</f>
        <v>47</v>
      </c>
      <c r="V2451" s="149">
        <f t="shared" si="875"/>
        <v>39</v>
      </c>
      <c r="W2451" s="149">
        <f t="shared" si="876"/>
        <v>55</v>
      </c>
      <c r="X2451" s="157" t="s">
        <v>57</v>
      </c>
      <c r="Y2451" s="145">
        <v>39</v>
      </c>
      <c r="Z2451" s="145">
        <v>110</v>
      </c>
      <c r="AA2451" s="722">
        <f t="shared" si="870"/>
        <v>14.895833333333334</v>
      </c>
      <c r="AB2451" s="389">
        <f t="shared" si="877"/>
        <v>313.40833333333336</v>
      </c>
      <c r="AC2451" s="48">
        <f t="shared" si="873"/>
        <v>9.8312500000000007</v>
      </c>
      <c r="AD2451" s="150">
        <f t="shared" si="878"/>
        <v>25.072666666666667</v>
      </c>
      <c r="AE2451" s="104">
        <f>IF(Table1[[#This Row],[Work Center]]="SwissQ",Materials!G$37,IF(Table1[[#This Row],[Work Center]]="Inca",Materials!G$29,IF(Table1[[#This Row],[Work Center]]="Canon",Materials!G$49,Materials!G$45)))</f>
        <v>8</v>
      </c>
      <c r="AF2451" s="143">
        <f>'Cali FPS'!C$54</f>
        <v>105.78750000000001</v>
      </c>
      <c r="AG2451" s="115"/>
      <c r="AH2451" s="498">
        <f t="shared" si="874"/>
        <v>31.25</v>
      </c>
      <c r="AI2451" s="498"/>
      <c r="AJ2451" s="143">
        <f t="shared" si="871"/>
        <v>179.94141666666667</v>
      </c>
      <c r="AK2451" s="650">
        <f t="shared" si="872"/>
        <v>0.71209373333333337</v>
      </c>
      <c r="AL2451" s="225">
        <f>Table1[[#This Row],[WSP/Dealer]]/Table1[[#This Row],[OD Sq Inch]]</f>
        <v>0.42896362388469456</v>
      </c>
      <c r="AM2451" s="97">
        <f>Table1[[#This Row],[OD Wdth]]*Table1[[#This Row],[OD Hgt]]</f>
        <v>1457</v>
      </c>
      <c r="AN2451" s="216">
        <f>Table1[[#This Row],[Min VO]]+Table1[[#This Row],[Max VO]]</f>
        <v>78</v>
      </c>
      <c r="AO2451" s="144"/>
      <c r="AP2451" s="145"/>
      <c r="AQ2451" s="143"/>
      <c r="AR2451" s="143"/>
      <c r="AS2451" s="143"/>
      <c r="AT2451" s="143"/>
      <c r="AU2451" s="1814" t="str">
        <f t="shared" si="879"/>
        <v>-</v>
      </c>
    </row>
    <row r="2452" spans="1:47" s="170" customFormat="1" hidden="1" x14ac:dyDescent="0.2">
      <c r="A2452" s="145"/>
      <c r="B2452" s="279"/>
      <c r="C2452" s="153" t="s">
        <v>5616</v>
      </c>
      <c r="D2452" s="152"/>
      <c r="E2452" s="1337" t="s">
        <v>5617</v>
      </c>
      <c r="F2452" s="147" t="s">
        <v>150</v>
      </c>
      <c r="G2452" s="1338" t="s">
        <v>5605</v>
      </c>
      <c r="H2452" s="156" t="s">
        <v>5605</v>
      </c>
      <c r="I2452" s="177" t="s">
        <v>52</v>
      </c>
      <c r="J2452" s="145" t="s">
        <v>53</v>
      </c>
      <c r="K2452" s="177" t="s">
        <v>54</v>
      </c>
      <c r="L2452" s="145" t="s">
        <v>55</v>
      </c>
      <c r="M2452" s="977">
        <v>625</v>
      </c>
      <c r="N2452" s="71"/>
      <c r="O2452" s="145" t="s">
        <v>56</v>
      </c>
      <c r="P2452" s="145">
        <v>31</v>
      </c>
      <c r="Q2452" s="145">
        <v>47</v>
      </c>
      <c r="R2452" s="145">
        <v>31</v>
      </c>
      <c r="S2452" s="145">
        <v>47</v>
      </c>
      <c r="T2452" s="698">
        <f>Table1[[#This Row],[VO Wdth]]</f>
        <v>31</v>
      </c>
      <c r="U2452" s="698">
        <f>Table1[[#This Row],[VO Hgt]]</f>
        <v>47</v>
      </c>
      <c r="V2452" s="913">
        <f t="shared" si="875"/>
        <v>39</v>
      </c>
      <c r="W2452" s="913">
        <f t="shared" si="876"/>
        <v>55</v>
      </c>
      <c r="X2452" s="157" t="s">
        <v>57</v>
      </c>
      <c r="Y2452" s="145">
        <v>39</v>
      </c>
      <c r="Z2452" s="145">
        <v>110</v>
      </c>
      <c r="AA2452" s="722">
        <f t="shared" si="870"/>
        <v>14.895833333333334</v>
      </c>
      <c r="AB2452" s="389">
        <f t="shared" si="877"/>
        <v>313.40833333333336</v>
      </c>
      <c r="AC2452" s="69">
        <f t="shared" si="873"/>
        <v>9.8312500000000007</v>
      </c>
      <c r="AD2452" s="143">
        <f t="shared" si="878"/>
        <v>25.072666666666667</v>
      </c>
      <c r="AE2452" s="104">
        <f>IF(Table1[[#This Row],[Work Center]]="SwissQ",Materials!G$37,IF(Table1[[#This Row],[Work Center]]="Inca",Materials!G$29,IF(Table1[[#This Row],[Work Center]]="Canon",Materials!G$49,Materials!G$45)))</f>
        <v>8</v>
      </c>
      <c r="AF2452" s="143">
        <f>'Cali FPS'!C$54</f>
        <v>105.78750000000001</v>
      </c>
      <c r="AG2452" s="115"/>
      <c r="AH2452" s="498">
        <f t="shared" si="874"/>
        <v>31.25</v>
      </c>
      <c r="AI2452" s="498"/>
      <c r="AJ2452" s="143">
        <f t="shared" si="871"/>
        <v>179.94141666666667</v>
      </c>
      <c r="AK2452" s="650">
        <f t="shared" si="872"/>
        <v>0.71209373333333337</v>
      </c>
      <c r="AL2452" s="225">
        <f>Table1[[#This Row],[WSP/Dealer]]/Table1[[#This Row],[OD Sq Inch]]</f>
        <v>0.42896362388469456</v>
      </c>
      <c r="AM2452" s="110">
        <f>Table1[[#This Row],[OD Wdth]]*Table1[[#This Row],[OD Hgt]]</f>
        <v>1457</v>
      </c>
      <c r="AN2452" s="216">
        <f>Table1[[#This Row],[Min VO]]+Table1[[#This Row],[Max VO]]</f>
        <v>78</v>
      </c>
      <c r="AO2452" s="145"/>
      <c r="AP2452" s="145"/>
      <c r="AQ2452" s="143"/>
      <c r="AR2452" s="143"/>
      <c r="AS2452" s="143"/>
      <c r="AT2452" s="143"/>
      <c r="AU2452" s="1371" t="str">
        <f t="shared" si="879"/>
        <v>-</v>
      </c>
    </row>
    <row r="2453" spans="1:47" s="170" customFormat="1" x14ac:dyDescent="0.2">
      <c r="A2453" s="68" t="s">
        <v>58</v>
      </c>
      <c r="B2453" s="279" t="s">
        <v>5618</v>
      </c>
      <c r="C2453" s="1053" t="s">
        <v>5619</v>
      </c>
      <c r="D2453" s="78"/>
      <c r="E2453" s="1632" t="s">
        <v>5620</v>
      </c>
      <c r="F2453" s="172" t="s">
        <v>150</v>
      </c>
      <c r="G2453" s="1479" t="s">
        <v>5621</v>
      </c>
      <c r="H2453" s="166" t="s">
        <v>5622</v>
      </c>
      <c r="I2453" s="1479" t="s">
        <v>52</v>
      </c>
      <c r="J2453" s="166" t="s">
        <v>53</v>
      </c>
      <c r="K2453" s="282" t="s">
        <v>82</v>
      </c>
      <c r="L2453" s="68" t="s">
        <v>83</v>
      </c>
      <c r="M2453" s="379">
        <v>750</v>
      </c>
      <c r="N2453" s="639">
        <v>725</v>
      </c>
      <c r="O2453" s="68" t="s">
        <v>56</v>
      </c>
      <c r="P2453" s="166">
        <v>31</v>
      </c>
      <c r="Q2453" s="166">
        <v>47</v>
      </c>
      <c r="R2453" s="166">
        <v>31</v>
      </c>
      <c r="S2453" s="166">
        <v>47</v>
      </c>
      <c r="T2453" s="916">
        <f>Table1[[#This Row],[VO Wdth]]</f>
        <v>31</v>
      </c>
      <c r="U2453" s="916">
        <f>Table1[[#This Row],[VO Hgt]]</f>
        <v>47</v>
      </c>
      <c r="V2453" s="1198">
        <f t="shared" si="875"/>
        <v>39</v>
      </c>
      <c r="W2453" s="1198">
        <f t="shared" si="876"/>
        <v>55</v>
      </c>
      <c r="X2453" s="381" t="s">
        <v>57</v>
      </c>
      <c r="Y2453" s="166">
        <v>39</v>
      </c>
      <c r="Z2453" s="166">
        <v>110</v>
      </c>
      <c r="AA2453" s="766">
        <f t="shared" si="870"/>
        <v>14.895833333333334</v>
      </c>
      <c r="AB2453" s="382">
        <f t="shared" si="877"/>
        <v>313.40833333333336</v>
      </c>
      <c r="AC2453" s="74">
        <f t="shared" si="873"/>
        <v>9.8312500000000007</v>
      </c>
      <c r="AD2453" s="161">
        <f t="shared" si="878"/>
        <v>25.072666666666667</v>
      </c>
      <c r="AE2453" s="74">
        <f>IF(Table1[[#This Row],[Work Center]]="SwissQ",Materials!G$37,IF(Table1[[#This Row],[Work Center]]="Inca",Materials!G$29,IF(Table1[[#This Row],[Work Center]]="Canon",Materials!G$49,Materials!G$45)))</f>
        <v>8</v>
      </c>
      <c r="AF2453" s="73">
        <f>'Cali Frames'!D129</f>
        <v>147.45500000000001</v>
      </c>
      <c r="AG2453" s="84"/>
      <c r="AH2453" s="498">
        <f t="shared" si="874"/>
        <v>37.5</v>
      </c>
      <c r="AI2453" s="498"/>
      <c r="AJ2453" s="162">
        <f t="shared" si="871"/>
        <v>227.85891666666669</v>
      </c>
      <c r="AK2453" s="650">
        <f t="shared" si="872"/>
        <v>0.69618811111111112</v>
      </c>
      <c r="AL2453" s="225">
        <f>Table1[[#This Row],[WSP/Dealer]]/Table1[[#This Row],[OD Sq Inch]]</f>
        <v>0.51475634866163344</v>
      </c>
      <c r="AM2453" s="63">
        <f>Table1[[#This Row],[OD Wdth]]*Table1[[#This Row],[OD Hgt]]</f>
        <v>1457</v>
      </c>
      <c r="AN2453" s="238">
        <f>Table1[[#This Row],[Min VO]]+Table1[[#This Row],[Max VO]]</f>
        <v>78</v>
      </c>
      <c r="AO2453" s="84"/>
      <c r="AP2453" s="84"/>
      <c r="AQ2453" s="126"/>
      <c r="AR2453" s="126"/>
      <c r="AS2453" s="126"/>
      <c r="AT2453" s="74"/>
      <c r="AU2453" s="1357" t="str">
        <f t="shared" si="879"/>
        <v>-</v>
      </c>
    </row>
    <row r="2454" spans="1:47" s="170" customFormat="1" x14ac:dyDescent="0.2">
      <c r="A2454" s="145" t="s">
        <v>58</v>
      </c>
      <c r="B2454" s="279" t="s">
        <v>533</v>
      </c>
      <c r="C2454" s="1337" t="s">
        <v>5623</v>
      </c>
      <c r="D2454" s="152" t="s">
        <v>5624</v>
      </c>
      <c r="E2454" s="1337" t="s">
        <v>5620</v>
      </c>
      <c r="F2454" s="154" t="s">
        <v>150</v>
      </c>
      <c r="G2454" s="177" t="s">
        <v>5621</v>
      </c>
      <c r="H2454" s="145" t="s">
        <v>5621</v>
      </c>
      <c r="I2454" s="177" t="s">
        <v>52</v>
      </c>
      <c r="J2454" s="145" t="s">
        <v>53</v>
      </c>
      <c r="K2454" s="177" t="s">
        <v>54</v>
      </c>
      <c r="L2454" s="145" t="s">
        <v>55</v>
      </c>
      <c r="M2454" s="977">
        <v>625</v>
      </c>
      <c r="N2454" s="639">
        <v>675</v>
      </c>
      <c r="O2454" s="145" t="s">
        <v>56</v>
      </c>
      <c r="P2454" s="145">
        <v>31</v>
      </c>
      <c r="Q2454" s="145">
        <v>47</v>
      </c>
      <c r="R2454" s="145">
        <v>31</v>
      </c>
      <c r="S2454" s="145">
        <v>47</v>
      </c>
      <c r="T2454" s="698">
        <f>Table1[[#This Row],[VO Wdth]]</f>
        <v>31</v>
      </c>
      <c r="U2454" s="698">
        <f>Table1[[#This Row],[VO Hgt]]</f>
        <v>47</v>
      </c>
      <c r="V2454" s="913">
        <f t="shared" si="875"/>
        <v>39</v>
      </c>
      <c r="W2454" s="913">
        <f t="shared" si="876"/>
        <v>55</v>
      </c>
      <c r="X2454" s="157" t="s">
        <v>57</v>
      </c>
      <c r="Y2454" s="145">
        <v>39</v>
      </c>
      <c r="Z2454" s="145">
        <v>110</v>
      </c>
      <c r="AA2454" s="722">
        <f t="shared" si="870"/>
        <v>14.895833333333334</v>
      </c>
      <c r="AB2454" s="389">
        <f t="shared" si="877"/>
        <v>313.40833333333336</v>
      </c>
      <c r="AC2454" s="69">
        <f t="shared" si="873"/>
        <v>9.8312500000000007</v>
      </c>
      <c r="AD2454" s="143">
        <f t="shared" si="878"/>
        <v>25.072666666666667</v>
      </c>
      <c r="AE2454" s="104">
        <f>IF(Table1[[#This Row],[Work Center]]="SwissQ",Materials!G$37,IF(Table1[[#This Row],[Work Center]]="Inca",Materials!G$29,IF(Table1[[#This Row],[Work Center]]="Canon",Materials!G$49,Materials!G$45)))</f>
        <v>8</v>
      </c>
      <c r="AF2454" s="143">
        <f>'Cali FPS'!C$54</f>
        <v>105.78750000000001</v>
      </c>
      <c r="AG2454" s="115"/>
      <c r="AH2454" s="498">
        <f t="shared" si="874"/>
        <v>31.25</v>
      </c>
      <c r="AI2454" s="498"/>
      <c r="AJ2454" s="143">
        <f t="shared" si="871"/>
        <v>179.94141666666667</v>
      </c>
      <c r="AK2454" s="650">
        <f t="shared" si="872"/>
        <v>0.71209373333333337</v>
      </c>
      <c r="AL2454" s="225">
        <f>Table1[[#This Row],[WSP/Dealer]]/Table1[[#This Row],[OD Sq Inch]]</f>
        <v>0.42896362388469456</v>
      </c>
      <c r="AM2454" s="110">
        <f>Table1[[#This Row],[OD Wdth]]*Table1[[#This Row],[OD Hgt]]</f>
        <v>1457</v>
      </c>
      <c r="AN2454" s="216">
        <f>Table1[[#This Row],[Min VO]]+Table1[[#This Row],[Max VO]]</f>
        <v>78</v>
      </c>
      <c r="AO2454" s="145"/>
      <c r="AP2454" s="145"/>
      <c r="AQ2454" s="143"/>
      <c r="AR2454" s="143"/>
      <c r="AS2454" s="143"/>
      <c r="AT2454" s="143"/>
      <c r="AU2454" s="1371" t="str">
        <f t="shared" si="879"/>
        <v>-</v>
      </c>
    </row>
    <row r="2455" spans="1:47" s="170" customFormat="1" x14ac:dyDescent="0.2">
      <c r="A2455" s="145" t="s">
        <v>58</v>
      </c>
      <c r="B2455" s="279" t="s">
        <v>5625</v>
      </c>
      <c r="C2455" s="1337" t="s">
        <v>5626</v>
      </c>
      <c r="D2455" s="152"/>
      <c r="E2455" s="1337" t="s">
        <v>5627</v>
      </c>
      <c r="F2455" s="154" t="s">
        <v>150</v>
      </c>
      <c r="G2455" s="177" t="s">
        <v>5628</v>
      </c>
      <c r="H2455" s="177" t="s">
        <v>5629</v>
      </c>
      <c r="I2455" s="177" t="s">
        <v>52</v>
      </c>
      <c r="J2455" s="145" t="s">
        <v>53</v>
      </c>
      <c r="K2455" s="177" t="s">
        <v>82</v>
      </c>
      <c r="L2455" s="145" t="s">
        <v>83</v>
      </c>
      <c r="M2455" s="1275">
        <v>1950</v>
      </c>
      <c r="N2455" s="639">
        <v>2145</v>
      </c>
      <c r="O2455" s="145" t="s">
        <v>64</v>
      </c>
      <c r="P2455" s="145">
        <v>64</v>
      </c>
      <c r="Q2455" s="145">
        <v>96</v>
      </c>
      <c r="R2455" s="145">
        <v>64</v>
      </c>
      <c r="S2455" s="144">
        <v>96</v>
      </c>
      <c r="T2455" s="1777">
        <f>Table1[[#This Row],[VO Wdth]]</f>
        <v>64</v>
      </c>
      <c r="U2455" s="1777">
        <f>Table1[[#This Row],[VO Hgt]]</f>
        <v>96</v>
      </c>
      <c r="V2455" s="149">
        <f>IF(J2455="Canvas",P2455+BorderL,P2455)</f>
        <v>75</v>
      </c>
      <c r="W2455" s="149">
        <f>IF(J2455="Canvas",Q2455+BorderL,Q2455)</f>
        <v>107</v>
      </c>
      <c r="X2455" s="157">
        <v>82</v>
      </c>
      <c r="Y2455" s="145">
        <v>75</v>
      </c>
      <c r="Z2455" s="145">
        <v>107</v>
      </c>
      <c r="AA2455" s="722">
        <f t="shared" si="870"/>
        <v>55.729166666666664</v>
      </c>
      <c r="AB2455" s="125">
        <f>AA2455*Swiss1</f>
        <v>1577.1354166666667</v>
      </c>
      <c r="AC2455" s="69">
        <f t="shared" si="873"/>
        <v>36.78125</v>
      </c>
      <c r="AD2455" s="48">
        <f>Table1[[#This Row],[Substrate SF]]*Materials!C$37</f>
        <v>156.04166666666666</v>
      </c>
      <c r="AE2455" s="104">
        <f>IF(Table1[[#This Row],[Work Center]]="SwissQ",Materials!G$37,IF(Table1[[#This Row],[Work Center]]="Inca",Materials!G$29,IF(Table1[[#This Row],[Work Center]]="Canon",Materials!G$49,Materials!G$45)))</f>
        <v>20</v>
      </c>
      <c r="AF2455" s="143" t="e">
        <f>'Cali Frames'!#REF!</f>
        <v>#REF!</v>
      </c>
      <c r="AG2455" s="83"/>
      <c r="AH2455" s="498">
        <f t="shared" si="874"/>
        <v>97.5</v>
      </c>
      <c r="AI2455" s="498"/>
      <c r="AJ2455" s="143" t="e">
        <f t="shared" si="871"/>
        <v>#REF!</v>
      </c>
      <c r="AK2455" s="650" t="e">
        <f t="shared" si="872"/>
        <v>#REF!</v>
      </c>
      <c r="AL2455" s="225">
        <f>Table1[[#This Row],[WSP/Dealer]]/Table1[[#This Row],[OD Sq Inch]]</f>
        <v>0.3173828125</v>
      </c>
      <c r="AM2455" s="46">
        <f>Table1[[#This Row],[OD Wdth]]*Table1[[#This Row],[OD Hgt]]</f>
        <v>6144</v>
      </c>
      <c r="AN2455" s="216">
        <f>Table1[[#This Row],[Min VO]]+Table1[[#This Row],[Max VO]]</f>
        <v>160</v>
      </c>
      <c r="AO2455" s="145"/>
      <c r="AP2455" s="145"/>
      <c r="AQ2455" s="143"/>
      <c r="AR2455" s="143"/>
      <c r="AS2455" s="143"/>
      <c r="AT2455" s="143"/>
      <c r="AU2455" s="1371" t="str">
        <f t="shared" si="879"/>
        <v>-</v>
      </c>
    </row>
    <row r="2456" spans="1:47" s="170" customFormat="1" x14ac:dyDescent="0.2">
      <c r="A2456" s="145" t="s">
        <v>58</v>
      </c>
      <c r="B2456" s="279" t="s">
        <v>5625</v>
      </c>
      <c r="C2456" s="1337" t="s">
        <v>5630</v>
      </c>
      <c r="D2456" s="152"/>
      <c r="E2456" s="1337" t="s">
        <v>5627</v>
      </c>
      <c r="F2456" s="154" t="s">
        <v>150</v>
      </c>
      <c r="G2456" s="177" t="s">
        <v>5628</v>
      </c>
      <c r="H2456" s="177" t="s">
        <v>5628</v>
      </c>
      <c r="I2456" s="177" t="s">
        <v>52</v>
      </c>
      <c r="J2456" s="145" t="s">
        <v>53</v>
      </c>
      <c r="K2456" s="177" t="s">
        <v>54</v>
      </c>
      <c r="L2456" s="145" t="s">
        <v>55</v>
      </c>
      <c r="M2456" s="1275">
        <v>1800</v>
      </c>
      <c r="N2456" s="639">
        <v>1800</v>
      </c>
      <c r="O2456" s="145" t="s">
        <v>64</v>
      </c>
      <c r="P2456" s="145">
        <v>64</v>
      </c>
      <c r="Q2456" s="145">
        <v>96</v>
      </c>
      <c r="R2456" s="145">
        <v>64</v>
      </c>
      <c r="S2456" s="145">
        <v>96</v>
      </c>
      <c r="T2456" s="698">
        <f>Table1[[#This Row],[VO Wdth]]</f>
        <v>64</v>
      </c>
      <c r="U2456" s="698">
        <f>Table1[[#This Row],[VO Hgt]]</f>
        <v>96</v>
      </c>
      <c r="V2456" s="149">
        <f>IF(J2456="Canvas",P2456+BorderL,P2456)</f>
        <v>75</v>
      </c>
      <c r="W2456" s="149">
        <f>IF(J2456="Canvas",Q2456+BorderL,Q2456)</f>
        <v>107</v>
      </c>
      <c r="X2456" s="157">
        <v>82</v>
      </c>
      <c r="Y2456" s="145">
        <v>75</v>
      </c>
      <c r="Z2456" s="145">
        <v>107</v>
      </c>
      <c r="AA2456" s="722">
        <f t="shared" si="870"/>
        <v>55.729166666666664</v>
      </c>
      <c r="AB2456" s="125">
        <f>AA2456*Swiss1</f>
        <v>1577.1354166666667</v>
      </c>
      <c r="AC2456" s="69">
        <f t="shared" si="873"/>
        <v>36.78125</v>
      </c>
      <c r="AD2456" s="48">
        <f>Table1[[#This Row],[Substrate SF]]*Materials!C$37</f>
        <v>156.04166666666666</v>
      </c>
      <c r="AE2456" s="104">
        <f>IF(Table1[[#This Row],[Work Center]]="SwissQ",Materials!G$37,IF(Table1[[#This Row],[Work Center]]="Inca",Materials!G$29,IF(Table1[[#This Row],[Work Center]]="Canon",Materials!G$49,Materials!G$45)))</f>
        <v>20</v>
      </c>
      <c r="AF2456" s="143" t="e">
        <f>'Cali FPS'!#REF!</f>
        <v>#REF!</v>
      </c>
      <c r="AG2456" s="83"/>
      <c r="AH2456" s="112">
        <f t="shared" si="874"/>
        <v>90</v>
      </c>
      <c r="AI2456" s="112"/>
      <c r="AJ2456" s="143" t="e">
        <f t="shared" si="871"/>
        <v>#REF!</v>
      </c>
      <c r="AK2456" s="62" t="e">
        <f t="shared" si="872"/>
        <v>#REF!</v>
      </c>
      <c r="AL2456" s="225">
        <f>Table1[[#This Row],[WSP/Dealer]]/Table1[[#This Row],[OD Sq Inch]]</f>
        <v>0.29296875</v>
      </c>
      <c r="AM2456" s="46">
        <f>Table1[[#This Row],[OD Wdth]]*Table1[[#This Row],[OD Hgt]]</f>
        <v>6144</v>
      </c>
      <c r="AN2456" s="216">
        <f>Table1[[#This Row],[Min VO]]+Table1[[#This Row],[Max VO]]</f>
        <v>160</v>
      </c>
      <c r="AO2456" s="145"/>
      <c r="AP2456" s="145"/>
      <c r="AQ2456" s="143"/>
      <c r="AR2456" s="143"/>
      <c r="AS2456" s="143"/>
      <c r="AT2456" s="143"/>
      <c r="AU2456" s="1371" t="str">
        <f t="shared" si="879"/>
        <v>-</v>
      </c>
    </row>
    <row r="2457" spans="1:47" s="170" customFormat="1" x14ac:dyDescent="0.2">
      <c r="A2457" s="145" t="s">
        <v>58</v>
      </c>
      <c r="B2457" s="1061" t="s">
        <v>533</v>
      </c>
      <c r="C2457" s="153" t="s">
        <v>5631</v>
      </c>
      <c r="D2457" s="152" t="s">
        <v>5632</v>
      </c>
      <c r="E2457" s="1337" t="s">
        <v>5633</v>
      </c>
      <c r="F2457" s="147" t="s">
        <v>150</v>
      </c>
      <c r="G2457" s="177" t="s">
        <v>5621</v>
      </c>
      <c r="H2457" s="177" t="s">
        <v>5621</v>
      </c>
      <c r="I2457" s="177" t="s">
        <v>52</v>
      </c>
      <c r="J2457" s="145" t="s">
        <v>53</v>
      </c>
      <c r="K2457" s="177" t="s">
        <v>54</v>
      </c>
      <c r="L2457" s="145" t="s">
        <v>55</v>
      </c>
      <c r="M2457" s="977">
        <v>625</v>
      </c>
      <c r="N2457" s="639">
        <v>675</v>
      </c>
      <c r="O2457" s="145" t="s">
        <v>56</v>
      </c>
      <c r="P2457" s="145">
        <v>31</v>
      </c>
      <c r="Q2457" s="145">
        <v>47</v>
      </c>
      <c r="R2457" s="145">
        <v>31</v>
      </c>
      <c r="S2457" s="145">
        <v>47</v>
      </c>
      <c r="T2457" s="698">
        <f>Table1[[#This Row],[VO Wdth]]</f>
        <v>31</v>
      </c>
      <c r="U2457" s="698">
        <f>Table1[[#This Row],[VO Hgt]]</f>
        <v>47</v>
      </c>
      <c r="V2457" s="913">
        <f>IF(J2457="Canvas",P2457+Border,P2457)</f>
        <v>39</v>
      </c>
      <c r="W2457" s="913">
        <f>IF(J2457="Canvas",Q2457+Border,Q2457)</f>
        <v>55</v>
      </c>
      <c r="X2457" s="157" t="s">
        <v>57</v>
      </c>
      <c r="Y2457" s="145">
        <v>39</v>
      </c>
      <c r="Z2457" s="145">
        <v>110</v>
      </c>
      <c r="AA2457" s="722">
        <f t="shared" si="870"/>
        <v>14.895833333333334</v>
      </c>
      <c r="AB2457" s="389">
        <f>AA2457*IncaG</f>
        <v>313.40833333333336</v>
      </c>
      <c r="AC2457" s="69">
        <f t="shared" si="873"/>
        <v>9.8312500000000007</v>
      </c>
      <c r="AD2457" s="150">
        <f>AA2457*IncaC</f>
        <v>25.072666666666667</v>
      </c>
      <c r="AE2457" s="104">
        <f>IF(Table1[[#This Row],[Work Center]]="SwissQ",Materials!G$37,IF(Table1[[#This Row],[Work Center]]="Inca",Materials!G$29,IF(Table1[[#This Row],[Work Center]]="Canon",Materials!G$49,Materials!G$45)))</f>
        <v>8</v>
      </c>
      <c r="AF2457" s="143">
        <f>'Cali FPS'!C$54</f>
        <v>105.78750000000001</v>
      </c>
      <c r="AG2457" s="115"/>
      <c r="AH2457" s="498">
        <f t="shared" si="874"/>
        <v>31.25</v>
      </c>
      <c r="AI2457" s="498"/>
      <c r="AJ2457" s="143">
        <f t="shared" si="871"/>
        <v>179.94141666666667</v>
      </c>
      <c r="AK2457" s="650">
        <f t="shared" si="872"/>
        <v>0.71209373333333337</v>
      </c>
      <c r="AL2457" s="225">
        <f>Table1[[#This Row],[WSP/Dealer]]/Table1[[#This Row],[OD Sq Inch]]</f>
        <v>0.42896362388469456</v>
      </c>
      <c r="AM2457" s="218">
        <f>Table1[[#This Row],[OD Wdth]]*Table1[[#This Row],[OD Hgt]]</f>
        <v>1457</v>
      </c>
      <c r="AN2457" s="216">
        <f>Table1[[#This Row],[Min VO]]+Table1[[#This Row],[Max VO]]</f>
        <v>78</v>
      </c>
      <c r="AO2457" s="145"/>
      <c r="AP2457" s="145"/>
      <c r="AQ2457" s="143"/>
      <c r="AR2457" s="143"/>
      <c r="AS2457" s="143"/>
      <c r="AT2457" s="143"/>
      <c r="AU2457" s="1371" t="str">
        <f t="shared" si="879"/>
        <v>-</v>
      </c>
    </row>
    <row r="2458" spans="1:47" s="173" customFormat="1" x14ac:dyDescent="0.2">
      <c r="A2458" s="60" t="s">
        <v>58</v>
      </c>
      <c r="B2458" s="1061" t="s">
        <v>5618</v>
      </c>
      <c r="C2458" s="80" t="s">
        <v>5634</v>
      </c>
      <c r="D2458" s="76"/>
      <c r="E2458" s="1658" t="s">
        <v>5633</v>
      </c>
      <c r="F2458" s="99" t="s">
        <v>150</v>
      </c>
      <c r="G2458" s="177" t="s">
        <v>5621</v>
      </c>
      <c r="H2458" s="145" t="s">
        <v>5622</v>
      </c>
      <c r="I2458" s="177" t="s">
        <v>52</v>
      </c>
      <c r="J2458" s="145" t="s">
        <v>53</v>
      </c>
      <c r="K2458" s="92" t="s">
        <v>82</v>
      </c>
      <c r="L2458" s="60" t="s">
        <v>83</v>
      </c>
      <c r="M2458" s="647">
        <v>750</v>
      </c>
      <c r="N2458" s="656">
        <v>725</v>
      </c>
      <c r="O2458" s="60" t="s">
        <v>56</v>
      </c>
      <c r="P2458" s="145">
        <v>31</v>
      </c>
      <c r="Q2458" s="145">
        <v>47</v>
      </c>
      <c r="R2458" s="145">
        <v>31</v>
      </c>
      <c r="S2458" s="145">
        <v>47</v>
      </c>
      <c r="T2458" s="698">
        <f>Table1[[#This Row],[VO Wdth]]</f>
        <v>31</v>
      </c>
      <c r="U2458" s="698">
        <f>Table1[[#This Row],[VO Hgt]]</f>
        <v>47</v>
      </c>
      <c r="V2458" s="913">
        <f>IF(J2458="Canvas",P2458+Border,P2458)</f>
        <v>39</v>
      </c>
      <c r="W2458" s="913">
        <f>IF(J2458="Canvas",Q2458+Border,Q2458)</f>
        <v>55</v>
      </c>
      <c r="X2458" s="157" t="s">
        <v>57</v>
      </c>
      <c r="Y2458" s="145">
        <v>39</v>
      </c>
      <c r="Z2458" s="145">
        <v>110</v>
      </c>
      <c r="AA2458" s="722">
        <f t="shared" si="870"/>
        <v>14.895833333333334</v>
      </c>
      <c r="AB2458" s="389">
        <f>AA2458*IncaG</f>
        <v>313.40833333333336</v>
      </c>
      <c r="AC2458" s="69">
        <f t="shared" si="873"/>
        <v>9.8312500000000007</v>
      </c>
      <c r="AD2458" s="150">
        <f>AA2458*IncaC</f>
        <v>25.072666666666667</v>
      </c>
      <c r="AE2458" s="69">
        <f>IF(Table1[[#This Row],[Work Center]]="SwissQ",Materials!G$37,IF(Table1[[#This Row],[Work Center]]="Inca",Materials!G$29,IF(Table1[[#This Row],[Work Center]]="Canon",Materials!G$49,Materials!G$45)))</f>
        <v>8</v>
      </c>
      <c r="AF2458" s="72">
        <f>'Cali Frames'!D129</f>
        <v>147.45500000000001</v>
      </c>
      <c r="AG2458" s="83"/>
      <c r="AH2458" s="69">
        <f t="shared" si="874"/>
        <v>37.5</v>
      </c>
      <c r="AI2458" s="69"/>
      <c r="AJ2458" s="150">
        <f t="shared" si="871"/>
        <v>227.85891666666669</v>
      </c>
      <c r="AK2458" s="650">
        <f t="shared" si="872"/>
        <v>0.69618811111111112</v>
      </c>
      <c r="AL2458" s="225">
        <f>Table1[[#This Row],[WSP/Dealer]]/Table1[[#This Row],[OD Sq Inch]]</f>
        <v>0.51475634866163344</v>
      </c>
      <c r="AM2458" s="46">
        <f>Table1[[#This Row],[OD Wdth]]*Table1[[#This Row],[OD Hgt]]</f>
        <v>1457</v>
      </c>
      <c r="AN2458" s="216">
        <f>Table1[[#This Row],[Min VO]]+Table1[[#This Row],[Max VO]]</f>
        <v>78</v>
      </c>
      <c r="AO2458" s="83"/>
      <c r="AP2458" s="83"/>
      <c r="AQ2458" s="540"/>
      <c r="AR2458" s="540"/>
      <c r="AS2458" s="540"/>
      <c r="AT2458" s="69"/>
      <c r="AU2458" s="1361" t="str">
        <f t="shared" si="879"/>
        <v>-</v>
      </c>
    </row>
    <row r="2459" spans="1:47" s="170" customFormat="1" x14ac:dyDescent="0.2">
      <c r="A2459" s="145" t="s">
        <v>58</v>
      </c>
      <c r="B2459" s="279" t="s">
        <v>5625</v>
      </c>
      <c r="C2459" s="153" t="s">
        <v>5635</v>
      </c>
      <c r="D2459" s="152"/>
      <c r="E2459" s="1337" t="s">
        <v>5636</v>
      </c>
      <c r="F2459" s="147" t="s">
        <v>150</v>
      </c>
      <c r="G2459" s="177" t="s">
        <v>5628</v>
      </c>
      <c r="H2459" s="145" t="s">
        <v>5629</v>
      </c>
      <c r="I2459" s="177" t="s">
        <v>52</v>
      </c>
      <c r="J2459" s="145" t="s">
        <v>53</v>
      </c>
      <c r="K2459" s="177" t="s">
        <v>82</v>
      </c>
      <c r="L2459" s="145" t="s">
        <v>83</v>
      </c>
      <c r="M2459" s="1275">
        <v>1950</v>
      </c>
      <c r="N2459" s="639">
        <v>2145</v>
      </c>
      <c r="O2459" s="145" t="s">
        <v>64</v>
      </c>
      <c r="P2459" s="145">
        <v>64</v>
      </c>
      <c r="Q2459" s="145">
        <v>96</v>
      </c>
      <c r="R2459" s="145">
        <v>64</v>
      </c>
      <c r="S2459" s="145">
        <v>96</v>
      </c>
      <c r="T2459" s="698">
        <f>Table1[[#This Row],[VO Wdth]]</f>
        <v>64</v>
      </c>
      <c r="U2459" s="698">
        <f>Table1[[#This Row],[VO Hgt]]</f>
        <v>96</v>
      </c>
      <c r="V2459" s="913">
        <f>IF(J2459="Canvas",P2459+BorderL,P2459)</f>
        <v>75</v>
      </c>
      <c r="W2459" s="913">
        <f>IF(J2459="Canvas",Q2459+BorderL,Q2459)</f>
        <v>107</v>
      </c>
      <c r="X2459" s="157">
        <v>82</v>
      </c>
      <c r="Y2459" s="145">
        <v>75</v>
      </c>
      <c r="Z2459" s="145">
        <v>107</v>
      </c>
      <c r="AA2459" s="722">
        <f t="shared" si="870"/>
        <v>55.729166666666664</v>
      </c>
      <c r="AB2459" s="125">
        <f>AA2459*Swiss1</f>
        <v>1577.1354166666667</v>
      </c>
      <c r="AC2459" s="69">
        <f t="shared" si="873"/>
        <v>36.78125</v>
      </c>
      <c r="AD2459" s="48">
        <f>Table1[[#This Row],[Substrate SF]]*Materials!C$37</f>
        <v>156.04166666666666</v>
      </c>
      <c r="AE2459" s="104">
        <f>IF(Table1[[#This Row],[Work Center]]="SwissQ",Materials!G$37,IF(Table1[[#This Row],[Work Center]]="Inca",Materials!G$29,IF(Table1[[#This Row],[Work Center]]="Canon",Materials!G$49,Materials!G$45)))</f>
        <v>20</v>
      </c>
      <c r="AF2459" s="143" t="e">
        <f>'Cali Frames'!#REF!</f>
        <v>#REF!</v>
      </c>
      <c r="AG2459" s="83"/>
      <c r="AH2459" s="112">
        <f t="shared" si="874"/>
        <v>97.5</v>
      </c>
      <c r="AI2459" s="112"/>
      <c r="AJ2459" s="143" t="e">
        <f t="shared" si="871"/>
        <v>#REF!</v>
      </c>
      <c r="AK2459" s="62" t="e">
        <f t="shared" si="872"/>
        <v>#REF!</v>
      </c>
      <c r="AL2459" s="225">
        <f>Table1[[#This Row],[WSP/Dealer]]/Table1[[#This Row],[OD Sq Inch]]</f>
        <v>0.3173828125</v>
      </c>
      <c r="AM2459" s="218">
        <f>Table1[[#This Row],[OD Wdth]]*Table1[[#This Row],[OD Hgt]]</f>
        <v>6144</v>
      </c>
      <c r="AN2459" s="216">
        <f>Table1[[#This Row],[Min VO]]+Table1[[#This Row],[Max VO]]</f>
        <v>160</v>
      </c>
      <c r="AO2459" s="145"/>
      <c r="AP2459" s="145"/>
      <c r="AQ2459" s="143"/>
      <c r="AR2459" s="143"/>
      <c r="AS2459" s="143"/>
      <c r="AT2459" s="143"/>
      <c r="AU2459" s="1371" t="str">
        <f t="shared" si="879"/>
        <v>-</v>
      </c>
    </row>
    <row r="2460" spans="1:47" s="170" customFormat="1" x14ac:dyDescent="0.2">
      <c r="A2460" s="145" t="s">
        <v>58</v>
      </c>
      <c r="B2460" s="279" t="s">
        <v>5625</v>
      </c>
      <c r="C2460" s="153" t="s">
        <v>5637</v>
      </c>
      <c r="D2460" s="152"/>
      <c r="E2460" s="1337" t="s">
        <v>5636</v>
      </c>
      <c r="F2460" s="147" t="s">
        <v>150</v>
      </c>
      <c r="G2460" s="177" t="s">
        <v>5628</v>
      </c>
      <c r="H2460" s="145" t="s">
        <v>5628</v>
      </c>
      <c r="I2460" s="177" t="s">
        <v>52</v>
      </c>
      <c r="J2460" s="145" t="s">
        <v>53</v>
      </c>
      <c r="K2460" s="177" t="s">
        <v>54</v>
      </c>
      <c r="L2460" s="145" t="s">
        <v>55</v>
      </c>
      <c r="M2460" s="1275">
        <v>1800</v>
      </c>
      <c r="N2460" s="639">
        <v>1800</v>
      </c>
      <c r="O2460" s="145" t="s">
        <v>64</v>
      </c>
      <c r="P2460" s="145">
        <v>64</v>
      </c>
      <c r="Q2460" s="145">
        <v>96</v>
      </c>
      <c r="R2460" s="145">
        <v>64</v>
      </c>
      <c r="S2460" s="145">
        <v>96</v>
      </c>
      <c r="T2460" s="698">
        <f>Table1[[#This Row],[VO Wdth]]</f>
        <v>64</v>
      </c>
      <c r="U2460" s="698">
        <f>Table1[[#This Row],[VO Hgt]]</f>
        <v>96</v>
      </c>
      <c r="V2460" s="913">
        <f>IF(J2460="Canvas",P2460+BorderL,P2460)</f>
        <v>75</v>
      </c>
      <c r="W2460" s="913">
        <f>IF(J2460="Canvas",Q2460+BorderL,Q2460)</f>
        <v>107</v>
      </c>
      <c r="X2460" s="157">
        <v>82</v>
      </c>
      <c r="Y2460" s="145">
        <v>75</v>
      </c>
      <c r="Z2460" s="145">
        <v>107</v>
      </c>
      <c r="AA2460" s="722">
        <f t="shared" si="870"/>
        <v>55.729166666666664</v>
      </c>
      <c r="AB2460" s="125">
        <f>AA2460*Swiss1</f>
        <v>1577.1354166666667</v>
      </c>
      <c r="AC2460" s="69">
        <f t="shared" si="873"/>
        <v>36.78125</v>
      </c>
      <c r="AD2460" s="48">
        <f>Table1[[#This Row],[Substrate SF]]*Materials!C$37</f>
        <v>156.04166666666666</v>
      </c>
      <c r="AE2460" s="104">
        <f>IF(Table1[[#This Row],[Work Center]]="SwissQ",Materials!G$37,IF(Table1[[#This Row],[Work Center]]="Inca",Materials!G$29,IF(Table1[[#This Row],[Work Center]]="Canon",Materials!G$49,Materials!G$45)))</f>
        <v>20</v>
      </c>
      <c r="AF2460" s="143" t="e">
        <f>'Cali FPS'!#REF!</f>
        <v>#REF!</v>
      </c>
      <c r="AG2460" s="83"/>
      <c r="AH2460" s="112">
        <f t="shared" si="874"/>
        <v>90</v>
      </c>
      <c r="AI2460" s="112"/>
      <c r="AJ2460" s="143" t="e">
        <f t="shared" si="871"/>
        <v>#REF!</v>
      </c>
      <c r="AK2460" s="62" t="e">
        <f t="shared" si="872"/>
        <v>#REF!</v>
      </c>
      <c r="AL2460" s="225">
        <f>Table1[[#This Row],[WSP/Dealer]]/Table1[[#This Row],[OD Sq Inch]]</f>
        <v>0.29296875</v>
      </c>
      <c r="AM2460" s="218">
        <f>Table1[[#This Row],[OD Wdth]]*Table1[[#This Row],[OD Hgt]]</f>
        <v>6144</v>
      </c>
      <c r="AN2460" s="216">
        <f>Table1[[#This Row],[Min VO]]+Table1[[#This Row],[Max VO]]</f>
        <v>160</v>
      </c>
      <c r="AO2460" s="145"/>
      <c r="AP2460" s="145"/>
      <c r="AQ2460" s="143"/>
      <c r="AR2460" s="143"/>
      <c r="AS2460" s="143"/>
      <c r="AT2460" s="143"/>
      <c r="AU2460" s="1371" t="str">
        <f t="shared" si="879"/>
        <v>-</v>
      </c>
    </row>
    <row r="2461" spans="1:47" s="170" customFormat="1" x14ac:dyDescent="0.2">
      <c r="A2461" s="101" t="s">
        <v>58</v>
      </c>
      <c r="B2461" s="1062" t="s">
        <v>5618</v>
      </c>
      <c r="C2461" s="1336" t="s">
        <v>5638</v>
      </c>
      <c r="D2461" s="100"/>
      <c r="E2461" s="1656" t="s">
        <v>5639</v>
      </c>
      <c r="F2461" s="169" t="s">
        <v>150</v>
      </c>
      <c r="G2461" s="1562" t="s">
        <v>5621</v>
      </c>
      <c r="H2461" s="1562" t="s">
        <v>5622</v>
      </c>
      <c r="I2461" s="1562" t="s">
        <v>52</v>
      </c>
      <c r="J2461" s="188" t="s">
        <v>53</v>
      </c>
      <c r="K2461" s="303" t="s">
        <v>82</v>
      </c>
      <c r="L2461" s="101" t="s">
        <v>83</v>
      </c>
      <c r="M2461" s="692">
        <v>750</v>
      </c>
      <c r="N2461" s="829">
        <v>725</v>
      </c>
      <c r="O2461" s="101" t="s">
        <v>56</v>
      </c>
      <c r="P2461" s="188">
        <v>31</v>
      </c>
      <c r="Q2461" s="188">
        <v>47</v>
      </c>
      <c r="R2461" s="188">
        <v>31</v>
      </c>
      <c r="S2461" s="188">
        <v>47</v>
      </c>
      <c r="T2461" s="1328">
        <f>Table1[[#This Row],[VO Wdth]]</f>
        <v>31</v>
      </c>
      <c r="U2461" s="1328">
        <f>Table1[[#This Row],[VO Hgt]]</f>
        <v>47</v>
      </c>
      <c r="V2461" s="1178">
        <f>IF(J2461="Canvas",P2461+Border,P2461)</f>
        <v>39</v>
      </c>
      <c r="W2461" s="1178">
        <f>IF(J2461="Canvas",Q2461+Border,Q2461)</f>
        <v>55</v>
      </c>
      <c r="X2461" s="800" t="s">
        <v>57</v>
      </c>
      <c r="Y2461" s="188">
        <v>39</v>
      </c>
      <c r="Z2461" s="188">
        <v>110</v>
      </c>
      <c r="AA2461" s="815">
        <f t="shared" si="870"/>
        <v>14.895833333333334</v>
      </c>
      <c r="AB2461" s="721">
        <f>AA2461*IncaG</f>
        <v>313.40833333333336</v>
      </c>
      <c r="AC2461" s="104">
        <f t="shared" si="873"/>
        <v>9.8312500000000007</v>
      </c>
      <c r="AD2461" s="606">
        <f>AA2461*IncaC</f>
        <v>25.072666666666667</v>
      </c>
      <c r="AE2461" s="104">
        <f>IF(Table1[[#This Row],[Work Center]]="SwissQ",Materials!G$37,IF(Table1[[#This Row],[Work Center]]="Inca",Materials!G$29,IF(Table1[[#This Row],[Work Center]]="Canon",Materials!G$49,Materials!G$45)))</f>
        <v>8</v>
      </c>
      <c r="AF2461" s="102">
        <f>'Cali Frames'!D129</f>
        <v>147.45500000000001</v>
      </c>
      <c r="AG2461" s="115"/>
      <c r="AH2461" s="107">
        <f t="shared" si="874"/>
        <v>37.5</v>
      </c>
      <c r="AI2461" s="107"/>
      <c r="AJ2461" s="606">
        <f t="shared" si="871"/>
        <v>227.85891666666669</v>
      </c>
      <c r="AK2461" s="108">
        <f t="shared" si="872"/>
        <v>0.69618811111111112</v>
      </c>
      <c r="AL2461" s="660">
        <f>Table1[[#This Row],[WSP/Dealer]]/Table1[[#This Row],[OD Sq Inch]]</f>
        <v>0.51475634866163344</v>
      </c>
      <c r="AM2461" s="101">
        <f>Table1[[#This Row],[OD Wdth]]*Table1[[#This Row],[OD Hgt]]</f>
        <v>1457</v>
      </c>
      <c r="AN2461" s="266">
        <f>Table1[[#This Row],[Min VO]]+Table1[[#This Row],[Max VO]]</f>
        <v>78</v>
      </c>
      <c r="AO2461" s="115"/>
      <c r="AP2461" s="115"/>
      <c r="AQ2461" s="121"/>
      <c r="AR2461" s="121"/>
      <c r="AS2461" s="121"/>
      <c r="AT2461" s="104"/>
      <c r="AU2461" s="1359" t="str">
        <f t="shared" si="879"/>
        <v>-</v>
      </c>
    </row>
    <row r="2462" spans="1:47" s="399" customFormat="1" x14ac:dyDescent="0.2">
      <c r="A2462" s="145" t="s">
        <v>58</v>
      </c>
      <c r="B2462" s="1061" t="s">
        <v>533</v>
      </c>
      <c r="C2462" s="1337" t="s">
        <v>5640</v>
      </c>
      <c r="D2462" s="152" t="s">
        <v>5641</v>
      </c>
      <c r="E2462" s="1337" t="s">
        <v>5639</v>
      </c>
      <c r="F2462" s="154" t="s">
        <v>150</v>
      </c>
      <c r="G2462" s="177" t="s">
        <v>5621</v>
      </c>
      <c r="H2462" s="177" t="s">
        <v>5621</v>
      </c>
      <c r="I2462" s="177" t="s">
        <v>52</v>
      </c>
      <c r="J2462" s="145" t="s">
        <v>53</v>
      </c>
      <c r="K2462" s="177" t="s">
        <v>54</v>
      </c>
      <c r="L2462" s="145" t="s">
        <v>55</v>
      </c>
      <c r="M2462" s="977">
        <v>625</v>
      </c>
      <c r="N2462" s="639">
        <v>675</v>
      </c>
      <c r="O2462" s="145" t="s">
        <v>56</v>
      </c>
      <c r="P2462" s="145">
        <v>31</v>
      </c>
      <c r="Q2462" s="145">
        <v>47</v>
      </c>
      <c r="R2462" s="145">
        <v>31</v>
      </c>
      <c r="S2462" s="145">
        <v>47</v>
      </c>
      <c r="T2462" s="698">
        <f>Table1[[#This Row],[VO Wdth]]</f>
        <v>31</v>
      </c>
      <c r="U2462" s="698">
        <f>Table1[[#This Row],[VO Hgt]]</f>
        <v>47</v>
      </c>
      <c r="V2462" s="913">
        <f>IF(J2462="Canvas",P2462+Border,P2462)</f>
        <v>39</v>
      </c>
      <c r="W2462" s="913">
        <f>IF(J2462="Canvas",Q2462+Border,Q2462)</f>
        <v>55</v>
      </c>
      <c r="X2462" s="157" t="s">
        <v>57</v>
      </c>
      <c r="Y2462" s="145">
        <v>39</v>
      </c>
      <c r="Z2462" s="145">
        <v>110</v>
      </c>
      <c r="AA2462" s="722">
        <f t="shared" si="870"/>
        <v>14.895833333333334</v>
      </c>
      <c r="AB2462" s="389">
        <f>AA2462*IncaG</f>
        <v>313.40833333333336</v>
      </c>
      <c r="AC2462" s="69">
        <f t="shared" si="873"/>
        <v>9.8312500000000007</v>
      </c>
      <c r="AD2462" s="150">
        <f>AA2462*IncaC</f>
        <v>25.072666666666667</v>
      </c>
      <c r="AE2462" s="104">
        <f>IF(Table1[[#This Row],[Work Center]]="SwissQ",Materials!G$37,IF(Table1[[#This Row],[Work Center]]="Inca",Materials!G$29,IF(Table1[[#This Row],[Work Center]]="Canon",Materials!G$49,Materials!G$45)))</f>
        <v>8</v>
      </c>
      <c r="AF2462" s="143">
        <f>'Cali FPS'!C$54</f>
        <v>105.78750000000001</v>
      </c>
      <c r="AG2462" s="115"/>
      <c r="AH2462" s="112">
        <f t="shared" si="874"/>
        <v>31.25</v>
      </c>
      <c r="AI2462" s="112"/>
      <c r="AJ2462" s="150">
        <f t="shared" si="871"/>
        <v>179.94141666666667</v>
      </c>
      <c r="AK2462" s="62">
        <f t="shared" si="872"/>
        <v>0.71209373333333337</v>
      </c>
      <c r="AL2462" s="225">
        <f>Table1[[#This Row],[WSP/Dealer]]/Table1[[#This Row],[OD Sq Inch]]</f>
        <v>0.42896362388469456</v>
      </c>
      <c r="AM2462" s="218">
        <f>Table1[[#This Row],[OD Wdth]]*Table1[[#This Row],[OD Hgt]]</f>
        <v>1457</v>
      </c>
      <c r="AN2462" s="216">
        <f>Table1[[#This Row],[Min VO]]+Table1[[#This Row],[Max VO]]</f>
        <v>78</v>
      </c>
      <c r="AO2462" s="145"/>
      <c r="AP2462" s="145"/>
      <c r="AQ2462" s="143"/>
      <c r="AR2462" s="143"/>
      <c r="AS2462" s="143"/>
      <c r="AT2462" s="143"/>
      <c r="AU2462" s="1371" t="str">
        <f t="shared" si="879"/>
        <v>-</v>
      </c>
    </row>
    <row r="2463" spans="1:47" s="170" customFormat="1" x14ac:dyDescent="0.2">
      <c r="A2463" s="145" t="s">
        <v>58</v>
      </c>
      <c r="B2463" s="279" t="s">
        <v>5625</v>
      </c>
      <c r="C2463" s="1337" t="s">
        <v>5642</v>
      </c>
      <c r="D2463" s="152"/>
      <c r="E2463" s="1337" t="s">
        <v>5643</v>
      </c>
      <c r="F2463" s="154" t="s">
        <v>150</v>
      </c>
      <c r="G2463" s="177" t="s">
        <v>5628</v>
      </c>
      <c r="H2463" s="177" t="s">
        <v>5629</v>
      </c>
      <c r="I2463" s="177" t="s">
        <v>52</v>
      </c>
      <c r="J2463" s="145" t="s">
        <v>53</v>
      </c>
      <c r="K2463" s="177" t="s">
        <v>82</v>
      </c>
      <c r="L2463" s="145" t="s">
        <v>83</v>
      </c>
      <c r="M2463" s="1275">
        <v>1950</v>
      </c>
      <c r="N2463" s="639">
        <v>2145</v>
      </c>
      <c r="O2463" s="145" t="s">
        <v>64</v>
      </c>
      <c r="P2463" s="145">
        <v>64</v>
      </c>
      <c r="Q2463" s="145">
        <v>96</v>
      </c>
      <c r="R2463" s="145">
        <v>64</v>
      </c>
      <c r="S2463" s="145">
        <v>96</v>
      </c>
      <c r="T2463" s="698">
        <f>Table1[[#This Row],[VO Wdth]]</f>
        <v>64</v>
      </c>
      <c r="U2463" s="698">
        <f>Table1[[#This Row],[VO Hgt]]</f>
        <v>96</v>
      </c>
      <c r="V2463" s="913">
        <f>IF(J2463="Canvas",P2463+BorderL,P2463)</f>
        <v>75</v>
      </c>
      <c r="W2463" s="913">
        <f>IF(J2463="Canvas",Q2463+BorderL,Q2463)</f>
        <v>107</v>
      </c>
      <c r="X2463" s="157">
        <v>82</v>
      </c>
      <c r="Y2463" s="145">
        <v>75</v>
      </c>
      <c r="Z2463" s="145">
        <v>107</v>
      </c>
      <c r="AA2463" s="722">
        <f t="shared" si="870"/>
        <v>55.729166666666664</v>
      </c>
      <c r="AB2463" s="125">
        <f>AA2463*Swiss1</f>
        <v>1577.1354166666667</v>
      </c>
      <c r="AC2463" s="69">
        <f t="shared" si="873"/>
        <v>36.78125</v>
      </c>
      <c r="AD2463" s="69">
        <f>Table1[[#This Row],[Substrate SF]]*Materials!C$37</f>
        <v>156.04166666666666</v>
      </c>
      <c r="AE2463" s="104">
        <f>IF(Table1[[#This Row],[Work Center]]="SwissQ",Materials!G$37,IF(Table1[[#This Row],[Work Center]]="Inca",Materials!G$29,IF(Table1[[#This Row],[Work Center]]="Canon",Materials!G$49,Materials!G$45)))</f>
        <v>20</v>
      </c>
      <c r="AF2463" s="143" t="e">
        <f>'Cali Frames'!#REF!</f>
        <v>#REF!</v>
      </c>
      <c r="AG2463" s="83"/>
      <c r="AH2463" s="112">
        <f t="shared" si="874"/>
        <v>97.5</v>
      </c>
      <c r="AI2463" s="112"/>
      <c r="AJ2463" s="143" t="e">
        <f t="shared" si="871"/>
        <v>#REF!</v>
      </c>
      <c r="AK2463" s="62" t="e">
        <f t="shared" si="872"/>
        <v>#REF!</v>
      </c>
      <c r="AL2463" s="225">
        <f>Table1[[#This Row],[WSP/Dealer]]/Table1[[#This Row],[OD Sq Inch]]</f>
        <v>0.3173828125</v>
      </c>
      <c r="AM2463" s="216">
        <f>Table1[[#This Row],[OD Wdth]]*Table1[[#This Row],[OD Hgt]]</f>
        <v>6144</v>
      </c>
      <c r="AN2463" s="216">
        <f>Table1[[#This Row],[Min VO]]+Table1[[#This Row],[Max VO]]</f>
        <v>160</v>
      </c>
      <c r="AO2463" s="145"/>
      <c r="AP2463" s="145"/>
      <c r="AQ2463" s="143"/>
      <c r="AR2463" s="143"/>
      <c r="AS2463" s="143"/>
      <c r="AT2463" s="143"/>
      <c r="AU2463" s="1371" t="str">
        <f t="shared" si="879"/>
        <v>-</v>
      </c>
    </row>
    <row r="2464" spans="1:47" s="173" customFormat="1" x14ac:dyDescent="0.2">
      <c r="A2464" s="145" t="s">
        <v>58</v>
      </c>
      <c r="B2464" s="279" t="s">
        <v>5625</v>
      </c>
      <c r="C2464" s="1337" t="s">
        <v>5644</v>
      </c>
      <c r="D2464" s="152"/>
      <c r="E2464" s="1337" t="s">
        <v>5643</v>
      </c>
      <c r="F2464" s="154" t="s">
        <v>150</v>
      </c>
      <c r="G2464" s="177" t="s">
        <v>5628</v>
      </c>
      <c r="H2464" s="145" t="s">
        <v>5628</v>
      </c>
      <c r="I2464" s="177" t="s">
        <v>52</v>
      </c>
      <c r="J2464" s="145" t="s">
        <v>53</v>
      </c>
      <c r="K2464" s="177" t="s">
        <v>54</v>
      </c>
      <c r="L2464" s="145" t="s">
        <v>55</v>
      </c>
      <c r="M2464" s="1275">
        <v>1800</v>
      </c>
      <c r="N2464" s="639">
        <v>1800</v>
      </c>
      <c r="O2464" s="145" t="s">
        <v>64</v>
      </c>
      <c r="P2464" s="145">
        <v>64</v>
      </c>
      <c r="Q2464" s="145">
        <v>96</v>
      </c>
      <c r="R2464" s="145">
        <v>64</v>
      </c>
      <c r="S2464" s="145">
        <v>96</v>
      </c>
      <c r="T2464" s="698">
        <f>Table1[[#This Row],[VO Wdth]]</f>
        <v>64</v>
      </c>
      <c r="U2464" s="698">
        <f>Table1[[#This Row],[VO Hgt]]</f>
        <v>96</v>
      </c>
      <c r="V2464" s="913">
        <f>IF(J2464="Canvas",P2464+BorderL,P2464)</f>
        <v>75</v>
      </c>
      <c r="W2464" s="913">
        <f>IF(J2464="Canvas",Q2464+BorderL,Q2464)</f>
        <v>107</v>
      </c>
      <c r="X2464" s="157">
        <v>82</v>
      </c>
      <c r="Y2464" s="145">
        <v>75</v>
      </c>
      <c r="Z2464" s="145">
        <v>107</v>
      </c>
      <c r="AA2464" s="722">
        <f t="shared" si="870"/>
        <v>55.729166666666664</v>
      </c>
      <c r="AB2464" s="125">
        <f>AA2464*Swiss1</f>
        <v>1577.1354166666667</v>
      </c>
      <c r="AC2464" s="69">
        <f t="shared" si="873"/>
        <v>36.78125</v>
      </c>
      <c r="AD2464" s="69">
        <f>Table1[[#This Row],[Substrate SF]]*Materials!C$37</f>
        <v>156.04166666666666</v>
      </c>
      <c r="AE2464" s="104">
        <f>IF(Table1[[#This Row],[Work Center]]="SwissQ",Materials!G$37,IF(Table1[[#This Row],[Work Center]]="Inca",Materials!G$29,IF(Table1[[#This Row],[Work Center]]="Canon",Materials!G$49,Materials!G$45)))</f>
        <v>20</v>
      </c>
      <c r="AF2464" s="143" t="e">
        <f>'Cali Frames'!#REF!</f>
        <v>#REF!</v>
      </c>
      <c r="AG2464" s="83"/>
      <c r="AH2464" s="498">
        <f t="shared" si="874"/>
        <v>90</v>
      </c>
      <c r="AI2464" s="112"/>
      <c r="AJ2464" s="143" t="e">
        <f t="shared" si="871"/>
        <v>#REF!</v>
      </c>
      <c r="AK2464" s="650" t="e">
        <f t="shared" si="872"/>
        <v>#REF!</v>
      </c>
      <c r="AL2464" s="225">
        <f>Table1[[#This Row],[WSP/Dealer]]/Table1[[#This Row],[OD Sq Inch]]</f>
        <v>0.29296875</v>
      </c>
      <c r="AM2464" s="216">
        <f>Table1[[#This Row],[OD Wdth]]*Table1[[#This Row],[OD Hgt]]</f>
        <v>6144</v>
      </c>
      <c r="AN2464" s="216">
        <f>Table1[[#This Row],[Min VO]]+Table1[[#This Row],[Max VO]]</f>
        <v>160</v>
      </c>
      <c r="AO2464" s="145"/>
      <c r="AP2464" s="145"/>
      <c r="AQ2464" s="143"/>
      <c r="AR2464" s="143"/>
      <c r="AS2464" s="143"/>
      <c r="AT2464" s="143"/>
      <c r="AU2464" s="1371" t="str">
        <f t="shared" si="879"/>
        <v>-</v>
      </c>
    </row>
    <row r="2465" spans="1:47" s="170" customFormat="1" hidden="1" x14ac:dyDescent="0.2">
      <c r="A2465" s="145"/>
      <c r="B2465" s="1061"/>
      <c r="C2465" s="1337" t="s">
        <v>5645</v>
      </c>
      <c r="D2465" s="152"/>
      <c r="E2465" s="1337" t="s">
        <v>5646</v>
      </c>
      <c r="F2465" s="154" t="s">
        <v>150</v>
      </c>
      <c r="G2465" s="177" t="s">
        <v>5621</v>
      </c>
      <c r="H2465" s="145" t="s">
        <v>5621</v>
      </c>
      <c r="I2465" s="177" t="s">
        <v>52</v>
      </c>
      <c r="J2465" s="145" t="s">
        <v>53</v>
      </c>
      <c r="K2465" s="177" t="s">
        <v>54</v>
      </c>
      <c r="L2465" s="145" t="s">
        <v>55</v>
      </c>
      <c r="M2465" s="977">
        <v>625</v>
      </c>
      <c r="N2465" s="71"/>
      <c r="O2465" s="145" t="s">
        <v>56</v>
      </c>
      <c r="P2465" s="145">
        <v>31</v>
      </c>
      <c r="Q2465" s="145">
        <v>47</v>
      </c>
      <c r="R2465" s="145">
        <v>31</v>
      </c>
      <c r="S2465" s="145">
        <v>47</v>
      </c>
      <c r="T2465" s="698">
        <f>Table1[[#This Row],[VO Wdth]]</f>
        <v>31</v>
      </c>
      <c r="U2465" s="698">
        <f>Table1[[#This Row],[VO Hgt]]</f>
        <v>47</v>
      </c>
      <c r="V2465" s="913">
        <f>IF(J2465="Canvas",P2465+Border,P2465)</f>
        <v>39</v>
      </c>
      <c r="W2465" s="913">
        <f>IF(J2465="Canvas",Q2465+Border,Q2465)</f>
        <v>55</v>
      </c>
      <c r="X2465" s="157" t="s">
        <v>57</v>
      </c>
      <c r="Y2465" s="145">
        <v>39</v>
      </c>
      <c r="Z2465" s="145">
        <v>110</v>
      </c>
      <c r="AA2465" s="722">
        <f t="shared" si="870"/>
        <v>14.895833333333334</v>
      </c>
      <c r="AB2465" s="389">
        <f>AA2465*IncaG</f>
        <v>313.40833333333336</v>
      </c>
      <c r="AC2465" s="69">
        <f t="shared" si="873"/>
        <v>9.8312500000000007</v>
      </c>
      <c r="AD2465" s="143">
        <f>AA2465*IncaC</f>
        <v>25.072666666666667</v>
      </c>
      <c r="AE2465" s="104">
        <f>IF(Table1[[#This Row],[Work Center]]="SwissQ",Materials!G$37,IF(Table1[[#This Row],[Work Center]]="Inca",Materials!G$29,IF(Table1[[#This Row],[Work Center]]="Canon",Materials!G$49,Materials!G$45)))</f>
        <v>8</v>
      </c>
      <c r="AF2465" s="143">
        <f>'Cali FPS'!C$54</f>
        <v>105.78750000000001</v>
      </c>
      <c r="AG2465" s="115"/>
      <c r="AH2465" s="498">
        <f t="shared" si="874"/>
        <v>31.25</v>
      </c>
      <c r="AI2465" s="498"/>
      <c r="AJ2465" s="143">
        <f t="shared" si="871"/>
        <v>179.94141666666667</v>
      </c>
      <c r="AK2465" s="650">
        <f t="shared" si="872"/>
        <v>0.71209373333333337</v>
      </c>
      <c r="AL2465" s="225">
        <f>Table1[[#This Row],[WSP/Dealer]]/Table1[[#This Row],[OD Sq Inch]]</f>
        <v>0.42896362388469456</v>
      </c>
      <c r="AM2465" s="101">
        <f>Table1[[#This Row],[OD Wdth]]*Table1[[#This Row],[OD Hgt]]</f>
        <v>1457</v>
      </c>
      <c r="AN2465" s="216">
        <f>Table1[[#This Row],[Min VO]]+Table1[[#This Row],[Max VO]]</f>
        <v>78</v>
      </c>
      <c r="AO2465" s="145"/>
      <c r="AP2465" s="145"/>
      <c r="AQ2465" s="143"/>
      <c r="AR2465" s="143"/>
      <c r="AS2465" s="143"/>
      <c r="AT2465" s="143"/>
      <c r="AU2465" s="1371" t="str">
        <f t="shared" si="879"/>
        <v>-</v>
      </c>
    </row>
    <row r="2466" spans="1:47" s="170" customFormat="1" hidden="1" x14ac:dyDescent="0.2">
      <c r="A2466" s="145"/>
      <c r="B2466" s="1061"/>
      <c r="C2466" s="153" t="s">
        <v>5647</v>
      </c>
      <c r="D2466" s="152"/>
      <c r="E2466" s="1337" t="s">
        <v>5648</v>
      </c>
      <c r="F2466" s="147" t="s">
        <v>150</v>
      </c>
      <c r="G2466" s="177" t="s">
        <v>5621</v>
      </c>
      <c r="H2466" s="145" t="s">
        <v>5621</v>
      </c>
      <c r="I2466" s="1338" t="s">
        <v>52</v>
      </c>
      <c r="J2466" s="156" t="s">
        <v>53</v>
      </c>
      <c r="K2466" s="1338" t="s">
        <v>54</v>
      </c>
      <c r="L2466" s="156" t="s">
        <v>55</v>
      </c>
      <c r="M2466" s="151">
        <v>625</v>
      </c>
      <c r="N2466" s="71"/>
      <c r="O2466" s="145" t="s">
        <v>56</v>
      </c>
      <c r="P2466" s="145">
        <v>31</v>
      </c>
      <c r="Q2466" s="145">
        <v>47</v>
      </c>
      <c r="R2466" s="145">
        <v>31</v>
      </c>
      <c r="S2466" s="145">
        <v>47</v>
      </c>
      <c r="T2466" s="698">
        <f>Table1[[#This Row],[VO Wdth]]</f>
        <v>31</v>
      </c>
      <c r="U2466" s="698">
        <f>Table1[[#This Row],[VO Hgt]]</f>
        <v>47</v>
      </c>
      <c r="V2466" s="149">
        <f>IF(J2466="Canvas",P2466+Border,P2466)</f>
        <v>39</v>
      </c>
      <c r="W2466" s="149">
        <f>IF(J2466="Canvas",Q2466+Border,Q2466)</f>
        <v>55</v>
      </c>
      <c r="X2466" s="157" t="s">
        <v>57</v>
      </c>
      <c r="Y2466" s="145">
        <v>39</v>
      </c>
      <c r="Z2466" s="145">
        <v>110</v>
      </c>
      <c r="AA2466" s="722">
        <f t="shared" si="870"/>
        <v>14.895833333333334</v>
      </c>
      <c r="AB2466" s="389">
        <f>AA2466*IncaG</f>
        <v>313.40833333333336</v>
      </c>
      <c r="AC2466" s="69">
        <f t="shared" si="873"/>
        <v>9.8312500000000007</v>
      </c>
      <c r="AD2466" s="150">
        <f>AA2466*IncaC</f>
        <v>25.072666666666667</v>
      </c>
      <c r="AE2466" s="104">
        <f>IF(Table1[[#This Row],[Work Center]]="SwissQ",Materials!G$37,IF(Table1[[#This Row],[Work Center]]="Inca",Materials!G$29,IF(Table1[[#This Row],[Work Center]]="Canon",Materials!G$49,Materials!G$45)))</f>
        <v>8</v>
      </c>
      <c r="AF2466" s="143">
        <f>'Cali FPS'!C$54</f>
        <v>105.78750000000001</v>
      </c>
      <c r="AG2466" s="115"/>
      <c r="AH2466" s="112">
        <f t="shared" si="874"/>
        <v>31.25</v>
      </c>
      <c r="AI2466" s="112"/>
      <c r="AJ2466" s="150">
        <f t="shared" si="871"/>
        <v>179.94141666666667</v>
      </c>
      <c r="AK2466" s="62">
        <f t="shared" si="872"/>
        <v>0.71209373333333337</v>
      </c>
      <c r="AL2466" s="225">
        <f>Table1[[#This Row],[WSP/Dealer]]/Table1[[#This Row],[OD Sq Inch]]</f>
        <v>0.42896362388469456</v>
      </c>
      <c r="AM2466" s="103">
        <f>Table1[[#This Row],[OD Wdth]]*Table1[[#This Row],[OD Hgt]]</f>
        <v>1457</v>
      </c>
      <c r="AN2466" s="216">
        <f>Table1[[#This Row],[Min VO]]+Table1[[#This Row],[Max VO]]</f>
        <v>78</v>
      </c>
      <c r="AO2466" s="145"/>
      <c r="AP2466" s="145"/>
      <c r="AQ2466" s="143"/>
      <c r="AR2466" s="143"/>
      <c r="AS2466" s="143"/>
      <c r="AT2466" s="143"/>
      <c r="AU2466" s="1371" t="str">
        <f t="shared" si="879"/>
        <v>-</v>
      </c>
    </row>
    <row r="2467" spans="1:47" s="170" customFormat="1" x14ac:dyDescent="0.2">
      <c r="A2467" s="68" t="s">
        <v>58</v>
      </c>
      <c r="B2467" s="279" t="s">
        <v>5618</v>
      </c>
      <c r="C2467" s="1053" t="s">
        <v>5649</v>
      </c>
      <c r="D2467" s="78"/>
      <c r="E2467" s="1632" t="s">
        <v>5650</v>
      </c>
      <c r="F2467" s="172" t="s">
        <v>150</v>
      </c>
      <c r="G2467" s="1479" t="s">
        <v>5621</v>
      </c>
      <c r="H2467" s="166" t="s">
        <v>5622</v>
      </c>
      <c r="I2467" s="177" t="s">
        <v>52</v>
      </c>
      <c r="J2467" s="145" t="s">
        <v>53</v>
      </c>
      <c r="K2467" s="282" t="s">
        <v>82</v>
      </c>
      <c r="L2467" s="68" t="s">
        <v>83</v>
      </c>
      <c r="M2467" s="141">
        <v>750</v>
      </c>
      <c r="N2467" s="639">
        <v>725</v>
      </c>
      <c r="O2467" s="68" t="s">
        <v>56</v>
      </c>
      <c r="P2467" s="166">
        <v>31</v>
      </c>
      <c r="Q2467" s="166">
        <v>47</v>
      </c>
      <c r="R2467" s="166">
        <v>31</v>
      </c>
      <c r="S2467" s="166">
        <v>47</v>
      </c>
      <c r="T2467" s="916">
        <f>Table1[[#This Row],[VO Wdth]]</f>
        <v>31</v>
      </c>
      <c r="U2467" s="916">
        <f>Table1[[#This Row],[VO Hgt]]</f>
        <v>47</v>
      </c>
      <c r="V2467" s="1198">
        <f>IF(J2467="Canvas",P2467+Border,P2467)</f>
        <v>39</v>
      </c>
      <c r="W2467" s="1198">
        <f>IF(J2467="Canvas",Q2467+Border,Q2467)</f>
        <v>55</v>
      </c>
      <c r="X2467" s="381" t="s">
        <v>57</v>
      </c>
      <c r="Y2467" s="166">
        <v>39</v>
      </c>
      <c r="Z2467" s="166">
        <v>110</v>
      </c>
      <c r="AA2467" s="766">
        <f t="shared" si="870"/>
        <v>14.895833333333334</v>
      </c>
      <c r="AB2467" s="382">
        <f>AA2467*IncaG</f>
        <v>313.40833333333336</v>
      </c>
      <c r="AC2467" s="74">
        <f t="shared" si="873"/>
        <v>9.8312500000000007</v>
      </c>
      <c r="AD2467" s="161">
        <f>AA2467*IncaC</f>
        <v>25.072666666666667</v>
      </c>
      <c r="AE2467" s="74">
        <f>IF(Table1[[#This Row],[Work Center]]="SwissQ",Materials!G$37,IF(Table1[[#This Row],[Work Center]]="Inca",Materials!G$29,IF(Table1[[#This Row],[Work Center]]="Canon",Materials!G$49,Materials!G$45)))</f>
        <v>8</v>
      </c>
      <c r="AF2467" s="73">
        <f>'Cali Frames'!D129</f>
        <v>147.45500000000001</v>
      </c>
      <c r="AG2467" s="84"/>
      <c r="AH2467" s="498">
        <f t="shared" si="874"/>
        <v>37.5</v>
      </c>
      <c r="AI2467" s="498"/>
      <c r="AJ2467" s="162">
        <f t="shared" si="871"/>
        <v>227.85891666666669</v>
      </c>
      <c r="AK2467" s="650">
        <f t="shared" si="872"/>
        <v>0.69618811111111112</v>
      </c>
      <c r="AL2467" s="225">
        <f>Table1[[#This Row],[WSP/Dealer]]/Table1[[#This Row],[OD Sq Inch]]</f>
        <v>0.51475634866163344</v>
      </c>
      <c r="AM2467" s="63">
        <f>Table1[[#This Row],[OD Wdth]]*Table1[[#This Row],[OD Hgt]]</f>
        <v>1457</v>
      </c>
      <c r="AN2467" s="238">
        <f>Table1[[#This Row],[Min VO]]+Table1[[#This Row],[Max VO]]</f>
        <v>78</v>
      </c>
      <c r="AO2467" s="84"/>
      <c r="AP2467" s="84"/>
      <c r="AQ2467" s="126"/>
      <c r="AR2467" s="126"/>
      <c r="AS2467" s="126"/>
      <c r="AT2467" s="74"/>
      <c r="AU2467" s="1357" t="str">
        <f t="shared" si="879"/>
        <v>-</v>
      </c>
    </row>
    <row r="2468" spans="1:47" s="170" customFormat="1" x14ac:dyDescent="0.2">
      <c r="A2468" s="145" t="s">
        <v>58</v>
      </c>
      <c r="B2468" s="279" t="s">
        <v>533</v>
      </c>
      <c r="C2468" s="1337" t="s">
        <v>5651</v>
      </c>
      <c r="D2468" s="152" t="s">
        <v>5652</v>
      </c>
      <c r="E2468" s="1337" t="s">
        <v>5650</v>
      </c>
      <c r="F2468" s="154" t="s">
        <v>150</v>
      </c>
      <c r="G2468" s="177" t="s">
        <v>5621</v>
      </c>
      <c r="H2468" s="145" t="s">
        <v>5621</v>
      </c>
      <c r="I2468" s="177" t="s">
        <v>52</v>
      </c>
      <c r="J2468" s="145" t="s">
        <v>53</v>
      </c>
      <c r="K2468" s="177" t="s">
        <v>54</v>
      </c>
      <c r="L2468" s="145" t="s">
        <v>55</v>
      </c>
      <c r="M2468" s="151">
        <v>625</v>
      </c>
      <c r="N2468" s="639">
        <v>675</v>
      </c>
      <c r="O2468" s="145" t="s">
        <v>56</v>
      </c>
      <c r="P2468" s="145">
        <v>31</v>
      </c>
      <c r="Q2468" s="145">
        <v>47</v>
      </c>
      <c r="R2468" s="145">
        <v>31</v>
      </c>
      <c r="S2468" s="145">
        <v>47</v>
      </c>
      <c r="T2468" s="698">
        <f>Table1[[#This Row],[VO Wdth]]</f>
        <v>31</v>
      </c>
      <c r="U2468" s="698">
        <f>Table1[[#This Row],[VO Hgt]]</f>
        <v>47</v>
      </c>
      <c r="V2468" s="913">
        <f>IF(J2468="Canvas",P2468+Border,P2468)</f>
        <v>39</v>
      </c>
      <c r="W2468" s="913">
        <f>IF(J2468="Canvas",Q2468+Border,Q2468)</f>
        <v>55</v>
      </c>
      <c r="X2468" s="157" t="s">
        <v>57</v>
      </c>
      <c r="Y2468" s="145">
        <v>39</v>
      </c>
      <c r="Z2468" s="145">
        <v>110</v>
      </c>
      <c r="AA2468" s="722">
        <f t="shared" si="870"/>
        <v>14.895833333333334</v>
      </c>
      <c r="AB2468" s="389">
        <f>AA2468*IncaG</f>
        <v>313.40833333333336</v>
      </c>
      <c r="AC2468" s="69">
        <f t="shared" si="873"/>
        <v>9.8312500000000007</v>
      </c>
      <c r="AD2468" s="143">
        <f>AA2468*IncaC</f>
        <v>25.072666666666667</v>
      </c>
      <c r="AE2468" s="104">
        <f>IF(Table1[[#This Row],[Work Center]]="SwissQ",Materials!G$37,IF(Table1[[#This Row],[Work Center]]="Inca",Materials!G$29,IF(Table1[[#This Row],[Work Center]]="Canon",Materials!G$49,Materials!G$45)))</f>
        <v>8</v>
      </c>
      <c r="AF2468" s="143">
        <f>'Cali FPS'!C$54</f>
        <v>105.78750000000001</v>
      </c>
      <c r="AG2468" s="115"/>
      <c r="AH2468" s="498">
        <f t="shared" si="874"/>
        <v>31.25</v>
      </c>
      <c r="AI2468" s="498"/>
      <c r="AJ2468" s="143">
        <f t="shared" si="871"/>
        <v>179.94141666666667</v>
      </c>
      <c r="AK2468" s="650">
        <f t="shared" si="872"/>
        <v>0.71209373333333337</v>
      </c>
      <c r="AL2468" s="225">
        <f>Table1[[#This Row],[WSP/Dealer]]/Table1[[#This Row],[OD Sq Inch]]</f>
        <v>0.42896362388469456</v>
      </c>
      <c r="AM2468" s="216">
        <f>Table1[[#This Row],[OD Wdth]]*Table1[[#This Row],[OD Hgt]]</f>
        <v>1457</v>
      </c>
      <c r="AN2468" s="216">
        <f>Table1[[#This Row],[Min VO]]+Table1[[#This Row],[Max VO]]</f>
        <v>78</v>
      </c>
      <c r="AO2468" s="145"/>
      <c r="AP2468" s="145"/>
      <c r="AQ2468" s="143"/>
      <c r="AR2468" s="143"/>
      <c r="AS2468" s="143"/>
      <c r="AT2468" s="143"/>
      <c r="AU2468" s="1371" t="str">
        <f t="shared" si="879"/>
        <v>-</v>
      </c>
    </row>
    <row r="2469" spans="1:47" s="868" customFormat="1" x14ac:dyDescent="0.2">
      <c r="A2469" s="145" t="s">
        <v>58</v>
      </c>
      <c r="B2469" s="279" t="s">
        <v>5625</v>
      </c>
      <c r="C2469" s="1337" t="s">
        <v>5653</v>
      </c>
      <c r="D2469" s="152"/>
      <c r="E2469" s="1337" t="s">
        <v>5654</v>
      </c>
      <c r="F2469" s="154" t="s">
        <v>150</v>
      </c>
      <c r="G2469" s="177" t="s">
        <v>5628</v>
      </c>
      <c r="H2469" s="145" t="s">
        <v>5629</v>
      </c>
      <c r="I2469" s="177" t="s">
        <v>52</v>
      </c>
      <c r="J2469" s="145" t="s">
        <v>53</v>
      </c>
      <c r="K2469" s="177" t="s">
        <v>82</v>
      </c>
      <c r="L2469" s="145" t="s">
        <v>83</v>
      </c>
      <c r="M2469" s="1768">
        <v>1950</v>
      </c>
      <c r="N2469" s="639">
        <v>2145</v>
      </c>
      <c r="O2469" s="145" t="s">
        <v>64</v>
      </c>
      <c r="P2469" s="145">
        <v>64</v>
      </c>
      <c r="Q2469" s="145">
        <v>96</v>
      </c>
      <c r="R2469" s="145">
        <v>64</v>
      </c>
      <c r="S2469" s="145">
        <v>96</v>
      </c>
      <c r="T2469" s="698">
        <f>Table1[[#This Row],[VO Wdth]]</f>
        <v>64</v>
      </c>
      <c r="U2469" s="698">
        <f>Table1[[#This Row],[VO Hgt]]</f>
        <v>96</v>
      </c>
      <c r="V2469" s="149">
        <f>IF(J2469="Canvas",P2469+BorderL,P2469)</f>
        <v>75</v>
      </c>
      <c r="W2469" s="149">
        <f>IF(J2469="Canvas",Q2469+BorderL,Q2469)</f>
        <v>107</v>
      </c>
      <c r="X2469" s="157">
        <v>82</v>
      </c>
      <c r="Y2469" s="145">
        <v>75</v>
      </c>
      <c r="Z2469" s="145">
        <v>107</v>
      </c>
      <c r="AA2469" s="722">
        <f t="shared" si="870"/>
        <v>55.729166666666664</v>
      </c>
      <c r="AB2469" s="125">
        <f>AA2469*Swiss1</f>
        <v>1577.1354166666667</v>
      </c>
      <c r="AC2469" s="69">
        <f t="shared" si="873"/>
        <v>36.78125</v>
      </c>
      <c r="AD2469" s="48">
        <f>Table1[[#This Row],[Substrate SF]]*Materials!C$37</f>
        <v>156.04166666666666</v>
      </c>
      <c r="AE2469" s="104">
        <f>IF(Table1[[#This Row],[Work Center]]="SwissQ",Materials!G$37,IF(Table1[[#This Row],[Work Center]]="Inca",Materials!G$29,IF(Table1[[#This Row],[Work Center]]="Canon",Materials!G$49,Materials!G$45)))</f>
        <v>20</v>
      </c>
      <c r="AF2469" s="143">
        <f>'Cali Frames'!D170</f>
        <v>394.64249999999998</v>
      </c>
      <c r="AG2469" s="83"/>
      <c r="AH2469" s="498">
        <f t="shared" si="874"/>
        <v>97.5</v>
      </c>
      <c r="AI2469" s="498"/>
      <c r="AJ2469" s="143">
        <f t="shared" si="871"/>
        <v>704.96541666666667</v>
      </c>
      <c r="AK2469" s="650">
        <f t="shared" si="872"/>
        <v>0.63847927350427347</v>
      </c>
      <c r="AL2469" s="225">
        <f>Table1[[#This Row],[WSP/Dealer]]/Table1[[#This Row],[OD Sq Inch]]</f>
        <v>0.3173828125</v>
      </c>
      <c r="AM2469" s="218">
        <f>Table1[[#This Row],[OD Wdth]]*Table1[[#This Row],[OD Hgt]]</f>
        <v>6144</v>
      </c>
      <c r="AN2469" s="216">
        <f>Table1[[#This Row],[Min VO]]+Table1[[#This Row],[Max VO]]</f>
        <v>160</v>
      </c>
      <c r="AO2469" s="145"/>
      <c r="AP2469" s="145"/>
      <c r="AQ2469" s="143"/>
      <c r="AR2469" s="143"/>
      <c r="AS2469" s="143"/>
      <c r="AT2469" s="143"/>
      <c r="AU2469" s="1371" t="str">
        <f t="shared" si="879"/>
        <v>-</v>
      </c>
    </row>
    <row r="2470" spans="1:47" s="170" customFormat="1" x14ac:dyDescent="0.2">
      <c r="A2470" s="145" t="s">
        <v>58</v>
      </c>
      <c r="B2470" s="279" t="s">
        <v>5625</v>
      </c>
      <c r="C2470" s="1337" t="s">
        <v>5655</v>
      </c>
      <c r="D2470" s="152"/>
      <c r="E2470" s="1337" t="s">
        <v>5654</v>
      </c>
      <c r="F2470" s="154" t="s">
        <v>150</v>
      </c>
      <c r="G2470" s="177" t="s">
        <v>5628</v>
      </c>
      <c r="H2470" s="145" t="s">
        <v>5628</v>
      </c>
      <c r="I2470" s="177" t="s">
        <v>52</v>
      </c>
      <c r="J2470" s="145" t="s">
        <v>53</v>
      </c>
      <c r="K2470" s="177" t="s">
        <v>54</v>
      </c>
      <c r="L2470" s="145" t="s">
        <v>55</v>
      </c>
      <c r="M2470" s="1275">
        <v>1800</v>
      </c>
      <c r="N2470" s="639">
        <v>1800</v>
      </c>
      <c r="O2470" s="145" t="s">
        <v>64</v>
      </c>
      <c r="P2470" s="145">
        <v>64</v>
      </c>
      <c r="Q2470" s="145">
        <v>96</v>
      </c>
      <c r="R2470" s="145">
        <v>64</v>
      </c>
      <c r="S2470" s="145">
        <v>96</v>
      </c>
      <c r="T2470" s="698">
        <f>Table1[[#This Row],[VO Wdth]]</f>
        <v>64</v>
      </c>
      <c r="U2470" s="698">
        <f>Table1[[#This Row],[VO Hgt]]</f>
        <v>96</v>
      </c>
      <c r="V2470" s="913">
        <f>IF(J2470="Canvas",P2470+BorderL,P2470)</f>
        <v>75</v>
      </c>
      <c r="W2470" s="913">
        <f>IF(J2470="Canvas",Q2470+BorderL,Q2470)</f>
        <v>107</v>
      </c>
      <c r="X2470" s="157">
        <v>82</v>
      </c>
      <c r="Y2470" s="145">
        <v>75</v>
      </c>
      <c r="Z2470" s="145">
        <v>107</v>
      </c>
      <c r="AA2470" s="722">
        <f t="shared" si="870"/>
        <v>55.729166666666664</v>
      </c>
      <c r="AB2470" s="125">
        <f>AA2470*Swiss1</f>
        <v>1577.1354166666667</v>
      </c>
      <c r="AC2470" s="69">
        <f t="shared" si="873"/>
        <v>36.78125</v>
      </c>
      <c r="AD2470" s="48">
        <f>Table1[[#This Row],[Substrate SF]]*Materials!C$37</f>
        <v>156.04166666666666</v>
      </c>
      <c r="AE2470" s="104">
        <f>IF(Table1[[#This Row],[Work Center]]="SwissQ",Materials!G$37,IF(Table1[[#This Row],[Work Center]]="Inca",Materials!G$29,IF(Table1[[#This Row],[Work Center]]="Canon",Materials!G$49,Materials!G$45)))</f>
        <v>20</v>
      </c>
      <c r="AF2470" s="143" t="e">
        <f>'Cali FPS'!#REF!</f>
        <v>#REF!</v>
      </c>
      <c r="AG2470" s="83"/>
      <c r="AH2470" s="498">
        <f t="shared" si="874"/>
        <v>90</v>
      </c>
      <c r="AI2470" s="498"/>
      <c r="AJ2470" s="143" t="e">
        <f t="shared" si="871"/>
        <v>#REF!</v>
      </c>
      <c r="AK2470" s="650" t="e">
        <f t="shared" ref="AK2470:AK2501" si="880">(M2470-AJ2470)/M2470</f>
        <v>#REF!</v>
      </c>
      <c r="AL2470" s="225">
        <f>Table1[[#This Row],[WSP/Dealer]]/Table1[[#This Row],[OD Sq Inch]]</f>
        <v>0.29296875</v>
      </c>
      <c r="AM2470" s="218">
        <f>Table1[[#This Row],[OD Wdth]]*Table1[[#This Row],[OD Hgt]]</f>
        <v>6144</v>
      </c>
      <c r="AN2470" s="216">
        <f>Table1[[#This Row],[Min VO]]+Table1[[#This Row],[Max VO]]</f>
        <v>160</v>
      </c>
      <c r="AO2470" s="145"/>
      <c r="AP2470" s="145"/>
      <c r="AQ2470" s="143"/>
      <c r="AR2470" s="143"/>
      <c r="AS2470" s="143"/>
      <c r="AT2470" s="143"/>
      <c r="AU2470" s="1371" t="str">
        <f t="shared" si="879"/>
        <v>-</v>
      </c>
    </row>
    <row r="2471" spans="1:47" s="170" customFormat="1" hidden="1" x14ac:dyDescent="0.2">
      <c r="A2471" s="145"/>
      <c r="B2471" s="279"/>
      <c r="C2471" s="153" t="s">
        <v>5656</v>
      </c>
      <c r="D2471" s="152"/>
      <c r="E2471" s="1337" t="s">
        <v>5657</v>
      </c>
      <c r="F2471" s="147" t="s">
        <v>150</v>
      </c>
      <c r="G2471" s="177" t="s">
        <v>5621</v>
      </c>
      <c r="H2471" s="145" t="s">
        <v>5621</v>
      </c>
      <c r="I2471" s="1338" t="s">
        <v>52</v>
      </c>
      <c r="J2471" s="156" t="s">
        <v>53</v>
      </c>
      <c r="K2471" s="1338" t="s">
        <v>54</v>
      </c>
      <c r="L2471" s="156" t="s">
        <v>55</v>
      </c>
      <c r="M2471" s="977">
        <v>625</v>
      </c>
      <c r="N2471" s="71"/>
      <c r="O2471" s="145" t="s">
        <v>56</v>
      </c>
      <c r="P2471" s="145">
        <v>31</v>
      </c>
      <c r="Q2471" s="145">
        <v>47</v>
      </c>
      <c r="R2471" s="145">
        <v>31</v>
      </c>
      <c r="S2471" s="145">
        <v>47</v>
      </c>
      <c r="T2471" s="698">
        <f>Table1[[#This Row],[VO Wdth]]</f>
        <v>31</v>
      </c>
      <c r="U2471" s="698">
        <f>Table1[[#This Row],[VO Hgt]]</f>
        <v>47</v>
      </c>
      <c r="V2471" s="913">
        <f>IF(J2471="Canvas",P2471+Border,P2471)</f>
        <v>39</v>
      </c>
      <c r="W2471" s="913">
        <f>IF(J2471="Canvas",Q2471+Border,Q2471)</f>
        <v>55</v>
      </c>
      <c r="X2471" s="157" t="s">
        <v>57</v>
      </c>
      <c r="Y2471" s="145">
        <v>39</v>
      </c>
      <c r="Z2471" s="145">
        <v>110</v>
      </c>
      <c r="AA2471" s="722">
        <f t="shared" si="870"/>
        <v>14.895833333333334</v>
      </c>
      <c r="AB2471" s="389">
        <f>AA2471*IncaG</f>
        <v>313.40833333333336</v>
      </c>
      <c r="AC2471" s="69">
        <f t="shared" si="873"/>
        <v>9.8312500000000007</v>
      </c>
      <c r="AD2471" s="150">
        <f>AA2471*IncaC</f>
        <v>25.072666666666667</v>
      </c>
      <c r="AE2471" s="104">
        <f>IF(Table1[[#This Row],[Work Center]]="SwissQ",Materials!G$37,IF(Table1[[#This Row],[Work Center]]="Inca",Materials!G$29,IF(Table1[[#This Row],[Work Center]]="Canon",Materials!G$49,Materials!G$45)))</f>
        <v>8</v>
      </c>
      <c r="AF2471" s="143">
        <f>'Cali FPS'!C$54</f>
        <v>105.78750000000001</v>
      </c>
      <c r="AG2471" s="115"/>
      <c r="AH2471" s="498">
        <f t="shared" si="874"/>
        <v>31.25</v>
      </c>
      <c r="AI2471" s="498"/>
      <c r="AJ2471" s="143">
        <f t="shared" si="871"/>
        <v>179.94141666666667</v>
      </c>
      <c r="AK2471" s="650">
        <f t="shared" si="880"/>
        <v>0.71209373333333337</v>
      </c>
      <c r="AL2471" s="225">
        <f>Table1[[#This Row],[WSP/Dealer]]/Table1[[#This Row],[OD Sq Inch]]</f>
        <v>0.42896362388469456</v>
      </c>
      <c r="AM2471" s="103">
        <f>Table1[[#This Row],[OD Wdth]]*Table1[[#This Row],[OD Hgt]]</f>
        <v>1457</v>
      </c>
      <c r="AN2471" s="216">
        <f>Table1[[#This Row],[Min VO]]+Table1[[#This Row],[Max VO]]</f>
        <v>78</v>
      </c>
      <c r="AO2471" s="145"/>
      <c r="AP2471" s="145"/>
      <c r="AQ2471" s="143"/>
      <c r="AR2471" s="143"/>
      <c r="AS2471" s="143"/>
      <c r="AT2471" s="143"/>
      <c r="AU2471" s="1371" t="str">
        <f t="shared" si="879"/>
        <v>-</v>
      </c>
    </row>
    <row r="2472" spans="1:47" s="170" customFormat="1" x14ac:dyDescent="0.2">
      <c r="A2472" s="145" t="s">
        <v>58</v>
      </c>
      <c r="B2472" s="279" t="s">
        <v>533</v>
      </c>
      <c r="C2472" s="1337" t="s">
        <v>5658</v>
      </c>
      <c r="D2472" s="152" t="s">
        <v>5659</v>
      </c>
      <c r="E2472" s="1337" t="s">
        <v>5660</v>
      </c>
      <c r="F2472" s="154" t="s">
        <v>150</v>
      </c>
      <c r="G2472" s="177" t="s">
        <v>5621</v>
      </c>
      <c r="H2472" s="145" t="s">
        <v>5621</v>
      </c>
      <c r="I2472" s="177" t="s">
        <v>52</v>
      </c>
      <c r="J2472" s="145" t="s">
        <v>53</v>
      </c>
      <c r="K2472" s="177" t="s">
        <v>54</v>
      </c>
      <c r="L2472" s="145" t="s">
        <v>55</v>
      </c>
      <c r="M2472" s="977">
        <v>625</v>
      </c>
      <c r="N2472" s="639">
        <v>675</v>
      </c>
      <c r="O2472" s="145" t="s">
        <v>56</v>
      </c>
      <c r="P2472" s="145">
        <v>31</v>
      </c>
      <c r="Q2472" s="145">
        <v>47</v>
      </c>
      <c r="R2472" s="145">
        <v>31</v>
      </c>
      <c r="S2472" s="145">
        <v>47</v>
      </c>
      <c r="T2472" s="698">
        <f>Table1[[#This Row],[VO Wdth]]</f>
        <v>31</v>
      </c>
      <c r="U2472" s="698">
        <f>Table1[[#This Row],[VO Hgt]]</f>
        <v>47</v>
      </c>
      <c r="V2472" s="913">
        <f>IF(J2472="Canvas",P2472+Border,P2472)</f>
        <v>39</v>
      </c>
      <c r="W2472" s="913">
        <f>IF(J2472="Canvas",Q2472+Border,Q2472)</f>
        <v>55</v>
      </c>
      <c r="X2472" s="157" t="s">
        <v>57</v>
      </c>
      <c r="Y2472" s="145">
        <v>39</v>
      </c>
      <c r="Z2472" s="145">
        <v>110</v>
      </c>
      <c r="AA2472" s="722">
        <f t="shared" si="870"/>
        <v>14.895833333333334</v>
      </c>
      <c r="AB2472" s="389">
        <f>AA2472*IncaG</f>
        <v>313.40833333333336</v>
      </c>
      <c r="AC2472" s="69">
        <f t="shared" si="873"/>
        <v>9.8312500000000007</v>
      </c>
      <c r="AD2472" s="150">
        <f>AA2472*IncaC</f>
        <v>25.072666666666667</v>
      </c>
      <c r="AE2472" s="104">
        <f>IF(Table1[[#This Row],[Work Center]]="SwissQ",Materials!G$37,IF(Table1[[#This Row],[Work Center]]="Inca",Materials!G$29,IF(Table1[[#This Row],[Work Center]]="Canon",Materials!G$49,Materials!G$45)))</f>
        <v>8</v>
      </c>
      <c r="AF2472" s="143">
        <f>'Cali FPS'!C$54</f>
        <v>105.78750000000001</v>
      </c>
      <c r="AG2472" s="115"/>
      <c r="AH2472" s="498">
        <f t="shared" si="874"/>
        <v>31.25</v>
      </c>
      <c r="AI2472" s="498"/>
      <c r="AJ2472" s="143">
        <f t="shared" si="871"/>
        <v>179.94141666666667</v>
      </c>
      <c r="AK2472" s="650">
        <f t="shared" si="880"/>
        <v>0.71209373333333337</v>
      </c>
      <c r="AL2472" s="225">
        <f>Table1[[#This Row],[WSP/Dealer]]/Table1[[#This Row],[OD Sq Inch]]</f>
        <v>0.42896362388469456</v>
      </c>
      <c r="AM2472" s="103">
        <f>Table1[[#This Row],[OD Wdth]]*Table1[[#This Row],[OD Hgt]]</f>
        <v>1457</v>
      </c>
      <c r="AN2472" s="216">
        <f>Table1[[#This Row],[Min VO]]+Table1[[#This Row],[Max VO]]</f>
        <v>78</v>
      </c>
      <c r="AO2472" s="145"/>
      <c r="AP2472" s="145"/>
      <c r="AQ2472" s="143"/>
      <c r="AR2472" s="143"/>
      <c r="AS2472" s="143"/>
      <c r="AT2472" s="143"/>
      <c r="AU2472" s="1371" t="str">
        <f t="shared" si="879"/>
        <v>-</v>
      </c>
    </row>
    <row r="2473" spans="1:47" s="170" customFormat="1" hidden="1" x14ac:dyDescent="0.2">
      <c r="A2473" s="145"/>
      <c r="B2473" s="279"/>
      <c r="C2473" s="153" t="s">
        <v>5661</v>
      </c>
      <c r="D2473" s="152"/>
      <c r="E2473" s="1337" t="s">
        <v>5662</v>
      </c>
      <c r="F2473" s="147" t="s">
        <v>150</v>
      </c>
      <c r="G2473" s="177" t="s">
        <v>5621</v>
      </c>
      <c r="H2473" s="145" t="s">
        <v>5621</v>
      </c>
      <c r="I2473" s="1338" t="s">
        <v>52</v>
      </c>
      <c r="J2473" s="156" t="s">
        <v>53</v>
      </c>
      <c r="K2473" s="1338" t="s">
        <v>54</v>
      </c>
      <c r="L2473" s="156" t="s">
        <v>55</v>
      </c>
      <c r="M2473" s="977">
        <v>625</v>
      </c>
      <c r="N2473" s="71"/>
      <c r="O2473" s="145" t="s">
        <v>56</v>
      </c>
      <c r="P2473" s="145">
        <v>31</v>
      </c>
      <c r="Q2473" s="145">
        <v>47</v>
      </c>
      <c r="R2473" s="145">
        <v>31</v>
      </c>
      <c r="S2473" s="145">
        <v>47</v>
      </c>
      <c r="T2473" s="698">
        <f>Table1[[#This Row],[VO Wdth]]</f>
        <v>31</v>
      </c>
      <c r="U2473" s="698">
        <f>Table1[[#This Row],[VO Hgt]]</f>
        <v>47</v>
      </c>
      <c r="V2473" s="149">
        <f>IF(J2473="Canvas",P2473+Border,P2473)</f>
        <v>39</v>
      </c>
      <c r="W2473" s="149">
        <f>IF(J2473="Canvas",Q2473+Border,Q2473)</f>
        <v>55</v>
      </c>
      <c r="X2473" s="157" t="s">
        <v>57</v>
      </c>
      <c r="Y2473" s="145">
        <v>39</v>
      </c>
      <c r="Z2473" s="145">
        <v>110</v>
      </c>
      <c r="AA2473" s="722">
        <f t="shared" si="870"/>
        <v>14.895833333333334</v>
      </c>
      <c r="AB2473" s="389">
        <f>AA2473*IncaG</f>
        <v>313.40833333333336</v>
      </c>
      <c r="AC2473" s="69">
        <f t="shared" si="873"/>
        <v>9.8312500000000007</v>
      </c>
      <c r="AD2473" s="150">
        <f>AA2473*IncaC</f>
        <v>25.072666666666667</v>
      </c>
      <c r="AE2473" s="104">
        <f>IF(Table1[[#This Row],[Work Center]]="SwissQ",Materials!G$37,IF(Table1[[#This Row],[Work Center]]="Inca",Materials!G$29,IF(Table1[[#This Row],[Work Center]]="Canon",Materials!G$49,Materials!G$45)))</f>
        <v>8</v>
      </c>
      <c r="AF2473" s="143">
        <f>'Cali FPS'!C$54</f>
        <v>105.78750000000001</v>
      </c>
      <c r="AG2473" s="115"/>
      <c r="AH2473" s="112">
        <f t="shared" si="874"/>
        <v>31.25</v>
      </c>
      <c r="AI2473" s="112"/>
      <c r="AJ2473" s="150">
        <f t="shared" si="871"/>
        <v>179.94141666666667</v>
      </c>
      <c r="AK2473" s="62">
        <f t="shared" si="880"/>
        <v>0.71209373333333337</v>
      </c>
      <c r="AL2473" s="225">
        <f>Table1[[#This Row],[WSP/Dealer]]/Table1[[#This Row],[OD Sq Inch]]</f>
        <v>0.42896362388469456</v>
      </c>
      <c r="AM2473" s="218">
        <f>Table1[[#This Row],[OD Wdth]]*Table1[[#This Row],[OD Hgt]]</f>
        <v>1457</v>
      </c>
      <c r="AN2473" s="216">
        <f>Table1[[#This Row],[Min VO]]+Table1[[#This Row],[Max VO]]</f>
        <v>78</v>
      </c>
      <c r="AO2473" s="145"/>
      <c r="AP2473" s="145"/>
      <c r="AQ2473" s="143"/>
      <c r="AR2473" s="143"/>
      <c r="AS2473" s="143"/>
      <c r="AT2473" s="143"/>
      <c r="AU2473" s="1371" t="str">
        <f t="shared" si="879"/>
        <v>-</v>
      </c>
    </row>
    <row r="2474" spans="1:47" s="170" customFormat="1" hidden="1" x14ac:dyDescent="0.2">
      <c r="A2474" s="68" t="s">
        <v>187</v>
      </c>
      <c r="B2474" s="279" t="s">
        <v>292</v>
      </c>
      <c r="C2474" s="804" t="s">
        <v>5663</v>
      </c>
      <c r="D2474" s="94"/>
      <c r="E2474" s="378" t="s">
        <v>5664</v>
      </c>
      <c r="F2474" s="84" t="s">
        <v>349</v>
      </c>
      <c r="G2474" s="282" t="s">
        <v>354</v>
      </c>
      <c r="H2474" s="68" t="s">
        <v>602</v>
      </c>
      <c r="I2474" s="282" t="s">
        <v>52</v>
      </c>
      <c r="J2474" s="68" t="s">
        <v>53</v>
      </c>
      <c r="K2474" s="282" t="s">
        <v>281</v>
      </c>
      <c r="L2474" s="68" t="s">
        <v>70</v>
      </c>
      <c r="M2474" s="380">
        <v>1000</v>
      </c>
      <c r="N2474" s="71"/>
      <c r="O2474" s="68" t="s">
        <v>56</v>
      </c>
      <c r="P2474" s="68">
        <v>24</v>
      </c>
      <c r="Q2474" s="68">
        <v>30</v>
      </c>
      <c r="R2474" s="68">
        <v>24</v>
      </c>
      <c r="S2474" s="68">
        <v>30</v>
      </c>
      <c r="T2474" s="68">
        <v>25</v>
      </c>
      <c r="U2474" s="68">
        <v>31</v>
      </c>
      <c r="V2474" s="66">
        <f>IF(J2474="Canvas",P2474+Border,P2474)</f>
        <v>32</v>
      </c>
      <c r="W2474" s="66">
        <f>IF(J2474="Canvas",Q2474+Border,Q2474)</f>
        <v>38</v>
      </c>
      <c r="X2474" s="189"/>
      <c r="Y2474" s="68"/>
      <c r="Z2474" s="68"/>
      <c r="AA2474" s="699">
        <f t="shared" si="870"/>
        <v>8.4444444444444446</v>
      </c>
      <c r="AB2474" s="297">
        <f>AA2474*IncaG</f>
        <v>177.67111111111112</v>
      </c>
      <c r="AC2474" s="74">
        <f t="shared" si="873"/>
        <v>5.5733333333333341</v>
      </c>
      <c r="AD2474" s="319">
        <f>Table1[[#This Row],[Substrate SF]]*IncaC</f>
        <v>14.213688888888889</v>
      </c>
      <c r="AE2474" s="278">
        <f>IF(Table1[[#This Row],[Work Center]]="SwissQ",Materials!G$37,IF(Table1[[#This Row],[Work Center]]="Inca",Materials!G$29,IF(Table1[[#This Row],[Work Center]]="Canon",Materials!G$49,Materials!G$45)))</f>
        <v>8</v>
      </c>
      <c r="AF2474" s="321">
        <f>'Cali Frames'!D280</f>
        <v>110.0575</v>
      </c>
      <c r="AG2474" s="126"/>
      <c r="AH2474" s="263">
        <f t="shared" si="874"/>
        <v>50</v>
      </c>
      <c r="AI2474" s="263"/>
      <c r="AJ2474" s="278">
        <f t="shared" si="871"/>
        <v>187.84452222222222</v>
      </c>
      <c r="AK2474" s="62">
        <f t="shared" si="880"/>
        <v>0.81215547777777786</v>
      </c>
      <c r="AL2474" s="225">
        <f>Table1[[#This Row],[WSP/Dealer]]/Table1[[#This Row],[OD Sq Inch]]</f>
        <v>1.2903225806451613</v>
      </c>
      <c r="AM2474" s="170">
        <f>Table1[[#This Row],[OD Wdth]]*Table1[[#This Row],[OD Hgt]]</f>
        <v>775</v>
      </c>
      <c r="AN2474" s="216">
        <f>Table1[[#This Row],[Min VO]]+Table1[[#This Row],[Max VO]]</f>
        <v>54</v>
      </c>
      <c r="AO2474" s="84"/>
      <c r="AP2474" s="84"/>
      <c r="AQ2474" s="126"/>
      <c r="AR2474" s="126"/>
      <c r="AS2474" s="126"/>
      <c r="AT2474" s="74"/>
      <c r="AU2474" s="1357" t="str">
        <f t="shared" si="879"/>
        <v>-</v>
      </c>
    </row>
    <row r="2475" spans="1:47" s="170" customFormat="1" hidden="1" x14ac:dyDescent="0.2">
      <c r="A2475" s="60" t="s">
        <v>2502</v>
      </c>
      <c r="B2475" s="279" t="s">
        <v>2503</v>
      </c>
      <c r="C2475" s="492" t="s">
        <v>5665</v>
      </c>
      <c r="D2475" s="79"/>
      <c r="E2475" s="492" t="s">
        <v>5666</v>
      </c>
      <c r="F2475" s="83" t="s">
        <v>349</v>
      </c>
      <c r="G2475" s="92" t="s">
        <v>643</v>
      </c>
      <c r="H2475" s="60" t="s">
        <v>806</v>
      </c>
      <c r="I2475" s="92" t="s">
        <v>52</v>
      </c>
      <c r="J2475" s="59" t="s">
        <v>53</v>
      </c>
      <c r="K2475" s="92" t="s">
        <v>69</v>
      </c>
      <c r="L2475" s="60" t="s">
        <v>73</v>
      </c>
      <c r="M2475" s="622">
        <v>300</v>
      </c>
      <c r="N2475" s="124"/>
      <c r="O2475" s="60" t="s">
        <v>56</v>
      </c>
      <c r="P2475" s="60">
        <v>20</v>
      </c>
      <c r="Q2475" s="60">
        <v>16</v>
      </c>
      <c r="R2475" s="60">
        <v>16</v>
      </c>
      <c r="S2475" s="60">
        <v>20</v>
      </c>
      <c r="T2475" s="46">
        <v>21</v>
      </c>
      <c r="U2475" s="46">
        <v>17</v>
      </c>
      <c r="V2475" s="946">
        <f>IF(J2475="Canvas",P2475+Border,P2475)</f>
        <v>28</v>
      </c>
      <c r="W2475" s="946">
        <f>IF(J2475="Canvas",Q2475+Border,Q2475)</f>
        <v>24</v>
      </c>
      <c r="X2475" s="996">
        <v>40</v>
      </c>
      <c r="Y2475" s="60">
        <v>28</v>
      </c>
      <c r="Z2475" s="60">
        <v>24</v>
      </c>
      <c r="AA2475" s="717">
        <f t="shared" si="870"/>
        <v>4.666666666666667</v>
      </c>
      <c r="AB2475" s="125">
        <f>AA2475*IncaG</f>
        <v>98.186666666666667</v>
      </c>
      <c r="AC2475" s="69">
        <f t="shared" si="873"/>
        <v>3.0800000000000005</v>
      </c>
      <c r="AD2475" s="1041">
        <f>Table1[[#This Row],[Substrate SF]]*IncaC</f>
        <v>7.8549333333333342</v>
      </c>
      <c r="AE2475" s="176">
        <f>IF(Table1[[#This Row],[Work Center]]="SwissQ",Materials!G$37,IF(Table1[[#This Row],[Work Center]]="Inca",Materials!G$29,IF(Table1[[#This Row],[Work Center]]="Canon",Materials!G$49,Materials!G$45)))</f>
        <v>8</v>
      </c>
      <c r="AF2475" s="290">
        <f>'Cali Frames'!D414</f>
        <v>89.83</v>
      </c>
      <c r="AG2475" s="540"/>
      <c r="AH2475" s="175">
        <f t="shared" si="874"/>
        <v>15</v>
      </c>
      <c r="AI2475" s="175"/>
      <c r="AJ2475" s="176">
        <f t="shared" si="871"/>
        <v>123.76493333333333</v>
      </c>
      <c r="AK2475" s="62">
        <f t="shared" si="880"/>
        <v>0.58745022222222232</v>
      </c>
      <c r="AL2475" s="225">
        <f>Table1[[#This Row],[WSP/Dealer]]/Table1[[#This Row],[OD Sq Inch]]</f>
        <v>0.84033613445378152</v>
      </c>
      <c r="AM2475" s="173">
        <f>Table1[[#This Row],[OD Wdth]]*Table1[[#This Row],[OD Hgt]]</f>
        <v>357</v>
      </c>
      <c r="AN2475" s="216">
        <f>Table1[[#This Row],[Min VO]]+Table1[[#This Row],[Max VO]]</f>
        <v>36</v>
      </c>
      <c r="AO2475" s="83"/>
      <c r="AP2475" s="83"/>
      <c r="AQ2475" s="540"/>
      <c r="AR2475" s="540"/>
      <c r="AS2475" s="540"/>
      <c r="AT2475" s="69"/>
      <c r="AU2475" s="1361" t="str">
        <f t="shared" si="879"/>
        <v>-</v>
      </c>
    </row>
    <row r="2476" spans="1:47" s="170" customFormat="1" hidden="1" x14ac:dyDescent="0.2">
      <c r="A2476" s="68" t="s">
        <v>644</v>
      </c>
      <c r="B2476" s="1061" t="s">
        <v>96</v>
      </c>
      <c r="C2476" s="378" t="s">
        <v>5667</v>
      </c>
      <c r="D2476" s="94"/>
      <c r="E2476" s="378" t="s">
        <v>5668</v>
      </c>
      <c r="F2476" s="84" t="s">
        <v>105</v>
      </c>
      <c r="G2476" s="282" t="s">
        <v>731</v>
      </c>
      <c r="H2476" s="68" t="s">
        <v>731</v>
      </c>
      <c r="I2476" s="282" t="s">
        <v>108</v>
      </c>
      <c r="J2476" s="140" t="s">
        <v>53</v>
      </c>
      <c r="K2476" s="282" t="s">
        <v>54</v>
      </c>
      <c r="L2476" s="68" t="s">
        <v>55</v>
      </c>
      <c r="M2476" s="379">
        <v>250</v>
      </c>
      <c r="N2476" s="93"/>
      <c r="O2476" s="274" t="s">
        <v>109</v>
      </c>
      <c r="P2476" s="68">
        <v>30</v>
      </c>
      <c r="Q2476" s="68">
        <v>20</v>
      </c>
      <c r="R2476" s="68">
        <v>20</v>
      </c>
      <c r="S2476" s="68">
        <v>30</v>
      </c>
      <c r="T2476" s="68">
        <v>30</v>
      </c>
      <c r="U2476" s="68">
        <v>20</v>
      </c>
      <c r="V2476" s="277">
        <f>IF(J2476="Canvas",P2476+BorderL,P2476)</f>
        <v>41</v>
      </c>
      <c r="W2476" s="277">
        <f>IF(J2476="Canvas",Q2476+BorderL,Q2476)</f>
        <v>31</v>
      </c>
      <c r="X2476" s="189">
        <v>40</v>
      </c>
      <c r="Y2476" s="68">
        <v>41</v>
      </c>
      <c r="Z2476" s="68">
        <v>31</v>
      </c>
      <c r="AA2476" s="727">
        <f t="shared" si="870"/>
        <v>8.8263888888888893</v>
      </c>
      <c r="AB2476" s="341">
        <f>AA2476*EPSONM</f>
        <v>39.71875</v>
      </c>
      <c r="AC2476" s="278">
        <f t="shared" si="873"/>
        <v>5.8254166666666674</v>
      </c>
      <c r="AD2476" s="263">
        <f>Table1[[#This Row],[Ink g/mL]]*EPSONC</f>
        <v>8.7381250000000001</v>
      </c>
      <c r="AE2476" s="278">
        <f>IF(Table1[[#This Row],[Work Center]]="SwissQ",Materials!G$37,IF(Table1[[#This Row],[Work Center]]="Inca",Materials!G$29,IF(Table1[[#This Row],[Work Center]]="Canon",Materials!G$49,Materials!G$45)))</f>
        <v>5</v>
      </c>
      <c r="AF2476" s="73">
        <f>'Cali FPS'!C28</f>
        <v>62.93</v>
      </c>
      <c r="AG2476" s="126"/>
      <c r="AH2476" s="67">
        <v>0</v>
      </c>
      <c r="AI2476" s="67"/>
      <c r="AJ2476" s="278">
        <f t="shared" si="871"/>
        <v>82.493541666666658</v>
      </c>
      <c r="AK2476" s="661">
        <f t="shared" si="880"/>
        <v>0.67002583333333332</v>
      </c>
      <c r="AL2476" s="240">
        <f>Table1[[#This Row],[WSP/Dealer]]/Table1[[#This Row],[OD Sq Inch]]</f>
        <v>0.41666666666666669</v>
      </c>
      <c r="AM2476" s="170">
        <f>Table1[[#This Row],[OD Wdth]]*Table1[[#This Row],[OD Hgt]]</f>
        <v>600</v>
      </c>
      <c r="AN2476" s="274">
        <f>Table1[[#This Row],[Min VO]]+Table1[[#This Row],[Max VO]]</f>
        <v>50</v>
      </c>
      <c r="AO2476" s="84"/>
      <c r="AP2476" s="84"/>
      <c r="AQ2476" s="126"/>
      <c r="AR2476" s="126"/>
      <c r="AS2476" s="126"/>
      <c r="AT2476" s="74"/>
      <c r="AU2476" s="1357" t="str">
        <f t="shared" si="879"/>
        <v>-</v>
      </c>
    </row>
    <row r="2477" spans="1:47" s="170" customFormat="1" hidden="1" x14ac:dyDescent="0.2">
      <c r="A2477" s="101" t="s">
        <v>996</v>
      </c>
      <c r="B2477" s="1062" t="s">
        <v>96</v>
      </c>
      <c r="C2477" s="327" t="s">
        <v>5669</v>
      </c>
      <c r="D2477" s="168"/>
      <c r="E2477" s="327" t="s">
        <v>5668</v>
      </c>
      <c r="F2477" s="115" t="s">
        <v>105</v>
      </c>
      <c r="G2477" s="303" t="s">
        <v>731</v>
      </c>
      <c r="H2477" s="101" t="s">
        <v>5670</v>
      </c>
      <c r="I2477" s="303" t="s">
        <v>108</v>
      </c>
      <c r="J2477" s="487" t="s">
        <v>280</v>
      </c>
      <c r="K2477" s="303" t="s">
        <v>814</v>
      </c>
      <c r="L2477" s="101" t="s">
        <v>815</v>
      </c>
      <c r="M2477" s="692">
        <v>590</v>
      </c>
      <c r="N2477" s="114"/>
      <c r="O2477" s="101" t="s">
        <v>575</v>
      </c>
      <c r="P2477" s="101">
        <v>30</v>
      </c>
      <c r="Q2477" s="101">
        <v>20</v>
      </c>
      <c r="R2477" s="101">
        <v>20</v>
      </c>
      <c r="S2477" s="101">
        <v>30</v>
      </c>
      <c r="T2477" s="101">
        <v>31</v>
      </c>
      <c r="U2477" s="101">
        <v>21</v>
      </c>
      <c r="V2477" s="106">
        <v>30</v>
      </c>
      <c r="W2477" s="106">
        <v>20</v>
      </c>
      <c r="X2477" s="1010" t="s">
        <v>283</v>
      </c>
      <c r="Y2477" s="101">
        <v>30.25</v>
      </c>
      <c r="Z2477" s="101">
        <v>20.25</v>
      </c>
      <c r="AA2477" s="649">
        <f t="shared" si="870"/>
        <v>4.166666666666667</v>
      </c>
      <c r="AB2477" s="1015">
        <f>AA2477*SWISSMLR*3</f>
        <v>25</v>
      </c>
      <c r="AC2477" s="406">
        <f>MDFSHEET/6</f>
        <v>4.0583333333333336</v>
      </c>
      <c r="AD2477" s="405">
        <f>Table1[[#This Row],[Substrate SF]]*SWISSCR*3</f>
        <v>2.75</v>
      </c>
      <c r="AE2477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2477" s="102">
        <f>'Cali Frames'!D198</f>
        <v>124.06</v>
      </c>
      <c r="AG2477" s="121"/>
      <c r="AH2477" s="104">
        <v>0</v>
      </c>
      <c r="AI2477" s="104"/>
      <c r="AJ2477" s="406">
        <f t="shared" si="871"/>
        <v>138.86833333333334</v>
      </c>
      <c r="AK2477" s="830">
        <f t="shared" si="880"/>
        <v>0.76462994350282487</v>
      </c>
      <c r="AL2477" s="660">
        <f>Table1[[#This Row],[WSP/Dealer]]/Table1[[#This Row],[OD Sq Inch]]</f>
        <v>0.90629800307219666</v>
      </c>
      <c r="AM2477" s="399">
        <f>Table1[[#This Row],[OD Wdth]]*Table1[[#This Row],[OD Hgt]]</f>
        <v>651</v>
      </c>
      <c r="AN2477" s="400" t="str">
        <f>Table1[[#This Row],[Color]]</f>
        <v>CB</v>
      </c>
      <c r="AO2477" s="115" t="str">
        <f>Table1[[#This Row],[Print Type]]</f>
        <v>Reductive</v>
      </c>
      <c r="AP2477" s="115"/>
      <c r="AQ2477" s="121"/>
      <c r="AR2477" s="121"/>
      <c r="AS2477" s="121"/>
      <c r="AT2477" s="104"/>
      <c r="AU2477" s="1359" t="str">
        <f t="shared" si="879"/>
        <v>-</v>
      </c>
    </row>
    <row r="2478" spans="1:47" s="399" customFormat="1" hidden="1" x14ac:dyDescent="0.2">
      <c r="A2478" s="101" t="s">
        <v>110</v>
      </c>
      <c r="B2478" s="1067" t="s">
        <v>250</v>
      </c>
      <c r="C2478" s="327" t="s">
        <v>5671</v>
      </c>
      <c r="D2478" s="168"/>
      <c r="E2478" s="327" t="s">
        <v>5668</v>
      </c>
      <c r="F2478" s="115" t="s">
        <v>105</v>
      </c>
      <c r="G2478" s="303" t="s">
        <v>731</v>
      </c>
      <c r="H2478" s="101" t="s">
        <v>731</v>
      </c>
      <c r="I2478" s="303" t="s">
        <v>574</v>
      </c>
      <c r="J2478" s="487" t="s">
        <v>53</v>
      </c>
      <c r="K2478" s="303" t="s">
        <v>119</v>
      </c>
      <c r="L2478" s="101" t="s">
        <v>120</v>
      </c>
      <c r="M2478" s="494">
        <v>375</v>
      </c>
      <c r="N2478" s="114"/>
      <c r="O2478" s="101" t="s">
        <v>109</v>
      </c>
      <c r="P2478" s="101">
        <v>30</v>
      </c>
      <c r="Q2478" s="101">
        <v>20</v>
      </c>
      <c r="R2478" s="101">
        <v>20</v>
      </c>
      <c r="S2478" s="101">
        <v>30</v>
      </c>
      <c r="T2478" s="101">
        <v>30</v>
      </c>
      <c r="U2478" s="101">
        <v>20</v>
      </c>
      <c r="V2478" s="404">
        <f>IF(J2478="Canvas",P2478+BorderL,P2478)</f>
        <v>41</v>
      </c>
      <c r="W2478" s="404">
        <f>IF(J2478="Canvas",Q2478+BorderL,Q2478)</f>
        <v>31</v>
      </c>
      <c r="X2478" s="137">
        <v>40</v>
      </c>
      <c r="Y2478" s="101">
        <v>41</v>
      </c>
      <c r="Z2478" s="101">
        <v>31</v>
      </c>
      <c r="AA2478" s="1069">
        <f t="shared" si="870"/>
        <v>8.8263888888888893</v>
      </c>
      <c r="AB2478" s="1015">
        <f>AA2478*SWISSMLR*3</f>
        <v>52.958333333333336</v>
      </c>
      <c r="AC2478" s="406">
        <f>MDFSHEET/6</f>
        <v>4.0583333333333336</v>
      </c>
      <c r="AD2478" s="405">
        <f>Table1[[#This Row],[Substrate SF]]*SWISSCR*3</f>
        <v>5.8254166666666665</v>
      </c>
      <c r="AE2478" s="406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5</v>
      </c>
      <c r="AF2478" s="102">
        <f>'Cali FPS'!C190</f>
        <v>98.98</v>
      </c>
      <c r="AG2478" s="121"/>
      <c r="AH2478" s="120">
        <f t="shared" ref="AH2478:AH2487" si="881">(M2478*0.05)</f>
        <v>18.75</v>
      </c>
      <c r="AI2478" s="405">
        <f>IF(A2478="Codarus",(M2478*0.13))</f>
        <v>48.75</v>
      </c>
      <c r="AJ2478" s="107">
        <f>SUM(AC2478:AI2478)</f>
        <v>181.36375000000001</v>
      </c>
      <c r="AK2478" s="108">
        <f t="shared" si="880"/>
        <v>0.51636333333333329</v>
      </c>
      <c r="AL2478" s="660">
        <f>Table1[[#This Row],[WSP/Dealer]]/Table1[[#This Row],[OD Sq Inch]]</f>
        <v>0.625</v>
      </c>
      <c r="AM2478" s="399">
        <f>Table1[[#This Row],[OD Wdth]]*Table1[[#This Row],[OD Hgt]]</f>
        <v>600</v>
      </c>
      <c r="AN2478" s="400">
        <f>Table1[[#This Row],[Min VO]]+Table1[[#This Row],[Max VO]]</f>
        <v>50</v>
      </c>
      <c r="AO2478" s="115"/>
      <c r="AP2478" s="121">
        <v>750</v>
      </c>
      <c r="AQ2478" s="121">
        <f>(Table1[[#This Row],[Desgnr/Retail P]]*0.05)</f>
        <v>37.5</v>
      </c>
      <c r="AR2478" s="121">
        <f>IF(A2478="Codarus",(AP2478*0.13))</f>
        <v>97.5</v>
      </c>
      <c r="AS2478" s="121">
        <f>SUM(Table1[[#This Row],[Substrate $]:[GP FINISH]])+Table1[[#This Row],[Retail Royalty]]+Table1[[#This Row],[Retail$Comm]]</f>
        <v>248.86375000000001</v>
      </c>
      <c r="AT2478" s="830">
        <f>IF(AP2478=0,"-",(AP2478-AS2478)/AP2478)</f>
        <v>0.66818166666666667</v>
      </c>
      <c r="AU2478" s="1359">
        <f t="shared" si="879"/>
        <v>0.98218182222222217</v>
      </c>
    </row>
    <row r="2479" spans="1:47" s="399" customFormat="1" hidden="1" x14ac:dyDescent="0.2">
      <c r="A2479" s="101" t="s">
        <v>110</v>
      </c>
      <c r="B2479" s="1067" t="s">
        <v>134</v>
      </c>
      <c r="C2479" s="327" t="s">
        <v>135</v>
      </c>
      <c r="D2479" s="168"/>
      <c r="E2479" s="327" t="s">
        <v>5672</v>
      </c>
      <c r="F2479" s="115" t="s">
        <v>131</v>
      </c>
      <c r="G2479" s="303" t="s">
        <v>132</v>
      </c>
      <c r="H2479" s="101" t="s">
        <v>132</v>
      </c>
      <c r="I2479" s="303" t="s">
        <v>52</v>
      </c>
      <c r="J2479" s="487" t="s">
        <v>53</v>
      </c>
      <c r="K2479" s="303" t="s">
        <v>54</v>
      </c>
      <c r="L2479" s="101" t="s">
        <v>55</v>
      </c>
      <c r="M2479" s="494">
        <v>850</v>
      </c>
      <c r="N2479" s="114"/>
      <c r="O2479" s="101" t="s">
        <v>56</v>
      </c>
      <c r="P2479" s="101">
        <v>36</v>
      </c>
      <c r="Q2479" s="101">
        <v>48</v>
      </c>
      <c r="R2479" s="101">
        <v>36</v>
      </c>
      <c r="S2479" s="101">
        <v>48</v>
      </c>
      <c r="T2479" s="101">
        <v>36</v>
      </c>
      <c r="U2479" s="101">
        <v>48</v>
      </c>
      <c r="V2479" s="106">
        <f>IF(J2479="Canvas",P2479+Border,P2479)</f>
        <v>44</v>
      </c>
      <c r="W2479" s="106">
        <f>IF(J2479="Canvas",Q2479+Border,Q2479)</f>
        <v>56</v>
      </c>
      <c r="X2479" s="137">
        <v>59</v>
      </c>
      <c r="Y2479" s="101">
        <v>44</v>
      </c>
      <c r="Z2479" s="101">
        <v>56</v>
      </c>
      <c r="AA2479" s="649">
        <f t="shared" si="870"/>
        <v>17.111111111111111</v>
      </c>
      <c r="AB2479" s="184">
        <f>AA2479*IncaG</f>
        <v>360.01777777777778</v>
      </c>
      <c r="AC2479" s="104">
        <f>AA2479*Canvas</f>
        <v>11.293333333333333</v>
      </c>
      <c r="AD2479" s="1066">
        <f>Table1[[#This Row],[Substrate SF]]*IncaC</f>
        <v>28.801422222222222</v>
      </c>
      <c r="AE2479" s="406">
        <f>IF(Table1[[#This Row],[Work Center]]="SwissQ",Materials!G$37,IF(Table1[[#This Row],[Work Center]]="Inca",Materials!G$29,IF(Table1[[#This Row],[Work Center]]="Canon",Materials!G$49,Materials!G$45)))</f>
        <v>8</v>
      </c>
      <c r="AF2479" s="102">
        <f>'Cali FPS'!C71</f>
        <v>114.31</v>
      </c>
      <c r="AG2479" s="121"/>
      <c r="AH2479" s="121">
        <f t="shared" si="881"/>
        <v>42.5</v>
      </c>
      <c r="AI2479" s="406">
        <f>IF(A2479="Codarus",(M2479*0.13))</f>
        <v>110.5</v>
      </c>
      <c r="AJ2479" s="104">
        <f>SUM(AC2479:AI2479)</f>
        <v>315.40475555555554</v>
      </c>
      <c r="AK2479" s="830">
        <f t="shared" si="880"/>
        <v>0.62893558169934638</v>
      </c>
      <c r="AL2479" s="660">
        <f>Table1[[#This Row],[WSP/Dealer]]/Table1[[#This Row],[OD Sq Inch]]</f>
        <v>0.49189814814814814</v>
      </c>
      <c r="AM2479" s="399">
        <f>Table1[[#This Row],[OD Wdth]]*Table1[[#This Row],[OD Hgt]]</f>
        <v>1728</v>
      </c>
      <c r="AN2479" s="400">
        <f>Table1[[#This Row],[Min VO]]+Table1[[#This Row],[Max VO]]</f>
        <v>84</v>
      </c>
      <c r="AO2479" s="115"/>
      <c r="AP2479" s="121">
        <v>1700</v>
      </c>
      <c r="AQ2479" s="121">
        <f>(Table1[[#This Row],[Desgnr/Retail P]]*0.05)</f>
        <v>85</v>
      </c>
      <c r="AR2479" s="121">
        <f>IF(A2479="Codarus",(AP2479*0.13))</f>
        <v>221</v>
      </c>
      <c r="AS2479" s="121">
        <f>SUM(Table1[[#This Row],[Substrate $]:[GP FINISH]])+Table1[[#This Row],[Retail Royalty]]+Table1[[#This Row],[Retail$Comm]]</f>
        <v>468.40475555555554</v>
      </c>
      <c r="AT2479" s="830">
        <f>IF(AP2479=0,"-",(AP2479-AS2479)/AP2479)</f>
        <v>0.72446779084967317</v>
      </c>
      <c r="AU2479" s="1359">
        <f t="shared" ref="AU2479:AU2510" si="882">IF(AQ2479=0,"-",(AQ2479-AT2479)/AQ2479)</f>
        <v>0.99147684951941562</v>
      </c>
    </row>
    <row r="2480" spans="1:47" s="399" customFormat="1" hidden="1" x14ac:dyDescent="0.2">
      <c r="A2480" s="101" t="s">
        <v>110</v>
      </c>
      <c r="B2480" s="1062" t="s">
        <v>134</v>
      </c>
      <c r="C2480" s="1336" t="s">
        <v>5673</v>
      </c>
      <c r="D2480" s="168"/>
      <c r="E2480" s="327" t="s">
        <v>5674</v>
      </c>
      <c r="F2480" s="115" t="s">
        <v>131</v>
      </c>
      <c r="G2480" s="303" t="s">
        <v>370</v>
      </c>
      <c r="H2480" s="101" t="s">
        <v>371</v>
      </c>
      <c r="I2480" s="303" t="s">
        <v>52</v>
      </c>
      <c r="J2480" s="487" t="s">
        <v>53</v>
      </c>
      <c r="K2480" s="303" t="s">
        <v>69</v>
      </c>
      <c r="L2480" s="101" t="s">
        <v>70</v>
      </c>
      <c r="M2480" s="692">
        <v>650</v>
      </c>
      <c r="N2480" s="102"/>
      <c r="O2480" s="101" t="s">
        <v>64</v>
      </c>
      <c r="P2480" s="101">
        <v>40</v>
      </c>
      <c r="Q2480" s="101">
        <v>30</v>
      </c>
      <c r="R2480" s="101">
        <v>30</v>
      </c>
      <c r="S2480" s="101">
        <v>40</v>
      </c>
      <c r="T2480" s="101">
        <v>41</v>
      </c>
      <c r="U2480" s="101">
        <v>31</v>
      </c>
      <c r="V2480" s="608">
        <f>IF(J2480="Canvas",P2480+Border,P2480)</f>
        <v>48</v>
      </c>
      <c r="W2480" s="608">
        <f>IF(J2480="Canvas",Q2480+Border,Q2480)</f>
        <v>38</v>
      </c>
      <c r="X2480" s="137">
        <v>40</v>
      </c>
      <c r="Y2480" s="101">
        <v>48</v>
      </c>
      <c r="Z2480" s="101">
        <v>38</v>
      </c>
      <c r="AA2480" s="649">
        <f t="shared" si="870"/>
        <v>12.666666666666666</v>
      </c>
      <c r="AB2480" s="184">
        <f>AA2480*Swiss1</f>
        <v>358.46666666666664</v>
      </c>
      <c r="AC2480" s="104">
        <f>AA2480*Canvas</f>
        <v>8.36</v>
      </c>
      <c r="AD2480" s="107">
        <f>Table1[[#This Row],[Substrate SF]]*Materials!C$37</f>
        <v>35.466666666666661</v>
      </c>
      <c r="AE2480" s="104">
        <f>IF(Table1[[#This Row],[Work Center]]="SwissQ",Materials!G$37,IF(Table1[[#This Row],[Work Center]]="Inca",Materials!G$29,IF(Table1[[#This Row],[Work Center]]="Canon",Materials!G$49,Materials!G$45)))</f>
        <v>20</v>
      </c>
      <c r="AF2480" s="102">
        <f>'Cali Frames'!D291</f>
        <v>117.0575</v>
      </c>
      <c r="AG2480" s="121"/>
      <c r="AH2480" s="104">
        <f t="shared" si="881"/>
        <v>32.5</v>
      </c>
      <c r="AI2480" s="406">
        <f>IF(A2480="Codarus",(M2480*0.13))</f>
        <v>84.5</v>
      </c>
      <c r="AJ2480" s="104">
        <f t="shared" ref="AJ2480:AJ2485" si="883">SUM(AC2480:AH2480)</f>
        <v>213.38416666666666</v>
      </c>
      <c r="AK2480" s="830">
        <f t="shared" si="880"/>
        <v>0.67171666666666663</v>
      </c>
      <c r="AL2480" s="104">
        <f>Table1[[#This Row],[WSP/Dealer]]/Table1[[#This Row],[OD Sq Inch]]</f>
        <v>0.51140833988985046</v>
      </c>
      <c r="AM2480" s="103">
        <f>Table1[[#This Row],[OD Wdth]]*Table1[[#This Row],[OD Hgt]]</f>
        <v>1271</v>
      </c>
      <c r="AN2480" s="101">
        <f>Table1[[#This Row],[Min VO]]+Table1[[#This Row],[Max VO]]</f>
        <v>70</v>
      </c>
      <c r="AO2480" s="115"/>
      <c r="AP2480" s="121">
        <v>1300</v>
      </c>
      <c r="AQ2480" s="121">
        <f>(Table1[[#This Row],[Desgnr/Retail P]]*0.05)</f>
        <v>65</v>
      </c>
      <c r="AR2480" s="121">
        <f>IF(A2480="Codarus",(AP2480*0.13))</f>
        <v>169</v>
      </c>
      <c r="AS2480" s="121">
        <f>SUM(Table1[[#This Row],[Substrate $]:[GP FINISH]])+Table1[[#This Row],[Retail Royalty]]+Table1[[#This Row],[Retail$Comm]]</f>
        <v>414.88416666666666</v>
      </c>
      <c r="AT2480" s="830">
        <f>IF(AP2480=0,"-",(AP2480-AS2480)/AP2480)</f>
        <v>0.68085833333333334</v>
      </c>
      <c r="AU2480" s="1359">
        <f t="shared" si="882"/>
        <v>0.98952525641025646</v>
      </c>
    </row>
    <row r="2481" spans="1:47" s="399" customFormat="1" hidden="1" x14ac:dyDescent="0.2">
      <c r="A2481" s="68" t="s">
        <v>101</v>
      </c>
      <c r="B2481" s="1072" t="s">
        <v>102</v>
      </c>
      <c r="C2481" s="1053" t="s">
        <v>5675</v>
      </c>
      <c r="D2481" s="94"/>
      <c r="E2481" s="378" t="s">
        <v>5676</v>
      </c>
      <c r="F2481" s="84" t="s">
        <v>138</v>
      </c>
      <c r="G2481" s="282" t="s">
        <v>139</v>
      </c>
      <c r="H2481" s="68" t="s">
        <v>139</v>
      </c>
      <c r="I2481" s="282" t="s">
        <v>52</v>
      </c>
      <c r="J2481" s="140" t="s">
        <v>53</v>
      </c>
      <c r="K2481" s="282" t="s">
        <v>54</v>
      </c>
      <c r="L2481" s="68" t="s">
        <v>55</v>
      </c>
      <c r="M2481" s="379">
        <v>185</v>
      </c>
      <c r="N2481" s="93"/>
      <c r="O2481" s="68" t="s">
        <v>56</v>
      </c>
      <c r="P2481" s="68">
        <v>24</v>
      </c>
      <c r="Q2481" s="68">
        <v>24</v>
      </c>
      <c r="R2481" s="68">
        <v>24</v>
      </c>
      <c r="S2481" s="623">
        <v>24</v>
      </c>
      <c r="T2481" s="68">
        <v>24</v>
      </c>
      <c r="U2481" s="623">
        <v>24</v>
      </c>
      <c r="V2481" s="608">
        <f>IF(J2481="Canvas",P2481+BorderGW,P2481)</f>
        <v>32</v>
      </c>
      <c r="W2481" s="608">
        <f>IF(J2481="Canvas",Q2481+BorderGW,Q2481)</f>
        <v>32</v>
      </c>
      <c r="X2481" s="68">
        <v>40</v>
      </c>
      <c r="Y2481" s="917">
        <f>Table1[[#This Row],[Print Wth]]</f>
        <v>32</v>
      </c>
      <c r="Z2481" s="917">
        <f>Table1[[#This Row],[Print Ht]]</f>
        <v>32</v>
      </c>
      <c r="AA2481" s="1027">
        <f>Table1[[#This Row],[Cut Width]]*Table1[[#This Row],[Cut Height]]/144</f>
        <v>7.1111111111111107</v>
      </c>
      <c r="AB2481" s="1130">
        <f>Table1[[#This Row],[Print Wth]]*Table1[[#This Row],[Print Ht]]/144*IncaG</f>
        <v>149.61777777777777</v>
      </c>
      <c r="AC2481" s="278">
        <f>Table1[[#This Row],[Substrate SF]]*Canvas</f>
        <v>4.6933333333333334</v>
      </c>
      <c r="AD2481" s="263">
        <f>(Table1[[#This Row],[Print Wth]]*Table1[[#This Row],[Print Ht]])/144*IncaC</f>
        <v>11.969422222222223</v>
      </c>
      <c r="AE2481" s="74">
        <f>IF(Table1[[#This Row],[Work Center]]="SwissQ",Materials!G$37,IF(Table1[[#This Row],[Work Center]]="Inca",Materials!G$29,IF(Table1[[#This Row],[Work Center]]="Canon",Materials!G$49,Materials!G$45)))</f>
        <v>8</v>
      </c>
      <c r="AF2481" s="73">
        <f>'Cali FPS'!C32</f>
        <v>63.47</v>
      </c>
      <c r="AG2481" s="126"/>
      <c r="AH2481" s="67">
        <f t="shared" si="881"/>
        <v>9.25</v>
      </c>
      <c r="AI2481" s="67"/>
      <c r="AJ2481" s="74">
        <f t="shared" si="883"/>
        <v>97.382755555555548</v>
      </c>
      <c r="AK2481" s="661">
        <f t="shared" si="880"/>
        <v>0.47360672672672677</v>
      </c>
      <c r="AL2481" s="74">
        <f>Table1[[#This Row],[WSP/Dealer]]/Table1[[#This Row],[OD Sq Inch]]</f>
        <v>0.32118055555555558</v>
      </c>
      <c r="AM2481" s="63">
        <f>Table1[[#This Row],[OD Wdth]]*Table1[[#This Row],[OD Hgt]]</f>
        <v>576</v>
      </c>
      <c r="AN2481" s="68">
        <f>Table1[[#This Row],[Min VO]]+Table1[[#This Row],[Max VO]]</f>
        <v>48</v>
      </c>
      <c r="AO2481" s="84"/>
      <c r="AP2481" s="84"/>
      <c r="AQ2481" s="126"/>
      <c r="AR2481" s="126"/>
      <c r="AS2481" s="126"/>
      <c r="AT2481" s="74"/>
      <c r="AU2481" s="1357" t="str">
        <f t="shared" si="882"/>
        <v>-</v>
      </c>
    </row>
    <row r="2482" spans="1:47" s="170" customFormat="1" hidden="1" x14ac:dyDescent="0.2">
      <c r="A2482" s="68" t="s">
        <v>101</v>
      </c>
      <c r="B2482" s="1061" t="s">
        <v>102</v>
      </c>
      <c r="C2482" s="183" t="s">
        <v>5677</v>
      </c>
      <c r="D2482" s="77"/>
      <c r="E2482" s="804" t="s">
        <v>5676</v>
      </c>
      <c r="F2482" s="653" t="s">
        <v>138</v>
      </c>
      <c r="G2482" s="885" t="s">
        <v>139</v>
      </c>
      <c r="H2482" s="551" t="s">
        <v>139</v>
      </c>
      <c r="I2482" s="885" t="s">
        <v>52</v>
      </c>
      <c r="J2482" s="856" t="s">
        <v>280</v>
      </c>
      <c r="K2482" s="885" t="s">
        <v>281</v>
      </c>
      <c r="L2482" s="551" t="s">
        <v>282</v>
      </c>
      <c r="M2482" s="379">
        <v>250</v>
      </c>
      <c r="N2482" s="858">
        <f>Table1[[#This Row],[WSP/Dealer]]/0.35</f>
        <v>714.28571428571433</v>
      </c>
      <c r="O2482" s="551" t="s">
        <v>56</v>
      </c>
      <c r="P2482" s="551">
        <v>24</v>
      </c>
      <c r="Q2482" s="551">
        <v>24</v>
      </c>
      <c r="R2482" s="551">
        <v>24</v>
      </c>
      <c r="S2482" s="984">
        <v>24</v>
      </c>
      <c r="T2482" s="551">
        <v>24</v>
      </c>
      <c r="U2482" s="984">
        <v>24</v>
      </c>
      <c r="V2482" s="106">
        <f>IF(J2482="Canvas",P2482+BorderGW,P2482)</f>
        <v>24</v>
      </c>
      <c r="W2482" s="106">
        <f>IF(J2482="Canvas",Q2482+BorderGW,Q2482)</f>
        <v>24</v>
      </c>
      <c r="X2482" s="311" t="s">
        <v>283</v>
      </c>
      <c r="Y2482" s="918">
        <f>Table1[[#This Row],[Print Wth]]</f>
        <v>24</v>
      </c>
      <c r="Z2482" s="918">
        <f>Table1[[#This Row],[Print Ht]]</f>
        <v>24</v>
      </c>
      <c r="AA2482" s="1011">
        <f>Table1[[#This Row],[Cut Width]]*Table1[[#This Row],[Cut Height]]/144</f>
        <v>4</v>
      </c>
      <c r="AB2482" s="861">
        <f>AA2482*IncaG</f>
        <v>84.16</v>
      </c>
      <c r="AC2482" s="104">
        <f>MDFSHEET/6</f>
        <v>4.0583333333333336</v>
      </c>
      <c r="AD2482" s="405">
        <f>Table1[[#This Row],[Substrate SF]]*IncaC</f>
        <v>6.7328000000000001</v>
      </c>
      <c r="AE2482" s="104">
        <v>8</v>
      </c>
      <c r="AF2482" s="71">
        <f>'Cali Frames'!D538</f>
        <v>90.37</v>
      </c>
      <c r="AG2482" s="864"/>
      <c r="AH2482" s="867">
        <f t="shared" si="881"/>
        <v>12.5</v>
      </c>
      <c r="AI2482" s="867"/>
      <c r="AJ2482" s="867">
        <f t="shared" si="883"/>
        <v>121.66113333333334</v>
      </c>
      <c r="AK2482" s="1087">
        <f t="shared" si="880"/>
        <v>0.51335546666666665</v>
      </c>
      <c r="AL2482" s="867">
        <f>Table1[[#This Row],[WSP/Dealer]]/Table1[[#This Row],[OD Sq Inch]]</f>
        <v>0.43402777777777779</v>
      </c>
      <c r="AM2482" s="868">
        <f>Table1[[#This Row],[OD Wdth]]*Table1[[#This Row],[OD Hgt]]</f>
        <v>576</v>
      </c>
      <c r="AN2482" s="869">
        <f>Table1[[#This Row],[Min VO]]+Table1[[#This Row],[Max VO]]</f>
        <v>48</v>
      </c>
      <c r="AO2482" s="653"/>
      <c r="AP2482" s="653"/>
      <c r="AQ2482" s="864"/>
      <c r="AR2482" s="864"/>
      <c r="AS2482" s="864"/>
      <c r="AT2482" s="863"/>
      <c r="AU2482" s="1364" t="str">
        <f t="shared" si="882"/>
        <v>-</v>
      </c>
    </row>
    <row r="2483" spans="1:47" s="170" customFormat="1" x14ac:dyDescent="0.2">
      <c r="A2483" s="101" t="s">
        <v>58</v>
      </c>
      <c r="B2483" s="1061" t="s">
        <v>3398</v>
      </c>
      <c r="C2483" s="122" t="s">
        <v>5678</v>
      </c>
      <c r="D2483" s="77"/>
      <c r="E2483" s="122" t="s">
        <v>5679</v>
      </c>
      <c r="F2483" s="115" t="s">
        <v>124</v>
      </c>
      <c r="G2483" s="303" t="s">
        <v>660</v>
      </c>
      <c r="H2483" s="101" t="s">
        <v>660</v>
      </c>
      <c r="I2483" s="303" t="s">
        <v>52</v>
      </c>
      <c r="J2483" s="60" t="s">
        <v>53</v>
      </c>
      <c r="K2483" s="303" t="s">
        <v>54</v>
      </c>
      <c r="L2483" s="101" t="s">
        <v>55</v>
      </c>
      <c r="M2483" s="102">
        <v>920</v>
      </c>
      <c r="N2483" s="639">
        <v>890</v>
      </c>
      <c r="O2483" s="101" t="s">
        <v>56</v>
      </c>
      <c r="P2483" s="101">
        <v>60</v>
      </c>
      <c r="Q2483" s="101">
        <v>40</v>
      </c>
      <c r="R2483" s="60">
        <v>40</v>
      </c>
      <c r="S2483" s="273">
        <v>60</v>
      </c>
      <c r="T2483" s="273">
        <f>Table1[[#This Row],[VO Wdth]]</f>
        <v>60</v>
      </c>
      <c r="U2483" s="273">
        <f>Table1[[#This Row],[VO Hgt]]</f>
        <v>40</v>
      </c>
      <c r="V2483" s="106">
        <f>IF(J2483="Canvas",P2483+BorderGW,P2483)</f>
        <v>68</v>
      </c>
      <c r="W2483" s="106">
        <f>IF(J2483="Canvas",Q2483+BorderGW,Q2483)</f>
        <v>48</v>
      </c>
      <c r="X2483" s="137">
        <v>122</v>
      </c>
      <c r="Y2483" s="101"/>
      <c r="Z2483" s="101"/>
      <c r="AA2483" s="649">
        <f>V2483*W2483/144</f>
        <v>22.666666666666668</v>
      </c>
      <c r="AB2483" s="184">
        <f>AA2483*IncaG</f>
        <v>476.90666666666669</v>
      </c>
      <c r="AC2483" s="104">
        <f>AA2483*Canvas</f>
        <v>14.96</v>
      </c>
      <c r="AD2483" s="107">
        <f>AA2483*IncaC</f>
        <v>38.152533333333338</v>
      </c>
      <c r="AE2483" s="104">
        <f>IF(Table1[[#This Row],[Work Center]]="SwissQ",Materials!G$37,IF(Table1[[#This Row],[Work Center]]="Inca",Materials!G$29,IF(Table1[[#This Row],[Work Center]]="Canon",Materials!G$49,Materials!G$45)))</f>
        <v>8</v>
      </c>
      <c r="AF2483" s="74">
        <f>'Cali FPS'!C$89</f>
        <v>112.01750000000001</v>
      </c>
      <c r="AG2483" s="115"/>
      <c r="AH2483" s="498">
        <f t="shared" si="881"/>
        <v>46</v>
      </c>
      <c r="AI2483" s="498"/>
      <c r="AJ2483" s="104">
        <f t="shared" si="883"/>
        <v>219.13003333333336</v>
      </c>
      <c r="AK2483" s="650">
        <f t="shared" si="880"/>
        <v>0.76181518115942026</v>
      </c>
      <c r="AL2483" s="225">
        <f>Table1[[#This Row],[WSP/Dealer]]/Table1[[#This Row],[OD Sq Inch]]</f>
        <v>0.38333333333333336</v>
      </c>
      <c r="AM2483" s="103">
        <f>Table1[[#This Row],[OD Wdth]]*Table1[[#This Row],[OD Hgt]]</f>
        <v>2400</v>
      </c>
      <c r="AN2483" s="216">
        <f>Table1[[#This Row],[Min VO]]+Table1[[#This Row],[Max VO]]</f>
        <v>100</v>
      </c>
      <c r="AO2483" s="101"/>
      <c r="AP2483" s="101"/>
      <c r="AQ2483" s="104"/>
      <c r="AR2483" s="104"/>
      <c r="AS2483" s="104"/>
      <c r="AT2483" s="104"/>
      <c r="AU2483" s="830" t="str">
        <f t="shared" si="882"/>
        <v>-</v>
      </c>
    </row>
    <row r="2484" spans="1:47" s="170" customFormat="1" hidden="1" x14ac:dyDescent="0.2">
      <c r="A2484" s="101"/>
      <c r="B2484" s="1061"/>
      <c r="C2484" s="183" t="s">
        <v>5680</v>
      </c>
      <c r="D2484" s="168"/>
      <c r="E2484" s="327" t="s">
        <v>5681</v>
      </c>
      <c r="F2484" s="115" t="s">
        <v>858</v>
      </c>
      <c r="G2484" s="303" t="s">
        <v>5682</v>
      </c>
      <c r="H2484" s="101"/>
      <c r="I2484" s="92" t="s">
        <v>108</v>
      </c>
      <c r="J2484" s="59" t="s">
        <v>257</v>
      </c>
      <c r="K2484" s="303" t="s">
        <v>258</v>
      </c>
      <c r="L2484" s="101" t="s">
        <v>259</v>
      </c>
      <c r="M2484" s="692">
        <v>1000</v>
      </c>
      <c r="N2484" s="71"/>
      <c r="O2484" s="101" t="s">
        <v>260</v>
      </c>
      <c r="P2484" s="60">
        <v>56</v>
      </c>
      <c r="Q2484" s="60">
        <v>76</v>
      </c>
      <c r="R2484" s="60">
        <v>56</v>
      </c>
      <c r="S2484" s="60">
        <v>76</v>
      </c>
      <c r="T2484" s="101">
        <v>58</v>
      </c>
      <c r="U2484" s="101">
        <v>78</v>
      </c>
      <c r="V2484" s="47">
        <f>Table1[[#This Row],[VO Wdth]]+Materials!$C$50</f>
        <v>58</v>
      </c>
      <c r="W2484" s="47">
        <f>Table1[[#This Row],[VO Hgt]]+Materials!$C$50</f>
        <v>78</v>
      </c>
      <c r="X2484" s="137" t="s">
        <v>257</v>
      </c>
      <c r="Y2484" s="101"/>
      <c r="Z2484" s="101"/>
      <c r="AA2484" s="717">
        <f>V2484*W2484/144</f>
        <v>31.416666666666668</v>
      </c>
      <c r="AB2484" s="125">
        <f>AA2484*canonML</f>
        <v>150.80000000000001</v>
      </c>
      <c r="AC2484" s="69">
        <f>Table1[[#This Row],[Print Wth]]*paper60</f>
        <v>19.720000000000002</v>
      </c>
      <c r="AD2484" s="48">
        <f>Table1[[#This Row],[Ink g/mL]]*CanonC</f>
        <v>40.716000000000008</v>
      </c>
      <c r="AE2484" s="104">
        <f>IF(Table1[[#This Row],[Work Center]]="SwissQ",Materials!G$37,IF(Table1[[#This Row],[Work Center]]="Inca",Materials!G$29,IF(Table1[[#This Row],[Work Center]]="Canon",Materials!G$49,Materials!G$45)))</f>
        <v>7</v>
      </c>
      <c r="AF2484" s="102">
        <f>'Cali Frames'!D51</f>
        <v>505.19099999999997</v>
      </c>
      <c r="AG2484" s="121"/>
      <c r="AH2484" s="498">
        <f t="shared" si="881"/>
        <v>50</v>
      </c>
      <c r="AI2484" s="498"/>
      <c r="AJ2484" s="104">
        <f t="shared" si="883"/>
        <v>622.62699999999995</v>
      </c>
      <c r="AK2484" s="650">
        <f t="shared" si="880"/>
        <v>0.37737300000000007</v>
      </c>
      <c r="AL2484" s="225" t="e">
        <f>Table1[[#This Row],[WSP/Dealer]]/Table1[[#This Row],[OD Sq Inch]]</f>
        <v>#DIV/0!</v>
      </c>
      <c r="AM2484" s="113"/>
      <c r="AN2484" s="216">
        <f>Table1[[#This Row],[Min VO]]+Table1[[#This Row],[Max VO]]</f>
        <v>132</v>
      </c>
      <c r="AO2484" s="115"/>
      <c r="AP2484" s="115"/>
      <c r="AQ2484" s="121"/>
      <c r="AR2484" s="121"/>
      <c r="AS2484" s="121"/>
      <c r="AT2484" s="104"/>
      <c r="AU2484" s="1359" t="str">
        <f t="shared" si="882"/>
        <v>-</v>
      </c>
    </row>
    <row r="2485" spans="1:47" s="170" customFormat="1" hidden="1" x14ac:dyDescent="0.2">
      <c r="A2485" s="101"/>
      <c r="B2485" s="1061"/>
      <c r="C2485" s="183" t="s">
        <v>5683</v>
      </c>
      <c r="D2485" s="168"/>
      <c r="E2485" s="327" t="s">
        <v>5681</v>
      </c>
      <c r="F2485" s="115" t="s">
        <v>858</v>
      </c>
      <c r="G2485" s="303" t="s">
        <v>5682</v>
      </c>
      <c r="H2485" s="101"/>
      <c r="I2485" s="92" t="s">
        <v>108</v>
      </c>
      <c r="J2485" s="59" t="s">
        <v>257</v>
      </c>
      <c r="K2485" s="303" t="s">
        <v>258</v>
      </c>
      <c r="L2485" s="101" t="s">
        <v>269</v>
      </c>
      <c r="M2485" s="692">
        <v>1150</v>
      </c>
      <c r="N2485" s="71"/>
      <c r="O2485" s="101" t="s">
        <v>260</v>
      </c>
      <c r="P2485" s="60">
        <v>56</v>
      </c>
      <c r="Q2485" s="60">
        <v>76</v>
      </c>
      <c r="R2485" s="60">
        <v>56</v>
      </c>
      <c r="S2485" s="60">
        <v>76</v>
      </c>
      <c r="T2485" s="101">
        <v>58</v>
      </c>
      <c r="U2485" s="101">
        <v>78</v>
      </c>
      <c r="V2485" s="47">
        <f>Table1[[#This Row],[VO Wdth]]+Materials!$C$50</f>
        <v>58</v>
      </c>
      <c r="W2485" s="47">
        <f>Table1[[#This Row],[VO Hgt]]+Materials!$C$50</f>
        <v>78</v>
      </c>
      <c r="X2485" s="137" t="s">
        <v>257</v>
      </c>
      <c r="Y2485" s="101"/>
      <c r="Z2485" s="101"/>
      <c r="AA2485" s="717">
        <f>V2485*W2485/144</f>
        <v>31.416666666666668</v>
      </c>
      <c r="AB2485" s="125">
        <f>AA2485*canonML</f>
        <v>150.80000000000001</v>
      </c>
      <c r="AC2485" s="69">
        <f>Table1[[#This Row],[Print Wth]]*paper60</f>
        <v>19.720000000000002</v>
      </c>
      <c r="AD2485" s="48">
        <f>Table1[[#This Row],[Ink g/mL]]*CanonC</f>
        <v>40.716000000000008</v>
      </c>
      <c r="AE2485" s="104">
        <f>IF(Table1[[#This Row],[Work Center]]="SwissQ",Materials!G$37,IF(Table1[[#This Row],[Work Center]]="Inca",Materials!G$29,IF(Table1[[#This Row],[Work Center]]="Canon",Materials!G$49,Materials!G$45)))</f>
        <v>7</v>
      </c>
      <c r="AF2485" s="102">
        <f>'Cali Frames'!D69</f>
        <v>460.89750000000004</v>
      </c>
      <c r="AG2485" s="121"/>
      <c r="AH2485" s="498">
        <f t="shared" si="881"/>
        <v>57.5</v>
      </c>
      <c r="AI2485" s="498"/>
      <c r="AJ2485" s="104">
        <f t="shared" si="883"/>
        <v>585.83350000000007</v>
      </c>
      <c r="AK2485" s="650">
        <f t="shared" si="880"/>
        <v>0.49057956521739127</v>
      </c>
      <c r="AL2485" s="225" t="e">
        <f>Table1[[#This Row],[WSP/Dealer]]/Table1[[#This Row],[OD Sq Inch]]</f>
        <v>#DIV/0!</v>
      </c>
      <c r="AM2485" s="113"/>
      <c r="AN2485" s="216">
        <f>Table1[[#This Row],[Min VO]]+Table1[[#This Row],[Max VO]]</f>
        <v>132</v>
      </c>
      <c r="AO2485" s="113"/>
      <c r="AP2485" s="115"/>
      <c r="AQ2485" s="121"/>
      <c r="AR2485" s="121"/>
      <c r="AS2485" s="121"/>
      <c r="AT2485" s="104"/>
      <c r="AU2485" s="1359" t="str">
        <f t="shared" si="882"/>
        <v>-</v>
      </c>
    </row>
    <row r="2486" spans="1:47" s="170" customFormat="1" hidden="1" x14ac:dyDescent="0.2">
      <c r="A2486" s="101" t="s">
        <v>110</v>
      </c>
      <c r="B2486" s="1062" t="s">
        <v>134</v>
      </c>
      <c r="C2486" s="1336" t="s">
        <v>5684</v>
      </c>
      <c r="D2486" s="168"/>
      <c r="E2486" s="327" t="s">
        <v>5685</v>
      </c>
      <c r="F2486" s="115" t="s">
        <v>361</v>
      </c>
      <c r="G2486" s="303" t="s">
        <v>115</v>
      </c>
      <c r="H2486" s="101" t="s">
        <v>115</v>
      </c>
      <c r="I2486" s="303" t="s">
        <v>52</v>
      </c>
      <c r="J2486" s="101" t="s">
        <v>53</v>
      </c>
      <c r="K2486" s="303" t="s">
        <v>54</v>
      </c>
      <c r="L2486" s="101" t="s">
        <v>55</v>
      </c>
      <c r="M2486" s="692">
        <v>600</v>
      </c>
      <c r="N2486" s="102"/>
      <c r="O2486" s="101" t="s">
        <v>56</v>
      </c>
      <c r="P2486" s="101">
        <v>48</v>
      </c>
      <c r="Q2486" s="101">
        <v>48</v>
      </c>
      <c r="R2486" s="101">
        <v>48</v>
      </c>
      <c r="S2486" s="101">
        <v>48</v>
      </c>
      <c r="T2486" s="101">
        <v>48</v>
      </c>
      <c r="U2486" s="101">
        <v>48</v>
      </c>
      <c r="V2486" s="106">
        <f>IF(J2486="Canvas",P2486+Border,P2486)</f>
        <v>56</v>
      </c>
      <c r="W2486" s="106">
        <f>IF(J2486="Canvas",Q2486+Border,Q2486)</f>
        <v>56</v>
      </c>
      <c r="X2486" s="137">
        <v>59</v>
      </c>
      <c r="Y2486" s="101">
        <v>56</v>
      </c>
      <c r="Z2486" s="101">
        <v>56</v>
      </c>
      <c r="AA2486" s="724">
        <f>V2486*W2486/144</f>
        <v>21.777777777777779</v>
      </c>
      <c r="AB2486" s="633">
        <f>AA2486*IncaG</f>
        <v>458.20444444444445</v>
      </c>
      <c r="AC2486" s="406">
        <f>Table1[[#This Row],[Substrate SF]]*Paper</f>
        <v>29.465333333333334</v>
      </c>
      <c r="AD2486" s="405">
        <f>AA2486*IncaC</f>
        <v>36.656355555555557</v>
      </c>
      <c r="AE2486" s="406">
        <f>IF(Table1[[#This Row],[Work Center]]="SwissQ",Materials!G$37,IF(Table1[[#This Row],[Work Center]]="Inca",Materials!G$29,IF(Table1[[#This Row],[Work Center]]="Canon",Materials!G$49,Materials!G$45)))</f>
        <v>8</v>
      </c>
      <c r="AF2486" s="102">
        <f>'Cali FPS'!C117</f>
        <v>119.7</v>
      </c>
      <c r="AG2486" s="121"/>
      <c r="AH2486" s="405">
        <f t="shared" si="881"/>
        <v>30</v>
      </c>
      <c r="AI2486" s="405">
        <f>IF(A2486="Codarus",(M2486*0.13))</f>
        <v>78</v>
      </c>
      <c r="AJ2486" s="107">
        <f>SUM(AC2486:AI2486)</f>
        <v>301.8216888888889</v>
      </c>
      <c r="AK2486" s="1068">
        <f t="shared" si="880"/>
        <v>0.49696385185185182</v>
      </c>
      <c r="AL2486" s="406">
        <f>Table1[[#This Row],[WSP/Dealer]]/Table1[[#This Row],[OD Sq Inch]]</f>
        <v>0.26041666666666669</v>
      </c>
      <c r="AM2486" s="399">
        <f>Table1[[#This Row],[OD Wdth]]*Table1[[#This Row],[OD Hgt]]</f>
        <v>2304</v>
      </c>
      <c r="AN2486" s="400">
        <f>Table1[[#This Row],[Min VO]]+Table1[[#This Row],[Max VO]]</f>
        <v>96</v>
      </c>
      <c r="AO2486" s="115"/>
      <c r="AP2486" s="1307">
        <f>(M2486*2)</f>
        <v>1200</v>
      </c>
      <c r="AQ2486" s="121">
        <f>(Table1[[#This Row],[Desgnr/Retail P]]*0.05)</f>
        <v>60</v>
      </c>
      <c r="AR2486" s="121">
        <f>IF(A2486="Codarus",(AP2486*0.13))</f>
        <v>156</v>
      </c>
      <c r="AS2486" s="121">
        <f>SUM(Table1[[#This Row],[Substrate $]:[GP FINISH]])+Table1[[#This Row],[Retail Royalty]]+Table1[[#This Row],[Retail$Comm]]</f>
        <v>409.8216888888889</v>
      </c>
      <c r="AT2486" s="830">
        <f>IF(AP2486=0,"-",(AP2486-AS2486)/AP2486)</f>
        <v>0.65848192592592591</v>
      </c>
      <c r="AU2486" s="1359">
        <f t="shared" si="882"/>
        <v>0.98902530123456789</v>
      </c>
    </row>
    <row r="2487" spans="1:47" s="399" customFormat="1" x14ac:dyDescent="0.2">
      <c r="A2487" s="101" t="s">
        <v>58</v>
      </c>
      <c r="B2487" s="1067" t="s">
        <v>533</v>
      </c>
      <c r="C2487" s="80" t="s">
        <v>5686</v>
      </c>
      <c r="D2487" s="100" t="s">
        <v>5687</v>
      </c>
      <c r="E2487" s="1658" t="s">
        <v>5688</v>
      </c>
      <c r="F2487" s="115" t="s">
        <v>1269</v>
      </c>
      <c r="G2487" s="1636" t="s">
        <v>5689</v>
      </c>
      <c r="H2487" s="407" t="s">
        <v>5689</v>
      </c>
      <c r="I2487" s="1635" t="s">
        <v>52</v>
      </c>
      <c r="J2487" s="435" t="s">
        <v>53</v>
      </c>
      <c r="K2487" s="1635" t="s">
        <v>54</v>
      </c>
      <c r="L2487" s="407" t="s">
        <v>55</v>
      </c>
      <c r="M2487" s="494">
        <v>750</v>
      </c>
      <c r="N2487" s="114">
        <v>780</v>
      </c>
      <c r="O2487" s="101" t="s">
        <v>56</v>
      </c>
      <c r="P2487" s="60">
        <v>40</v>
      </c>
      <c r="Q2487" s="60">
        <v>47</v>
      </c>
      <c r="R2487" s="60">
        <v>40</v>
      </c>
      <c r="S2487" s="60">
        <v>47</v>
      </c>
      <c r="T2487" s="273">
        <f>Table1[[#This Row],[VO Wdth]]</f>
        <v>40</v>
      </c>
      <c r="U2487" s="273">
        <f>Table1[[#This Row],[VO Hgt]]</f>
        <v>47</v>
      </c>
      <c r="V2487" s="47">
        <f>IF(J2487="Canvas",P2487+Border,P2487)</f>
        <v>48</v>
      </c>
      <c r="W2487" s="106">
        <f>IF(J2487="Canvas",Q2487+Border,Q2487)</f>
        <v>55</v>
      </c>
      <c r="X2487" s="101">
        <v>59</v>
      </c>
      <c r="Y2487" s="101"/>
      <c r="Z2487" s="101"/>
      <c r="AA2487" s="649">
        <f>V2487*W2487/144</f>
        <v>18.333333333333332</v>
      </c>
      <c r="AB2487" s="184">
        <f>AA2487*IncaG</f>
        <v>385.73333333333329</v>
      </c>
      <c r="AC2487" s="104">
        <f>Table1[[#This Row],[Substrate SF]]*Paper</f>
        <v>24.805</v>
      </c>
      <c r="AD2487" s="120">
        <f>AA2487*IncaC</f>
        <v>30.858666666666664</v>
      </c>
      <c r="AE2487" s="121">
        <f>IF(Table1[[#This Row],[Work Center]]="SwissQ",Materials!G$37,IF(Table1[[#This Row],[Work Center]]="Inca",Materials!G$29,IF(Table1[[#This Row],[Work Center]]="Canon",Materials!G$49,Materials!G$45)))</f>
        <v>8</v>
      </c>
      <c r="AF2487" s="102">
        <f>'Cali FPS'!C$117</f>
        <v>119.7</v>
      </c>
      <c r="AG2487" s="115"/>
      <c r="AH2487" s="121">
        <f t="shared" si="881"/>
        <v>37.5</v>
      </c>
      <c r="AI2487" s="121"/>
      <c r="AJ2487" s="121">
        <f>SUM(AC2487:AH2487)</f>
        <v>220.86366666666666</v>
      </c>
      <c r="AK2487" s="830">
        <f t="shared" si="880"/>
        <v>0.7055151111111112</v>
      </c>
      <c r="AL2487" s="121">
        <f>Table1[[#This Row],[WSP/Dealer]]/Table1[[#This Row],[OD Sq Inch]]</f>
        <v>0.39893617021276595</v>
      </c>
      <c r="AM2487" s="113">
        <f>Table1[[#This Row],[OD Wdth]]*Table1[[#This Row],[OD Hgt]]</f>
        <v>1880</v>
      </c>
      <c r="AN2487" s="115">
        <f>Table1[[#This Row],[Min VO]]+Table1[[#This Row],[Max VO]]</f>
        <v>87</v>
      </c>
      <c r="AO2487" s="115"/>
      <c r="AP2487" s="115"/>
      <c r="AQ2487" s="121"/>
      <c r="AR2487" s="104"/>
      <c r="AS2487" s="104"/>
      <c r="AT2487" s="104"/>
      <c r="AU2487" s="1359" t="str">
        <f t="shared" si="882"/>
        <v>-</v>
      </c>
    </row>
    <row r="2488" spans="1:47" s="170" customFormat="1" x14ac:dyDescent="0.2">
      <c r="A2488" s="68" t="s">
        <v>58</v>
      </c>
      <c r="B2488" s="1072" t="s">
        <v>599</v>
      </c>
      <c r="C2488" s="82"/>
      <c r="D2488" s="78"/>
      <c r="E2488" s="1632" t="s">
        <v>5690</v>
      </c>
      <c r="F2488" s="84" t="s">
        <v>386</v>
      </c>
      <c r="G2488" s="1634" t="s">
        <v>637</v>
      </c>
      <c r="H2488" s="363" t="s">
        <v>637</v>
      </c>
      <c r="I2488" s="1634" t="s">
        <v>52</v>
      </c>
      <c r="J2488" s="646" t="s">
        <v>53</v>
      </c>
      <c r="K2488" s="1634" t="s">
        <v>54</v>
      </c>
      <c r="L2488" s="363" t="s">
        <v>55</v>
      </c>
      <c r="M2488" s="380"/>
      <c r="N2488" s="93"/>
      <c r="O2488" s="68" t="s">
        <v>56</v>
      </c>
      <c r="P2488" s="68"/>
      <c r="Q2488" s="68"/>
      <c r="R2488" s="68"/>
      <c r="S2488" s="68"/>
      <c r="T2488" s="623"/>
      <c r="U2488" s="623"/>
      <c r="V2488" s="917"/>
      <c r="W2488" s="917"/>
      <c r="X2488" s="68"/>
      <c r="Y2488" s="68"/>
      <c r="Z2488" s="68"/>
      <c r="AA2488" s="699"/>
      <c r="AB2488" s="297"/>
      <c r="AC2488" s="74"/>
      <c r="AD2488" s="126"/>
      <c r="AE2488" s="126"/>
      <c r="AF2488" s="73"/>
      <c r="AG2488" s="84"/>
      <c r="AH2488" s="118"/>
      <c r="AI2488" s="118"/>
      <c r="AJ2488" s="126"/>
      <c r="AK2488" s="661"/>
      <c r="AL2488" s="126"/>
      <c r="AM2488" s="119"/>
      <c r="AN2488" s="84"/>
      <c r="AO2488" s="84"/>
      <c r="AP2488" s="84"/>
      <c r="AQ2488" s="126"/>
      <c r="AR2488" s="74"/>
      <c r="AS2488" s="74"/>
      <c r="AT2488" s="74"/>
      <c r="AU2488" s="1357" t="str">
        <f t="shared" si="882"/>
        <v>-</v>
      </c>
    </row>
    <row r="2489" spans="1:47" s="170" customFormat="1" x14ac:dyDescent="0.2">
      <c r="A2489" s="101" t="s">
        <v>58</v>
      </c>
      <c r="B2489" s="1067" t="s">
        <v>533</v>
      </c>
      <c r="C2489" s="1335" t="s">
        <v>5691</v>
      </c>
      <c r="D2489" s="100" t="s">
        <v>5692</v>
      </c>
      <c r="E2489" s="1658" t="s">
        <v>5693</v>
      </c>
      <c r="F2489" s="115" t="s">
        <v>386</v>
      </c>
      <c r="G2489" s="1636" t="s">
        <v>902</v>
      </c>
      <c r="H2489" s="407" t="s">
        <v>902</v>
      </c>
      <c r="I2489" s="1635" t="s">
        <v>52</v>
      </c>
      <c r="J2489" s="435" t="s">
        <v>53</v>
      </c>
      <c r="K2489" s="1635" t="s">
        <v>54</v>
      </c>
      <c r="L2489" s="407" t="s">
        <v>55</v>
      </c>
      <c r="M2489" s="494">
        <v>700</v>
      </c>
      <c r="N2489" s="114">
        <v>760</v>
      </c>
      <c r="O2489" s="101" t="s">
        <v>56</v>
      </c>
      <c r="P2489" s="60">
        <v>60</v>
      </c>
      <c r="Q2489" s="60">
        <v>30</v>
      </c>
      <c r="R2489" s="60">
        <v>30</v>
      </c>
      <c r="S2489" s="60">
        <v>60</v>
      </c>
      <c r="T2489" s="273">
        <f>Table1[[#This Row],[VO Wdth]]</f>
        <v>60</v>
      </c>
      <c r="U2489" s="273">
        <f>Table1[[#This Row],[VO Hgt]]</f>
        <v>30</v>
      </c>
      <c r="V2489" s="47">
        <f>IF(J2489="Canvas",P2489+Border,P2489)</f>
        <v>68</v>
      </c>
      <c r="W2489" s="106">
        <f>IF(J2489="Canvas",Q2489+Border,Q2489)</f>
        <v>38</v>
      </c>
      <c r="X2489" s="101" t="s">
        <v>57</v>
      </c>
      <c r="Y2489" s="101">
        <v>38</v>
      </c>
      <c r="Z2489" s="101">
        <v>68</v>
      </c>
      <c r="AA2489" s="649">
        <f t="shared" ref="AA2489:AA2496" si="884">V2489*W2489/144</f>
        <v>17.944444444444443</v>
      </c>
      <c r="AB2489" s="184">
        <f>AA2489*IncaG</f>
        <v>377.55111111111108</v>
      </c>
      <c r="AC2489" s="104">
        <f>Table1[[#This Row],[Substrate SF]]*Paper</f>
        <v>24.278833333333331</v>
      </c>
      <c r="AD2489" s="120">
        <f>AA2489*IncaC</f>
        <v>30.204088888888887</v>
      </c>
      <c r="AE2489" s="121">
        <f>IF(Table1[[#This Row],[Work Center]]="SwissQ",Materials!G$37,IF(Table1[[#This Row],[Work Center]]="Inca",Materials!G$29,IF(Table1[[#This Row],[Work Center]]="Canon",Materials!G$49,Materials!G$45)))</f>
        <v>8</v>
      </c>
      <c r="AF2489" s="102">
        <f>'Cali FPS'!C$51</f>
        <v>107.625</v>
      </c>
      <c r="AG2489" s="115"/>
      <c r="AH2489" s="120">
        <f t="shared" ref="AH2489:AH2494" si="885">(M2489*0.05)</f>
        <v>35</v>
      </c>
      <c r="AI2489" s="120"/>
      <c r="AJ2489" s="121">
        <f>SUM(AC2489:AH2489)</f>
        <v>205.10792222222221</v>
      </c>
      <c r="AK2489" s="108">
        <f t="shared" ref="AK2489:AK2520" si="886">(M2489-AJ2489)/M2489</f>
        <v>0.7069886825396825</v>
      </c>
      <c r="AL2489" s="121">
        <f>Table1[[#This Row],[WSP/Dealer]]/Table1[[#This Row],[OD Sq Inch]]</f>
        <v>0.3888888888888889</v>
      </c>
      <c r="AM2489" s="327">
        <f>Table1[[#This Row],[OD Wdth]]*Table1[[#This Row],[OD Hgt]]</f>
        <v>1800</v>
      </c>
      <c r="AN2489" s="327">
        <f>Table1[[#This Row],[Min VO]]+Table1[[#This Row],[Max VO]]</f>
        <v>90</v>
      </c>
      <c r="AO2489" s="115"/>
      <c r="AP2489" s="115"/>
      <c r="AQ2489" s="121"/>
      <c r="AR2489" s="104"/>
      <c r="AS2489" s="104"/>
      <c r="AT2489" s="104"/>
      <c r="AU2489" s="1359" t="str">
        <f t="shared" si="882"/>
        <v>-</v>
      </c>
    </row>
    <row r="2490" spans="1:47" s="173" customFormat="1" hidden="1" x14ac:dyDescent="0.2">
      <c r="A2490" s="303" t="s">
        <v>110</v>
      </c>
      <c r="B2490" s="1067" t="s">
        <v>486</v>
      </c>
      <c r="C2490" s="1336" t="s">
        <v>5694</v>
      </c>
      <c r="D2490" s="100"/>
      <c r="E2490" s="1656" t="s">
        <v>5695</v>
      </c>
      <c r="F2490" s="327" t="s">
        <v>614</v>
      </c>
      <c r="G2490" s="1636" t="s">
        <v>2827</v>
      </c>
      <c r="H2490" s="1636" t="s">
        <v>5696</v>
      </c>
      <c r="I2490" s="1636" t="s">
        <v>52</v>
      </c>
      <c r="J2490" s="1761" t="s">
        <v>53</v>
      </c>
      <c r="K2490" s="1636" t="s">
        <v>82</v>
      </c>
      <c r="L2490" s="1636" t="s">
        <v>298</v>
      </c>
      <c r="M2490" s="494">
        <v>700</v>
      </c>
      <c r="N2490" s="494"/>
      <c r="O2490" s="303" t="s">
        <v>64</v>
      </c>
      <c r="P2490" s="303">
        <v>24</v>
      </c>
      <c r="Q2490" s="303">
        <v>48</v>
      </c>
      <c r="R2490" s="303">
        <v>24</v>
      </c>
      <c r="S2490" s="303">
        <v>48</v>
      </c>
      <c r="T2490" s="1568">
        <v>26</v>
      </c>
      <c r="U2490" s="1568">
        <v>50</v>
      </c>
      <c r="V2490" s="106">
        <f>IF(J2490="Canvas",P2490+Border,P2490)</f>
        <v>32</v>
      </c>
      <c r="W2490" s="106">
        <f>IF(J2490="Canvas",Q2490+Border,Q2490)</f>
        <v>56</v>
      </c>
      <c r="X2490" s="101">
        <v>40</v>
      </c>
      <c r="Y2490" s="303">
        <v>32</v>
      </c>
      <c r="Z2490" s="303">
        <v>56</v>
      </c>
      <c r="AA2490" s="649">
        <f t="shared" si="884"/>
        <v>12.444444444444445</v>
      </c>
      <c r="AB2490" s="184">
        <f>Table1[[#This Row],[Substrate SF]]*Swiss1</f>
        <v>352.17777777777781</v>
      </c>
      <c r="AC2490" s="104">
        <f t="shared" ref="AC2490:AC2496" si="887">AA2490*Canvas</f>
        <v>8.2133333333333347</v>
      </c>
      <c r="AD2490" s="120">
        <f>Table1[[#This Row],[Substrate SF]]*SWISSC1</f>
        <v>34.844444444444441</v>
      </c>
      <c r="AE2490" s="121">
        <f>IF(Table1[[#This Row],[Work Center]]="SwissQ",Materials!G$37,IF(Table1[[#This Row],[Work Center]]="Inca",Materials!G$29,IF(Table1[[#This Row],[Work Center]]="Canon",Materials!G$49,Materials!G$45)))</f>
        <v>20</v>
      </c>
      <c r="AF2490" s="102">
        <f>'Cali Frames'!D227</f>
        <v>140</v>
      </c>
      <c r="AG2490" s="327"/>
      <c r="AH2490" s="405">
        <f t="shared" si="885"/>
        <v>35</v>
      </c>
      <c r="AI2490" s="405">
        <f>IF(A2490="Codarus",(M2490*0.13))</f>
        <v>91</v>
      </c>
      <c r="AJ2490" s="104">
        <f>SUM(AC2490:AI2490)</f>
        <v>329.0577777777778</v>
      </c>
      <c r="AK2490" s="1068">
        <f t="shared" si="886"/>
        <v>0.52991746031746023</v>
      </c>
      <c r="AL2490" s="406">
        <f>Table1[[#This Row],[WSP/Dealer]]/Table1[[#This Row],[OD Sq Inch]]</f>
        <v>0.53846153846153844</v>
      </c>
      <c r="AM2490" s="1302">
        <f>Table1[[#This Row],[OD Wdth]]*Table1[[#This Row],[OD Hgt]]</f>
        <v>1300</v>
      </c>
      <c r="AN2490" s="1302">
        <f>Table1[[#This Row],[Min VO]]+Table1[[#This Row],[Max VO]]</f>
        <v>72</v>
      </c>
      <c r="AO2490" s="327"/>
      <c r="AP2490" s="1812">
        <f>(M2490*2)</f>
        <v>1400</v>
      </c>
      <c r="AQ2490" s="1200">
        <f>(Table1[[#This Row],[Desgnr/Retail P]]*0.05)</f>
        <v>70</v>
      </c>
      <c r="AR2490" s="1200">
        <f>IF(A2490="Codarus",(AP2490*0.13))</f>
        <v>182</v>
      </c>
      <c r="AS2490" s="1200">
        <f>SUM(Table1[[#This Row],[Substrate $]:[GP FINISH]])+Table1[[#This Row],[Retail Royalty]]+Table1[[#This Row],[Retail$Comm]]</f>
        <v>455.0577777777778</v>
      </c>
      <c r="AT2490" s="1334">
        <f>IF(AP2490=0,"-",(AP2490-AS2490)/AP2490)</f>
        <v>0.67495873015873009</v>
      </c>
      <c r="AU2490" s="1379">
        <f t="shared" si="882"/>
        <v>0.99035773242630376</v>
      </c>
    </row>
    <row r="2491" spans="1:47" s="399" customFormat="1" x14ac:dyDescent="0.2">
      <c r="A2491" s="101" t="s">
        <v>58</v>
      </c>
      <c r="B2491" s="1067" t="s">
        <v>619</v>
      </c>
      <c r="C2491" s="81" t="s">
        <v>5697</v>
      </c>
      <c r="D2491" s="168" t="s">
        <v>3443</v>
      </c>
      <c r="E2491" s="492" t="s">
        <v>5698</v>
      </c>
      <c r="F2491" s="115" t="s">
        <v>448</v>
      </c>
      <c r="G2491" s="1134" t="s">
        <v>3167</v>
      </c>
      <c r="H2491" s="1134" t="s">
        <v>3167</v>
      </c>
      <c r="I2491" s="92" t="s">
        <v>52</v>
      </c>
      <c r="J2491" s="797" t="s">
        <v>53</v>
      </c>
      <c r="K2491" s="92" t="s">
        <v>54</v>
      </c>
      <c r="L2491" s="303" t="s">
        <v>55</v>
      </c>
      <c r="M2491" s="494">
        <v>850</v>
      </c>
      <c r="N2491" s="114">
        <v>890</v>
      </c>
      <c r="O2491" s="101" t="s">
        <v>56</v>
      </c>
      <c r="P2491" s="273">
        <v>44</v>
      </c>
      <c r="Q2491" s="273">
        <v>60</v>
      </c>
      <c r="R2491" s="60">
        <v>44</v>
      </c>
      <c r="S2491" s="273">
        <v>60</v>
      </c>
      <c r="T2491" s="273">
        <f>Table1[[#This Row],[VO Wdth]]</f>
        <v>44</v>
      </c>
      <c r="U2491" s="273">
        <f>Table1[[#This Row],[VO Hgt]]</f>
        <v>60</v>
      </c>
      <c r="V2491" s="106">
        <f>IF(J2491="Canvas",P2491+BorderGW,P2491)</f>
        <v>52</v>
      </c>
      <c r="W2491" s="106">
        <f>IF(J2491="Canvas",Q2491+BorderGW,Q2491)</f>
        <v>68</v>
      </c>
      <c r="X2491" s="101" t="s">
        <v>1093</v>
      </c>
      <c r="Y2491" s="101"/>
      <c r="Z2491" s="101"/>
      <c r="AA2491" s="649">
        <f t="shared" si="884"/>
        <v>24.555555555555557</v>
      </c>
      <c r="AB2491" s="184">
        <v>640</v>
      </c>
      <c r="AC2491" s="104">
        <f t="shared" si="887"/>
        <v>16.206666666666667</v>
      </c>
      <c r="AD2491" s="120">
        <f>Table1[[#This Row],[Ink g/mL]]*Materials!C$29</f>
        <v>51.2</v>
      </c>
      <c r="AE2491" s="121">
        <f>IF(Table1[[#This Row],[Work Center]]="SwissQ",Materials!G$37,IF(Table1[[#This Row],[Work Center]]="Inca",Materials!G$29,IF(Table1[[#This Row],[Work Center]]="Canon",Materials!G$49,Materials!G$45)))</f>
        <v>8</v>
      </c>
      <c r="AF2491" s="102">
        <f>'Cali FPS'!C$101</f>
        <v>174.29999999999998</v>
      </c>
      <c r="AG2491" s="115"/>
      <c r="AH2491" s="121">
        <f t="shared" si="885"/>
        <v>42.5</v>
      </c>
      <c r="AI2491" s="121"/>
      <c r="AJ2491" s="121">
        <f t="shared" ref="AJ2491:AJ2496" si="888">SUM(AC2491:AH2491)</f>
        <v>292.20666666666665</v>
      </c>
      <c r="AK2491" s="830">
        <f t="shared" si="886"/>
        <v>0.65622745098039215</v>
      </c>
      <c r="AL2491" s="121">
        <f>Table1[[#This Row],[WSP/Dealer]]/Table1[[#This Row],[OD Sq Inch]]</f>
        <v>0.32196969696969696</v>
      </c>
      <c r="AM2491" s="113">
        <f>Table1[[#This Row],[OD Wdth]]*Table1[[#This Row],[OD Hgt]]</f>
        <v>2640</v>
      </c>
      <c r="AN2491" s="115">
        <f>Table1[[#This Row],[Min VO]]+Table1[[#This Row],[Max VO]]</f>
        <v>104</v>
      </c>
      <c r="AO2491" s="115"/>
      <c r="AP2491" s="115"/>
      <c r="AQ2491" s="121"/>
      <c r="AR2491" s="104"/>
      <c r="AS2491" s="104"/>
      <c r="AT2491" s="104"/>
      <c r="AU2491" s="1359" t="str">
        <f t="shared" si="882"/>
        <v>-</v>
      </c>
    </row>
    <row r="2492" spans="1:47" s="170" customFormat="1" hidden="1" x14ac:dyDescent="0.2">
      <c r="A2492" s="101" t="s">
        <v>272</v>
      </c>
      <c r="B2492" s="1067" t="s">
        <v>595</v>
      </c>
      <c r="C2492" s="81" t="s">
        <v>5699</v>
      </c>
      <c r="D2492" s="168"/>
      <c r="E2492" s="492" t="s">
        <v>5700</v>
      </c>
      <c r="F2492" s="115" t="s">
        <v>448</v>
      </c>
      <c r="G2492" s="1134" t="s">
        <v>3167</v>
      </c>
      <c r="H2492" s="1134" t="s">
        <v>3167</v>
      </c>
      <c r="I2492" s="92" t="s">
        <v>698</v>
      </c>
      <c r="J2492" s="797" t="s">
        <v>53</v>
      </c>
      <c r="K2492" s="92" t="s">
        <v>54</v>
      </c>
      <c r="L2492" s="303" t="s">
        <v>55</v>
      </c>
      <c r="M2492" s="494">
        <v>425</v>
      </c>
      <c r="N2492" s="114"/>
      <c r="O2492" s="101" t="s">
        <v>56</v>
      </c>
      <c r="P2492" s="273">
        <v>44</v>
      </c>
      <c r="Q2492" s="273">
        <v>60</v>
      </c>
      <c r="R2492" s="60">
        <v>44</v>
      </c>
      <c r="S2492" s="273">
        <v>60</v>
      </c>
      <c r="T2492" s="273">
        <f>Table1[[#This Row],[VO Wdth]]</f>
        <v>44</v>
      </c>
      <c r="U2492" s="273">
        <f>Table1[[#This Row],[VO Hgt]]</f>
        <v>60</v>
      </c>
      <c r="V2492" s="47">
        <f>IF(J2492="Canvas",P2492+BorderGW,P2492)</f>
        <v>52</v>
      </c>
      <c r="W2492" s="106">
        <f>IF(J2492="Canvas",Q2492+BorderGW,Q2492)</f>
        <v>68</v>
      </c>
      <c r="X2492" s="101" t="s">
        <v>1093</v>
      </c>
      <c r="Y2492" s="101"/>
      <c r="Z2492" s="101"/>
      <c r="AA2492" s="649">
        <f t="shared" si="884"/>
        <v>24.555555555555557</v>
      </c>
      <c r="AB2492" s="184">
        <v>621</v>
      </c>
      <c r="AC2492" s="104">
        <f t="shared" si="887"/>
        <v>16.206666666666667</v>
      </c>
      <c r="AD2492" s="120">
        <f>Table1[[#This Row],[Ink g/mL]]*Materials!C$29</f>
        <v>49.68</v>
      </c>
      <c r="AE2492" s="121">
        <f>IF(Table1[[#This Row],[Work Center]]="SwissQ",Materials!G$37,IF(Table1[[#This Row],[Work Center]]="Inca",Materials!G$29,IF(Table1[[#This Row],[Work Center]]="Canon",Materials!G$49,Materials!G$45)))</f>
        <v>8</v>
      </c>
      <c r="AF2492" s="102">
        <f>'CALI_SONDER '!H26</f>
        <v>140.12</v>
      </c>
      <c r="AG2492" s="121"/>
      <c r="AH2492" s="120">
        <f t="shared" si="885"/>
        <v>21.25</v>
      </c>
      <c r="AI2492" s="120"/>
      <c r="AJ2492" s="121">
        <f t="shared" si="888"/>
        <v>235.25666666666666</v>
      </c>
      <c r="AK2492" s="108">
        <f t="shared" si="886"/>
        <v>0.4464549019607843</v>
      </c>
      <c r="AL2492" s="121">
        <f>Table1[[#This Row],[WSP/Dealer]]/Table1[[#This Row],[OD Sq Inch]]</f>
        <v>0.16098484848484848</v>
      </c>
      <c r="AM2492" s="115">
        <f>Table1[[#This Row],[OD Wdth]]*Table1[[#This Row],[OD Hgt]]</f>
        <v>2640</v>
      </c>
      <c r="AN2492" s="115">
        <f>Table1[[#This Row],[Min VO]]+Table1[[#This Row],[Max VO]]</f>
        <v>104</v>
      </c>
      <c r="AO2492" s="115"/>
      <c r="AP2492" s="115"/>
      <c r="AQ2492" s="121"/>
      <c r="AR2492" s="121"/>
      <c r="AS2492" s="121"/>
      <c r="AT2492" s="104"/>
      <c r="AU2492" s="1359" t="str">
        <f t="shared" si="882"/>
        <v>-</v>
      </c>
    </row>
    <row r="2493" spans="1:47" s="170" customFormat="1" x14ac:dyDescent="0.2">
      <c r="A2493" s="101" t="s">
        <v>58</v>
      </c>
      <c r="B2493" s="1067"/>
      <c r="C2493" s="1335" t="s">
        <v>5701</v>
      </c>
      <c r="D2493" s="100" t="s">
        <v>5702</v>
      </c>
      <c r="E2493" s="1658" t="s">
        <v>5703</v>
      </c>
      <c r="F2493" s="115" t="s">
        <v>448</v>
      </c>
      <c r="G2493" s="1636" t="s">
        <v>1048</v>
      </c>
      <c r="H2493" s="407" t="s">
        <v>1048</v>
      </c>
      <c r="I2493" s="1635" t="s">
        <v>52</v>
      </c>
      <c r="J2493" s="435" t="s">
        <v>53</v>
      </c>
      <c r="K2493" s="1635" t="s">
        <v>54</v>
      </c>
      <c r="L2493" s="407" t="s">
        <v>55</v>
      </c>
      <c r="M2493" s="494">
        <v>950</v>
      </c>
      <c r="N2493" s="114">
        <v>950</v>
      </c>
      <c r="O2493" s="101" t="s">
        <v>56</v>
      </c>
      <c r="P2493" s="60">
        <v>48</v>
      </c>
      <c r="Q2493" s="60">
        <v>60</v>
      </c>
      <c r="R2493" s="60">
        <v>48</v>
      </c>
      <c r="S2493" s="60">
        <v>60</v>
      </c>
      <c r="T2493" s="273">
        <f>Table1[[#This Row],[VO Wdth]]</f>
        <v>48</v>
      </c>
      <c r="U2493" s="273">
        <f>Table1[[#This Row],[VO Hgt]]</f>
        <v>60</v>
      </c>
      <c r="V2493" s="47">
        <f>IF(J2493="Canvas",P2493+Border,P2493)</f>
        <v>56</v>
      </c>
      <c r="W2493" s="106">
        <f>IF(J2493="Canvas",Q2493+Border,Q2493)</f>
        <v>68</v>
      </c>
      <c r="X2493" s="101">
        <v>69</v>
      </c>
      <c r="Y2493" s="101">
        <v>56</v>
      </c>
      <c r="Z2493" s="101">
        <v>68</v>
      </c>
      <c r="AA2493" s="649">
        <f t="shared" si="884"/>
        <v>26.444444444444443</v>
      </c>
      <c r="AB2493" s="184">
        <f>AA2493*IncaG</f>
        <v>556.39111111111106</v>
      </c>
      <c r="AC2493" s="104">
        <f t="shared" si="887"/>
        <v>17.453333333333333</v>
      </c>
      <c r="AD2493" s="120">
        <f>AA2493*IncaC</f>
        <v>44.511288888888885</v>
      </c>
      <c r="AE2493" s="121">
        <f>IF(Table1[[#This Row],[Work Center]]="SwissQ",Materials!G$37,IF(Table1[[#This Row],[Work Center]]="Inca",Materials!G$29,IF(Table1[[#This Row],[Work Center]]="Canon",Materials!G$49,Materials!G$45)))</f>
        <v>8</v>
      </c>
      <c r="AF2493" s="102">
        <f>'Cali FPS'!C$121</f>
        <v>188.18</v>
      </c>
      <c r="AG2493" s="115"/>
      <c r="AH2493" s="120">
        <f t="shared" si="885"/>
        <v>47.5</v>
      </c>
      <c r="AI2493" s="120"/>
      <c r="AJ2493" s="120">
        <f t="shared" si="888"/>
        <v>305.64462222222221</v>
      </c>
      <c r="AK2493" s="108">
        <f t="shared" si="886"/>
        <v>0.67826881871345035</v>
      </c>
      <c r="AL2493" s="121">
        <f>Table1[[#This Row],[WSP/Dealer]]/Table1[[#This Row],[OD Sq Inch]]</f>
        <v>0.3298611111111111</v>
      </c>
      <c r="AM2493" s="113">
        <f>Table1[[#This Row],[OD Wdth]]*Table1[[#This Row],[OD Hgt]]</f>
        <v>2880</v>
      </c>
      <c r="AN2493" s="115">
        <f>Table1[[#This Row],[Min VO]]+Table1[[#This Row],[Max VO]]</f>
        <v>108</v>
      </c>
      <c r="AO2493" s="115"/>
      <c r="AP2493" s="115"/>
      <c r="AQ2493" s="121"/>
      <c r="AR2493" s="104"/>
      <c r="AS2493" s="104"/>
      <c r="AT2493" s="104"/>
      <c r="AU2493" s="1359" t="str">
        <f t="shared" si="882"/>
        <v>-</v>
      </c>
    </row>
    <row r="2494" spans="1:47" s="170" customFormat="1" x14ac:dyDescent="0.2">
      <c r="A2494" s="101" t="s">
        <v>58</v>
      </c>
      <c r="B2494" s="1067"/>
      <c r="C2494" s="1335" t="s">
        <v>5704</v>
      </c>
      <c r="D2494" s="100" t="s">
        <v>5705</v>
      </c>
      <c r="E2494" s="1658" t="s">
        <v>5706</v>
      </c>
      <c r="F2494" s="169" t="s">
        <v>448</v>
      </c>
      <c r="G2494" s="303" t="s">
        <v>1048</v>
      </c>
      <c r="H2494" s="101" t="s">
        <v>1048</v>
      </c>
      <c r="I2494" s="92" t="s">
        <v>52</v>
      </c>
      <c r="J2494" s="59" t="s">
        <v>53</v>
      </c>
      <c r="K2494" s="92" t="s">
        <v>54</v>
      </c>
      <c r="L2494" s="101" t="s">
        <v>55</v>
      </c>
      <c r="M2494" s="494">
        <v>950</v>
      </c>
      <c r="N2494" s="114">
        <v>950</v>
      </c>
      <c r="O2494" s="101" t="s">
        <v>56</v>
      </c>
      <c r="P2494" s="60">
        <v>48</v>
      </c>
      <c r="Q2494" s="60">
        <v>60</v>
      </c>
      <c r="R2494" s="60">
        <v>48</v>
      </c>
      <c r="S2494" s="60">
        <v>60</v>
      </c>
      <c r="T2494" s="273">
        <f>Table1[[#This Row],[VO Wdth]]</f>
        <v>48</v>
      </c>
      <c r="U2494" s="273">
        <f>Table1[[#This Row],[VO Hgt]]</f>
        <v>60</v>
      </c>
      <c r="V2494" s="946">
        <f>IF(J2494="Canvas",P2494+Border,P2494)</f>
        <v>56</v>
      </c>
      <c r="W2494" s="608">
        <f>IF(J2494="Canvas",Q2494+Border,Q2494)</f>
        <v>68</v>
      </c>
      <c r="X2494" s="101">
        <v>69</v>
      </c>
      <c r="Y2494" s="101">
        <v>56</v>
      </c>
      <c r="Z2494" s="101">
        <v>68</v>
      </c>
      <c r="AA2494" s="649">
        <f t="shared" si="884"/>
        <v>26.444444444444443</v>
      </c>
      <c r="AB2494" s="184">
        <f>AA2494*IncaG</f>
        <v>556.39111111111106</v>
      </c>
      <c r="AC2494" s="104">
        <f t="shared" si="887"/>
        <v>17.453333333333333</v>
      </c>
      <c r="AD2494" s="121">
        <f>AA2494*IncaC</f>
        <v>44.511288888888885</v>
      </c>
      <c r="AE2494" s="121">
        <f>IF(Table1[[#This Row],[Work Center]]="SwissQ",Materials!G$37,IF(Table1[[#This Row],[Work Center]]="Inca",Materials!G$29,IF(Table1[[#This Row],[Work Center]]="Canon",Materials!G$49,Materials!G$45)))</f>
        <v>8</v>
      </c>
      <c r="AF2494" s="102">
        <f>'Cali FPS'!C$121</f>
        <v>188.18</v>
      </c>
      <c r="AG2494" s="115"/>
      <c r="AH2494" s="121">
        <f t="shared" si="885"/>
        <v>47.5</v>
      </c>
      <c r="AI2494" s="121"/>
      <c r="AJ2494" s="121">
        <f t="shared" si="888"/>
        <v>305.64462222222221</v>
      </c>
      <c r="AK2494" s="830">
        <f t="shared" si="886"/>
        <v>0.67826881871345035</v>
      </c>
      <c r="AL2494" s="121">
        <f>Table1[[#This Row],[WSP/Dealer]]/Table1[[#This Row],[OD Sq Inch]]</f>
        <v>0.3298611111111111</v>
      </c>
      <c r="AM2494" s="115">
        <f>Table1[[#This Row],[OD Wdth]]*Table1[[#This Row],[OD Hgt]]</f>
        <v>2880</v>
      </c>
      <c r="AN2494" s="115">
        <f>Table1[[#This Row],[Min VO]]+Table1[[#This Row],[Max VO]]</f>
        <v>108</v>
      </c>
      <c r="AO2494" s="115"/>
      <c r="AP2494" s="115"/>
      <c r="AQ2494" s="121"/>
      <c r="AR2494" s="104"/>
      <c r="AS2494" s="104"/>
      <c r="AT2494" s="104"/>
      <c r="AU2494" s="1359" t="str">
        <f t="shared" si="882"/>
        <v>-</v>
      </c>
    </row>
    <row r="2495" spans="1:47" s="170" customFormat="1" hidden="1" x14ac:dyDescent="0.2">
      <c r="A2495" s="101"/>
      <c r="B2495" s="1067"/>
      <c r="C2495" s="80" t="s">
        <v>5707</v>
      </c>
      <c r="D2495" s="100"/>
      <c r="E2495" s="492" t="s">
        <v>5708</v>
      </c>
      <c r="F2495" s="115" t="s">
        <v>105</v>
      </c>
      <c r="G2495" s="303" t="s">
        <v>5709</v>
      </c>
      <c r="H2495" s="303" t="s">
        <v>5710</v>
      </c>
      <c r="I2495" s="92" t="s">
        <v>52</v>
      </c>
      <c r="J2495" s="59" t="s">
        <v>53</v>
      </c>
      <c r="K2495" s="92" t="s">
        <v>69</v>
      </c>
      <c r="L2495" s="101" t="s">
        <v>73</v>
      </c>
      <c r="M2495" s="494">
        <v>250</v>
      </c>
      <c r="N2495" s="114"/>
      <c r="O2495" s="101" t="s">
        <v>64</v>
      </c>
      <c r="P2495" s="60">
        <v>24</v>
      </c>
      <c r="Q2495" s="60">
        <v>12</v>
      </c>
      <c r="R2495" s="60">
        <v>12</v>
      </c>
      <c r="S2495" s="273">
        <v>24</v>
      </c>
      <c r="T2495" s="60">
        <v>25</v>
      </c>
      <c r="U2495" s="60">
        <v>13</v>
      </c>
      <c r="V2495" s="47">
        <f>IF(J2495="Canvas",P2495+Border,P2495)</f>
        <v>32</v>
      </c>
      <c r="W2495" s="106">
        <f>IF(J2495="Canvas",Q2495+Border,Q2495)</f>
        <v>20</v>
      </c>
      <c r="X2495" s="101">
        <v>40</v>
      </c>
      <c r="Y2495" s="101">
        <v>32</v>
      </c>
      <c r="Z2495" s="101">
        <v>20</v>
      </c>
      <c r="AA2495" s="649">
        <f t="shared" si="884"/>
        <v>4.4444444444444446</v>
      </c>
      <c r="AB2495" s="184">
        <f>Table1[[#This Row],[Substrate SF]]*Swiss1</f>
        <v>125.77777777777779</v>
      </c>
      <c r="AC2495" s="104">
        <f t="shared" si="887"/>
        <v>2.9333333333333336</v>
      </c>
      <c r="AD2495" s="120">
        <f>Table1[[#This Row],[Substrate SF]]*SWISSC1</f>
        <v>12.444444444444445</v>
      </c>
      <c r="AE2495" s="121">
        <f>IF(Table1[[#This Row],[Work Center]]="SwissQ",Materials!G$37,IF(Table1[[#This Row],[Work Center]]="Inca",Materials!G$29,IF(Table1[[#This Row],[Work Center]]="Canon",Materials!G$49,Materials!G$45)))</f>
        <v>20</v>
      </c>
      <c r="AF2495" s="102">
        <f>'Cali Frames'!D413</f>
        <v>76.982500000000002</v>
      </c>
      <c r="AG2495" s="121"/>
      <c r="AH2495" s="121">
        <v>0</v>
      </c>
      <c r="AI2495" s="121"/>
      <c r="AJ2495" s="121">
        <f t="shared" si="888"/>
        <v>112.36027777777778</v>
      </c>
      <c r="AK2495" s="830">
        <f t="shared" si="886"/>
        <v>0.55055888888888882</v>
      </c>
      <c r="AL2495" s="121">
        <f>Table1[[#This Row],[WSP/Dealer]]/Table1[[#This Row],[OD Sq Inch]]</f>
        <v>0.76923076923076927</v>
      </c>
      <c r="AM2495" s="113">
        <f>Table1[[#This Row],[OD Wdth]]*Table1[[#This Row],[OD Hgt]]</f>
        <v>325</v>
      </c>
      <c r="AN2495" s="115" t="str">
        <f>Table1[[#This Row],[Color]]</f>
        <v>NF</v>
      </c>
      <c r="AO2495" s="115" t="str">
        <f>Table1[[#This Row],[Print Type]]</f>
        <v>Synograph</v>
      </c>
      <c r="AP2495" s="121"/>
      <c r="AQ2495" s="121"/>
      <c r="AR2495" s="121"/>
      <c r="AS2495" s="121"/>
      <c r="AT2495" s="104"/>
      <c r="AU2495" s="1359" t="str">
        <f t="shared" si="882"/>
        <v>-</v>
      </c>
    </row>
    <row r="2496" spans="1:47" s="170" customFormat="1" hidden="1" x14ac:dyDescent="0.2">
      <c r="A2496" s="68" t="s">
        <v>644</v>
      </c>
      <c r="B2496" s="1067" t="s">
        <v>292</v>
      </c>
      <c r="C2496" s="1053" t="s">
        <v>5711</v>
      </c>
      <c r="D2496" s="100"/>
      <c r="E2496" s="1632" t="s">
        <v>5712</v>
      </c>
      <c r="F2496" s="169" t="s">
        <v>105</v>
      </c>
      <c r="G2496" s="303" t="s">
        <v>731</v>
      </c>
      <c r="H2496" s="303" t="s">
        <v>731</v>
      </c>
      <c r="I2496" s="92" t="s">
        <v>108</v>
      </c>
      <c r="J2496" s="59" t="s">
        <v>53</v>
      </c>
      <c r="K2496" s="92" t="s">
        <v>54</v>
      </c>
      <c r="L2496" s="101" t="s">
        <v>55</v>
      </c>
      <c r="M2496" s="494">
        <v>250</v>
      </c>
      <c r="N2496" s="114"/>
      <c r="O2496" s="101" t="s">
        <v>109</v>
      </c>
      <c r="P2496" s="60">
        <v>30</v>
      </c>
      <c r="Q2496" s="60">
        <v>20</v>
      </c>
      <c r="R2496" s="60">
        <v>20</v>
      </c>
      <c r="S2496" s="60">
        <v>30</v>
      </c>
      <c r="T2496" s="68">
        <v>30</v>
      </c>
      <c r="U2496" s="68">
        <v>20</v>
      </c>
      <c r="V2496" s="917">
        <f>IF(J2496="Canvas",P2496+BorderL,P2496)</f>
        <v>41</v>
      </c>
      <c r="W2496" s="608">
        <f>IF(J2496="Canvas",Q2496+BorderL,Q2496)</f>
        <v>31</v>
      </c>
      <c r="X2496" s="101">
        <v>40</v>
      </c>
      <c r="Y2496" s="101">
        <v>41</v>
      </c>
      <c r="Z2496" s="101">
        <v>31</v>
      </c>
      <c r="AA2496" s="649">
        <f t="shared" si="884"/>
        <v>8.8263888888888893</v>
      </c>
      <c r="AB2496" s="184">
        <f>AA2496*EPSONM</f>
        <v>39.71875</v>
      </c>
      <c r="AC2496" s="104">
        <f t="shared" si="887"/>
        <v>5.8254166666666674</v>
      </c>
      <c r="AD2496" s="120">
        <f>Table1[[#This Row],[Ink g/mL]]*EPSONC</f>
        <v>8.7381250000000001</v>
      </c>
      <c r="AE2496" s="121">
        <f>IF(Table1[[#This Row],[Work Center]]="SwissQ",Materials!G$37,IF(Table1[[#This Row],[Work Center]]="Inca",Materials!G$29,IF(Table1[[#This Row],[Work Center]]="Canon",Materials!G$49,Materials!G$45)))</f>
        <v>5</v>
      </c>
      <c r="AF2496" s="102">
        <f>'Cali FPS'!C28</f>
        <v>62.93</v>
      </c>
      <c r="AG2496" s="115"/>
      <c r="AH2496" s="120">
        <v>0</v>
      </c>
      <c r="AI2496" s="120"/>
      <c r="AJ2496" s="121">
        <f t="shared" si="888"/>
        <v>82.493541666666658</v>
      </c>
      <c r="AK2496" s="108">
        <f t="shared" si="886"/>
        <v>0.67002583333333332</v>
      </c>
      <c r="AL2496" s="121">
        <f>Table1[[#This Row],[WSP/Dealer]]/Table1[[#This Row],[OD Sq Inch]]</f>
        <v>0.41666666666666669</v>
      </c>
      <c r="AM2496" s="113">
        <f>Table1[[#This Row],[OD Wdth]]*Table1[[#This Row],[OD Hgt]]</f>
        <v>600</v>
      </c>
      <c r="AN2496" s="115">
        <f>Table1[[#This Row],[Min VO]]+Table1[[#This Row],[Max VO]]</f>
        <v>50</v>
      </c>
      <c r="AO2496" s="115"/>
      <c r="AP2496" s="115"/>
      <c r="AQ2496" s="121"/>
      <c r="AR2496" s="121"/>
      <c r="AS2496" s="121"/>
      <c r="AT2496" s="104"/>
      <c r="AU2496" s="1359" t="str">
        <f t="shared" si="882"/>
        <v>-</v>
      </c>
    </row>
    <row r="2497" spans="1:47" s="170" customFormat="1" hidden="1" x14ac:dyDescent="0.2">
      <c r="A2497" s="101" t="s">
        <v>110</v>
      </c>
      <c r="B2497" s="1067" t="s">
        <v>250</v>
      </c>
      <c r="C2497" s="1336" t="s">
        <v>5713</v>
      </c>
      <c r="D2497" s="100"/>
      <c r="E2497" s="1656" t="s">
        <v>5712</v>
      </c>
      <c r="F2497" s="625" t="s">
        <v>105</v>
      </c>
      <c r="G2497" s="303" t="s">
        <v>731</v>
      </c>
      <c r="H2497" s="303" t="s">
        <v>731</v>
      </c>
      <c r="I2497" s="303" t="s">
        <v>574</v>
      </c>
      <c r="J2497" s="487" t="s">
        <v>53</v>
      </c>
      <c r="K2497" s="303" t="s">
        <v>119</v>
      </c>
      <c r="L2497" s="101" t="s">
        <v>120</v>
      </c>
      <c r="M2497" s="494">
        <v>375</v>
      </c>
      <c r="N2497" s="114"/>
      <c r="O2497" s="101" t="s">
        <v>575</v>
      </c>
      <c r="P2497" s="101">
        <v>30</v>
      </c>
      <c r="Q2497" s="101">
        <v>20</v>
      </c>
      <c r="R2497" s="101">
        <v>20</v>
      </c>
      <c r="S2497" s="101">
        <v>30</v>
      </c>
      <c r="T2497" s="101">
        <v>30</v>
      </c>
      <c r="U2497" s="101">
        <v>20</v>
      </c>
      <c r="V2497" s="106">
        <f>IF(J2497="Canvas",P2497+BorderGW,P2497)</f>
        <v>38</v>
      </c>
      <c r="W2497" s="106">
        <f>IF(J2497="Canvas",Q2497+BorderGW,Q2497)</f>
        <v>28</v>
      </c>
      <c r="X2497" s="101">
        <v>40</v>
      </c>
      <c r="Y2497" s="101">
        <v>38</v>
      </c>
      <c r="Z2497" s="101">
        <v>28</v>
      </c>
      <c r="AA2497" s="1011">
        <f>Table1[[#This Row],[Cut Width]]*Table1[[#This Row],[Cut Height]]/144</f>
        <v>7.3888888888888893</v>
      </c>
      <c r="AB2497" s="1015">
        <f>(Table1[[#This Row],[Print Wth]]*Table1[[#This Row],[Print Ht]])/144*Materials!$C$40</f>
        <v>14.777777777777779</v>
      </c>
      <c r="AC2497" s="104">
        <f>MDFSHEET/6</f>
        <v>4.0583333333333336</v>
      </c>
      <c r="AD2497" s="405">
        <f>Table1[[#This Row],[Substrate SF]]*Materials!$C$42</f>
        <v>2.3644444444444446</v>
      </c>
      <c r="AE2497" s="104">
        <v>10</v>
      </c>
      <c r="AF2497" s="102">
        <f>'Cali FPS'!C190</f>
        <v>98.98</v>
      </c>
      <c r="AG2497" s="115"/>
      <c r="AH2497" s="405">
        <f>(M2497*0.05)</f>
        <v>18.75</v>
      </c>
      <c r="AI2497" s="405">
        <f>IF(A2497="Codarus",(M2497*0.13))</f>
        <v>48.75</v>
      </c>
      <c r="AJ2497" s="104">
        <f>SUM(AC2497:AI2497)</f>
        <v>182.90277777777777</v>
      </c>
      <c r="AK2497" s="1068">
        <f t="shared" si="886"/>
        <v>0.5122592592592593</v>
      </c>
      <c r="AL2497" s="406">
        <f>Table1[[#This Row],[WSP/Dealer]]/Table1[[#This Row],[OD Sq Inch]]</f>
        <v>0.625</v>
      </c>
      <c r="AM2497" s="400">
        <f>Table1[[#This Row],[OD Wdth]]*Table1[[#This Row],[OD Hgt]]</f>
        <v>600</v>
      </c>
      <c r="AN2497" s="400">
        <f>Table1[[#This Row],[Min VO]]+Table1[[#This Row],[Max VO]]</f>
        <v>50</v>
      </c>
      <c r="AO2497" s="115"/>
      <c r="AP2497" s="1307">
        <f>(M2497*2)</f>
        <v>750</v>
      </c>
      <c r="AQ2497" s="121">
        <f>(Table1[[#This Row],[Desgnr/Retail P]]*0.05)</f>
        <v>37.5</v>
      </c>
      <c r="AR2497" s="121">
        <f>IF(A2497="Codarus",(AP2497*0.13))</f>
        <v>97.5</v>
      </c>
      <c r="AS2497" s="121">
        <f>SUM(Table1[[#This Row],[Substrate $]:[GP FINISH]])+Table1[[#This Row],[Retail Royalty]]+Table1[[#This Row],[Retail$Comm]]</f>
        <v>250.40277777777777</v>
      </c>
      <c r="AT2497" s="830">
        <f>IF(AP2497=0,"-",(AP2497-AS2497)/AP2497)</f>
        <v>0.66612962962962963</v>
      </c>
      <c r="AU2497" s="1359">
        <f t="shared" si="882"/>
        <v>0.98223654320987652</v>
      </c>
    </row>
    <row r="2498" spans="1:47" s="170" customFormat="1" hidden="1" x14ac:dyDescent="0.2">
      <c r="A2498" s="68" t="s">
        <v>101</v>
      </c>
      <c r="B2498" s="1067" t="s">
        <v>102</v>
      </c>
      <c r="C2498" s="183" t="s">
        <v>5714</v>
      </c>
      <c r="D2498" s="100"/>
      <c r="E2498" s="1711" t="s">
        <v>5712</v>
      </c>
      <c r="F2498" s="169" t="s">
        <v>105</v>
      </c>
      <c r="G2498" s="303" t="s">
        <v>731</v>
      </c>
      <c r="H2498" s="303" t="s">
        <v>732</v>
      </c>
      <c r="I2498" s="92" t="s">
        <v>574</v>
      </c>
      <c r="J2498" s="59" t="s">
        <v>280</v>
      </c>
      <c r="K2498" s="92" t="s">
        <v>69</v>
      </c>
      <c r="L2498" s="101" t="s">
        <v>315</v>
      </c>
      <c r="M2498" s="379">
        <v>200</v>
      </c>
      <c r="N2498" s="114"/>
      <c r="O2498" s="101" t="s">
        <v>575</v>
      </c>
      <c r="P2498" s="60">
        <v>30</v>
      </c>
      <c r="Q2498" s="60">
        <v>20</v>
      </c>
      <c r="R2498" s="60">
        <v>20</v>
      </c>
      <c r="S2498" s="60">
        <v>30</v>
      </c>
      <c r="T2498" s="551">
        <v>31</v>
      </c>
      <c r="U2498" s="551">
        <v>21</v>
      </c>
      <c r="V2498" s="881">
        <v>30</v>
      </c>
      <c r="W2498" s="608">
        <v>20</v>
      </c>
      <c r="X2498" s="101" t="s">
        <v>283</v>
      </c>
      <c r="Y2498" s="918">
        <f>Table1[[#This Row],[Print Wth]]</f>
        <v>30</v>
      </c>
      <c r="Z2498" s="918">
        <f>Table1[[#This Row],[Print Ht]]</f>
        <v>20</v>
      </c>
      <c r="AA2498" s="1011">
        <f>Table1[[#This Row],[Cut Width]]*Table1[[#This Row],[Cut Height]]/144</f>
        <v>4.166666666666667</v>
      </c>
      <c r="AB2498" s="1015">
        <f>(Table1[[#This Row],[Print Wth]]*Table1[[#This Row],[Print Ht]])/144*Materials!$C$40</f>
        <v>8.3333333333333339</v>
      </c>
      <c r="AC2498" s="104">
        <f>MDFSHEET/6</f>
        <v>4.0583333333333336</v>
      </c>
      <c r="AD2498" s="405">
        <f>Table1[[#This Row],[Substrate SF]]*Materials!$C$42</f>
        <v>1.3333333333333335</v>
      </c>
      <c r="AE2498" s="104">
        <v>10</v>
      </c>
      <c r="AF2498" s="102">
        <f>'Cali Frames'!D508</f>
        <v>84.32</v>
      </c>
      <c r="AG2498" s="115"/>
      <c r="AH2498" s="121">
        <v>0</v>
      </c>
      <c r="AI2498" s="121"/>
      <c r="AJ2498" s="121">
        <f>SUM(AC2498:AH2498)</f>
        <v>99.711666666666659</v>
      </c>
      <c r="AK2498" s="830">
        <f t="shared" si="886"/>
        <v>0.50144166666666667</v>
      </c>
      <c r="AL2498" s="121">
        <f>Table1[[#This Row],[WSP/Dealer]]/Table1[[#This Row],[OD Sq Inch]]</f>
        <v>0.30721966205837176</v>
      </c>
      <c r="AM2498" s="115">
        <f>Table1[[#This Row],[OD Wdth]]*Table1[[#This Row],[OD Hgt]]</f>
        <v>651</v>
      </c>
      <c r="AN2498" s="115" t="str">
        <f>Table1[[#This Row],[Color]]</f>
        <v>WF</v>
      </c>
      <c r="AO2498" s="115" t="str">
        <f>Table1[[#This Row],[Print Type]]</f>
        <v>Reductive+</v>
      </c>
      <c r="AP2498" s="115"/>
      <c r="AQ2498" s="121"/>
      <c r="AR2498" s="121"/>
      <c r="AS2498" s="121"/>
      <c r="AT2498" s="104"/>
      <c r="AU2498" s="1359" t="str">
        <f t="shared" si="882"/>
        <v>-</v>
      </c>
    </row>
    <row r="2499" spans="1:47" s="399" customFormat="1" x14ac:dyDescent="0.2">
      <c r="A2499" s="101" t="s">
        <v>58</v>
      </c>
      <c r="B2499" s="1067" t="s">
        <v>366</v>
      </c>
      <c r="C2499" s="122" t="s">
        <v>5715</v>
      </c>
      <c r="D2499" s="168" t="s">
        <v>5716</v>
      </c>
      <c r="E2499" s="327" t="s">
        <v>5717</v>
      </c>
      <c r="F2499" s="115" t="s">
        <v>114</v>
      </c>
      <c r="G2499" s="303" t="s">
        <v>191</v>
      </c>
      <c r="H2499" s="303" t="s">
        <v>191</v>
      </c>
      <c r="I2499" s="92" t="s">
        <v>52</v>
      </c>
      <c r="J2499" s="59" t="s">
        <v>283</v>
      </c>
      <c r="K2499" s="92" t="s">
        <v>281</v>
      </c>
      <c r="L2499" s="101" t="s">
        <v>282</v>
      </c>
      <c r="M2499" s="494">
        <v>935</v>
      </c>
      <c r="N2499" s="114">
        <v>1100</v>
      </c>
      <c r="O2499" s="101" t="s">
        <v>64</v>
      </c>
      <c r="P2499" s="60">
        <v>48</v>
      </c>
      <c r="Q2499" s="60">
        <v>60</v>
      </c>
      <c r="R2499" s="60">
        <v>48</v>
      </c>
      <c r="S2499" s="61">
        <v>60</v>
      </c>
      <c r="T2499" s="103">
        <v>48</v>
      </c>
      <c r="U2499" s="103" t="str">
        <f>RIGHT(H2499,2)</f>
        <v>60</v>
      </c>
      <c r="V2499" s="106">
        <f>IF(J2499="Canvas",P2499+Border,P2499)</f>
        <v>48</v>
      </c>
      <c r="W2499" s="106">
        <f>IF(J2499="Canvas",Q2499+Border,Q2499)</f>
        <v>60</v>
      </c>
      <c r="X2499" s="101" t="str">
        <f>J2499</f>
        <v>MDF</v>
      </c>
      <c r="Y2499" s="101"/>
      <c r="Z2499" s="101"/>
      <c r="AA2499" s="649">
        <f t="shared" ref="AA2499:AA2535" si="889">V2499*W2499/144</f>
        <v>20</v>
      </c>
      <c r="AB2499" s="184">
        <f>Table1[[#This Row],[Substrate SF]]*Swiss1</f>
        <v>566</v>
      </c>
      <c r="AC2499" s="104">
        <f>MDFSHEET</f>
        <v>24.35</v>
      </c>
      <c r="AD2499" s="120">
        <f>Table1[[#This Row],[Substrate SF]]*Materials!C$37</f>
        <v>56</v>
      </c>
      <c r="AE2499" s="121">
        <f>IF(Table1[[#This Row],[Work Center]]="SwissQ",Materials!G$37,IF(Table1[[#This Row],[Work Center]]="Inca",Materials!G$29,IF(Table1[[#This Row],[Work Center]]="Canon",Materials!G$49,Materials!G$45)))</f>
        <v>20</v>
      </c>
      <c r="AF2499" s="102">
        <f>'Cali Frames'!D$552</f>
        <v>182.89</v>
      </c>
      <c r="AG2499" s="115"/>
      <c r="AH2499" s="121">
        <f t="shared" ref="AH2499:AH2530" si="890">(M2499*0.05)</f>
        <v>46.75</v>
      </c>
      <c r="AI2499" s="121"/>
      <c r="AJ2499" s="121">
        <f>SUM(AC2499:AH2499)</f>
        <v>329.99</v>
      </c>
      <c r="AK2499" s="830">
        <f t="shared" si="886"/>
        <v>0.64706951871657759</v>
      </c>
      <c r="AL2499" s="121">
        <f>Table1[[#This Row],[WSP/Dealer]]/Table1[[#This Row],[OD Sq Inch]]</f>
        <v>0.32465277777777779</v>
      </c>
      <c r="AM2499" s="113">
        <f>Table1[[#This Row],[OD Wdth]]*Table1[[#This Row],[OD Hgt]]</f>
        <v>2880</v>
      </c>
      <c r="AN2499" s="115">
        <f>Table1[[#This Row],[Min VO]]+Table1[[#This Row],[Max VO]]</f>
        <v>108</v>
      </c>
      <c r="AO2499" s="115"/>
      <c r="AP2499" s="115"/>
      <c r="AQ2499" s="121"/>
      <c r="AR2499" s="104"/>
      <c r="AS2499" s="104"/>
      <c r="AT2499" s="104"/>
      <c r="AU2499" s="1359" t="str">
        <f t="shared" si="882"/>
        <v>-</v>
      </c>
    </row>
    <row r="2500" spans="1:47" s="170" customFormat="1" x14ac:dyDescent="0.2">
      <c r="A2500" s="101" t="s">
        <v>58</v>
      </c>
      <c r="B2500" s="1067" t="s">
        <v>366</v>
      </c>
      <c r="C2500" s="80" t="s">
        <v>5718</v>
      </c>
      <c r="D2500" s="168" t="s">
        <v>5719</v>
      </c>
      <c r="E2500" s="492" t="s">
        <v>5717</v>
      </c>
      <c r="F2500" s="115" t="s">
        <v>114</v>
      </c>
      <c r="G2500" s="303" t="s">
        <v>191</v>
      </c>
      <c r="H2500" s="303" t="s">
        <v>193</v>
      </c>
      <c r="I2500" s="92" t="s">
        <v>52</v>
      </c>
      <c r="J2500" s="59" t="s">
        <v>283</v>
      </c>
      <c r="K2500" s="92" t="s">
        <v>69</v>
      </c>
      <c r="L2500" s="101" t="s">
        <v>70</v>
      </c>
      <c r="M2500" s="494">
        <v>1200</v>
      </c>
      <c r="N2500" s="114">
        <v>1250</v>
      </c>
      <c r="O2500" s="101" t="s">
        <v>64</v>
      </c>
      <c r="P2500" s="60">
        <v>48</v>
      </c>
      <c r="Q2500" s="60">
        <v>60</v>
      </c>
      <c r="R2500" s="60">
        <v>48</v>
      </c>
      <c r="S2500" s="273">
        <v>60</v>
      </c>
      <c r="T2500" s="60">
        <v>49</v>
      </c>
      <c r="U2500" s="60" t="str">
        <f>RIGHT(H2500,2)</f>
        <v>61</v>
      </c>
      <c r="V2500" s="946">
        <f>IF(J2500="Canvas",P2500+Border,P2500)</f>
        <v>48</v>
      </c>
      <c r="W2500" s="608">
        <f>IF(J2500="Canvas",Q2500+Border,Q2500)</f>
        <v>60</v>
      </c>
      <c r="X2500" s="101" t="str">
        <f>J2500</f>
        <v>MDF</v>
      </c>
      <c r="Y2500" s="101"/>
      <c r="Z2500" s="101"/>
      <c r="AA2500" s="649">
        <f t="shared" si="889"/>
        <v>20</v>
      </c>
      <c r="AB2500" s="184">
        <f>Table1[[#This Row],[Substrate SF]]*Swiss1</f>
        <v>566</v>
      </c>
      <c r="AC2500" s="104">
        <f>MDFSHEET</f>
        <v>24.35</v>
      </c>
      <c r="AD2500" s="120">
        <f>Table1[[#This Row],[Substrate SF]]*Materials!C$37</f>
        <v>56</v>
      </c>
      <c r="AE2500" s="121">
        <f>IF(Table1[[#This Row],[Work Center]]="SwissQ",Materials!G$37,IF(Table1[[#This Row],[Work Center]]="Inca",Materials!G$29,IF(Table1[[#This Row],[Work Center]]="Canon",Materials!G$49,Materials!G$45)))</f>
        <v>20</v>
      </c>
      <c r="AF2500" s="102">
        <f>'Cali Frames'!D470</f>
        <v>263.70999999999998</v>
      </c>
      <c r="AG2500" s="115"/>
      <c r="AH2500" s="120">
        <f t="shared" si="890"/>
        <v>60</v>
      </c>
      <c r="AI2500" s="120"/>
      <c r="AJ2500" s="121">
        <f>SUM(AC2500:AH2500)</f>
        <v>424.05999999999995</v>
      </c>
      <c r="AK2500" s="108">
        <f t="shared" si="886"/>
        <v>0.64661666666666673</v>
      </c>
      <c r="AL2500" s="121">
        <f>Table1[[#This Row],[WSP/Dealer]]/Table1[[#This Row],[OD Sq Inch]]</f>
        <v>0.40147206423553028</v>
      </c>
      <c r="AM2500" s="113">
        <f>Table1[[#This Row],[OD Wdth]]*Table1[[#This Row],[OD Hgt]]</f>
        <v>2989</v>
      </c>
      <c r="AN2500" s="115">
        <f>Table1[[#This Row],[Min VO]]+Table1[[#This Row],[Max VO]]</f>
        <v>108</v>
      </c>
      <c r="AO2500" s="115"/>
      <c r="AP2500" s="115"/>
      <c r="AQ2500" s="121"/>
      <c r="AR2500" s="104"/>
      <c r="AS2500" s="104"/>
      <c r="AT2500" s="104"/>
      <c r="AU2500" s="1359" t="str">
        <f t="shared" si="882"/>
        <v>-</v>
      </c>
    </row>
    <row r="2501" spans="1:47" s="170" customFormat="1" x14ac:dyDescent="0.2">
      <c r="A2501" s="101" t="s">
        <v>58</v>
      </c>
      <c r="B2501" s="1064" t="s">
        <v>366</v>
      </c>
      <c r="C2501" s="80" t="s">
        <v>5720</v>
      </c>
      <c r="D2501" s="168" t="s">
        <v>5721</v>
      </c>
      <c r="E2501" s="492" t="s">
        <v>5717</v>
      </c>
      <c r="F2501" s="115" t="s">
        <v>114</v>
      </c>
      <c r="G2501" s="303" t="s">
        <v>191</v>
      </c>
      <c r="H2501" s="303" t="s">
        <v>193</v>
      </c>
      <c r="I2501" s="92" t="s">
        <v>52</v>
      </c>
      <c r="J2501" s="59" t="s">
        <v>283</v>
      </c>
      <c r="K2501" s="92" t="s">
        <v>69</v>
      </c>
      <c r="L2501" s="101" t="s">
        <v>73</v>
      </c>
      <c r="M2501" s="494">
        <v>1300</v>
      </c>
      <c r="N2501" s="114">
        <v>1250</v>
      </c>
      <c r="O2501" s="101" t="s">
        <v>64</v>
      </c>
      <c r="P2501" s="60">
        <v>48</v>
      </c>
      <c r="Q2501" s="60">
        <v>60</v>
      </c>
      <c r="R2501" s="60">
        <v>48</v>
      </c>
      <c r="S2501" s="60">
        <v>60</v>
      </c>
      <c r="T2501" s="60">
        <v>49</v>
      </c>
      <c r="U2501" s="60" t="str">
        <f>RIGHT(H2501,2)</f>
        <v>61</v>
      </c>
      <c r="V2501" s="47">
        <f>IF(J2501="Canvas",P2501+Border,P2501)</f>
        <v>48</v>
      </c>
      <c r="W2501" s="106">
        <f>IF(J2501="Canvas",Q2501+Border,Q2501)</f>
        <v>60</v>
      </c>
      <c r="X2501" s="101" t="str">
        <f>J2501</f>
        <v>MDF</v>
      </c>
      <c r="Y2501" s="101"/>
      <c r="Z2501" s="101"/>
      <c r="AA2501" s="649">
        <f t="shared" si="889"/>
        <v>20</v>
      </c>
      <c r="AB2501" s="184">
        <f>Table1[[#This Row],[Substrate SF]]*Swiss1</f>
        <v>566</v>
      </c>
      <c r="AC2501" s="104">
        <f>MDFSHEET</f>
        <v>24.35</v>
      </c>
      <c r="AD2501" s="120">
        <f>Table1[[#This Row],[Substrate SF]]*Materials!C$37</f>
        <v>56</v>
      </c>
      <c r="AE2501" s="121">
        <f>IF(Table1[[#This Row],[Work Center]]="SwissQ",Materials!G$37,IF(Table1[[#This Row],[Work Center]]="Inca",Materials!G$29,IF(Table1[[#This Row],[Work Center]]="Canon",Materials!G$49,Materials!G$45)))</f>
        <v>20</v>
      </c>
      <c r="AF2501" s="102">
        <f>'Cali Frames'!D470</f>
        <v>263.70999999999998</v>
      </c>
      <c r="AG2501" s="115"/>
      <c r="AH2501" s="121">
        <f t="shared" si="890"/>
        <v>65</v>
      </c>
      <c r="AI2501" s="121"/>
      <c r="AJ2501" s="121">
        <f>SUM(AC2501:AH2501)</f>
        <v>429.05999999999995</v>
      </c>
      <c r="AK2501" s="830">
        <f t="shared" si="886"/>
        <v>0.66995384615384623</v>
      </c>
      <c r="AL2501" s="121">
        <f>Table1[[#This Row],[WSP/Dealer]]/Table1[[#This Row],[OD Sq Inch]]</f>
        <v>0.43492806958849112</v>
      </c>
      <c r="AM2501" s="113">
        <f>Table1[[#This Row],[OD Wdth]]*Table1[[#This Row],[OD Hgt]]</f>
        <v>2989</v>
      </c>
      <c r="AN2501" s="115">
        <f>Table1[[#This Row],[Min VO]]+Table1[[#This Row],[Max VO]]</f>
        <v>108</v>
      </c>
      <c r="AO2501" s="115"/>
      <c r="AP2501" s="115"/>
      <c r="AQ2501" s="121"/>
      <c r="AR2501" s="104"/>
      <c r="AS2501" s="104"/>
      <c r="AT2501" s="104"/>
      <c r="AU2501" s="1359" t="str">
        <f t="shared" si="882"/>
        <v>-</v>
      </c>
    </row>
    <row r="2502" spans="1:47" s="170" customFormat="1" hidden="1" x14ac:dyDescent="0.2">
      <c r="A2502" s="101" t="s">
        <v>5471</v>
      </c>
      <c r="B2502" s="101"/>
      <c r="C2502" s="327" t="s">
        <v>5722</v>
      </c>
      <c r="D2502" s="168"/>
      <c r="E2502" s="90" t="s">
        <v>5723</v>
      </c>
      <c r="F2502" s="115" t="s">
        <v>800</v>
      </c>
      <c r="G2502" s="303" t="s">
        <v>5724</v>
      </c>
      <c r="H2502" s="303" t="s">
        <v>5725</v>
      </c>
      <c r="I2502" s="92" t="s">
        <v>794</v>
      </c>
      <c r="J2502" s="59" t="s">
        <v>53</v>
      </c>
      <c r="K2502" s="92" t="s">
        <v>69</v>
      </c>
      <c r="L2502" s="101" t="s">
        <v>73</v>
      </c>
      <c r="M2502" s="494">
        <v>380</v>
      </c>
      <c r="N2502" s="114"/>
      <c r="O2502" s="101" t="s">
        <v>795</v>
      </c>
      <c r="P2502" s="60">
        <v>24</v>
      </c>
      <c r="Q2502" s="60">
        <v>39</v>
      </c>
      <c r="R2502" s="60">
        <v>24</v>
      </c>
      <c r="S2502" s="60">
        <v>39</v>
      </c>
      <c r="T2502" s="101">
        <v>25</v>
      </c>
      <c r="U2502" s="101">
        <v>40</v>
      </c>
      <c r="V2502" s="608">
        <f>IF(J2502="Canvas",P2502+Border,P2502)</f>
        <v>32</v>
      </c>
      <c r="W2502" s="608">
        <f>IF(J2502="Canvas",Q2502+Border,Q2502)</f>
        <v>47</v>
      </c>
      <c r="X2502" s="101" t="s">
        <v>796</v>
      </c>
      <c r="Y2502" s="101"/>
      <c r="Z2502" s="101"/>
      <c r="AA2502" s="649">
        <f t="shared" si="889"/>
        <v>10.444444444444445</v>
      </c>
      <c r="AB2502" s="184">
        <v>0</v>
      </c>
      <c r="AC2502" s="104">
        <f>TX!H33</f>
        <v>100.31</v>
      </c>
      <c r="AD2502" s="121">
        <v>0</v>
      </c>
      <c r="AE2502" s="121">
        <v>0</v>
      </c>
      <c r="AF2502" s="1018">
        <f>'Cali Frames'!D425</f>
        <v>105.8575</v>
      </c>
      <c r="AG2502" s="115"/>
      <c r="AH2502" s="121">
        <f t="shared" si="890"/>
        <v>19</v>
      </c>
      <c r="AI2502" s="121"/>
      <c r="AJ2502" s="121">
        <f>SUM(Table1[[#This Row],[Substrate SF]:[Royalty]])</f>
        <v>235.61194444444445</v>
      </c>
      <c r="AK2502" s="830">
        <f t="shared" si="886"/>
        <v>0.379968567251462</v>
      </c>
      <c r="AL2502" s="121">
        <f>Table1[[#This Row],[WSP/Dealer]]/Table1[[#This Row],[OD Sq Inch]]</f>
        <v>0.38</v>
      </c>
      <c r="AM2502" s="115">
        <f>Table1[[#This Row],[OD Wdth]]*Table1[[#This Row],[OD Hgt]]</f>
        <v>1000</v>
      </c>
      <c r="AN2502" s="115">
        <f>Table1[[#This Row],[Min VO]]+Table1[[#This Row],[Max VO]]</f>
        <v>63</v>
      </c>
      <c r="AO2502" s="115"/>
      <c r="AP2502" s="115"/>
      <c r="AQ2502" s="121"/>
      <c r="AR2502" s="121"/>
      <c r="AS2502" s="121"/>
      <c r="AT2502" s="104"/>
      <c r="AU2502" s="1359" t="str">
        <f t="shared" si="882"/>
        <v>-</v>
      </c>
    </row>
    <row r="2503" spans="1:47" s="170" customFormat="1" x14ac:dyDescent="0.2">
      <c r="A2503" s="101" t="s">
        <v>58</v>
      </c>
      <c r="B2503" s="1064" t="s">
        <v>1457</v>
      </c>
      <c r="C2503" s="183" t="s">
        <v>5726</v>
      </c>
      <c r="D2503" s="168" t="s">
        <v>5727</v>
      </c>
      <c r="E2503" s="1711" t="s">
        <v>5728</v>
      </c>
      <c r="F2503" s="169" t="s">
        <v>289</v>
      </c>
      <c r="G2503" s="303" t="s">
        <v>1937</v>
      </c>
      <c r="H2503" s="303" t="s">
        <v>1937</v>
      </c>
      <c r="I2503" s="92" t="s">
        <v>52</v>
      </c>
      <c r="J2503" s="59" t="s">
        <v>53</v>
      </c>
      <c r="K2503" s="92" t="s">
        <v>54</v>
      </c>
      <c r="L2503" s="101" t="s">
        <v>55</v>
      </c>
      <c r="M2503" s="494">
        <v>200</v>
      </c>
      <c r="N2503" s="114">
        <v>225</v>
      </c>
      <c r="O2503" s="101" t="s">
        <v>56</v>
      </c>
      <c r="P2503" s="273">
        <v>16</v>
      </c>
      <c r="Q2503" s="273">
        <v>16</v>
      </c>
      <c r="R2503" s="60">
        <v>16</v>
      </c>
      <c r="S2503" s="273">
        <v>16</v>
      </c>
      <c r="T2503" s="273">
        <f>Table1[[#This Row],[VO Wdth]]</f>
        <v>16</v>
      </c>
      <c r="U2503" s="273">
        <f>Table1[[#This Row],[VO Hgt]]</f>
        <v>16</v>
      </c>
      <c r="V2503" s="608">
        <f t="shared" ref="V2503:V2510" si="891">IF(J2503="Canvas",P2503+BorderGW,P2503)</f>
        <v>24</v>
      </c>
      <c r="W2503" s="608">
        <f t="shared" ref="W2503:W2510" si="892">IF(J2503="Canvas",Q2503+BorderGW,Q2503)</f>
        <v>24</v>
      </c>
      <c r="X2503" s="101" t="s">
        <v>286</v>
      </c>
      <c r="Y2503" s="101">
        <v>28</v>
      </c>
      <c r="Z2503" s="101">
        <v>92</v>
      </c>
      <c r="AA2503" s="649">
        <f t="shared" si="889"/>
        <v>4</v>
      </c>
      <c r="AB2503" s="184">
        <f t="shared" ref="AB2503:AB2510" si="893">AA2503*IncaG</f>
        <v>84.16</v>
      </c>
      <c r="AC2503" s="104">
        <f t="shared" ref="AC2503:AC2510" si="894">AA2503*Canvas</f>
        <v>2.64</v>
      </c>
      <c r="AD2503" s="121">
        <f t="shared" ref="AD2503:AD2512" si="895">AA2503*IncaC</f>
        <v>6.7328000000000001</v>
      </c>
      <c r="AE2503" s="121">
        <f>IF(Table1[[#This Row],[Work Center]]="SwissQ",Materials!G$37,IF(Table1[[#This Row],[Work Center]]="Inca",Materials!G$29,IF(Table1[[#This Row],[Work Center]]="Canon",Materials!G$49,Materials!G$45)))</f>
        <v>8</v>
      </c>
      <c r="AF2503" s="102">
        <f>'Cali FPS'!C$16</f>
        <v>56.350000000000009</v>
      </c>
      <c r="AG2503" s="115"/>
      <c r="AH2503" s="121">
        <f t="shared" si="890"/>
        <v>10</v>
      </c>
      <c r="AI2503" s="121"/>
      <c r="AJ2503" s="121">
        <f t="shared" ref="AJ2503:AJ2534" si="896">SUM(AC2503:AH2503)</f>
        <v>83.722800000000007</v>
      </c>
      <c r="AK2503" s="830">
        <f t="shared" si="886"/>
        <v>0.58138599999999996</v>
      </c>
      <c r="AL2503" s="121">
        <f>Table1[[#This Row],[WSP/Dealer]]/Table1[[#This Row],[OD Sq Inch]]</f>
        <v>0.78125</v>
      </c>
      <c r="AM2503" s="115">
        <f>Table1[[#This Row],[OD Wdth]]*Table1[[#This Row],[OD Hgt]]</f>
        <v>256</v>
      </c>
      <c r="AN2503" s="115">
        <f>Table1[[#This Row],[Min VO]]+Table1[[#This Row],[Max VO]]</f>
        <v>32</v>
      </c>
      <c r="AO2503" s="115"/>
      <c r="AP2503" s="115"/>
      <c r="AQ2503" s="121"/>
      <c r="AR2503" s="104"/>
      <c r="AS2503" s="104"/>
      <c r="AT2503" s="104"/>
      <c r="AU2503" s="1359" t="str">
        <f t="shared" si="882"/>
        <v>-</v>
      </c>
    </row>
    <row r="2504" spans="1:47" s="170" customFormat="1" x14ac:dyDescent="0.2">
      <c r="A2504" s="101" t="s">
        <v>58</v>
      </c>
      <c r="B2504" s="1064" t="s">
        <v>1457</v>
      </c>
      <c r="C2504" s="183" t="s">
        <v>5729</v>
      </c>
      <c r="D2504" s="168" t="s">
        <v>5730</v>
      </c>
      <c r="E2504" s="1711" t="s">
        <v>5731</v>
      </c>
      <c r="F2504" s="169" t="s">
        <v>289</v>
      </c>
      <c r="G2504" s="303" t="s">
        <v>1937</v>
      </c>
      <c r="H2504" s="101" t="s">
        <v>1937</v>
      </c>
      <c r="I2504" s="92" t="s">
        <v>52</v>
      </c>
      <c r="J2504" s="59" t="s">
        <v>53</v>
      </c>
      <c r="K2504" s="92" t="s">
        <v>54</v>
      </c>
      <c r="L2504" s="101" t="s">
        <v>55</v>
      </c>
      <c r="M2504" s="494">
        <v>200</v>
      </c>
      <c r="N2504" s="114">
        <v>225</v>
      </c>
      <c r="O2504" s="101" t="s">
        <v>56</v>
      </c>
      <c r="P2504" s="273">
        <v>16</v>
      </c>
      <c r="Q2504" s="273">
        <v>16</v>
      </c>
      <c r="R2504" s="60">
        <v>16</v>
      </c>
      <c r="S2504" s="273">
        <v>16</v>
      </c>
      <c r="T2504" s="273">
        <f>Table1[[#This Row],[VO Wdth]]</f>
        <v>16</v>
      </c>
      <c r="U2504" s="273">
        <f>Table1[[#This Row],[VO Hgt]]</f>
        <v>16</v>
      </c>
      <c r="V2504" s="106">
        <f t="shared" si="891"/>
        <v>24</v>
      </c>
      <c r="W2504" s="106">
        <f t="shared" si="892"/>
        <v>24</v>
      </c>
      <c r="X2504" s="101" t="s">
        <v>286</v>
      </c>
      <c r="Y2504" s="101">
        <v>28</v>
      </c>
      <c r="Z2504" s="101">
        <v>92</v>
      </c>
      <c r="AA2504" s="649">
        <f t="shared" si="889"/>
        <v>4</v>
      </c>
      <c r="AB2504" s="184">
        <f t="shared" si="893"/>
        <v>84.16</v>
      </c>
      <c r="AC2504" s="104">
        <f t="shared" si="894"/>
        <v>2.64</v>
      </c>
      <c r="AD2504" s="120">
        <f t="shared" si="895"/>
        <v>6.7328000000000001</v>
      </c>
      <c r="AE2504" s="121">
        <f>IF(Table1[[#This Row],[Work Center]]="SwissQ",Materials!G$37,IF(Table1[[#This Row],[Work Center]]="Inca",Materials!G$29,IF(Table1[[#This Row],[Work Center]]="Canon",Materials!G$49,Materials!G$45)))</f>
        <v>8</v>
      </c>
      <c r="AF2504" s="102">
        <f>'Cali FPS'!C$16</f>
        <v>56.350000000000009</v>
      </c>
      <c r="AG2504" s="115"/>
      <c r="AH2504" s="121">
        <f t="shared" si="890"/>
        <v>10</v>
      </c>
      <c r="AI2504" s="121"/>
      <c r="AJ2504" s="121">
        <f t="shared" si="896"/>
        <v>83.722800000000007</v>
      </c>
      <c r="AK2504" s="830">
        <f t="shared" si="886"/>
        <v>0.58138599999999996</v>
      </c>
      <c r="AL2504" s="121">
        <f>Table1[[#This Row],[WSP/Dealer]]/Table1[[#This Row],[OD Sq Inch]]</f>
        <v>0.78125</v>
      </c>
      <c r="AM2504" s="113">
        <f>Table1[[#This Row],[OD Wdth]]*Table1[[#This Row],[OD Hgt]]</f>
        <v>256</v>
      </c>
      <c r="AN2504" s="115">
        <f>Table1[[#This Row],[Min VO]]+Table1[[#This Row],[Max VO]]</f>
        <v>32</v>
      </c>
      <c r="AO2504" s="115"/>
      <c r="AP2504" s="115"/>
      <c r="AQ2504" s="121"/>
      <c r="AR2504" s="104"/>
      <c r="AS2504" s="104"/>
      <c r="AT2504" s="104"/>
      <c r="AU2504" s="1359" t="str">
        <f t="shared" si="882"/>
        <v>-</v>
      </c>
    </row>
    <row r="2505" spans="1:47" s="170" customFormat="1" x14ac:dyDescent="0.2">
      <c r="A2505" s="101" t="s">
        <v>58</v>
      </c>
      <c r="B2505" s="1064" t="s">
        <v>1457</v>
      </c>
      <c r="C2505" s="183" t="s">
        <v>5732</v>
      </c>
      <c r="D2505" s="168" t="s">
        <v>5733</v>
      </c>
      <c r="E2505" s="1711" t="s">
        <v>5734</v>
      </c>
      <c r="F2505" s="169" t="s">
        <v>289</v>
      </c>
      <c r="G2505" s="303" t="s">
        <v>1937</v>
      </c>
      <c r="H2505" s="101" t="s">
        <v>1937</v>
      </c>
      <c r="I2505" s="92" t="s">
        <v>52</v>
      </c>
      <c r="J2505" s="59" t="s">
        <v>53</v>
      </c>
      <c r="K2505" s="92" t="s">
        <v>54</v>
      </c>
      <c r="L2505" s="101" t="s">
        <v>55</v>
      </c>
      <c r="M2505" s="494">
        <v>200</v>
      </c>
      <c r="N2505" s="114">
        <v>225</v>
      </c>
      <c r="O2505" s="101" t="s">
        <v>56</v>
      </c>
      <c r="P2505" s="273">
        <v>16</v>
      </c>
      <c r="Q2505" s="273">
        <v>16</v>
      </c>
      <c r="R2505" s="60">
        <v>16</v>
      </c>
      <c r="S2505" s="273">
        <v>16</v>
      </c>
      <c r="T2505" s="273">
        <f>Table1[[#This Row],[VO Wdth]]</f>
        <v>16</v>
      </c>
      <c r="U2505" s="273">
        <f>Table1[[#This Row],[VO Hgt]]</f>
        <v>16</v>
      </c>
      <c r="V2505" s="608">
        <f t="shared" si="891"/>
        <v>24</v>
      </c>
      <c r="W2505" s="608">
        <f t="shared" si="892"/>
        <v>24</v>
      </c>
      <c r="X2505" s="101" t="s">
        <v>286</v>
      </c>
      <c r="Y2505" s="101">
        <v>28</v>
      </c>
      <c r="Z2505" s="101">
        <v>92</v>
      </c>
      <c r="AA2505" s="649">
        <f t="shared" si="889"/>
        <v>4</v>
      </c>
      <c r="AB2505" s="184">
        <f t="shared" si="893"/>
        <v>84.16</v>
      </c>
      <c r="AC2505" s="104">
        <f t="shared" si="894"/>
        <v>2.64</v>
      </c>
      <c r="AD2505" s="120">
        <f t="shared" si="895"/>
        <v>6.7328000000000001</v>
      </c>
      <c r="AE2505" s="121">
        <f>IF(Table1[[#This Row],[Work Center]]="SwissQ",Materials!G$37,IF(Table1[[#This Row],[Work Center]]="Inca",Materials!G$29,IF(Table1[[#This Row],[Work Center]]="Canon",Materials!G$49,Materials!G$45)))</f>
        <v>8</v>
      </c>
      <c r="AF2505" s="102">
        <f>'Cali FPS'!C$16</f>
        <v>56.350000000000009</v>
      </c>
      <c r="AG2505" s="115"/>
      <c r="AH2505" s="121">
        <f t="shared" si="890"/>
        <v>10</v>
      </c>
      <c r="AI2505" s="121"/>
      <c r="AJ2505" s="121">
        <f t="shared" si="896"/>
        <v>83.722800000000007</v>
      </c>
      <c r="AK2505" s="830">
        <f t="shared" si="886"/>
        <v>0.58138599999999996</v>
      </c>
      <c r="AL2505" s="121">
        <f>Table1[[#This Row],[WSP/Dealer]]/Table1[[#This Row],[OD Sq Inch]]</f>
        <v>0.78125</v>
      </c>
      <c r="AM2505" s="113">
        <f>Table1[[#This Row],[OD Wdth]]*Table1[[#This Row],[OD Hgt]]</f>
        <v>256</v>
      </c>
      <c r="AN2505" s="115">
        <f>Table1[[#This Row],[Min VO]]+Table1[[#This Row],[Max VO]]</f>
        <v>32</v>
      </c>
      <c r="AO2505" s="115"/>
      <c r="AP2505" s="115"/>
      <c r="AQ2505" s="121"/>
      <c r="AR2505" s="104"/>
      <c r="AS2505" s="104"/>
      <c r="AT2505" s="104"/>
      <c r="AU2505" s="1359" t="str">
        <f t="shared" si="882"/>
        <v>-</v>
      </c>
    </row>
    <row r="2506" spans="1:47" s="170" customFormat="1" x14ac:dyDescent="0.2">
      <c r="A2506" s="101" t="s">
        <v>58</v>
      </c>
      <c r="B2506" s="1067" t="s">
        <v>1457</v>
      </c>
      <c r="C2506" s="183" t="s">
        <v>5735</v>
      </c>
      <c r="D2506" s="168" t="s">
        <v>5736</v>
      </c>
      <c r="E2506" s="1711" t="s">
        <v>5737</v>
      </c>
      <c r="F2506" s="169" t="s">
        <v>289</v>
      </c>
      <c r="G2506" s="303" t="s">
        <v>1937</v>
      </c>
      <c r="H2506" s="101" t="s">
        <v>1937</v>
      </c>
      <c r="I2506" s="92" t="s">
        <v>52</v>
      </c>
      <c r="J2506" s="59" t="s">
        <v>53</v>
      </c>
      <c r="K2506" s="92" t="s">
        <v>54</v>
      </c>
      <c r="L2506" s="101" t="s">
        <v>55</v>
      </c>
      <c r="M2506" s="494">
        <v>200</v>
      </c>
      <c r="N2506" s="114">
        <v>225</v>
      </c>
      <c r="O2506" s="101" t="s">
        <v>56</v>
      </c>
      <c r="P2506" s="273">
        <v>16</v>
      </c>
      <c r="Q2506" s="273">
        <v>16</v>
      </c>
      <c r="R2506" s="60">
        <v>16</v>
      </c>
      <c r="S2506" s="273">
        <v>16</v>
      </c>
      <c r="T2506" s="273">
        <f>Table1[[#This Row],[VO Wdth]]</f>
        <v>16</v>
      </c>
      <c r="U2506" s="273">
        <f>Table1[[#This Row],[VO Hgt]]</f>
        <v>16</v>
      </c>
      <c r="V2506" s="106">
        <f t="shared" si="891"/>
        <v>24</v>
      </c>
      <c r="W2506" s="106">
        <f t="shared" si="892"/>
        <v>24</v>
      </c>
      <c r="X2506" s="101" t="s">
        <v>286</v>
      </c>
      <c r="Y2506" s="101">
        <v>28</v>
      </c>
      <c r="Z2506" s="101">
        <v>92</v>
      </c>
      <c r="AA2506" s="649">
        <f t="shared" si="889"/>
        <v>4</v>
      </c>
      <c r="AB2506" s="184">
        <f t="shared" si="893"/>
        <v>84.16</v>
      </c>
      <c r="AC2506" s="104">
        <f t="shared" si="894"/>
        <v>2.64</v>
      </c>
      <c r="AD2506" s="120">
        <f t="shared" si="895"/>
        <v>6.7328000000000001</v>
      </c>
      <c r="AE2506" s="121">
        <f>IF(Table1[[#This Row],[Work Center]]="SwissQ",Materials!G$37,IF(Table1[[#This Row],[Work Center]]="Inca",Materials!G$29,IF(Table1[[#This Row],[Work Center]]="Canon",Materials!G$49,Materials!G$45)))</f>
        <v>8</v>
      </c>
      <c r="AF2506" s="102">
        <f>'Cali FPS'!C$16</f>
        <v>56.350000000000009</v>
      </c>
      <c r="AG2506" s="115"/>
      <c r="AH2506" s="121">
        <f t="shared" si="890"/>
        <v>10</v>
      </c>
      <c r="AI2506" s="121"/>
      <c r="AJ2506" s="121">
        <f t="shared" si="896"/>
        <v>83.722800000000007</v>
      </c>
      <c r="AK2506" s="830">
        <f t="shared" si="886"/>
        <v>0.58138599999999996</v>
      </c>
      <c r="AL2506" s="121">
        <f>Table1[[#This Row],[WSP/Dealer]]/Table1[[#This Row],[OD Sq Inch]]</f>
        <v>0.78125</v>
      </c>
      <c r="AM2506" s="113">
        <f>Table1[[#This Row],[OD Wdth]]*Table1[[#This Row],[OD Hgt]]</f>
        <v>256</v>
      </c>
      <c r="AN2506" s="115">
        <f>Table1[[#This Row],[Min VO]]+Table1[[#This Row],[Max VO]]</f>
        <v>32</v>
      </c>
      <c r="AO2506" s="115"/>
      <c r="AP2506" s="115"/>
      <c r="AQ2506" s="121"/>
      <c r="AR2506" s="104"/>
      <c r="AS2506" s="104"/>
      <c r="AT2506" s="104"/>
      <c r="AU2506" s="1359" t="str">
        <f t="shared" si="882"/>
        <v>-</v>
      </c>
    </row>
    <row r="2507" spans="1:47" s="170" customFormat="1" x14ac:dyDescent="0.2">
      <c r="A2507" s="101" t="s">
        <v>58</v>
      </c>
      <c r="B2507" s="1064" t="s">
        <v>1457</v>
      </c>
      <c r="C2507" s="183" t="s">
        <v>5738</v>
      </c>
      <c r="D2507" s="168" t="s">
        <v>5739</v>
      </c>
      <c r="E2507" s="1711" t="s">
        <v>5740</v>
      </c>
      <c r="F2507" s="169" t="s">
        <v>289</v>
      </c>
      <c r="G2507" s="303" t="s">
        <v>449</v>
      </c>
      <c r="H2507" s="101" t="s">
        <v>449</v>
      </c>
      <c r="I2507" s="92" t="s">
        <v>52</v>
      </c>
      <c r="J2507" s="59" t="s">
        <v>53</v>
      </c>
      <c r="K2507" s="92" t="s">
        <v>54</v>
      </c>
      <c r="L2507" s="101" t="s">
        <v>55</v>
      </c>
      <c r="M2507" s="494">
        <v>580</v>
      </c>
      <c r="N2507" s="114">
        <v>580</v>
      </c>
      <c r="O2507" s="101" t="s">
        <v>56</v>
      </c>
      <c r="P2507" s="273">
        <v>36</v>
      </c>
      <c r="Q2507" s="273">
        <v>36</v>
      </c>
      <c r="R2507" s="60">
        <v>36</v>
      </c>
      <c r="S2507" s="273">
        <v>36</v>
      </c>
      <c r="T2507" s="273">
        <f>Table1[[#This Row],[VO Wdth]]</f>
        <v>36</v>
      </c>
      <c r="U2507" s="273">
        <f>Table1[[#This Row],[VO Hgt]]</f>
        <v>36</v>
      </c>
      <c r="V2507" s="106">
        <f t="shared" si="891"/>
        <v>44</v>
      </c>
      <c r="W2507" s="106">
        <f t="shared" si="892"/>
        <v>44</v>
      </c>
      <c r="X2507" s="101">
        <v>53</v>
      </c>
      <c r="Y2507" s="101"/>
      <c r="Z2507" s="101"/>
      <c r="AA2507" s="649">
        <f t="shared" si="889"/>
        <v>13.444444444444445</v>
      </c>
      <c r="AB2507" s="184">
        <f t="shared" si="893"/>
        <v>282.87111111111108</v>
      </c>
      <c r="AC2507" s="104">
        <f t="shared" si="894"/>
        <v>8.8733333333333331</v>
      </c>
      <c r="AD2507" s="120">
        <f t="shared" si="895"/>
        <v>22.629688888888889</v>
      </c>
      <c r="AE2507" s="121">
        <f>IF(Table1[[#This Row],[Work Center]]="SwissQ",Materials!G$37,IF(Table1[[#This Row],[Work Center]]="Inca",Materials!G$29,IF(Table1[[#This Row],[Work Center]]="Canon",Materials!G$49,Materials!G$45)))</f>
        <v>8</v>
      </c>
      <c r="AF2507" s="102">
        <f>'Cali FPS'!C$67</f>
        <v>83.46</v>
      </c>
      <c r="AG2507" s="115"/>
      <c r="AH2507" s="121">
        <f t="shared" si="890"/>
        <v>29</v>
      </c>
      <c r="AI2507" s="121"/>
      <c r="AJ2507" s="121">
        <f t="shared" si="896"/>
        <v>151.96302222222221</v>
      </c>
      <c r="AK2507" s="830">
        <f t="shared" si="886"/>
        <v>0.73799478927203066</v>
      </c>
      <c r="AL2507" s="121">
        <f>Table1[[#This Row],[WSP/Dealer]]/Table1[[#This Row],[OD Sq Inch]]</f>
        <v>0.44753086419753085</v>
      </c>
      <c r="AM2507" s="113">
        <f>Table1[[#This Row],[OD Wdth]]*Table1[[#This Row],[OD Hgt]]</f>
        <v>1296</v>
      </c>
      <c r="AN2507" s="115">
        <f>Table1[[#This Row],[Min VO]]+Table1[[#This Row],[Max VO]]</f>
        <v>72</v>
      </c>
      <c r="AO2507" s="115"/>
      <c r="AP2507" s="115"/>
      <c r="AQ2507" s="121"/>
      <c r="AR2507" s="104"/>
      <c r="AS2507" s="104"/>
      <c r="AT2507" s="104"/>
      <c r="AU2507" s="1359" t="str">
        <f t="shared" si="882"/>
        <v>-</v>
      </c>
    </row>
    <row r="2508" spans="1:47" s="170" customFormat="1" x14ac:dyDescent="0.2">
      <c r="A2508" s="101" t="s">
        <v>58</v>
      </c>
      <c r="B2508" s="1064" t="s">
        <v>1457</v>
      </c>
      <c r="C2508" s="183" t="s">
        <v>5741</v>
      </c>
      <c r="D2508" s="168" t="s">
        <v>5742</v>
      </c>
      <c r="E2508" s="1711" t="s">
        <v>5743</v>
      </c>
      <c r="F2508" s="169" t="s">
        <v>289</v>
      </c>
      <c r="G2508" s="303" t="s">
        <v>449</v>
      </c>
      <c r="H2508" s="101" t="s">
        <v>449</v>
      </c>
      <c r="I2508" s="92" t="s">
        <v>52</v>
      </c>
      <c r="J2508" s="59" t="s">
        <v>53</v>
      </c>
      <c r="K2508" s="92" t="s">
        <v>54</v>
      </c>
      <c r="L2508" s="101" t="s">
        <v>55</v>
      </c>
      <c r="M2508" s="494">
        <v>580</v>
      </c>
      <c r="N2508" s="114">
        <v>580</v>
      </c>
      <c r="O2508" s="101" t="s">
        <v>56</v>
      </c>
      <c r="P2508" s="273">
        <v>36</v>
      </c>
      <c r="Q2508" s="273">
        <v>36</v>
      </c>
      <c r="R2508" s="60">
        <v>36</v>
      </c>
      <c r="S2508" s="273">
        <v>36</v>
      </c>
      <c r="T2508" s="273">
        <f>Table1[[#This Row],[VO Wdth]]</f>
        <v>36</v>
      </c>
      <c r="U2508" s="273">
        <f>Table1[[#This Row],[VO Hgt]]</f>
        <v>36</v>
      </c>
      <c r="V2508" s="608">
        <f t="shared" si="891"/>
        <v>44</v>
      </c>
      <c r="W2508" s="608">
        <f t="shared" si="892"/>
        <v>44</v>
      </c>
      <c r="X2508" s="101">
        <v>53</v>
      </c>
      <c r="Y2508" s="101"/>
      <c r="Z2508" s="101"/>
      <c r="AA2508" s="649">
        <f t="shared" si="889"/>
        <v>13.444444444444445</v>
      </c>
      <c r="AB2508" s="184">
        <f t="shared" si="893"/>
        <v>282.87111111111108</v>
      </c>
      <c r="AC2508" s="104">
        <f t="shared" si="894"/>
        <v>8.8733333333333331</v>
      </c>
      <c r="AD2508" s="120">
        <f t="shared" si="895"/>
        <v>22.629688888888889</v>
      </c>
      <c r="AE2508" s="121">
        <f>IF(Table1[[#This Row],[Work Center]]="SwissQ",Materials!G$37,IF(Table1[[#This Row],[Work Center]]="Inca",Materials!G$29,IF(Table1[[#This Row],[Work Center]]="Canon",Materials!G$49,Materials!G$45)))</f>
        <v>8</v>
      </c>
      <c r="AF2508" s="102">
        <f>'Cali FPS'!C$67</f>
        <v>83.46</v>
      </c>
      <c r="AG2508" s="115"/>
      <c r="AH2508" s="121">
        <f t="shared" si="890"/>
        <v>29</v>
      </c>
      <c r="AI2508" s="121"/>
      <c r="AJ2508" s="121">
        <f t="shared" si="896"/>
        <v>151.96302222222221</v>
      </c>
      <c r="AK2508" s="830">
        <f t="shared" si="886"/>
        <v>0.73799478927203066</v>
      </c>
      <c r="AL2508" s="121">
        <f>Table1[[#This Row],[WSP/Dealer]]/Table1[[#This Row],[OD Sq Inch]]</f>
        <v>0.44753086419753085</v>
      </c>
      <c r="AM2508" s="113">
        <f>Table1[[#This Row],[OD Wdth]]*Table1[[#This Row],[OD Hgt]]</f>
        <v>1296</v>
      </c>
      <c r="AN2508" s="115">
        <f>Table1[[#This Row],[Min VO]]+Table1[[#This Row],[Max VO]]</f>
        <v>72</v>
      </c>
      <c r="AO2508" s="115"/>
      <c r="AP2508" s="115"/>
      <c r="AQ2508" s="121"/>
      <c r="AR2508" s="104"/>
      <c r="AS2508" s="104"/>
      <c r="AT2508" s="104"/>
      <c r="AU2508" s="1359" t="str">
        <f t="shared" si="882"/>
        <v>-</v>
      </c>
    </row>
    <row r="2509" spans="1:47" s="170" customFormat="1" x14ac:dyDescent="0.2">
      <c r="A2509" s="101" t="s">
        <v>58</v>
      </c>
      <c r="B2509" s="1067" t="s">
        <v>1457</v>
      </c>
      <c r="C2509" s="183" t="s">
        <v>5744</v>
      </c>
      <c r="D2509" s="168" t="s">
        <v>5745</v>
      </c>
      <c r="E2509" s="1711" t="s">
        <v>5746</v>
      </c>
      <c r="F2509" s="169" t="s">
        <v>289</v>
      </c>
      <c r="G2509" s="303" t="s">
        <v>449</v>
      </c>
      <c r="H2509" s="101" t="s">
        <v>449</v>
      </c>
      <c r="I2509" s="92" t="s">
        <v>52</v>
      </c>
      <c r="J2509" s="59" t="s">
        <v>53</v>
      </c>
      <c r="K2509" s="92" t="s">
        <v>54</v>
      </c>
      <c r="L2509" s="101" t="s">
        <v>55</v>
      </c>
      <c r="M2509" s="494">
        <v>580</v>
      </c>
      <c r="N2509" s="114">
        <v>580</v>
      </c>
      <c r="O2509" s="101" t="s">
        <v>56</v>
      </c>
      <c r="P2509" s="273">
        <v>36</v>
      </c>
      <c r="Q2509" s="273">
        <v>36</v>
      </c>
      <c r="R2509" s="60">
        <v>36</v>
      </c>
      <c r="S2509" s="273">
        <v>36</v>
      </c>
      <c r="T2509" s="273">
        <f>Table1[[#This Row],[VO Wdth]]</f>
        <v>36</v>
      </c>
      <c r="U2509" s="273">
        <f>Table1[[#This Row],[VO Hgt]]</f>
        <v>36</v>
      </c>
      <c r="V2509" s="106">
        <f t="shared" si="891"/>
        <v>44</v>
      </c>
      <c r="W2509" s="106">
        <f t="shared" si="892"/>
        <v>44</v>
      </c>
      <c r="X2509" s="101">
        <v>53</v>
      </c>
      <c r="Y2509" s="101"/>
      <c r="Z2509" s="101"/>
      <c r="AA2509" s="649">
        <f t="shared" si="889"/>
        <v>13.444444444444445</v>
      </c>
      <c r="AB2509" s="184">
        <f t="shared" si="893"/>
        <v>282.87111111111108</v>
      </c>
      <c r="AC2509" s="104">
        <f t="shared" si="894"/>
        <v>8.8733333333333331</v>
      </c>
      <c r="AD2509" s="120">
        <f t="shared" si="895"/>
        <v>22.629688888888889</v>
      </c>
      <c r="AE2509" s="121">
        <f>IF(Table1[[#This Row],[Work Center]]="SwissQ",Materials!G$37,IF(Table1[[#This Row],[Work Center]]="Inca",Materials!G$29,IF(Table1[[#This Row],[Work Center]]="Canon",Materials!G$49,Materials!G$45)))</f>
        <v>8</v>
      </c>
      <c r="AF2509" s="102">
        <f>'Cali FPS'!C$67</f>
        <v>83.46</v>
      </c>
      <c r="AG2509" s="115"/>
      <c r="AH2509" s="121">
        <f t="shared" si="890"/>
        <v>29</v>
      </c>
      <c r="AI2509" s="121"/>
      <c r="AJ2509" s="120">
        <f t="shared" si="896"/>
        <v>151.96302222222221</v>
      </c>
      <c r="AK2509" s="830">
        <f t="shared" si="886"/>
        <v>0.73799478927203066</v>
      </c>
      <c r="AL2509" s="121">
        <f>Table1[[#This Row],[WSP/Dealer]]/Table1[[#This Row],[OD Sq Inch]]</f>
        <v>0.44753086419753085</v>
      </c>
      <c r="AM2509" s="113">
        <f>Table1[[#This Row],[OD Wdth]]*Table1[[#This Row],[OD Hgt]]</f>
        <v>1296</v>
      </c>
      <c r="AN2509" s="115">
        <f>Table1[[#This Row],[Min VO]]+Table1[[#This Row],[Max VO]]</f>
        <v>72</v>
      </c>
      <c r="AO2509" s="113"/>
      <c r="AP2509" s="115"/>
      <c r="AQ2509" s="121"/>
      <c r="AR2509" s="104"/>
      <c r="AS2509" s="104"/>
      <c r="AT2509" s="104"/>
      <c r="AU2509" s="1367" t="str">
        <f t="shared" si="882"/>
        <v>-</v>
      </c>
    </row>
    <row r="2510" spans="1:47" s="170" customFormat="1" x14ac:dyDescent="0.2">
      <c r="A2510" s="101" t="s">
        <v>58</v>
      </c>
      <c r="B2510" s="1067" t="s">
        <v>1457</v>
      </c>
      <c r="C2510" s="183" t="s">
        <v>5747</v>
      </c>
      <c r="D2510" s="168" t="s">
        <v>5748</v>
      </c>
      <c r="E2510" s="1711" t="s">
        <v>5749</v>
      </c>
      <c r="F2510" s="169" t="s">
        <v>289</v>
      </c>
      <c r="G2510" s="303" t="s">
        <v>449</v>
      </c>
      <c r="H2510" s="101" t="s">
        <v>449</v>
      </c>
      <c r="I2510" s="92" t="s">
        <v>52</v>
      </c>
      <c r="J2510" s="59" t="s">
        <v>53</v>
      </c>
      <c r="K2510" s="92" t="s">
        <v>54</v>
      </c>
      <c r="L2510" s="101" t="s">
        <v>55</v>
      </c>
      <c r="M2510" s="494">
        <v>580</v>
      </c>
      <c r="N2510" s="114">
        <v>580</v>
      </c>
      <c r="O2510" s="101" t="s">
        <v>56</v>
      </c>
      <c r="P2510" s="273">
        <v>36</v>
      </c>
      <c r="Q2510" s="273">
        <v>36</v>
      </c>
      <c r="R2510" s="60">
        <v>36</v>
      </c>
      <c r="S2510" s="273">
        <v>36</v>
      </c>
      <c r="T2510" s="61">
        <f>Table1[[#This Row],[VO Wdth]]</f>
        <v>36</v>
      </c>
      <c r="U2510" s="61">
        <f>Table1[[#This Row],[VO Hgt]]</f>
        <v>36</v>
      </c>
      <c r="V2510" s="608">
        <f t="shared" si="891"/>
        <v>44</v>
      </c>
      <c r="W2510" s="608">
        <f t="shared" si="892"/>
        <v>44</v>
      </c>
      <c r="X2510" s="101">
        <v>53</v>
      </c>
      <c r="Y2510" s="101"/>
      <c r="Z2510" s="101"/>
      <c r="AA2510" s="649">
        <f t="shared" si="889"/>
        <v>13.444444444444445</v>
      </c>
      <c r="AB2510" s="184">
        <f t="shared" si="893"/>
        <v>282.87111111111108</v>
      </c>
      <c r="AC2510" s="104">
        <f t="shared" si="894"/>
        <v>8.8733333333333331</v>
      </c>
      <c r="AD2510" s="120">
        <f t="shared" si="895"/>
        <v>22.629688888888889</v>
      </c>
      <c r="AE2510" s="121">
        <f>IF(Table1[[#This Row],[Work Center]]="SwissQ",Materials!G$37,IF(Table1[[#This Row],[Work Center]]="Inca",Materials!G$29,IF(Table1[[#This Row],[Work Center]]="Canon",Materials!G$49,Materials!G$45)))</f>
        <v>8</v>
      </c>
      <c r="AF2510" s="102">
        <f>'Cali FPS'!C$67</f>
        <v>83.46</v>
      </c>
      <c r="AG2510" s="115"/>
      <c r="AH2510" s="120">
        <f t="shared" si="890"/>
        <v>29</v>
      </c>
      <c r="AI2510" s="120"/>
      <c r="AJ2510" s="120">
        <f t="shared" si="896"/>
        <v>151.96302222222221</v>
      </c>
      <c r="AK2510" s="108">
        <f t="shared" si="886"/>
        <v>0.73799478927203066</v>
      </c>
      <c r="AL2510" s="121">
        <f>Table1[[#This Row],[WSP/Dealer]]/Table1[[#This Row],[OD Sq Inch]]</f>
        <v>0.44753086419753085</v>
      </c>
      <c r="AM2510" s="113">
        <f>Table1[[#This Row],[OD Wdth]]*Table1[[#This Row],[OD Hgt]]</f>
        <v>1296</v>
      </c>
      <c r="AN2510" s="115">
        <f>Table1[[#This Row],[Min VO]]+Table1[[#This Row],[Max VO]]</f>
        <v>72</v>
      </c>
      <c r="AO2510" s="113"/>
      <c r="AP2510" s="115"/>
      <c r="AQ2510" s="121"/>
      <c r="AR2510" s="104"/>
      <c r="AS2510" s="104"/>
      <c r="AT2510" s="104"/>
      <c r="AU2510" s="1367" t="str">
        <f t="shared" si="882"/>
        <v>-</v>
      </c>
    </row>
    <row r="2511" spans="1:47" s="170" customFormat="1" x14ac:dyDescent="0.2">
      <c r="A2511" s="101" t="s">
        <v>58</v>
      </c>
      <c r="B2511" s="1067" t="s">
        <v>366</v>
      </c>
      <c r="C2511" s="183" t="s">
        <v>5750</v>
      </c>
      <c r="D2511" s="168" t="s">
        <v>5751</v>
      </c>
      <c r="E2511" s="1711" t="s">
        <v>5752</v>
      </c>
      <c r="F2511" s="169" t="s">
        <v>614</v>
      </c>
      <c r="G2511" s="303" t="s">
        <v>191</v>
      </c>
      <c r="H2511" s="101" t="s">
        <v>191</v>
      </c>
      <c r="I2511" s="92" t="s">
        <v>52</v>
      </c>
      <c r="J2511" s="59" t="s">
        <v>283</v>
      </c>
      <c r="K2511" s="92" t="s">
        <v>281</v>
      </c>
      <c r="L2511" s="101" t="s">
        <v>282</v>
      </c>
      <c r="M2511" s="494">
        <v>968</v>
      </c>
      <c r="N2511" s="114">
        <v>1100</v>
      </c>
      <c r="O2511" s="101" t="s">
        <v>56</v>
      </c>
      <c r="P2511" s="60">
        <v>48</v>
      </c>
      <c r="Q2511" s="60">
        <v>60</v>
      </c>
      <c r="R2511" s="60">
        <v>48</v>
      </c>
      <c r="S2511" s="273">
        <v>60</v>
      </c>
      <c r="T2511" s="101">
        <v>48</v>
      </c>
      <c r="U2511" s="101" t="str">
        <f>RIGHT(H2511,2)</f>
        <v>60</v>
      </c>
      <c r="V2511" s="106">
        <f t="shared" ref="V2511:V2516" si="897">IF(J2511="Canvas",P2511+Border,P2511)</f>
        <v>48</v>
      </c>
      <c r="W2511" s="106">
        <f t="shared" ref="W2511:W2516" si="898">IF(J2511="Canvas",Q2511+Border,Q2511)</f>
        <v>60</v>
      </c>
      <c r="X2511" s="101" t="s">
        <v>283</v>
      </c>
      <c r="Y2511" s="101"/>
      <c r="Z2511" s="101"/>
      <c r="AA2511" s="649">
        <f t="shared" si="889"/>
        <v>20</v>
      </c>
      <c r="AB2511" s="184">
        <f>AA2511*Swiss1</f>
        <v>566</v>
      </c>
      <c r="AC2511" s="104">
        <f>MDFSHEET</f>
        <v>24.35</v>
      </c>
      <c r="AD2511" s="120">
        <f t="shared" si="895"/>
        <v>33.664000000000001</v>
      </c>
      <c r="AE2511" s="121">
        <f>IF(Table1[[#This Row],[Work Center]]="SwissQ",Materials!G$37,IF(Table1[[#This Row],[Work Center]]="Inca",Materials!G$29,IF(Table1[[#This Row],[Work Center]]="Canon",Materials!G$49,Materials!G$45)))</f>
        <v>8</v>
      </c>
      <c r="AF2511" s="102">
        <f>'Cali Frames'!D216</f>
        <v>230.23</v>
      </c>
      <c r="AG2511" s="121"/>
      <c r="AH2511" s="120">
        <f t="shared" si="890"/>
        <v>48.400000000000006</v>
      </c>
      <c r="AI2511" s="120"/>
      <c r="AJ2511" s="120">
        <f t="shared" si="896"/>
        <v>344.64400000000001</v>
      </c>
      <c r="AK2511" s="108">
        <f t="shared" si="886"/>
        <v>0.64396280991735533</v>
      </c>
      <c r="AL2511" s="121">
        <f>Table1[[#This Row],[WSP/Dealer]]/Table1[[#This Row],[OD Sq Inch]]</f>
        <v>0.33611111111111114</v>
      </c>
      <c r="AM2511" s="113">
        <f>Table1[[#This Row],[OD Wdth]]*Table1[[#This Row],[OD Hgt]]</f>
        <v>2880</v>
      </c>
      <c r="AN2511" s="115">
        <f>Table1[[#This Row],[Min VO]]+Table1[[#This Row],[Max VO]]</f>
        <v>108</v>
      </c>
      <c r="AO2511" s="115"/>
      <c r="AP2511" s="115"/>
      <c r="AQ2511" s="121"/>
      <c r="AR2511" s="104"/>
      <c r="AS2511" s="104"/>
      <c r="AT2511" s="104"/>
      <c r="AU2511" s="1359" t="str">
        <f t="shared" ref="AU2511:AU2542" si="899">IF(AQ2511=0,"-",(AQ2511-AT2511)/AQ2511)</f>
        <v>-</v>
      </c>
    </row>
    <row r="2512" spans="1:47" s="170" customFormat="1" x14ac:dyDescent="0.2">
      <c r="A2512" s="101" t="s">
        <v>58</v>
      </c>
      <c r="B2512" s="1064" t="s">
        <v>366</v>
      </c>
      <c r="C2512" s="183" t="s">
        <v>5753</v>
      </c>
      <c r="D2512" s="168" t="s">
        <v>5754</v>
      </c>
      <c r="E2512" s="1711" t="s">
        <v>5755</v>
      </c>
      <c r="F2512" s="169" t="s">
        <v>614</v>
      </c>
      <c r="G2512" s="303" t="s">
        <v>191</v>
      </c>
      <c r="H2512" s="101" t="s">
        <v>191</v>
      </c>
      <c r="I2512" s="92" t="s">
        <v>52</v>
      </c>
      <c r="J2512" s="59" t="s">
        <v>283</v>
      </c>
      <c r="K2512" s="92" t="s">
        <v>281</v>
      </c>
      <c r="L2512" s="101" t="s">
        <v>282</v>
      </c>
      <c r="M2512" s="494">
        <v>968</v>
      </c>
      <c r="N2512" s="114">
        <v>1100</v>
      </c>
      <c r="O2512" s="101" t="s">
        <v>56</v>
      </c>
      <c r="P2512" s="60">
        <v>48</v>
      </c>
      <c r="Q2512" s="60">
        <v>60</v>
      </c>
      <c r="R2512" s="60">
        <v>48</v>
      </c>
      <c r="S2512" s="273">
        <v>60</v>
      </c>
      <c r="T2512" s="101">
        <v>48</v>
      </c>
      <c r="U2512" s="101" t="str">
        <f>RIGHT(H2512,2)</f>
        <v>60</v>
      </c>
      <c r="V2512" s="608">
        <f t="shared" si="897"/>
        <v>48</v>
      </c>
      <c r="W2512" s="608">
        <f t="shared" si="898"/>
        <v>60</v>
      </c>
      <c r="X2512" s="101" t="s">
        <v>283</v>
      </c>
      <c r="Y2512" s="101"/>
      <c r="Z2512" s="101"/>
      <c r="AA2512" s="649">
        <f t="shared" si="889"/>
        <v>20</v>
      </c>
      <c r="AB2512" s="184">
        <f>AA2512*IncaG</f>
        <v>420.79999999999995</v>
      </c>
      <c r="AC2512" s="104">
        <f>MDFSHEET</f>
        <v>24.35</v>
      </c>
      <c r="AD2512" s="120">
        <f t="shared" si="895"/>
        <v>33.664000000000001</v>
      </c>
      <c r="AE2512" s="121">
        <f>IF(Table1[[#This Row],[Work Center]]="SwissQ",Materials!G$37,IF(Table1[[#This Row],[Work Center]]="Inca",Materials!G$29,IF(Table1[[#This Row],[Work Center]]="Canon",Materials!G$49,Materials!G$45)))</f>
        <v>8</v>
      </c>
      <c r="AF2512" s="102">
        <f>'Cali Frames'!D216</f>
        <v>230.23</v>
      </c>
      <c r="AG2512" s="121"/>
      <c r="AH2512" s="121">
        <f t="shared" si="890"/>
        <v>48.400000000000006</v>
      </c>
      <c r="AI2512" s="121"/>
      <c r="AJ2512" s="121">
        <f t="shared" si="896"/>
        <v>344.64400000000001</v>
      </c>
      <c r="AK2512" s="830">
        <f t="shared" si="886"/>
        <v>0.64396280991735533</v>
      </c>
      <c r="AL2512" s="121">
        <f>Table1[[#This Row],[WSP/Dealer]]/Table1[[#This Row],[OD Sq Inch]]</f>
        <v>0.33611111111111114</v>
      </c>
      <c r="AM2512" s="113">
        <f>Table1[[#This Row],[OD Wdth]]*Table1[[#This Row],[OD Hgt]]</f>
        <v>2880</v>
      </c>
      <c r="AN2512" s="115">
        <f>Table1[[#This Row],[Min VO]]+Table1[[#This Row],[Max VO]]</f>
        <v>108</v>
      </c>
      <c r="AO2512" s="115"/>
      <c r="AP2512" s="115"/>
      <c r="AQ2512" s="121"/>
      <c r="AR2512" s="104"/>
      <c r="AS2512" s="104"/>
      <c r="AT2512" s="104"/>
      <c r="AU2512" s="1359" t="str">
        <f t="shared" si="899"/>
        <v>-</v>
      </c>
    </row>
    <row r="2513" spans="1:47" s="170" customFormat="1" x14ac:dyDescent="0.2">
      <c r="A2513" s="101" t="s">
        <v>58</v>
      </c>
      <c r="B2513" s="1064" t="s">
        <v>587</v>
      </c>
      <c r="C2513" s="1538" t="s">
        <v>5756</v>
      </c>
      <c r="D2513" s="168"/>
      <c r="E2513" s="378" t="s">
        <v>5757</v>
      </c>
      <c r="F2513" s="115" t="s">
        <v>1364</v>
      </c>
      <c r="G2513" s="303" t="s">
        <v>751</v>
      </c>
      <c r="H2513" s="101" t="s">
        <v>4206</v>
      </c>
      <c r="I2513" s="1635" t="s">
        <v>52</v>
      </c>
      <c r="J2513" s="435" t="s">
        <v>53</v>
      </c>
      <c r="K2513" s="92" t="s">
        <v>69</v>
      </c>
      <c r="L2513" s="407" t="s">
        <v>73</v>
      </c>
      <c r="M2513" s="494">
        <v>905</v>
      </c>
      <c r="N2513" s="114">
        <v>825</v>
      </c>
      <c r="O2513" s="101" t="s">
        <v>64</v>
      </c>
      <c r="P2513" s="60">
        <v>40</v>
      </c>
      <c r="Q2513" s="60">
        <v>40</v>
      </c>
      <c r="R2513" s="60">
        <v>40</v>
      </c>
      <c r="S2513" s="60">
        <v>40</v>
      </c>
      <c r="T2513" s="623">
        <f>Table1[[#This Row],[VO Wdth]]+1</f>
        <v>41</v>
      </c>
      <c r="U2513" s="623">
        <f>Table1[[#This Row],[VO Hgt]]+1</f>
        <v>41</v>
      </c>
      <c r="V2513" s="917">
        <f t="shared" si="897"/>
        <v>48</v>
      </c>
      <c r="W2513" s="608">
        <f t="shared" si="898"/>
        <v>48</v>
      </c>
      <c r="X2513" s="101">
        <v>53</v>
      </c>
      <c r="Y2513" s="101"/>
      <c r="Z2513" s="101"/>
      <c r="AA2513" s="649">
        <f t="shared" si="889"/>
        <v>16</v>
      </c>
      <c r="AB2513" s="184">
        <f t="shared" ref="AB2513:AB2522" si="900">AA2513*Swiss1</f>
        <v>452.8</v>
      </c>
      <c r="AC2513" s="104">
        <f t="shared" ref="AC2513:AC2522" si="901">AA2513*Canvas</f>
        <v>10.56</v>
      </c>
      <c r="AD2513" s="121">
        <f>Table1[[#This Row],[Substrate SF]]*Materials!C$37</f>
        <v>44.8</v>
      </c>
      <c r="AE2513" s="121">
        <f>IF(Table1[[#This Row],[Work Center]]="SwissQ",Materials!G$37,IF(Table1[[#This Row],[Work Center]]="Inca",Materials!G$29,IF(Table1[[#This Row],[Work Center]]="Canon",Materials!G$49,Materials!G$45)))</f>
        <v>20</v>
      </c>
      <c r="AF2513" s="102">
        <f>'Cali Frames'!D562</f>
        <v>155.505</v>
      </c>
      <c r="AG2513" s="121"/>
      <c r="AH2513" s="121">
        <f t="shared" si="890"/>
        <v>45.25</v>
      </c>
      <c r="AI2513" s="121"/>
      <c r="AJ2513" s="121">
        <f t="shared" si="896"/>
        <v>276.11500000000001</v>
      </c>
      <c r="AK2513" s="830">
        <f t="shared" si="886"/>
        <v>0.69490055248618787</v>
      </c>
      <c r="AL2513" s="121">
        <f>Table1[[#This Row],[WSP/Dealer]]/Table1[[#This Row],[OD Sq Inch]]</f>
        <v>0.53837001784651994</v>
      </c>
      <c r="AM2513" s="115">
        <f>Table1[[#This Row],[OD Wdth]]*Table1[[#This Row],[OD Hgt]]</f>
        <v>1681</v>
      </c>
      <c r="AN2513" s="115">
        <f>Table1[[#This Row],[Min VO]]+Table1[[#This Row],[Max VO]]</f>
        <v>80</v>
      </c>
      <c r="AO2513" s="115"/>
      <c r="AP2513" s="115"/>
      <c r="AQ2513" s="121"/>
      <c r="AR2513" s="121"/>
      <c r="AS2513" s="121"/>
      <c r="AT2513" s="104"/>
      <c r="AU2513" s="1359" t="str">
        <f t="shared" si="899"/>
        <v>-</v>
      </c>
    </row>
    <row r="2514" spans="1:47" s="170" customFormat="1" x14ac:dyDescent="0.2">
      <c r="A2514" s="101" t="s">
        <v>58</v>
      </c>
      <c r="B2514" s="1064" t="s">
        <v>587</v>
      </c>
      <c r="C2514" s="1537" t="s">
        <v>5756</v>
      </c>
      <c r="D2514" s="168"/>
      <c r="E2514" s="492" t="s">
        <v>5757</v>
      </c>
      <c r="F2514" s="115" t="s">
        <v>1364</v>
      </c>
      <c r="G2514" s="303" t="s">
        <v>751</v>
      </c>
      <c r="H2514" s="101" t="s">
        <v>4206</v>
      </c>
      <c r="I2514" s="1635" t="s">
        <v>52</v>
      </c>
      <c r="J2514" s="435" t="s">
        <v>53</v>
      </c>
      <c r="K2514" s="92" t="s">
        <v>69</v>
      </c>
      <c r="L2514" s="407" t="s">
        <v>73</v>
      </c>
      <c r="M2514" s="494">
        <v>850</v>
      </c>
      <c r="N2514" s="114">
        <v>825</v>
      </c>
      <c r="O2514" s="101" t="s">
        <v>64</v>
      </c>
      <c r="P2514" s="60">
        <v>40</v>
      </c>
      <c r="Q2514" s="60">
        <v>40</v>
      </c>
      <c r="R2514" s="60">
        <v>40</v>
      </c>
      <c r="S2514" s="60">
        <v>40</v>
      </c>
      <c r="T2514" s="273">
        <f>Table1[[#This Row],[VO Wdth]]+1</f>
        <v>41</v>
      </c>
      <c r="U2514" s="273">
        <f>Table1[[#This Row],[VO Hgt]]+1</f>
        <v>41</v>
      </c>
      <c r="V2514" s="47">
        <f t="shared" si="897"/>
        <v>48</v>
      </c>
      <c r="W2514" s="106">
        <f t="shared" si="898"/>
        <v>48</v>
      </c>
      <c r="X2514" s="101">
        <v>53</v>
      </c>
      <c r="Y2514" s="101"/>
      <c r="Z2514" s="101"/>
      <c r="AA2514" s="649">
        <f t="shared" si="889"/>
        <v>16</v>
      </c>
      <c r="AB2514" s="184">
        <f t="shared" si="900"/>
        <v>452.8</v>
      </c>
      <c r="AC2514" s="104">
        <f t="shared" si="901"/>
        <v>10.56</v>
      </c>
      <c r="AD2514" s="120">
        <f>Table1[[#This Row],[Substrate SF]]*Materials!C$37</f>
        <v>44.8</v>
      </c>
      <c r="AE2514" s="121">
        <f>IF(Table1[[#This Row],[Work Center]]="SwissQ",Materials!G$37,IF(Table1[[#This Row],[Work Center]]="Inca",Materials!G$29,IF(Table1[[#This Row],[Work Center]]="Canon",Materials!G$49,Materials!G$45)))</f>
        <v>20</v>
      </c>
      <c r="AF2514" s="102">
        <f>'Cali Frames'!D448</f>
        <v>143.85</v>
      </c>
      <c r="AG2514" s="121"/>
      <c r="AH2514" s="121">
        <f t="shared" si="890"/>
        <v>42.5</v>
      </c>
      <c r="AI2514" s="121"/>
      <c r="AJ2514" s="121">
        <f t="shared" si="896"/>
        <v>261.70999999999998</v>
      </c>
      <c r="AK2514" s="830">
        <f t="shared" si="886"/>
        <v>0.69210588235294113</v>
      </c>
      <c r="AL2514" s="121">
        <f>Table1[[#This Row],[WSP/Dealer]]/Table1[[#This Row],[OD Sq Inch]]</f>
        <v>0.50565139797739445</v>
      </c>
      <c r="AM2514" s="113">
        <f>Table1[[#This Row],[OD Wdth]]*Table1[[#This Row],[OD Hgt]]</f>
        <v>1681</v>
      </c>
      <c r="AN2514" s="115">
        <f>Table1[[#This Row],[Min VO]]+Table1[[#This Row],[Max VO]]</f>
        <v>80</v>
      </c>
      <c r="AO2514" s="115"/>
      <c r="AP2514" s="115"/>
      <c r="AQ2514" s="121"/>
      <c r="AR2514" s="121"/>
      <c r="AS2514" s="121"/>
      <c r="AT2514" s="104"/>
      <c r="AU2514" s="1359" t="str">
        <f t="shared" si="899"/>
        <v>-</v>
      </c>
    </row>
    <row r="2515" spans="1:47" s="170" customFormat="1" x14ac:dyDescent="0.2">
      <c r="A2515" s="101" t="s">
        <v>58</v>
      </c>
      <c r="B2515" s="1067" t="s">
        <v>587</v>
      </c>
      <c r="C2515" s="1538" t="s">
        <v>5758</v>
      </c>
      <c r="D2515" s="168"/>
      <c r="E2515" s="378" t="s">
        <v>5759</v>
      </c>
      <c r="F2515" s="115" t="s">
        <v>1364</v>
      </c>
      <c r="G2515" s="303" t="s">
        <v>751</v>
      </c>
      <c r="H2515" s="101" t="s">
        <v>4206</v>
      </c>
      <c r="I2515" s="1635" t="s">
        <v>52</v>
      </c>
      <c r="J2515" s="435" t="s">
        <v>53</v>
      </c>
      <c r="K2515" s="92" t="s">
        <v>69</v>
      </c>
      <c r="L2515" s="407" t="s">
        <v>73</v>
      </c>
      <c r="M2515" s="494">
        <v>905</v>
      </c>
      <c r="N2515" s="114">
        <v>825</v>
      </c>
      <c r="O2515" s="101" t="s">
        <v>64</v>
      </c>
      <c r="P2515" s="60">
        <v>40</v>
      </c>
      <c r="Q2515" s="60">
        <v>40</v>
      </c>
      <c r="R2515" s="60">
        <v>40</v>
      </c>
      <c r="S2515" s="46">
        <v>40</v>
      </c>
      <c r="T2515" s="65">
        <f>Table1[[#This Row],[VO Wdth]]+1</f>
        <v>41</v>
      </c>
      <c r="U2515" s="65">
        <f>Table1[[#This Row],[VO Hgt]]+1</f>
        <v>41</v>
      </c>
      <c r="V2515" s="917">
        <f t="shared" si="897"/>
        <v>48</v>
      </c>
      <c r="W2515" s="608">
        <f t="shared" si="898"/>
        <v>48</v>
      </c>
      <c r="X2515" s="101">
        <v>53</v>
      </c>
      <c r="Y2515" s="101"/>
      <c r="Z2515" s="101"/>
      <c r="AA2515" s="649">
        <f t="shared" si="889"/>
        <v>16</v>
      </c>
      <c r="AB2515" s="184">
        <f t="shared" si="900"/>
        <v>452.8</v>
      </c>
      <c r="AC2515" s="104">
        <f t="shared" si="901"/>
        <v>10.56</v>
      </c>
      <c r="AD2515" s="120">
        <f>Table1[[#This Row],[Substrate SF]]*Materials!C$37</f>
        <v>44.8</v>
      </c>
      <c r="AE2515" s="121">
        <f>IF(Table1[[#This Row],[Work Center]]="SwissQ",Materials!G$37,IF(Table1[[#This Row],[Work Center]]="Inca",Materials!G$29,IF(Table1[[#This Row],[Work Center]]="Canon",Materials!G$49,Materials!G$45)))</f>
        <v>20</v>
      </c>
      <c r="AF2515" s="102">
        <f>'Cali Frames'!D562</f>
        <v>155.505</v>
      </c>
      <c r="AG2515" s="121"/>
      <c r="AH2515" s="120">
        <f t="shared" si="890"/>
        <v>45.25</v>
      </c>
      <c r="AI2515" s="120"/>
      <c r="AJ2515" s="121">
        <f t="shared" si="896"/>
        <v>276.11500000000001</v>
      </c>
      <c r="AK2515" s="108">
        <f t="shared" si="886"/>
        <v>0.69490055248618787</v>
      </c>
      <c r="AL2515" s="121">
        <f>Table1[[#This Row],[WSP/Dealer]]/Table1[[#This Row],[OD Sq Inch]]</f>
        <v>0.53837001784651994</v>
      </c>
      <c r="AM2515" s="113">
        <f>Table1[[#This Row],[OD Wdth]]*Table1[[#This Row],[OD Hgt]]</f>
        <v>1681</v>
      </c>
      <c r="AN2515" s="115">
        <f>Table1[[#This Row],[Min VO]]+Table1[[#This Row],[Max VO]]</f>
        <v>80</v>
      </c>
      <c r="AO2515" s="115"/>
      <c r="AP2515" s="115"/>
      <c r="AQ2515" s="121"/>
      <c r="AR2515" s="121"/>
      <c r="AS2515" s="121"/>
      <c r="AT2515" s="104"/>
      <c r="AU2515" s="1359" t="str">
        <f t="shared" si="899"/>
        <v>-</v>
      </c>
    </row>
    <row r="2516" spans="1:47" s="170" customFormat="1" x14ac:dyDescent="0.2">
      <c r="A2516" s="101" t="s">
        <v>58</v>
      </c>
      <c r="B2516" s="1067" t="s">
        <v>587</v>
      </c>
      <c r="C2516" s="1537" t="s">
        <v>5758</v>
      </c>
      <c r="D2516" s="168"/>
      <c r="E2516" s="492" t="s">
        <v>5759</v>
      </c>
      <c r="F2516" s="115" t="s">
        <v>1364</v>
      </c>
      <c r="G2516" s="303" t="s">
        <v>751</v>
      </c>
      <c r="H2516" s="101" t="s">
        <v>4206</v>
      </c>
      <c r="I2516" s="1635" t="s">
        <v>52</v>
      </c>
      <c r="J2516" s="435" t="s">
        <v>53</v>
      </c>
      <c r="K2516" s="92" t="s">
        <v>69</v>
      </c>
      <c r="L2516" s="407" t="s">
        <v>73</v>
      </c>
      <c r="M2516" s="494">
        <v>850</v>
      </c>
      <c r="N2516" s="114">
        <v>825</v>
      </c>
      <c r="O2516" s="101" t="s">
        <v>64</v>
      </c>
      <c r="P2516" s="60">
        <v>40</v>
      </c>
      <c r="Q2516" s="60">
        <v>40</v>
      </c>
      <c r="R2516" s="60">
        <v>40</v>
      </c>
      <c r="S2516" s="60">
        <v>40</v>
      </c>
      <c r="T2516" s="273">
        <f>Table1[[#This Row],[VO Wdth]]+1</f>
        <v>41</v>
      </c>
      <c r="U2516" s="273">
        <f>Table1[[#This Row],[VO Hgt]]+1</f>
        <v>41</v>
      </c>
      <c r="V2516" s="47">
        <f t="shared" si="897"/>
        <v>48</v>
      </c>
      <c r="W2516" s="106">
        <f t="shared" si="898"/>
        <v>48</v>
      </c>
      <c r="X2516" s="101">
        <v>53</v>
      </c>
      <c r="Y2516" s="101"/>
      <c r="Z2516" s="101"/>
      <c r="AA2516" s="649">
        <f t="shared" si="889"/>
        <v>16</v>
      </c>
      <c r="AB2516" s="184">
        <f t="shared" si="900"/>
        <v>452.8</v>
      </c>
      <c r="AC2516" s="104">
        <f t="shared" si="901"/>
        <v>10.56</v>
      </c>
      <c r="AD2516" s="120">
        <f>Table1[[#This Row],[Substrate SF]]*Materials!C$37</f>
        <v>44.8</v>
      </c>
      <c r="AE2516" s="121">
        <f>IF(Table1[[#This Row],[Work Center]]="SwissQ",Materials!G$37,IF(Table1[[#This Row],[Work Center]]="Inca",Materials!G$29,IF(Table1[[#This Row],[Work Center]]="Canon",Materials!G$49,Materials!G$45)))</f>
        <v>20</v>
      </c>
      <c r="AF2516" s="102">
        <f>'Cali Frames'!D448</f>
        <v>143.85</v>
      </c>
      <c r="AG2516" s="121"/>
      <c r="AH2516" s="120">
        <f t="shared" si="890"/>
        <v>42.5</v>
      </c>
      <c r="AI2516" s="120"/>
      <c r="AJ2516" s="121">
        <f t="shared" si="896"/>
        <v>261.70999999999998</v>
      </c>
      <c r="AK2516" s="108">
        <f t="shared" si="886"/>
        <v>0.69210588235294113</v>
      </c>
      <c r="AL2516" s="121">
        <f>Table1[[#This Row],[WSP/Dealer]]/Table1[[#This Row],[OD Sq Inch]]</f>
        <v>0.50565139797739445</v>
      </c>
      <c r="AM2516" s="113">
        <f>Table1[[#This Row],[OD Wdth]]*Table1[[#This Row],[OD Hgt]]</f>
        <v>1681</v>
      </c>
      <c r="AN2516" s="115">
        <f>Table1[[#This Row],[Min VO]]+Table1[[#This Row],[Max VO]]</f>
        <v>80</v>
      </c>
      <c r="AO2516" s="115"/>
      <c r="AP2516" s="115"/>
      <c r="AQ2516" s="121"/>
      <c r="AR2516" s="121"/>
      <c r="AS2516" s="121"/>
      <c r="AT2516" s="104"/>
      <c r="AU2516" s="1359" t="str">
        <f t="shared" si="899"/>
        <v>-</v>
      </c>
    </row>
    <row r="2517" spans="1:47" s="170" customFormat="1" x14ac:dyDescent="0.2">
      <c r="A2517" s="101" t="s">
        <v>58</v>
      </c>
      <c r="B2517" s="1067" t="s">
        <v>740</v>
      </c>
      <c r="C2517" s="122" t="s">
        <v>5760</v>
      </c>
      <c r="D2517" s="168"/>
      <c r="E2517" s="327" t="s">
        <v>5761</v>
      </c>
      <c r="F2517" s="115" t="s">
        <v>737</v>
      </c>
      <c r="G2517" s="303" t="s">
        <v>845</v>
      </c>
      <c r="H2517" s="101" t="s">
        <v>846</v>
      </c>
      <c r="I2517" s="92" t="s">
        <v>52</v>
      </c>
      <c r="J2517" s="59" t="s">
        <v>53</v>
      </c>
      <c r="K2517" s="92" t="s">
        <v>69</v>
      </c>
      <c r="L2517" s="101" t="s">
        <v>70</v>
      </c>
      <c r="M2517" s="494">
        <v>1400</v>
      </c>
      <c r="N2517" s="114">
        <v>1350</v>
      </c>
      <c r="O2517" s="101" t="s">
        <v>64</v>
      </c>
      <c r="P2517" s="60">
        <v>55</v>
      </c>
      <c r="Q2517" s="60">
        <v>70</v>
      </c>
      <c r="R2517" s="60">
        <v>55</v>
      </c>
      <c r="S2517" s="273">
        <v>70</v>
      </c>
      <c r="T2517" s="697">
        <v>55</v>
      </c>
      <c r="U2517" s="697">
        <v>70</v>
      </c>
      <c r="V2517" s="608">
        <f t="shared" ref="V2517:V2522" si="902">IF(J2517="Canvas",P2517+BorderGW,P2517)</f>
        <v>63</v>
      </c>
      <c r="W2517" s="608">
        <f t="shared" ref="W2517:W2522" si="903">IF(J2517="Canvas",Q2517+BorderGW,Q2517)</f>
        <v>78</v>
      </c>
      <c r="X2517" s="101">
        <v>63</v>
      </c>
      <c r="Y2517" s="101"/>
      <c r="Z2517" s="101"/>
      <c r="AA2517" s="649">
        <f t="shared" si="889"/>
        <v>34.125</v>
      </c>
      <c r="AB2517" s="184">
        <f t="shared" si="900"/>
        <v>965.73750000000007</v>
      </c>
      <c r="AC2517" s="104">
        <f t="shared" si="901"/>
        <v>22.522500000000001</v>
      </c>
      <c r="AD2517" s="121">
        <f>Table1[[#This Row],[Substrate SF]]*Materials!C$37</f>
        <v>95.55</v>
      </c>
      <c r="AE2517" s="121">
        <f>IF(Table1[[#This Row],[Work Center]]="SwissQ",Materials!G$37,IF(Table1[[#This Row],[Work Center]]="Inca",Materials!G$29,IF(Table1[[#This Row],[Work Center]]="Canon",Materials!G$49,Materials!G$45)))</f>
        <v>20</v>
      </c>
      <c r="AF2517" s="102">
        <f>'Cali Frames'!D347</f>
        <v>320.58249999999998</v>
      </c>
      <c r="AG2517" s="121"/>
      <c r="AH2517" s="121">
        <f t="shared" si="890"/>
        <v>70</v>
      </c>
      <c r="AI2517" s="121"/>
      <c r="AJ2517" s="121">
        <f t="shared" si="896"/>
        <v>528.65499999999997</v>
      </c>
      <c r="AK2517" s="830">
        <f t="shared" si="886"/>
        <v>0.62238928571428576</v>
      </c>
      <c r="AL2517" s="121">
        <f>Table1[[#This Row],[WSP/Dealer]]/Table1[[#This Row],[OD Sq Inch]]</f>
        <v>0.36363636363636365</v>
      </c>
      <c r="AM2517" s="115">
        <f>Table1[[#This Row],[OD Wdth]]*Table1[[#This Row],[OD Hgt]]</f>
        <v>3850</v>
      </c>
      <c r="AN2517" s="115">
        <f>Table1[[#This Row],[Min VO]]+Table1[[#This Row],[Max VO]]</f>
        <v>125</v>
      </c>
      <c r="AO2517" s="115"/>
      <c r="AP2517" s="115"/>
      <c r="AQ2517" s="121"/>
      <c r="AR2517" s="104"/>
      <c r="AS2517" s="104"/>
      <c r="AT2517" s="104"/>
      <c r="AU2517" s="1359" t="str">
        <f t="shared" si="899"/>
        <v>-</v>
      </c>
    </row>
    <row r="2518" spans="1:47" s="170" customFormat="1" x14ac:dyDescent="0.2">
      <c r="A2518" s="101" t="s">
        <v>58</v>
      </c>
      <c r="B2518" s="1067" t="s">
        <v>740</v>
      </c>
      <c r="C2518" s="122" t="s">
        <v>5762</v>
      </c>
      <c r="D2518" s="168"/>
      <c r="E2518" s="327" t="s">
        <v>5763</v>
      </c>
      <c r="F2518" s="115" t="s">
        <v>737</v>
      </c>
      <c r="G2518" s="303" t="s">
        <v>4131</v>
      </c>
      <c r="H2518" s="101" t="s">
        <v>5764</v>
      </c>
      <c r="I2518" s="92" t="s">
        <v>52</v>
      </c>
      <c r="J2518" s="59" t="s">
        <v>53</v>
      </c>
      <c r="K2518" s="92" t="s">
        <v>69</v>
      </c>
      <c r="L2518" s="101" t="s">
        <v>70</v>
      </c>
      <c r="M2518" s="494">
        <v>975</v>
      </c>
      <c r="N2518" s="114">
        <v>825</v>
      </c>
      <c r="O2518" s="101" t="s">
        <v>64</v>
      </c>
      <c r="P2518" s="60">
        <v>48</v>
      </c>
      <c r="Q2518" s="60">
        <v>38</v>
      </c>
      <c r="R2518" s="60">
        <v>38</v>
      </c>
      <c r="S2518" s="273">
        <v>48</v>
      </c>
      <c r="T2518" s="697">
        <v>48</v>
      </c>
      <c r="U2518" s="697">
        <v>38</v>
      </c>
      <c r="V2518" s="608">
        <f t="shared" si="902"/>
        <v>56</v>
      </c>
      <c r="W2518" s="608">
        <f t="shared" si="903"/>
        <v>46</v>
      </c>
      <c r="X2518" s="101" t="s">
        <v>2722</v>
      </c>
      <c r="Y2518" s="101"/>
      <c r="Z2518" s="101"/>
      <c r="AA2518" s="649">
        <f t="shared" si="889"/>
        <v>17.888888888888889</v>
      </c>
      <c r="AB2518" s="184">
        <f t="shared" si="900"/>
        <v>506.25555555555559</v>
      </c>
      <c r="AC2518" s="104">
        <f t="shared" si="901"/>
        <v>11.806666666666667</v>
      </c>
      <c r="AD2518" s="120">
        <f>Table1[[#This Row],[Substrate SF]]*Materials!C$37</f>
        <v>50.088888888888889</v>
      </c>
      <c r="AE2518" s="121">
        <f>IF(Table1[[#This Row],[Work Center]]="SwissQ",Materials!G$37,IF(Table1[[#This Row],[Work Center]]="Inca",Materials!G$29,IF(Table1[[#This Row],[Work Center]]="Canon",Materials!G$49,Materials!G$45)))</f>
        <v>20</v>
      </c>
      <c r="AF2518" s="102">
        <f>'Cali Frames'!D304</f>
        <v>154.91</v>
      </c>
      <c r="AG2518" s="121"/>
      <c r="AH2518" s="121">
        <f t="shared" si="890"/>
        <v>48.75</v>
      </c>
      <c r="AI2518" s="121"/>
      <c r="AJ2518" s="121">
        <f t="shared" si="896"/>
        <v>285.55555555555554</v>
      </c>
      <c r="AK2518" s="830">
        <f t="shared" si="886"/>
        <v>0.70712250712250713</v>
      </c>
      <c r="AL2518" s="121">
        <f>Table1[[#This Row],[WSP/Dealer]]/Table1[[#This Row],[OD Sq Inch]]</f>
        <v>0.53453947368421051</v>
      </c>
      <c r="AM2518" s="115">
        <f>Table1[[#This Row],[OD Wdth]]*Table1[[#This Row],[OD Hgt]]</f>
        <v>1824</v>
      </c>
      <c r="AN2518" s="115">
        <f>Table1[[#This Row],[Min VO]]+Table1[[#This Row],[Max VO]]</f>
        <v>86</v>
      </c>
      <c r="AO2518" s="115"/>
      <c r="AP2518" s="115"/>
      <c r="AQ2518" s="121"/>
      <c r="AR2518" s="104"/>
      <c r="AS2518" s="104"/>
      <c r="AT2518" s="104"/>
      <c r="AU2518" s="1359" t="str">
        <f t="shared" si="899"/>
        <v>-</v>
      </c>
    </row>
    <row r="2519" spans="1:47" s="170" customFormat="1" x14ac:dyDescent="0.2">
      <c r="A2519" s="101" t="s">
        <v>58</v>
      </c>
      <c r="B2519" s="1067" t="s">
        <v>740</v>
      </c>
      <c r="C2519" s="122" t="s">
        <v>5765</v>
      </c>
      <c r="D2519" s="168"/>
      <c r="E2519" s="327" t="s">
        <v>5766</v>
      </c>
      <c r="F2519" s="115" t="s">
        <v>737</v>
      </c>
      <c r="G2519" s="303" t="s">
        <v>5767</v>
      </c>
      <c r="H2519" s="101" t="s">
        <v>637</v>
      </c>
      <c r="I2519" s="92" t="s">
        <v>52</v>
      </c>
      <c r="J2519" s="59" t="s">
        <v>53</v>
      </c>
      <c r="K2519" s="92" t="s">
        <v>69</v>
      </c>
      <c r="L2519" s="101" t="s">
        <v>70</v>
      </c>
      <c r="M2519" s="494">
        <v>1250</v>
      </c>
      <c r="N2519" s="114">
        <v>1100</v>
      </c>
      <c r="O2519" s="101" t="s">
        <v>64</v>
      </c>
      <c r="P2519" s="60">
        <v>59</v>
      </c>
      <c r="Q2519" s="60">
        <v>47</v>
      </c>
      <c r="R2519" s="60">
        <v>47</v>
      </c>
      <c r="S2519" s="273">
        <v>59</v>
      </c>
      <c r="T2519" s="697">
        <v>59</v>
      </c>
      <c r="U2519" s="697">
        <v>47</v>
      </c>
      <c r="V2519" s="608">
        <f t="shared" si="902"/>
        <v>67</v>
      </c>
      <c r="W2519" s="608">
        <f t="shared" si="903"/>
        <v>55</v>
      </c>
      <c r="X2519" s="101" t="s">
        <v>2722</v>
      </c>
      <c r="Y2519" s="101"/>
      <c r="Z2519" s="101"/>
      <c r="AA2519" s="649">
        <f t="shared" si="889"/>
        <v>25.590277777777779</v>
      </c>
      <c r="AB2519" s="184">
        <f t="shared" si="900"/>
        <v>724.2048611111112</v>
      </c>
      <c r="AC2519" s="104">
        <f t="shared" si="901"/>
        <v>16.889583333333334</v>
      </c>
      <c r="AD2519" s="121">
        <f>Table1[[#This Row],[Substrate SF]]*Materials!C$37</f>
        <v>71.652777777777771</v>
      </c>
      <c r="AE2519" s="121">
        <f>IF(Table1[[#This Row],[Work Center]]="SwissQ",Materials!G$37,IF(Table1[[#This Row],[Work Center]]="Inca",Materials!G$29,IF(Table1[[#This Row],[Work Center]]="Canon",Materials!G$49,Materials!G$45)))</f>
        <v>20</v>
      </c>
      <c r="AF2519" s="102">
        <f>'Cali Frames'!D327</f>
        <v>240.625</v>
      </c>
      <c r="AG2519" s="121"/>
      <c r="AH2519" s="120">
        <f t="shared" si="890"/>
        <v>62.5</v>
      </c>
      <c r="AI2519" s="120"/>
      <c r="AJ2519" s="121">
        <f t="shared" si="896"/>
        <v>411.66736111111112</v>
      </c>
      <c r="AK2519" s="108">
        <f t="shared" si="886"/>
        <v>0.67066611111111107</v>
      </c>
      <c r="AL2519" s="121">
        <f>Table1[[#This Row],[WSP/Dealer]]/Table1[[#This Row],[OD Sq Inch]]</f>
        <v>0.45077533357374683</v>
      </c>
      <c r="AM2519" s="115">
        <f>Table1[[#This Row],[OD Wdth]]*Table1[[#This Row],[OD Hgt]]</f>
        <v>2773</v>
      </c>
      <c r="AN2519" s="115">
        <f>Table1[[#This Row],[Min VO]]+Table1[[#This Row],[Max VO]]</f>
        <v>106</v>
      </c>
      <c r="AO2519" s="115"/>
      <c r="AP2519" s="115"/>
      <c r="AQ2519" s="121"/>
      <c r="AR2519" s="104"/>
      <c r="AS2519" s="104"/>
      <c r="AT2519" s="104"/>
      <c r="AU2519" s="1359" t="str">
        <f t="shared" si="899"/>
        <v>-</v>
      </c>
    </row>
    <row r="2520" spans="1:47" s="170" customFormat="1" hidden="1" x14ac:dyDescent="0.2">
      <c r="A2520" s="101" t="s">
        <v>187</v>
      </c>
      <c r="B2520" s="1067" t="s">
        <v>734</v>
      </c>
      <c r="C2520" s="1538" t="s">
        <v>5768</v>
      </c>
      <c r="D2520" s="168"/>
      <c r="E2520" s="1632" t="s">
        <v>5769</v>
      </c>
      <c r="F2520" s="115" t="s">
        <v>737</v>
      </c>
      <c r="G2520" s="1636" t="s">
        <v>637</v>
      </c>
      <c r="H2520" s="1636" t="s">
        <v>637</v>
      </c>
      <c r="I2520" s="1635" t="s">
        <v>52</v>
      </c>
      <c r="J2520" s="59" t="s">
        <v>53</v>
      </c>
      <c r="K2520" s="1635" t="s">
        <v>281</v>
      </c>
      <c r="L2520" s="101" t="s">
        <v>55</v>
      </c>
      <c r="M2520" s="494">
        <v>2550</v>
      </c>
      <c r="N2520" s="114"/>
      <c r="O2520" s="101" t="s">
        <v>64</v>
      </c>
      <c r="P2520" s="46">
        <v>60</v>
      </c>
      <c r="Q2520" s="46">
        <v>48</v>
      </c>
      <c r="R2520" s="60">
        <v>48</v>
      </c>
      <c r="S2520" s="46">
        <v>60</v>
      </c>
      <c r="T2520" s="63">
        <v>60</v>
      </c>
      <c r="U2520" s="63">
        <v>48</v>
      </c>
      <c r="V2520" s="66">
        <f t="shared" si="902"/>
        <v>68</v>
      </c>
      <c r="W2520" s="106">
        <f t="shared" si="903"/>
        <v>56</v>
      </c>
      <c r="X2520" s="101">
        <v>69</v>
      </c>
      <c r="Y2520" s="101">
        <v>68</v>
      </c>
      <c r="Z2520" s="101">
        <v>56</v>
      </c>
      <c r="AA2520" s="649">
        <f t="shared" si="889"/>
        <v>26.444444444444443</v>
      </c>
      <c r="AB2520" s="184">
        <f t="shared" si="900"/>
        <v>748.37777777777774</v>
      </c>
      <c r="AC2520" s="104">
        <f t="shared" si="901"/>
        <v>17.453333333333333</v>
      </c>
      <c r="AD2520" s="120">
        <f>Table1[[#This Row],[Substrate SF]]*Materials!C$37</f>
        <v>74.044444444444437</v>
      </c>
      <c r="AE2520" s="121">
        <f>IF(Table1[[#This Row],[Work Center]]="SwissQ",Materials!G$37,IF(Table1[[#This Row],[Work Center]]="Inca",Materials!G$29,IF(Table1[[#This Row],[Work Center]]="Canon",Materials!G$49,Materials!G$45)))</f>
        <v>20</v>
      </c>
      <c r="AF2520" s="102">
        <f>'Cali FPS'!C121</f>
        <v>188.18</v>
      </c>
      <c r="AG2520" s="121"/>
      <c r="AH2520" s="120">
        <f t="shared" si="890"/>
        <v>127.5</v>
      </c>
      <c r="AI2520" s="120"/>
      <c r="AJ2520" s="121">
        <f t="shared" si="896"/>
        <v>427.17777777777781</v>
      </c>
      <c r="AK2520" s="108">
        <f t="shared" si="886"/>
        <v>0.83247930283224392</v>
      </c>
      <c r="AL2520" s="121">
        <f>Table1[[#This Row],[WSP/Dealer]]/Table1[[#This Row],[OD Sq Inch]]</f>
        <v>0.88541666666666663</v>
      </c>
      <c r="AM2520" s="113">
        <f>Table1[[#This Row],[OD Wdth]]*Table1[[#This Row],[OD Hgt]]</f>
        <v>2880</v>
      </c>
      <c r="AN2520" s="115">
        <f>Table1[[#This Row],[Min VO]]+Table1[[#This Row],[Max VO]]</f>
        <v>108</v>
      </c>
      <c r="AO2520" s="115"/>
      <c r="AP2520" s="115"/>
      <c r="AQ2520" s="121"/>
      <c r="AR2520" s="121"/>
      <c r="AS2520" s="121"/>
      <c r="AT2520" s="104"/>
      <c r="AU2520" s="1359" t="str">
        <f t="shared" si="899"/>
        <v>-</v>
      </c>
    </row>
    <row r="2521" spans="1:47" s="170" customFormat="1" hidden="1" x14ac:dyDescent="0.2">
      <c r="A2521" s="101" t="s">
        <v>187</v>
      </c>
      <c r="B2521" s="1067" t="s">
        <v>734</v>
      </c>
      <c r="C2521" s="1538" t="s">
        <v>5770</v>
      </c>
      <c r="D2521" s="168"/>
      <c r="E2521" s="1632" t="s">
        <v>5769</v>
      </c>
      <c r="F2521" s="115" t="s">
        <v>737</v>
      </c>
      <c r="G2521" s="1636" t="s">
        <v>637</v>
      </c>
      <c r="H2521" s="1636" t="s">
        <v>1119</v>
      </c>
      <c r="I2521" s="1635" t="s">
        <v>52</v>
      </c>
      <c r="J2521" s="59" t="s">
        <v>53</v>
      </c>
      <c r="K2521" s="1635" t="s">
        <v>1410</v>
      </c>
      <c r="L2521" s="101" t="s">
        <v>70</v>
      </c>
      <c r="M2521" s="494">
        <v>2950</v>
      </c>
      <c r="N2521" s="114"/>
      <c r="O2521" s="101" t="s">
        <v>64</v>
      </c>
      <c r="P2521" s="60">
        <v>60</v>
      </c>
      <c r="Q2521" s="60">
        <v>48</v>
      </c>
      <c r="R2521" s="60">
        <v>48</v>
      </c>
      <c r="S2521" s="46">
        <v>60</v>
      </c>
      <c r="T2521" s="63">
        <v>61</v>
      </c>
      <c r="U2521" s="63">
        <v>49</v>
      </c>
      <c r="V2521" s="66">
        <f t="shared" si="902"/>
        <v>68</v>
      </c>
      <c r="W2521" s="106">
        <f t="shared" si="903"/>
        <v>56</v>
      </c>
      <c r="X2521" s="101">
        <v>69</v>
      </c>
      <c r="Y2521" s="101">
        <v>68</v>
      </c>
      <c r="Z2521" s="101">
        <v>56</v>
      </c>
      <c r="AA2521" s="649">
        <f t="shared" si="889"/>
        <v>26.444444444444443</v>
      </c>
      <c r="AB2521" s="184">
        <f t="shared" si="900"/>
        <v>748.37777777777774</v>
      </c>
      <c r="AC2521" s="104">
        <f t="shared" si="901"/>
        <v>17.453333333333333</v>
      </c>
      <c r="AD2521" s="120">
        <f>Table1[[#This Row],[Substrate SF]]*Materials!C$37</f>
        <v>74.044444444444437</v>
      </c>
      <c r="AE2521" s="121">
        <f>IF(Table1[[#This Row],[Work Center]]="SwissQ",Materials!G$37,IF(Table1[[#This Row],[Work Center]]="Inca",Materials!G$29,IF(Table1[[#This Row],[Work Center]]="Canon",Materials!G$49,Materials!G$45)))</f>
        <v>20</v>
      </c>
      <c r="AF2521" s="102">
        <f>'Cali Frames'!D335</f>
        <v>258.27999999999997</v>
      </c>
      <c r="AG2521" s="121"/>
      <c r="AH2521" s="121">
        <f t="shared" si="890"/>
        <v>147.5</v>
      </c>
      <c r="AI2521" s="121"/>
      <c r="AJ2521" s="121">
        <f t="shared" si="896"/>
        <v>517.27777777777771</v>
      </c>
      <c r="AK2521" s="830">
        <f t="shared" ref="AK2521:AK2552" si="904">(M2521-AJ2521)/M2521</f>
        <v>0.82465160075329569</v>
      </c>
      <c r="AL2521" s="121">
        <f>Table1[[#This Row],[WSP/Dealer]]/Table1[[#This Row],[OD Sq Inch]]</f>
        <v>0.98695215791234525</v>
      </c>
      <c r="AM2521" s="113">
        <f>Table1[[#This Row],[OD Wdth]]*Table1[[#This Row],[OD Hgt]]</f>
        <v>2989</v>
      </c>
      <c r="AN2521" s="115">
        <f>Table1[[#This Row],[Min VO]]+Table1[[#This Row],[Max VO]]</f>
        <v>108</v>
      </c>
      <c r="AO2521" s="115"/>
      <c r="AP2521" s="115"/>
      <c r="AQ2521" s="121"/>
      <c r="AR2521" s="121"/>
      <c r="AS2521" s="121"/>
      <c r="AT2521" s="104"/>
      <c r="AU2521" s="1359" t="str">
        <f t="shared" si="899"/>
        <v>-</v>
      </c>
    </row>
    <row r="2522" spans="1:47" s="170" customFormat="1" hidden="1" x14ac:dyDescent="0.2">
      <c r="A2522" s="101" t="s">
        <v>187</v>
      </c>
      <c r="B2522" s="1067" t="s">
        <v>734</v>
      </c>
      <c r="C2522" s="1538" t="s">
        <v>5771</v>
      </c>
      <c r="D2522" s="168"/>
      <c r="E2522" s="1632" t="s">
        <v>5769</v>
      </c>
      <c r="F2522" s="115" t="s">
        <v>737</v>
      </c>
      <c r="G2522" s="1636" t="s">
        <v>637</v>
      </c>
      <c r="H2522" s="1636" t="s">
        <v>1119</v>
      </c>
      <c r="I2522" s="605" t="s">
        <v>52</v>
      </c>
      <c r="J2522" s="59" t="s">
        <v>53</v>
      </c>
      <c r="K2522" s="605" t="s">
        <v>1412</v>
      </c>
      <c r="L2522" s="101" t="s">
        <v>73</v>
      </c>
      <c r="M2522" s="494">
        <v>2950</v>
      </c>
      <c r="N2522" s="114"/>
      <c r="O2522" s="101" t="s">
        <v>64</v>
      </c>
      <c r="P2522" s="60">
        <v>60</v>
      </c>
      <c r="Q2522" s="60">
        <v>48</v>
      </c>
      <c r="R2522" s="60">
        <v>48</v>
      </c>
      <c r="S2522" s="60">
        <v>60</v>
      </c>
      <c r="T2522" s="68">
        <v>61</v>
      </c>
      <c r="U2522" s="68">
        <v>49</v>
      </c>
      <c r="V2522" s="66">
        <f t="shared" si="902"/>
        <v>68</v>
      </c>
      <c r="W2522" s="106">
        <f t="shared" si="903"/>
        <v>56</v>
      </c>
      <c r="X2522" s="101">
        <v>69</v>
      </c>
      <c r="Y2522" s="101">
        <v>68</v>
      </c>
      <c r="Z2522" s="101">
        <v>56</v>
      </c>
      <c r="AA2522" s="649">
        <f t="shared" si="889"/>
        <v>26.444444444444443</v>
      </c>
      <c r="AB2522" s="184">
        <f t="shared" si="900"/>
        <v>748.37777777777774</v>
      </c>
      <c r="AC2522" s="104">
        <f t="shared" si="901"/>
        <v>17.453333333333333</v>
      </c>
      <c r="AD2522" s="120">
        <f>Table1[[#This Row],[Substrate SF]]*Materials!C$37</f>
        <v>74.044444444444437</v>
      </c>
      <c r="AE2522" s="121">
        <f>IF(Table1[[#This Row],[Work Center]]="SwissQ",Materials!G$37,IF(Table1[[#This Row],[Work Center]]="Inca",Materials!G$29,IF(Table1[[#This Row],[Work Center]]="Canon",Materials!G$49,Materials!G$45)))</f>
        <v>20</v>
      </c>
      <c r="AF2522" s="102">
        <f>'Cali Frames'!D470</f>
        <v>263.70999999999998</v>
      </c>
      <c r="AG2522" s="121"/>
      <c r="AH2522" s="120">
        <f t="shared" si="890"/>
        <v>147.5</v>
      </c>
      <c r="AI2522" s="120"/>
      <c r="AJ2522" s="121">
        <f t="shared" si="896"/>
        <v>522.70777777777778</v>
      </c>
      <c r="AK2522" s="108">
        <f t="shared" si="904"/>
        <v>0.82281092278719403</v>
      </c>
      <c r="AL2522" s="121">
        <f>Table1[[#This Row],[WSP/Dealer]]/Table1[[#This Row],[OD Sq Inch]]</f>
        <v>0.98695215791234525</v>
      </c>
      <c r="AM2522" s="113">
        <f>Table1[[#This Row],[OD Wdth]]*Table1[[#This Row],[OD Hgt]]</f>
        <v>2989</v>
      </c>
      <c r="AN2522" s="115">
        <f>Table1[[#This Row],[Min VO]]+Table1[[#This Row],[Max VO]]</f>
        <v>108</v>
      </c>
      <c r="AO2522" s="113"/>
      <c r="AP2522" s="115"/>
      <c r="AQ2522" s="121"/>
      <c r="AR2522" s="121"/>
      <c r="AS2522" s="121"/>
      <c r="AT2522" s="104"/>
      <c r="AU2522" s="1367" t="str">
        <f t="shared" si="899"/>
        <v>-</v>
      </c>
    </row>
    <row r="2523" spans="1:47" s="170" customFormat="1" hidden="1" x14ac:dyDescent="0.2">
      <c r="A2523" s="101" t="s">
        <v>187</v>
      </c>
      <c r="B2523" s="1067" t="s">
        <v>734</v>
      </c>
      <c r="C2523" s="1538" t="s">
        <v>5772</v>
      </c>
      <c r="D2523" s="168"/>
      <c r="E2523" s="1632" t="s">
        <v>5773</v>
      </c>
      <c r="F2523" s="115" t="s">
        <v>737</v>
      </c>
      <c r="G2523" s="1636" t="s">
        <v>637</v>
      </c>
      <c r="H2523" s="1636" t="s">
        <v>637</v>
      </c>
      <c r="I2523" s="92" t="s">
        <v>108</v>
      </c>
      <c r="J2523" s="59" t="s">
        <v>197</v>
      </c>
      <c r="K2523" s="92" t="s">
        <v>198</v>
      </c>
      <c r="L2523" s="101" t="s">
        <v>199</v>
      </c>
      <c r="M2523" s="494">
        <v>120</v>
      </c>
      <c r="N2523" s="114"/>
      <c r="O2523" s="101" t="s">
        <v>64</v>
      </c>
      <c r="P2523" s="60">
        <v>60</v>
      </c>
      <c r="Q2523" s="60">
        <v>48</v>
      </c>
      <c r="R2523" s="60">
        <v>48</v>
      </c>
      <c r="S2523" s="60">
        <v>60</v>
      </c>
      <c r="T2523" s="68">
        <v>60</v>
      </c>
      <c r="U2523" s="68">
        <v>48</v>
      </c>
      <c r="V2523" s="66">
        <f>Table1[[#This Row],[VO Wdth]]+Materials!$C$7</f>
        <v>62</v>
      </c>
      <c r="W2523" s="106">
        <f>Table1[[#This Row],[VO Hgt]]+Materials!$C$7</f>
        <v>50</v>
      </c>
      <c r="X2523" s="101" t="s">
        <v>197</v>
      </c>
      <c r="Y2523" s="101">
        <v>62</v>
      </c>
      <c r="Z2523" s="101">
        <v>50</v>
      </c>
      <c r="AA2523" s="649">
        <f t="shared" si="889"/>
        <v>21.527777777777779</v>
      </c>
      <c r="AB2523" s="184">
        <f>AA2523*SWISSRML</f>
        <v>43.055555555555557</v>
      </c>
      <c r="AC2523" s="104">
        <f>Table1[[#This Row],[Substrate SF]]*POster</f>
        <v>16.016666666666666</v>
      </c>
      <c r="AD2523" s="120">
        <f>Table1[[#This Row],[Substrate SF]]*SWISSRC</f>
        <v>4.7361111111111116</v>
      </c>
      <c r="AE2523" s="121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523" s="102">
        <v>0</v>
      </c>
      <c r="AG2523" s="121">
        <f>Materials!D$76</f>
        <v>10.82</v>
      </c>
      <c r="AH2523" s="120">
        <f t="shared" si="890"/>
        <v>6</v>
      </c>
      <c r="AI2523" s="120"/>
      <c r="AJ2523" s="121">
        <f t="shared" si="896"/>
        <v>47.572777777777773</v>
      </c>
      <c r="AK2523" s="108">
        <f t="shared" si="904"/>
        <v>0.60356018518518517</v>
      </c>
      <c r="AL2523" s="121">
        <f>Table1[[#This Row],[WSP/Dealer]]/Table1[[#This Row],[OD Sq Inch]]</f>
        <v>4.1666666666666664E-2</v>
      </c>
      <c r="AM2523" s="113">
        <f>Table1[[#This Row],[OD Wdth]]*Table1[[#This Row],[OD Hgt]]</f>
        <v>2880</v>
      </c>
      <c r="AN2523" s="115"/>
      <c r="AO2523" s="115"/>
      <c r="AP2523" s="115"/>
      <c r="AQ2523" s="121"/>
      <c r="AR2523" s="121"/>
      <c r="AS2523" s="121"/>
      <c r="AT2523" s="104"/>
      <c r="AU2523" s="1359" t="str">
        <f t="shared" si="899"/>
        <v>-</v>
      </c>
    </row>
    <row r="2524" spans="1:47" s="170" customFormat="1" x14ac:dyDescent="0.2">
      <c r="A2524" s="101" t="s">
        <v>58</v>
      </c>
      <c r="B2524" s="1064" t="s">
        <v>740</v>
      </c>
      <c r="C2524" s="122" t="s">
        <v>5774</v>
      </c>
      <c r="D2524" s="168"/>
      <c r="E2524" s="327" t="s">
        <v>5775</v>
      </c>
      <c r="F2524" s="115" t="s">
        <v>737</v>
      </c>
      <c r="G2524" s="303" t="s">
        <v>4131</v>
      </c>
      <c r="H2524" s="101" t="s">
        <v>5764</v>
      </c>
      <c r="I2524" s="92" t="s">
        <v>52</v>
      </c>
      <c r="J2524" s="59" t="s">
        <v>53</v>
      </c>
      <c r="K2524" s="92" t="s">
        <v>69</v>
      </c>
      <c r="L2524" s="101" t="s">
        <v>70</v>
      </c>
      <c r="M2524" s="494">
        <v>975</v>
      </c>
      <c r="N2524" s="114">
        <v>825</v>
      </c>
      <c r="O2524" s="101" t="s">
        <v>64</v>
      </c>
      <c r="P2524" s="60">
        <v>48</v>
      </c>
      <c r="Q2524" s="60">
        <v>38</v>
      </c>
      <c r="R2524" s="60">
        <v>38</v>
      </c>
      <c r="S2524" s="273">
        <v>48</v>
      </c>
      <c r="T2524" s="697">
        <v>48</v>
      </c>
      <c r="U2524" s="697">
        <v>38</v>
      </c>
      <c r="V2524" s="608">
        <f t="shared" ref="V2524:V2533" si="905">IF(J2524="Canvas",P2524+BorderGW,P2524)</f>
        <v>56</v>
      </c>
      <c r="W2524" s="608">
        <f t="shared" ref="W2524:W2533" si="906">IF(J2524="Canvas",Q2524+BorderGW,Q2524)</f>
        <v>46</v>
      </c>
      <c r="X2524" s="101" t="s">
        <v>2722</v>
      </c>
      <c r="Y2524" s="101"/>
      <c r="Z2524" s="101"/>
      <c r="AA2524" s="649">
        <f t="shared" si="889"/>
        <v>17.888888888888889</v>
      </c>
      <c r="AB2524" s="184">
        <f t="shared" ref="AB2524:AB2533" si="907">AA2524*Swiss1</f>
        <v>506.25555555555559</v>
      </c>
      <c r="AC2524" s="104">
        <f>AA2524*Canvas</f>
        <v>11.806666666666667</v>
      </c>
      <c r="AD2524" s="120">
        <f>Table1[[#This Row],[Substrate SF]]*Materials!C$37</f>
        <v>50.088888888888889</v>
      </c>
      <c r="AE2524" s="121">
        <f>IF(Table1[[#This Row],[Work Center]]="SwissQ",Materials!G$37,IF(Table1[[#This Row],[Work Center]]="Inca",Materials!G$29,IF(Table1[[#This Row],[Work Center]]="Canon",Materials!G$49,Materials!G$45)))</f>
        <v>20</v>
      </c>
      <c r="AF2524" s="102">
        <f>'Cali Frames'!D331</f>
        <v>171.26</v>
      </c>
      <c r="AG2524" s="121"/>
      <c r="AH2524" s="121">
        <f t="shared" si="890"/>
        <v>48.75</v>
      </c>
      <c r="AI2524" s="121"/>
      <c r="AJ2524" s="121">
        <f t="shared" si="896"/>
        <v>301.90555555555557</v>
      </c>
      <c r="AK2524" s="830">
        <f t="shared" si="904"/>
        <v>0.69035327635327637</v>
      </c>
      <c r="AL2524" s="121">
        <f>Table1[[#This Row],[WSP/Dealer]]/Table1[[#This Row],[OD Sq Inch]]</f>
        <v>0.53453947368421051</v>
      </c>
      <c r="AM2524" s="113">
        <f>Table1[[#This Row],[OD Wdth]]*Table1[[#This Row],[OD Hgt]]</f>
        <v>1824</v>
      </c>
      <c r="AN2524" s="115">
        <f>Table1[[#This Row],[Min VO]]+Table1[[#This Row],[Max VO]]</f>
        <v>86</v>
      </c>
      <c r="AO2524" s="115"/>
      <c r="AP2524" s="115"/>
      <c r="AQ2524" s="121"/>
      <c r="AR2524" s="104"/>
      <c r="AS2524" s="104"/>
      <c r="AT2524" s="104"/>
      <c r="AU2524" s="1359" t="str">
        <f t="shared" si="899"/>
        <v>-</v>
      </c>
    </row>
    <row r="2525" spans="1:47" s="170" customFormat="1" hidden="1" x14ac:dyDescent="0.2">
      <c r="A2525" s="101"/>
      <c r="B2525" s="1067" t="s">
        <v>261</v>
      </c>
      <c r="C2525" s="82" t="s">
        <v>5774</v>
      </c>
      <c r="D2525" s="168"/>
      <c r="E2525" s="378" t="s">
        <v>5775</v>
      </c>
      <c r="F2525" s="115" t="s">
        <v>737</v>
      </c>
      <c r="G2525" s="303" t="s">
        <v>4131</v>
      </c>
      <c r="H2525" s="101" t="s">
        <v>5764</v>
      </c>
      <c r="I2525" s="92" t="s">
        <v>52</v>
      </c>
      <c r="J2525" s="59" t="s">
        <v>53</v>
      </c>
      <c r="K2525" s="92" t="s">
        <v>69</v>
      </c>
      <c r="L2525" s="101" t="s">
        <v>70</v>
      </c>
      <c r="M2525" s="494">
        <v>2846</v>
      </c>
      <c r="N2525" s="114">
        <v>825</v>
      </c>
      <c r="O2525" s="101" t="s">
        <v>64</v>
      </c>
      <c r="P2525" s="60">
        <v>48</v>
      </c>
      <c r="Q2525" s="60">
        <v>38</v>
      </c>
      <c r="R2525" s="60">
        <v>38</v>
      </c>
      <c r="S2525" s="273">
        <v>48</v>
      </c>
      <c r="T2525" s="623">
        <v>48</v>
      </c>
      <c r="U2525" s="623">
        <v>38</v>
      </c>
      <c r="V2525" s="917">
        <f t="shared" si="905"/>
        <v>56</v>
      </c>
      <c r="W2525" s="608">
        <f t="shared" si="906"/>
        <v>46</v>
      </c>
      <c r="X2525" s="101" t="s">
        <v>2722</v>
      </c>
      <c r="Y2525" s="101"/>
      <c r="Z2525" s="101"/>
      <c r="AA2525" s="649">
        <f t="shared" si="889"/>
        <v>17.888888888888889</v>
      </c>
      <c r="AB2525" s="184">
        <f t="shared" si="907"/>
        <v>506.25555555555559</v>
      </c>
      <c r="AC2525" s="104">
        <f>AA2525*Canvas</f>
        <v>11.806666666666667</v>
      </c>
      <c r="AD2525" s="121">
        <f>Table1[[#This Row],[Substrate SF]]*Materials!C$37</f>
        <v>50.088888888888889</v>
      </c>
      <c r="AE2525" s="121">
        <f>IF(Table1[[#This Row],[Work Center]]="SwissQ",Materials!G$37,IF(Table1[[#This Row],[Work Center]]="Inca",Materials!G$29,IF(Table1[[#This Row],[Work Center]]="Canon",Materials!G$49,Materials!G$45)))</f>
        <v>20</v>
      </c>
      <c r="AF2525" s="102">
        <f>'Cali Frames'!D333</f>
        <v>236.23249999999999</v>
      </c>
      <c r="AG2525" s="121"/>
      <c r="AH2525" s="120">
        <f t="shared" si="890"/>
        <v>142.30000000000001</v>
      </c>
      <c r="AI2525" s="120"/>
      <c r="AJ2525" s="121">
        <f t="shared" si="896"/>
        <v>460.42805555555555</v>
      </c>
      <c r="AK2525" s="108">
        <f t="shared" si="904"/>
        <v>0.83821923557429534</v>
      </c>
      <c r="AL2525" s="121">
        <f>Table1[[#This Row],[WSP/Dealer]]/Table1[[#This Row],[OD Sq Inch]]</f>
        <v>1.5603070175438596</v>
      </c>
      <c r="AM2525" s="115">
        <f>Table1[[#This Row],[OD Wdth]]*Table1[[#This Row],[OD Hgt]]</f>
        <v>1824</v>
      </c>
      <c r="AN2525" s="115">
        <f>Table1[[#This Row],[Min VO]]+Table1[[#This Row],[Max VO]]</f>
        <v>86</v>
      </c>
      <c r="AO2525" s="115"/>
      <c r="AP2525" s="115"/>
      <c r="AQ2525" s="121"/>
      <c r="AR2525" s="104"/>
      <c r="AS2525" s="104"/>
      <c r="AT2525" s="104"/>
      <c r="AU2525" s="1359" t="str">
        <f t="shared" si="899"/>
        <v>-</v>
      </c>
    </row>
    <row r="2526" spans="1:47" s="170" customFormat="1" hidden="1" x14ac:dyDescent="0.2">
      <c r="A2526" s="101"/>
      <c r="B2526" s="1064" t="s">
        <v>261</v>
      </c>
      <c r="C2526" s="82" t="s">
        <v>5776</v>
      </c>
      <c r="D2526" s="168"/>
      <c r="E2526" s="378" t="s">
        <v>5775</v>
      </c>
      <c r="F2526" s="115" t="s">
        <v>737</v>
      </c>
      <c r="G2526" s="303" t="s">
        <v>4131</v>
      </c>
      <c r="H2526" s="101" t="s">
        <v>4131</v>
      </c>
      <c r="I2526" s="92" t="s">
        <v>52</v>
      </c>
      <c r="J2526" s="59" t="s">
        <v>53</v>
      </c>
      <c r="K2526" s="92" t="s">
        <v>54</v>
      </c>
      <c r="L2526" s="101" t="s">
        <v>55</v>
      </c>
      <c r="M2526" s="494"/>
      <c r="N2526" s="114"/>
      <c r="O2526" s="101" t="s">
        <v>64</v>
      </c>
      <c r="P2526" s="60">
        <v>48</v>
      </c>
      <c r="Q2526" s="60">
        <v>38</v>
      </c>
      <c r="R2526" s="60">
        <v>38</v>
      </c>
      <c r="S2526" s="273">
        <v>48</v>
      </c>
      <c r="T2526" s="623">
        <v>48</v>
      </c>
      <c r="U2526" s="623">
        <v>38</v>
      </c>
      <c r="V2526" s="66">
        <f t="shared" si="905"/>
        <v>56</v>
      </c>
      <c r="W2526" s="106">
        <f t="shared" si="906"/>
        <v>46</v>
      </c>
      <c r="X2526" s="101" t="s">
        <v>2722</v>
      </c>
      <c r="Y2526" s="101"/>
      <c r="Z2526" s="101"/>
      <c r="AA2526" s="649">
        <f t="shared" si="889"/>
        <v>17.888888888888889</v>
      </c>
      <c r="AB2526" s="184">
        <f t="shared" si="907"/>
        <v>506.25555555555559</v>
      </c>
      <c r="AC2526" s="104">
        <f>AA2526*Canvas</f>
        <v>11.806666666666667</v>
      </c>
      <c r="AD2526" s="120">
        <f>Table1[[#This Row],[Substrate SF]]*Materials!C$37</f>
        <v>50.088888888888889</v>
      </c>
      <c r="AE2526" s="121">
        <f>IF(Table1[[#This Row],[Work Center]]="SwissQ",Materials!G$37,IF(Table1[[#This Row],[Work Center]]="Inca",Materials!G$29,IF(Table1[[#This Row],[Work Center]]="Canon",Materials!G$49,Materials!G$45)))</f>
        <v>20</v>
      </c>
      <c r="AF2526" s="102">
        <f>'Cali Frames'!D332</f>
        <v>236.23249999999999</v>
      </c>
      <c r="AG2526" s="121"/>
      <c r="AH2526" s="120">
        <f t="shared" si="890"/>
        <v>0</v>
      </c>
      <c r="AI2526" s="120"/>
      <c r="AJ2526" s="121">
        <f t="shared" si="896"/>
        <v>318.12805555555553</v>
      </c>
      <c r="AK2526" s="108" t="e">
        <f t="shared" si="904"/>
        <v>#DIV/0!</v>
      </c>
      <c r="AL2526" s="121">
        <f>Table1[[#This Row],[WSP/Dealer]]/Table1[[#This Row],[OD Sq Inch]]</f>
        <v>0</v>
      </c>
      <c r="AM2526" s="113">
        <f>Table1[[#This Row],[OD Wdth]]*Table1[[#This Row],[OD Hgt]]</f>
        <v>1824</v>
      </c>
      <c r="AN2526" s="115">
        <f>Table1[[#This Row],[Min VO]]+Table1[[#This Row],[Max VO]]</f>
        <v>86</v>
      </c>
      <c r="AO2526" s="115"/>
      <c r="AP2526" s="115"/>
      <c r="AQ2526" s="121"/>
      <c r="AR2526" s="104"/>
      <c r="AS2526" s="104"/>
      <c r="AT2526" s="104"/>
      <c r="AU2526" s="1359" t="str">
        <f t="shared" si="899"/>
        <v>-</v>
      </c>
    </row>
    <row r="2527" spans="1:47" s="170" customFormat="1" hidden="1" x14ac:dyDescent="0.2">
      <c r="A2527" s="101"/>
      <c r="B2527" s="1064" t="s">
        <v>261</v>
      </c>
      <c r="C2527" s="82" t="s">
        <v>5777</v>
      </c>
      <c r="D2527" s="168"/>
      <c r="E2527" s="378" t="s">
        <v>5775</v>
      </c>
      <c r="F2527" s="115" t="s">
        <v>737</v>
      </c>
      <c r="G2527" s="303" t="s">
        <v>4131</v>
      </c>
      <c r="H2527" s="101" t="s">
        <v>5764</v>
      </c>
      <c r="I2527" s="92" t="s">
        <v>52</v>
      </c>
      <c r="J2527" s="59" t="s">
        <v>53</v>
      </c>
      <c r="K2527" s="92" t="s">
        <v>69</v>
      </c>
      <c r="L2527" s="101" t="s">
        <v>73</v>
      </c>
      <c r="M2527" s="494"/>
      <c r="N2527" s="114"/>
      <c r="O2527" s="101" t="s">
        <v>64</v>
      </c>
      <c r="P2527" s="60">
        <v>48</v>
      </c>
      <c r="Q2527" s="60">
        <v>38</v>
      </c>
      <c r="R2527" s="60">
        <v>38</v>
      </c>
      <c r="S2527" s="273">
        <v>48</v>
      </c>
      <c r="T2527" s="623">
        <v>48</v>
      </c>
      <c r="U2527" s="623">
        <v>38</v>
      </c>
      <c r="V2527" s="917">
        <f t="shared" si="905"/>
        <v>56</v>
      </c>
      <c r="W2527" s="608">
        <f t="shared" si="906"/>
        <v>46</v>
      </c>
      <c r="X2527" s="101" t="s">
        <v>2722</v>
      </c>
      <c r="Y2527" s="101"/>
      <c r="Z2527" s="101"/>
      <c r="AA2527" s="649">
        <f t="shared" si="889"/>
        <v>17.888888888888889</v>
      </c>
      <c r="AB2527" s="184">
        <f t="shared" si="907"/>
        <v>506.25555555555559</v>
      </c>
      <c r="AC2527" s="104">
        <f>AA2527*Canvas</f>
        <v>11.806666666666667</v>
      </c>
      <c r="AD2527" s="120">
        <f>Table1[[#This Row],[Substrate SF]]*Materials!C$37</f>
        <v>50.088888888888889</v>
      </c>
      <c r="AE2527" s="121">
        <f>IF(Table1[[#This Row],[Work Center]]="SwissQ",Materials!G$37,IF(Table1[[#This Row],[Work Center]]="Inca",Materials!G$29,IF(Table1[[#This Row],[Work Center]]="Canon",Materials!G$49,Materials!G$45)))</f>
        <v>20</v>
      </c>
      <c r="AF2527" s="102">
        <f>'Cali Frames'!D335</f>
        <v>258.27999999999997</v>
      </c>
      <c r="AG2527" s="121"/>
      <c r="AH2527" s="121">
        <f t="shared" si="890"/>
        <v>0</v>
      </c>
      <c r="AI2527" s="121"/>
      <c r="AJ2527" s="121">
        <f t="shared" si="896"/>
        <v>340.17555555555555</v>
      </c>
      <c r="AK2527" s="830" t="e">
        <f t="shared" si="904"/>
        <v>#DIV/0!</v>
      </c>
      <c r="AL2527" s="121">
        <f>Table1[[#This Row],[WSP/Dealer]]/Table1[[#This Row],[OD Sq Inch]]</f>
        <v>0</v>
      </c>
      <c r="AM2527" s="113">
        <f>Table1[[#This Row],[OD Wdth]]*Table1[[#This Row],[OD Hgt]]</f>
        <v>1824</v>
      </c>
      <c r="AN2527" s="115">
        <f>Table1[[#This Row],[Min VO]]+Table1[[#This Row],[Max VO]]</f>
        <v>86</v>
      </c>
      <c r="AO2527" s="115"/>
      <c r="AP2527" s="115"/>
      <c r="AQ2527" s="121"/>
      <c r="AR2527" s="104"/>
      <c r="AS2527" s="104"/>
      <c r="AT2527" s="104"/>
      <c r="AU2527" s="1359" t="str">
        <f t="shared" si="899"/>
        <v>-</v>
      </c>
    </row>
    <row r="2528" spans="1:47" s="170" customFormat="1" hidden="1" x14ac:dyDescent="0.2">
      <c r="A2528" s="101"/>
      <c r="B2528" s="1067" t="s">
        <v>261</v>
      </c>
      <c r="C2528" s="78" t="s">
        <v>5778</v>
      </c>
      <c r="D2528" s="168"/>
      <c r="E2528" s="84" t="s">
        <v>5775</v>
      </c>
      <c r="F2528" s="115" t="s">
        <v>737</v>
      </c>
      <c r="G2528" s="101" t="s">
        <v>4131</v>
      </c>
      <c r="H2528" s="101" t="s">
        <v>5764</v>
      </c>
      <c r="I2528" s="60" t="s">
        <v>108</v>
      </c>
      <c r="J2528" s="59" t="s">
        <v>257</v>
      </c>
      <c r="K2528" s="60" t="s">
        <v>258</v>
      </c>
      <c r="L2528" s="101" t="s">
        <v>259</v>
      </c>
      <c r="M2528" s="114"/>
      <c r="N2528" s="114"/>
      <c r="O2528" s="101" t="s">
        <v>64</v>
      </c>
      <c r="P2528" s="60">
        <v>48</v>
      </c>
      <c r="Q2528" s="60">
        <v>38</v>
      </c>
      <c r="R2528" s="60">
        <v>38</v>
      </c>
      <c r="S2528" s="273">
        <v>48</v>
      </c>
      <c r="T2528" s="623">
        <v>48</v>
      </c>
      <c r="U2528" s="623">
        <v>38</v>
      </c>
      <c r="V2528" s="917">
        <f t="shared" si="905"/>
        <v>48</v>
      </c>
      <c r="W2528" s="608">
        <f t="shared" si="906"/>
        <v>38</v>
      </c>
      <c r="X2528" s="101" t="s">
        <v>2722</v>
      </c>
      <c r="Y2528" s="101"/>
      <c r="Z2528" s="101"/>
      <c r="AA2528" s="649">
        <f t="shared" si="889"/>
        <v>12.666666666666666</v>
      </c>
      <c r="AB2528" s="184">
        <f t="shared" si="907"/>
        <v>358.46666666666664</v>
      </c>
      <c r="AC2528" s="104">
        <f>Table1[[#This Row],[Substrate SF]]*Paper</f>
        <v>17.137999999999998</v>
      </c>
      <c r="AD2528" s="121">
        <f>Table1[[#This Row],[Substrate SF]]*Materials!C$41</f>
        <v>2.7866666666666666</v>
      </c>
      <c r="AE2528" s="121">
        <v>7</v>
      </c>
      <c r="AF2528" s="102">
        <v>0</v>
      </c>
      <c r="AG2528" s="115"/>
      <c r="AH2528" s="120">
        <f t="shared" si="890"/>
        <v>0</v>
      </c>
      <c r="AI2528" s="120"/>
      <c r="AJ2528" s="121">
        <f t="shared" si="896"/>
        <v>26.924666666666663</v>
      </c>
      <c r="AK2528" s="108" t="e">
        <f t="shared" si="904"/>
        <v>#DIV/0!</v>
      </c>
      <c r="AL2528" s="121">
        <f>Table1[[#This Row],[WSP/Dealer]]/Table1[[#This Row],[OD Sq Inch]]</f>
        <v>0</v>
      </c>
      <c r="AM2528" s="115">
        <f>Table1[[#This Row],[OD Wdth]]*Table1[[#This Row],[OD Hgt]]</f>
        <v>1824</v>
      </c>
      <c r="AN2528" s="115">
        <f>Table1[[#This Row],[Min VO]]+Table1[[#This Row],[Max VO]]</f>
        <v>86</v>
      </c>
      <c r="AO2528" s="115"/>
      <c r="AP2528" s="115"/>
      <c r="AQ2528" s="121"/>
      <c r="AR2528" s="104"/>
      <c r="AS2528" s="104"/>
      <c r="AT2528" s="104"/>
      <c r="AU2528" s="1359" t="str">
        <f t="shared" si="899"/>
        <v>-</v>
      </c>
    </row>
    <row r="2529" spans="1:47" s="170" customFormat="1" hidden="1" x14ac:dyDescent="0.2">
      <c r="A2529" s="101"/>
      <c r="B2529" s="1067" t="s">
        <v>261</v>
      </c>
      <c r="C2529" s="78" t="s">
        <v>5779</v>
      </c>
      <c r="D2529" s="168"/>
      <c r="E2529" s="84" t="s">
        <v>5775</v>
      </c>
      <c r="F2529" s="115" t="s">
        <v>737</v>
      </c>
      <c r="G2529" s="101" t="s">
        <v>4131</v>
      </c>
      <c r="H2529" s="101" t="s">
        <v>4131</v>
      </c>
      <c r="I2529" s="60" t="s">
        <v>108</v>
      </c>
      <c r="J2529" s="59" t="s">
        <v>257</v>
      </c>
      <c r="K2529" s="60" t="s">
        <v>198</v>
      </c>
      <c r="L2529" s="101" t="s">
        <v>199</v>
      </c>
      <c r="M2529" s="114">
        <v>100</v>
      </c>
      <c r="N2529" s="114"/>
      <c r="O2529" s="101" t="s">
        <v>64</v>
      </c>
      <c r="P2529" s="60">
        <v>48</v>
      </c>
      <c r="Q2529" s="60">
        <v>38</v>
      </c>
      <c r="R2529" s="60">
        <v>38</v>
      </c>
      <c r="S2529" s="273">
        <v>48</v>
      </c>
      <c r="T2529" s="623">
        <v>48</v>
      </c>
      <c r="U2529" s="623">
        <v>38</v>
      </c>
      <c r="V2529" s="917">
        <f t="shared" si="905"/>
        <v>48</v>
      </c>
      <c r="W2529" s="608">
        <f t="shared" si="906"/>
        <v>38</v>
      </c>
      <c r="X2529" s="101" t="s">
        <v>2722</v>
      </c>
      <c r="Y2529" s="101"/>
      <c r="Z2529" s="101"/>
      <c r="AA2529" s="649">
        <f t="shared" si="889"/>
        <v>12.666666666666666</v>
      </c>
      <c r="AB2529" s="184">
        <f t="shared" si="907"/>
        <v>358.46666666666664</v>
      </c>
      <c r="AC2529" s="104">
        <f>Table1[[#This Row],[Substrate SF]]*Paper</f>
        <v>17.137999999999998</v>
      </c>
      <c r="AD2529" s="121">
        <f>Table1[[#This Row],[Substrate SF]]*Materials!C$41</f>
        <v>2.7866666666666666</v>
      </c>
      <c r="AE2529" s="121">
        <v>8</v>
      </c>
      <c r="AF2529" s="1018"/>
      <c r="AG2529" s="121">
        <f>Materials!D$76</f>
        <v>10.82</v>
      </c>
      <c r="AH2529" s="120">
        <f t="shared" si="890"/>
        <v>5</v>
      </c>
      <c r="AI2529" s="120"/>
      <c r="AJ2529" s="121">
        <f t="shared" si="896"/>
        <v>43.74466666666666</v>
      </c>
      <c r="AK2529" s="108">
        <f t="shared" si="904"/>
        <v>0.56255333333333335</v>
      </c>
      <c r="AL2529" s="121">
        <f>Table1[[#This Row],[WSP/Dealer]]/Table1[[#This Row],[OD Sq Inch]]</f>
        <v>5.4824561403508769E-2</v>
      </c>
      <c r="AM2529" s="115">
        <f>Table1[[#This Row],[OD Wdth]]*Table1[[#This Row],[OD Hgt]]</f>
        <v>1824</v>
      </c>
      <c r="AN2529" s="115">
        <f>Table1[[#This Row],[Min VO]]+Table1[[#This Row],[Max VO]]</f>
        <v>86</v>
      </c>
      <c r="AO2529" s="115"/>
      <c r="AP2529" s="115"/>
      <c r="AQ2529" s="121"/>
      <c r="AR2529" s="104"/>
      <c r="AS2529" s="104"/>
      <c r="AT2529" s="104"/>
      <c r="AU2529" s="1359" t="str">
        <f t="shared" si="899"/>
        <v>-</v>
      </c>
    </row>
    <row r="2530" spans="1:47" s="170" customFormat="1" x14ac:dyDescent="0.2">
      <c r="A2530" s="101" t="s">
        <v>58</v>
      </c>
      <c r="B2530" s="1064" t="s">
        <v>740</v>
      </c>
      <c r="C2530" s="100" t="s">
        <v>5780</v>
      </c>
      <c r="D2530" s="168"/>
      <c r="E2530" s="115" t="s">
        <v>5781</v>
      </c>
      <c r="F2530" s="115" t="s">
        <v>737</v>
      </c>
      <c r="G2530" s="101" t="s">
        <v>5767</v>
      </c>
      <c r="H2530" s="101" t="s">
        <v>637</v>
      </c>
      <c r="I2530" s="60" t="s">
        <v>52</v>
      </c>
      <c r="J2530" s="59" t="s">
        <v>53</v>
      </c>
      <c r="K2530" s="60" t="s">
        <v>69</v>
      </c>
      <c r="L2530" s="101" t="s">
        <v>70</v>
      </c>
      <c r="M2530" s="114">
        <v>1250</v>
      </c>
      <c r="N2530" s="114">
        <v>1100</v>
      </c>
      <c r="O2530" s="101" t="s">
        <v>64</v>
      </c>
      <c r="P2530" s="60">
        <v>59</v>
      </c>
      <c r="Q2530" s="60">
        <v>47</v>
      </c>
      <c r="R2530" s="60">
        <v>47</v>
      </c>
      <c r="S2530" s="273">
        <v>59</v>
      </c>
      <c r="T2530" s="697">
        <v>59</v>
      </c>
      <c r="U2530" s="697">
        <v>47</v>
      </c>
      <c r="V2530" s="608">
        <f t="shared" si="905"/>
        <v>67</v>
      </c>
      <c r="W2530" s="608">
        <f t="shared" si="906"/>
        <v>55</v>
      </c>
      <c r="X2530" s="101" t="s">
        <v>2722</v>
      </c>
      <c r="Y2530" s="101"/>
      <c r="Z2530" s="101"/>
      <c r="AA2530" s="649">
        <f t="shared" si="889"/>
        <v>25.590277777777779</v>
      </c>
      <c r="AB2530" s="184">
        <f t="shared" si="907"/>
        <v>724.2048611111112</v>
      </c>
      <c r="AC2530" s="104">
        <f>AA2530*Canvas</f>
        <v>16.889583333333334</v>
      </c>
      <c r="AD2530" s="121">
        <f>Table1[[#This Row],[Substrate SF]]*Materials!C$37</f>
        <v>71.652777777777771</v>
      </c>
      <c r="AE2530" s="121">
        <f>IF(Table1[[#This Row],[Work Center]]="SwissQ",Materials!G$37,IF(Table1[[#This Row],[Work Center]]="Inca",Materials!G$29,IF(Table1[[#This Row],[Work Center]]="Canon",Materials!G$49,Materials!G$45)))</f>
        <v>20</v>
      </c>
      <c r="AF2530" s="102">
        <f>'Cali Frames'!D327</f>
        <v>240.625</v>
      </c>
      <c r="AG2530" s="121"/>
      <c r="AH2530" s="121">
        <f t="shared" si="890"/>
        <v>62.5</v>
      </c>
      <c r="AI2530" s="121"/>
      <c r="AJ2530" s="121">
        <f t="shared" si="896"/>
        <v>411.66736111111112</v>
      </c>
      <c r="AK2530" s="830">
        <f t="shared" si="904"/>
        <v>0.67066611111111107</v>
      </c>
      <c r="AL2530" s="121">
        <f>Table1[[#This Row],[WSP/Dealer]]/Table1[[#This Row],[OD Sq Inch]]</f>
        <v>0.45077533357374683</v>
      </c>
      <c r="AM2530" s="115">
        <f>Table1[[#This Row],[OD Wdth]]*Table1[[#This Row],[OD Hgt]]</f>
        <v>2773</v>
      </c>
      <c r="AN2530" s="115">
        <f>Table1[[#This Row],[Min VO]]+Table1[[#This Row],[Max VO]]</f>
        <v>106</v>
      </c>
      <c r="AO2530" s="115"/>
      <c r="AP2530" s="115"/>
      <c r="AQ2530" s="121"/>
      <c r="AR2530" s="104"/>
      <c r="AS2530" s="104"/>
      <c r="AT2530" s="104"/>
      <c r="AU2530" s="1359" t="str">
        <f t="shared" si="899"/>
        <v>-</v>
      </c>
    </row>
    <row r="2531" spans="1:47" s="170" customFormat="1" hidden="1" x14ac:dyDescent="0.2">
      <c r="A2531" s="101" t="s">
        <v>187</v>
      </c>
      <c r="B2531" s="1064" t="s">
        <v>734</v>
      </c>
      <c r="C2531" s="1538" t="s">
        <v>5782</v>
      </c>
      <c r="D2531" s="168"/>
      <c r="E2531" s="1632" t="s">
        <v>5783</v>
      </c>
      <c r="F2531" s="115" t="s">
        <v>737</v>
      </c>
      <c r="G2531" s="1636" t="s">
        <v>637</v>
      </c>
      <c r="H2531" s="407" t="s">
        <v>1119</v>
      </c>
      <c r="I2531" s="1635" t="s">
        <v>52</v>
      </c>
      <c r="J2531" s="59" t="s">
        <v>53</v>
      </c>
      <c r="K2531" s="1635" t="s">
        <v>281</v>
      </c>
      <c r="L2531" s="101" t="s">
        <v>55</v>
      </c>
      <c r="M2531" s="494">
        <v>2550</v>
      </c>
      <c r="N2531" s="114"/>
      <c r="O2531" s="101" t="s">
        <v>64</v>
      </c>
      <c r="P2531" s="60">
        <v>60</v>
      </c>
      <c r="Q2531" s="60">
        <v>48</v>
      </c>
      <c r="R2531" s="60">
        <v>48</v>
      </c>
      <c r="S2531" s="60">
        <v>60</v>
      </c>
      <c r="T2531" s="68">
        <v>60</v>
      </c>
      <c r="U2531" s="68">
        <v>48</v>
      </c>
      <c r="V2531" s="917">
        <f t="shared" si="905"/>
        <v>68</v>
      </c>
      <c r="W2531" s="608">
        <f t="shared" si="906"/>
        <v>56</v>
      </c>
      <c r="X2531" s="101">
        <v>69</v>
      </c>
      <c r="Y2531" s="101">
        <v>68</v>
      </c>
      <c r="Z2531" s="101">
        <v>56</v>
      </c>
      <c r="AA2531" s="649">
        <f t="shared" si="889"/>
        <v>26.444444444444443</v>
      </c>
      <c r="AB2531" s="184">
        <f t="shared" si="907"/>
        <v>748.37777777777774</v>
      </c>
      <c r="AC2531" s="104">
        <f>AA2531*Canvas</f>
        <v>17.453333333333333</v>
      </c>
      <c r="AD2531" s="121">
        <f>Table1[[#This Row],[Substrate SF]]*Materials!C$37</f>
        <v>74.044444444444437</v>
      </c>
      <c r="AE2531" s="121">
        <f>IF(Table1[[#This Row],[Work Center]]="SwissQ",Materials!G$37,IF(Table1[[#This Row],[Work Center]]="Inca",Materials!G$29,IF(Table1[[#This Row],[Work Center]]="Canon",Materials!G$49,Materials!G$45)))</f>
        <v>20</v>
      </c>
      <c r="AF2531" s="102">
        <f>'Cali FPS'!C121</f>
        <v>188.18</v>
      </c>
      <c r="AG2531" s="121"/>
      <c r="AH2531" s="121">
        <f t="shared" ref="AH2531:AH2566" si="908">(M2531*0.05)</f>
        <v>127.5</v>
      </c>
      <c r="AI2531" s="120"/>
      <c r="AJ2531" s="121">
        <f t="shared" si="896"/>
        <v>427.17777777777781</v>
      </c>
      <c r="AK2531" s="108">
        <f t="shared" si="904"/>
        <v>0.83247930283224392</v>
      </c>
      <c r="AL2531" s="121">
        <f>Table1[[#This Row],[WSP/Dealer]]/Table1[[#This Row],[OD Sq Inch]]</f>
        <v>0.88541666666666663</v>
      </c>
      <c r="AM2531" s="115">
        <f>Table1[[#This Row],[OD Wdth]]*Table1[[#This Row],[OD Hgt]]</f>
        <v>2880</v>
      </c>
      <c r="AN2531" s="115">
        <f>Table1[[#This Row],[Min VO]]+Table1[[#This Row],[Max VO]]</f>
        <v>108</v>
      </c>
      <c r="AO2531" s="115"/>
      <c r="AP2531" s="115"/>
      <c r="AQ2531" s="121"/>
      <c r="AR2531" s="121"/>
      <c r="AS2531" s="121"/>
      <c r="AT2531" s="104"/>
      <c r="AU2531" s="1359" t="str">
        <f t="shared" si="899"/>
        <v>-</v>
      </c>
    </row>
    <row r="2532" spans="1:47" s="170" customFormat="1" hidden="1" x14ac:dyDescent="0.2">
      <c r="A2532" s="101" t="s">
        <v>187</v>
      </c>
      <c r="B2532" s="1067" t="s">
        <v>734</v>
      </c>
      <c r="C2532" s="1538" t="s">
        <v>5784</v>
      </c>
      <c r="D2532" s="168"/>
      <c r="E2532" s="1632" t="s">
        <v>5783</v>
      </c>
      <c r="F2532" s="115" t="s">
        <v>737</v>
      </c>
      <c r="G2532" s="1636" t="s">
        <v>637</v>
      </c>
      <c r="H2532" s="407" t="s">
        <v>637</v>
      </c>
      <c r="I2532" s="1635" t="s">
        <v>52</v>
      </c>
      <c r="J2532" s="59" t="s">
        <v>53</v>
      </c>
      <c r="K2532" s="1635" t="s">
        <v>1410</v>
      </c>
      <c r="L2532" s="101" t="s">
        <v>70</v>
      </c>
      <c r="M2532" s="494">
        <v>2950</v>
      </c>
      <c r="N2532" s="114"/>
      <c r="O2532" s="101" t="s">
        <v>64</v>
      </c>
      <c r="P2532" s="60">
        <v>60</v>
      </c>
      <c r="Q2532" s="60">
        <v>48</v>
      </c>
      <c r="R2532" s="60">
        <v>48</v>
      </c>
      <c r="S2532" s="46">
        <v>60</v>
      </c>
      <c r="T2532" s="68">
        <v>61</v>
      </c>
      <c r="U2532" s="68">
        <v>49</v>
      </c>
      <c r="V2532" s="66">
        <f t="shared" si="905"/>
        <v>68</v>
      </c>
      <c r="W2532" s="106">
        <f t="shared" si="906"/>
        <v>56</v>
      </c>
      <c r="X2532" s="101">
        <v>69</v>
      </c>
      <c r="Y2532" s="101">
        <v>68</v>
      </c>
      <c r="Z2532" s="101">
        <v>56</v>
      </c>
      <c r="AA2532" s="649">
        <f t="shared" si="889"/>
        <v>26.444444444444443</v>
      </c>
      <c r="AB2532" s="184">
        <f t="shared" si="907"/>
        <v>748.37777777777774</v>
      </c>
      <c r="AC2532" s="104">
        <f>AA2532*Canvas</f>
        <v>17.453333333333333</v>
      </c>
      <c r="AD2532" s="120">
        <f>Table1[[#This Row],[Substrate SF]]*Materials!C$37</f>
        <v>74.044444444444437</v>
      </c>
      <c r="AE2532" s="121">
        <f>IF(Table1[[#This Row],[Work Center]]="SwissQ",Materials!G$37,IF(Table1[[#This Row],[Work Center]]="Inca",Materials!G$29,IF(Table1[[#This Row],[Work Center]]="Canon",Materials!G$49,Materials!G$45)))</f>
        <v>20</v>
      </c>
      <c r="AF2532" s="102">
        <f>'Cali Frames'!D335</f>
        <v>258.27999999999997</v>
      </c>
      <c r="AG2532" s="121"/>
      <c r="AH2532" s="121">
        <f t="shared" si="908"/>
        <v>147.5</v>
      </c>
      <c r="AI2532" s="121"/>
      <c r="AJ2532" s="121">
        <f t="shared" si="896"/>
        <v>517.27777777777771</v>
      </c>
      <c r="AK2532" s="830">
        <f t="shared" si="904"/>
        <v>0.82465160075329569</v>
      </c>
      <c r="AL2532" s="121">
        <f>Table1[[#This Row],[WSP/Dealer]]/Table1[[#This Row],[OD Sq Inch]]</f>
        <v>0.98695215791234525</v>
      </c>
      <c r="AM2532" s="113">
        <f>Table1[[#This Row],[OD Wdth]]*Table1[[#This Row],[OD Hgt]]</f>
        <v>2989</v>
      </c>
      <c r="AN2532" s="115">
        <f>Table1[[#This Row],[Min VO]]+Table1[[#This Row],[Max VO]]</f>
        <v>108</v>
      </c>
      <c r="AO2532" s="113"/>
      <c r="AP2532" s="115"/>
      <c r="AQ2532" s="121"/>
      <c r="AR2532" s="121"/>
      <c r="AS2532" s="121"/>
      <c r="AT2532" s="104"/>
      <c r="AU2532" s="1367" t="str">
        <f t="shared" si="899"/>
        <v>-</v>
      </c>
    </row>
    <row r="2533" spans="1:47" s="170" customFormat="1" hidden="1" x14ac:dyDescent="0.2">
      <c r="A2533" s="101" t="s">
        <v>187</v>
      </c>
      <c r="B2533" s="1067" t="s">
        <v>734</v>
      </c>
      <c r="C2533" s="1538" t="s">
        <v>5785</v>
      </c>
      <c r="D2533" s="168"/>
      <c r="E2533" s="1632" t="s">
        <v>5783</v>
      </c>
      <c r="F2533" s="115" t="s">
        <v>737</v>
      </c>
      <c r="G2533" s="1636" t="s">
        <v>637</v>
      </c>
      <c r="H2533" s="407" t="s">
        <v>637</v>
      </c>
      <c r="I2533" s="1635" t="s">
        <v>52</v>
      </c>
      <c r="J2533" s="59" t="s">
        <v>53</v>
      </c>
      <c r="K2533" s="605" t="s">
        <v>1412</v>
      </c>
      <c r="L2533" s="101" t="s">
        <v>73</v>
      </c>
      <c r="M2533" s="494">
        <v>2950</v>
      </c>
      <c r="N2533" s="114"/>
      <c r="O2533" s="101" t="s">
        <v>64</v>
      </c>
      <c r="P2533" s="60">
        <v>60</v>
      </c>
      <c r="Q2533" s="60">
        <v>48</v>
      </c>
      <c r="R2533" s="60">
        <v>48</v>
      </c>
      <c r="S2533" s="60">
        <v>60</v>
      </c>
      <c r="T2533" s="68">
        <v>61</v>
      </c>
      <c r="U2533" s="68">
        <v>49</v>
      </c>
      <c r="V2533" s="917">
        <f t="shared" si="905"/>
        <v>68</v>
      </c>
      <c r="W2533" s="608">
        <f t="shared" si="906"/>
        <v>56</v>
      </c>
      <c r="X2533" s="101">
        <v>69</v>
      </c>
      <c r="Y2533" s="101">
        <v>68</v>
      </c>
      <c r="Z2533" s="101">
        <v>56</v>
      </c>
      <c r="AA2533" s="649">
        <f t="shared" si="889"/>
        <v>26.444444444444443</v>
      </c>
      <c r="AB2533" s="184">
        <f t="shared" si="907"/>
        <v>748.37777777777774</v>
      </c>
      <c r="AC2533" s="104">
        <f>AA2533*Canvas</f>
        <v>17.453333333333333</v>
      </c>
      <c r="AD2533" s="120">
        <f>Table1[[#This Row],[Substrate SF]]*Materials!C$37</f>
        <v>74.044444444444437</v>
      </c>
      <c r="AE2533" s="121">
        <f>IF(Table1[[#This Row],[Work Center]]="SwissQ",Materials!G$37,IF(Table1[[#This Row],[Work Center]]="Inca",Materials!G$29,IF(Table1[[#This Row],[Work Center]]="Canon",Materials!G$49,Materials!G$45)))</f>
        <v>20</v>
      </c>
      <c r="AF2533" s="102">
        <f>'Cali Frames'!D470</f>
        <v>263.70999999999998</v>
      </c>
      <c r="AG2533" s="121"/>
      <c r="AH2533" s="121">
        <f t="shared" si="908"/>
        <v>147.5</v>
      </c>
      <c r="AI2533" s="121"/>
      <c r="AJ2533" s="121">
        <f t="shared" si="896"/>
        <v>522.70777777777778</v>
      </c>
      <c r="AK2533" s="830">
        <f t="shared" si="904"/>
        <v>0.82281092278719403</v>
      </c>
      <c r="AL2533" s="121">
        <f>Table1[[#This Row],[WSP/Dealer]]/Table1[[#This Row],[OD Sq Inch]]</f>
        <v>0.98695215791234525</v>
      </c>
      <c r="AM2533" s="113">
        <f>Table1[[#This Row],[OD Wdth]]*Table1[[#This Row],[OD Hgt]]</f>
        <v>2989</v>
      </c>
      <c r="AN2533" s="115">
        <f>Table1[[#This Row],[Min VO]]+Table1[[#This Row],[Max VO]]</f>
        <v>108</v>
      </c>
      <c r="AO2533" s="115"/>
      <c r="AP2533" s="115"/>
      <c r="AQ2533" s="121"/>
      <c r="AR2533" s="121"/>
      <c r="AS2533" s="121"/>
      <c r="AT2533" s="104"/>
      <c r="AU2533" s="1359" t="str">
        <f t="shared" si="899"/>
        <v>-</v>
      </c>
    </row>
    <row r="2534" spans="1:47" s="170" customFormat="1" hidden="1" x14ac:dyDescent="0.2">
      <c r="A2534" s="101" t="s">
        <v>187</v>
      </c>
      <c r="B2534" s="1067" t="s">
        <v>734</v>
      </c>
      <c r="C2534" s="1538" t="s">
        <v>5786</v>
      </c>
      <c r="D2534" s="168"/>
      <c r="E2534" s="1632" t="s">
        <v>5787</v>
      </c>
      <c r="F2534" s="115" t="s">
        <v>737</v>
      </c>
      <c r="G2534" s="1636" t="s">
        <v>637</v>
      </c>
      <c r="H2534" s="407" t="s">
        <v>1119</v>
      </c>
      <c r="I2534" s="92" t="s">
        <v>108</v>
      </c>
      <c r="J2534" s="59" t="s">
        <v>197</v>
      </c>
      <c r="K2534" s="92" t="s">
        <v>198</v>
      </c>
      <c r="L2534" s="101" t="s">
        <v>199</v>
      </c>
      <c r="M2534" s="494">
        <v>120</v>
      </c>
      <c r="N2534" s="114"/>
      <c r="O2534" s="101" t="s">
        <v>64</v>
      </c>
      <c r="P2534" s="60">
        <v>60</v>
      </c>
      <c r="Q2534" s="60">
        <v>48</v>
      </c>
      <c r="R2534" s="60">
        <v>48</v>
      </c>
      <c r="S2534" s="60">
        <v>60</v>
      </c>
      <c r="T2534" s="68">
        <v>60</v>
      </c>
      <c r="U2534" s="68">
        <v>48</v>
      </c>
      <c r="V2534" s="66">
        <f>Table1[[#This Row],[VO Wdth]]+Materials!$C$7</f>
        <v>62</v>
      </c>
      <c r="W2534" s="106">
        <f>Table1[[#This Row],[VO Hgt]]+Materials!$C$7</f>
        <v>50</v>
      </c>
      <c r="X2534" s="101" t="s">
        <v>197</v>
      </c>
      <c r="Y2534" s="101">
        <v>62</v>
      </c>
      <c r="Z2534" s="101">
        <v>50</v>
      </c>
      <c r="AA2534" s="649">
        <f t="shared" si="889"/>
        <v>21.527777777777779</v>
      </c>
      <c r="AB2534" s="184">
        <f>AA2534*SWISSRML</f>
        <v>43.055555555555557</v>
      </c>
      <c r="AC2534" s="104">
        <f>Table1[[#This Row],[Substrate SF]]*POster</f>
        <v>16.016666666666666</v>
      </c>
      <c r="AD2534" s="120">
        <f>Table1[[#This Row],[Substrate SF]]*SWISSRC</f>
        <v>4.7361111111111116</v>
      </c>
      <c r="AE2534" s="121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534" s="102">
        <v>0</v>
      </c>
      <c r="AG2534" s="121">
        <f>Materials!D$76</f>
        <v>10.82</v>
      </c>
      <c r="AH2534" s="121">
        <f t="shared" si="908"/>
        <v>6</v>
      </c>
      <c r="AI2534" s="121"/>
      <c r="AJ2534" s="121">
        <f t="shared" si="896"/>
        <v>47.572777777777773</v>
      </c>
      <c r="AK2534" s="830">
        <f t="shared" si="904"/>
        <v>0.60356018518518517</v>
      </c>
      <c r="AL2534" s="121">
        <f>Table1[[#This Row],[WSP/Dealer]]/Table1[[#This Row],[OD Sq Inch]]</f>
        <v>4.1666666666666664E-2</v>
      </c>
      <c r="AM2534" s="113">
        <f>Table1[[#This Row],[OD Wdth]]*Table1[[#This Row],[OD Hgt]]</f>
        <v>2880</v>
      </c>
      <c r="AN2534" s="115"/>
      <c r="AO2534" s="115"/>
      <c r="AP2534" s="115"/>
      <c r="AQ2534" s="121"/>
      <c r="AR2534" s="121"/>
      <c r="AS2534" s="121"/>
      <c r="AT2534" s="104"/>
      <c r="AU2534" s="1359" t="str">
        <f t="shared" si="899"/>
        <v>-</v>
      </c>
    </row>
    <row r="2535" spans="1:47" s="170" customFormat="1" hidden="1" x14ac:dyDescent="0.2">
      <c r="A2535" s="101" t="s">
        <v>110</v>
      </c>
      <c r="B2535" s="1067" t="s">
        <v>134</v>
      </c>
      <c r="C2535" s="1741" t="s">
        <v>5788</v>
      </c>
      <c r="D2535" s="1132"/>
      <c r="E2535" s="1750" t="s">
        <v>5789</v>
      </c>
      <c r="F2535" s="1133" t="s">
        <v>960</v>
      </c>
      <c r="G2535" s="1753" t="s">
        <v>693</v>
      </c>
      <c r="H2535" s="1109" t="s">
        <v>1932</v>
      </c>
      <c r="I2535" s="1753" t="s">
        <v>256</v>
      </c>
      <c r="J2535" s="1415" t="s">
        <v>257</v>
      </c>
      <c r="K2535" s="1753" t="s">
        <v>265</v>
      </c>
      <c r="L2535" s="1109" t="s">
        <v>259</v>
      </c>
      <c r="M2535" s="1767">
        <v>250</v>
      </c>
      <c r="N2535" s="114"/>
      <c r="O2535" s="1109" t="s">
        <v>260</v>
      </c>
      <c r="P2535" s="1064">
        <v>12</v>
      </c>
      <c r="Q2535" s="1064">
        <v>12</v>
      </c>
      <c r="R2535" s="1064">
        <v>12</v>
      </c>
      <c r="S2535" s="1064">
        <v>12</v>
      </c>
      <c r="T2535" s="1064">
        <v>14</v>
      </c>
      <c r="U2535" s="1064">
        <v>14</v>
      </c>
      <c r="V2535" s="106">
        <f>IF(J2535="Canvas",P2535+Border,P2535)</f>
        <v>12</v>
      </c>
      <c r="W2535" s="106">
        <f>IF(J2535="Canvas",Q2535+Border,Q2535)</f>
        <v>12</v>
      </c>
      <c r="X2535" s="525" t="s">
        <v>257</v>
      </c>
      <c r="Y2535" s="1064">
        <v>12</v>
      </c>
      <c r="Z2535" s="1064">
        <v>12</v>
      </c>
      <c r="AA2535" s="649">
        <f t="shared" si="889"/>
        <v>1</v>
      </c>
      <c r="AB2535" s="184">
        <f>AA2535*canonML</f>
        <v>4.8</v>
      </c>
      <c r="AC2535" s="606">
        <f>Table1[[#This Row],[Substrate SF]]*Paper</f>
        <v>1.353</v>
      </c>
      <c r="AD2535" s="107">
        <f>Table1[[#This Row],[Ink g/mL]]*CanonC</f>
        <v>1.296</v>
      </c>
      <c r="AE2535" s="104">
        <f>IF(Table1[[#This Row],[Work Center]]="SwissQ",Materials!G$37,IF(Table1[[#This Row],[Work Center]]="Inca",Materials!G$29,IF(Table1[[#This Row],[Work Center]]="Canon",Materials!G$49,Materials!G$45)))</f>
        <v>7</v>
      </c>
      <c r="AF2535" s="1140">
        <f>'Cali Frames'!D2</f>
        <v>0</v>
      </c>
      <c r="AG2535" s="1133"/>
      <c r="AH2535" s="120">
        <f t="shared" si="908"/>
        <v>12.5</v>
      </c>
      <c r="AI2535" s="405">
        <f>IF(A2535="Codarus",(M2535*0.13))</f>
        <v>32.5</v>
      </c>
      <c r="AJ2535" s="104">
        <f>SUM(AC2535:AI2535)</f>
        <v>54.649000000000001</v>
      </c>
      <c r="AK2535" s="108">
        <f t="shared" si="904"/>
        <v>0.78140399999999999</v>
      </c>
      <c r="AL2535" s="660">
        <f>Table1[[#This Row],[WSP/Dealer]]/Table1[[#This Row],[OD Sq Inch]]</f>
        <v>1.2755102040816326</v>
      </c>
      <c r="AM2535" s="399">
        <f>Table1[[#This Row],[OD Wdth]]*Table1[[#This Row],[OD Hgt]]</f>
        <v>196</v>
      </c>
      <c r="AN2535" s="400">
        <f>Table1[[#This Row],[Min VO]]+Table1[[#This Row],[Max VO]]</f>
        <v>24</v>
      </c>
      <c r="AO2535" s="1133"/>
      <c r="AP2535" s="1145">
        <v>500</v>
      </c>
      <c r="AQ2535" s="1145">
        <f>(Table1[[#This Row],[Desgnr/Retail P]]*0.05)</f>
        <v>25</v>
      </c>
      <c r="AR2535" s="121">
        <f>IF(A2535="Codarus",(AP2535*0.13))</f>
        <v>65</v>
      </c>
      <c r="AS2535" s="121">
        <f>SUM(Table1[[#This Row],[Substrate $]:[GP FINISH]])+Table1[[#This Row],[Retail Royalty]]+Table1[[#This Row],[Retail$Comm]]</f>
        <v>99.649000000000001</v>
      </c>
      <c r="AT2535" s="830">
        <f>IF(AP2535=0,"-",(AP2535-AS2535)/AP2535)</f>
        <v>0.80070200000000002</v>
      </c>
      <c r="AU2535" s="1464">
        <f t="shared" si="899"/>
        <v>0.96797191999999999</v>
      </c>
    </row>
    <row r="2536" spans="1:47" s="399" customFormat="1" hidden="1" x14ac:dyDescent="0.2">
      <c r="A2536" s="101" t="s">
        <v>187</v>
      </c>
      <c r="B2536" s="1067" t="s">
        <v>188</v>
      </c>
      <c r="C2536" s="1723" t="s">
        <v>5790</v>
      </c>
      <c r="D2536" s="1132"/>
      <c r="E2536" s="1749" t="s">
        <v>5791</v>
      </c>
      <c r="F2536" s="1133" t="s">
        <v>960</v>
      </c>
      <c r="G2536" s="1753" t="s">
        <v>1937</v>
      </c>
      <c r="H2536" s="1109"/>
      <c r="I2536" s="1758" t="s">
        <v>256</v>
      </c>
      <c r="J2536" s="59" t="s">
        <v>257</v>
      </c>
      <c r="K2536" s="1758" t="s">
        <v>265</v>
      </c>
      <c r="L2536" s="1109" t="s">
        <v>259</v>
      </c>
      <c r="M2536" s="1767">
        <v>425</v>
      </c>
      <c r="N2536" s="114"/>
      <c r="O2536" s="1109" t="s">
        <v>260</v>
      </c>
      <c r="P2536" s="1108"/>
      <c r="Q2536" s="1108"/>
      <c r="R2536" s="1108"/>
      <c r="S2536" s="1108"/>
      <c r="T2536" s="1452"/>
      <c r="U2536" s="1452"/>
      <c r="V2536" s="1452"/>
      <c r="W2536" s="1109"/>
      <c r="X2536" s="1109"/>
      <c r="Y2536" s="1109"/>
      <c r="Z2536" s="1109"/>
      <c r="AA2536" s="1138"/>
      <c r="AB2536" s="1109"/>
      <c r="AC2536" s="1109"/>
      <c r="AD2536" s="1133"/>
      <c r="AE2536" s="1133"/>
      <c r="AF2536" s="1140"/>
      <c r="AG2536" s="1133"/>
      <c r="AH2536" s="121">
        <f t="shared" si="908"/>
        <v>21.25</v>
      </c>
      <c r="AI2536" s="121"/>
      <c r="AJ2536" s="1133"/>
      <c r="AK2536" s="830">
        <f t="shared" si="904"/>
        <v>1</v>
      </c>
      <c r="AL2536" s="121" t="e">
        <f>Table1[[#This Row],[WSP/Dealer]]/Table1[[#This Row],[OD Sq Inch]]</f>
        <v>#DIV/0!</v>
      </c>
      <c r="AM2536" s="1133"/>
      <c r="AN2536" s="1133"/>
      <c r="AO2536" s="1133"/>
      <c r="AP2536" s="1133"/>
      <c r="AQ2536" s="1145"/>
      <c r="AR2536" s="1144"/>
      <c r="AS2536" s="1144"/>
      <c r="AT2536" s="1144"/>
      <c r="AU2536" s="1464" t="str">
        <f t="shared" si="899"/>
        <v>-</v>
      </c>
    </row>
    <row r="2537" spans="1:47" s="170" customFormat="1" hidden="1" x14ac:dyDescent="0.2">
      <c r="A2537" s="101" t="s">
        <v>187</v>
      </c>
      <c r="B2537" s="1064" t="s">
        <v>188</v>
      </c>
      <c r="C2537" s="1723" t="s">
        <v>5792</v>
      </c>
      <c r="D2537" s="1132"/>
      <c r="E2537" s="1749" t="s">
        <v>5791</v>
      </c>
      <c r="F2537" s="1133" t="s">
        <v>960</v>
      </c>
      <c r="G2537" s="1753" t="s">
        <v>1937</v>
      </c>
      <c r="H2537" s="1109"/>
      <c r="I2537" s="1758" t="s">
        <v>256</v>
      </c>
      <c r="J2537" s="1135" t="s">
        <v>257</v>
      </c>
      <c r="K2537" s="1758" t="s">
        <v>268</v>
      </c>
      <c r="L2537" s="1109" t="s">
        <v>269</v>
      </c>
      <c r="M2537" s="1767">
        <v>425</v>
      </c>
      <c r="N2537" s="114"/>
      <c r="O2537" s="1109" t="s">
        <v>260</v>
      </c>
      <c r="P2537" s="1108"/>
      <c r="Q2537" s="1108"/>
      <c r="R2537" s="1108"/>
      <c r="S2537" s="1108"/>
      <c r="T2537" s="1452"/>
      <c r="U2537" s="1452"/>
      <c r="V2537" s="1137"/>
      <c r="W2537" s="1136"/>
      <c r="X2537" s="1109"/>
      <c r="Y2537" s="1109"/>
      <c r="Z2537" s="1109"/>
      <c r="AA2537" s="1138"/>
      <c r="AB2537" s="1109"/>
      <c r="AC2537" s="1109"/>
      <c r="AD2537" s="1139"/>
      <c r="AE2537" s="1133"/>
      <c r="AF2537" s="1140"/>
      <c r="AG2537" s="1133"/>
      <c r="AH2537" s="120">
        <f t="shared" si="908"/>
        <v>21.25</v>
      </c>
      <c r="AI2537" s="120"/>
      <c r="AJ2537" s="1133"/>
      <c r="AK2537" s="108">
        <f t="shared" si="904"/>
        <v>1</v>
      </c>
      <c r="AL2537" s="121" t="e">
        <f>Table1[[#This Row],[WSP/Dealer]]/Table1[[#This Row],[OD Sq Inch]]</f>
        <v>#DIV/0!</v>
      </c>
      <c r="AM2537" s="1139"/>
      <c r="AN2537" s="1133"/>
      <c r="AO2537" s="1133"/>
      <c r="AP2537" s="1133"/>
      <c r="AQ2537" s="1145"/>
      <c r="AR2537" s="1144"/>
      <c r="AS2537" s="1144"/>
      <c r="AT2537" s="1144"/>
      <c r="AU2537" s="1464" t="str">
        <f t="shared" si="899"/>
        <v>-</v>
      </c>
    </row>
    <row r="2538" spans="1:47" s="170" customFormat="1" hidden="1" x14ac:dyDescent="0.2">
      <c r="A2538" s="101" t="s">
        <v>187</v>
      </c>
      <c r="B2538" s="1064" t="s">
        <v>188</v>
      </c>
      <c r="C2538" s="1723" t="s">
        <v>5793</v>
      </c>
      <c r="D2538" s="1132"/>
      <c r="E2538" s="1749" t="s">
        <v>5791</v>
      </c>
      <c r="F2538" s="1133" t="s">
        <v>960</v>
      </c>
      <c r="G2538" s="1753" t="s">
        <v>1937</v>
      </c>
      <c r="H2538" s="1109"/>
      <c r="I2538" s="1758" t="s">
        <v>256</v>
      </c>
      <c r="J2538" s="1135" t="s">
        <v>257</v>
      </c>
      <c r="K2538" s="1758" t="s">
        <v>198</v>
      </c>
      <c r="L2538" s="1109" t="s">
        <v>199</v>
      </c>
      <c r="M2538" s="1767">
        <v>275</v>
      </c>
      <c r="N2538" s="114"/>
      <c r="O2538" s="1109" t="s">
        <v>260</v>
      </c>
      <c r="P2538" s="1108"/>
      <c r="Q2538" s="1108"/>
      <c r="R2538" s="1108"/>
      <c r="S2538" s="1108"/>
      <c r="T2538" s="1452"/>
      <c r="U2538" s="1452"/>
      <c r="V2538" s="1137"/>
      <c r="W2538" s="1136"/>
      <c r="X2538" s="1109"/>
      <c r="Y2538" s="1109"/>
      <c r="Z2538" s="1109"/>
      <c r="AA2538" s="1138"/>
      <c r="AB2538" s="1109"/>
      <c r="AC2538" s="1109"/>
      <c r="AD2538" s="1139"/>
      <c r="AE2538" s="1133">
        <f>IF(Table1[[#This Row],[Work Center]]="SwissQ",Materials!G$37,IF(Table1[[#This Row],[Work Center]]="Inca",Materials!G$29,IF(Table1[[#This Row],[Work Center]]="Canon",Materials!G$49,Materials!G$45)))</f>
        <v>7</v>
      </c>
      <c r="AF2538" s="1140"/>
      <c r="AG2538" s="1133">
        <f>Materials!D$76</f>
        <v>10.82</v>
      </c>
      <c r="AH2538" s="121">
        <f t="shared" si="908"/>
        <v>13.75</v>
      </c>
      <c r="AI2538" s="121"/>
      <c r="AJ2538" s="1133"/>
      <c r="AK2538" s="830">
        <f t="shared" si="904"/>
        <v>1</v>
      </c>
      <c r="AL2538" s="121" t="e">
        <f>Table1[[#This Row],[WSP/Dealer]]/Table1[[#This Row],[OD Sq Inch]]</f>
        <v>#DIV/0!</v>
      </c>
      <c r="AM2538" s="1139"/>
      <c r="AN2538" s="1133"/>
      <c r="AO2538" s="1133"/>
      <c r="AP2538" s="1133"/>
      <c r="AQ2538" s="1145"/>
      <c r="AR2538" s="1144"/>
      <c r="AS2538" s="1144"/>
      <c r="AT2538" s="1144"/>
      <c r="AU2538" s="1464" t="str">
        <f t="shared" si="899"/>
        <v>-</v>
      </c>
    </row>
    <row r="2539" spans="1:47" s="170" customFormat="1" x14ac:dyDescent="0.2">
      <c r="A2539" s="101" t="s">
        <v>58</v>
      </c>
      <c r="B2539" s="1067" t="s">
        <v>587</v>
      </c>
      <c r="C2539" s="1335" t="s">
        <v>5794</v>
      </c>
      <c r="D2539" s="168"/>
      <c r="E2539" s="1658" t="s">
        <v>5795</v>
      </c>
      <c r="F2539" s="169" t="s">
        <v>585</v>
      </c>
      <c r="G2539" s="303" t="s">
        <v>1026</v>
      </c>
      <c r="H2539" s="101" t="s">
        <v>1026</v>
      </c>
      <c r="I2539" s="92" t="s">
        <v>52</v>
      </c>
      <c r="J2539" s="59" t="s">
        <v>280</v>
      </c>
      <c r="K2539" s="92" t="s">
        <v>281</v>
      </c>
      <c r="L2539" s="101" t="s">
        <v>282</v>
      </c>
      <c r="M2539" s="494">
        <v>625</v>
      </c>
      <c r="N2539" s="114">
        <v>625</v>
      </c>
      <c r="O2539" s="101" t="s">
        <v>64</v>
      </c>
      <c r="P2539" s="60">
        <v>30</v>
      </c>
      <c r="Q2539" s="60">
        <v>40</v>
      </c>
      <c r="R2539" s="60">
        <v>30</v>
      </c>
      <c r="S2539" s="46">
        <v>40</v>
      </c>
      <c r="T2539" s="60">
        <v>30</v>
      </c>
      <c r="U2539" s="60">
        <v>40</v>
      </c>
      <c r="V2539" s="47">
        <v>30</v>
      </c>
      <c r="W2539" s="106">
        <v>40</v>
      </c>
      <c r="X2539" s="101" t="s">
        <v>283</v>
      </c>
      <c r="Y2539" s="101"/>
      <c r="Z2539" s="101"/>
      <c r="AA2539" s="649">
        <f>V2539*W2539/144</f>
        <v>8.3333333333333339</v>
      </c>
      <c r="AB2539" s="184">
        <f>AA2539*Swiss1</f>
        <v>235.83333333333334</v>
      </c>
      <c r="AC2539" s="104">
        <f>MDFSHEET*0.25</f>
        <v>6.0875000000000004</v>
      </c>
      <c r="AD2539" s="120">
        <f>Table1[[#This Row],[Substrate SF]]*Materials!C$37</f>
        <v>23.333333333333332</v>
      </c>
      <c r="AE2539" s="121">
        <f>IF(Table1[[#This Row],[Work Center]]="SwissQ",Materials!G$37,IF(Table1[[#This Row],[Work Center]]="Inca",Materials!G$29,IF(Table1[[#This Row],[Work Center]]="Canon",Materials!G$49,Materials!G$45)))</f>
        <v>20</v>
      </c>
      <c r="AF2539" s="102">
        <f>'Cali Frames'!D539</f>
        <v>101.955</v>
      </c>
      <c r="AG2539" s="121"/>
      <c r="AH2539" s="120">
        <f t="shared" si="908"/>
        <v>31.25</v>
      </c>
      <c r="AI2539" s="120"/>
      <c r="AJ2539" s="121">
        <f>SUM(AC2539:AH2539)</f>
        <v>182.62583333333333</v>
      </c>
      <c r="AK2539" s="108">
        <f t="shared" si="904"/>
        <v>0.70779866666666669</v>
      </c>
      <c r="AL2539" s="121">
        <f>Table1[[#This Row],[WSP/Dealer]]/Table1[[#This Row],[OD Sq Inch]]</f>
        <v>0.52083333333333337</v>
      </c>
      <c r="AM2539" s="113">
        <f>Table1[[#This Row],[OD Wdth]]*Table1[[#This Row],[OD Hgt]]</f>
        <v>1200</v>
      </c>
      <c r="AN2539" s="115">
        <f>Table1[[#This Row],[Min VO]]+Table1[[#This Row],[Max VO]]</f>
        <v>70</v>
      </c>
      <c r="AO2539" s="113"/>
      <c r="AP2539" s="115"/>
      <c r="AQ2539" s="121"/>
      <c r="AR2539" s="121"/>
      <c r="AS2539" s="121"/>
      <c r="AT2539" s="104"/>
      <c r="AU2539" s="1367" t="str">
        <f t="shared" si="899"/>
        <v>-</v>
      </c>
    </row>
    <row r="2540" spans="1:47" s="170" customFormat="1" hidden="1" x14ac:dyDescent="0.2">
      <c r="A2540" s="101" t="s">
        <v>187</v>
      </c>
      <c r="B2540" s="1067" t="s">
        <v>734</v>
      </c>
      <c r="C2540" s="1538" t="s">
        <v>5796</v>
      </c>
      <c r="D2540" s="168"/>
      <c r="E2540" s="1632" t="s">
        <v>5797</v>
      </c>
      <c r="F2540" s="169" t="s">
        <v>585</v>
      </c>
      <c r="G2540" s="1636" t="s">
        <v>51</v>
      </c>
      <c r="H2540" s="101" t="s">
        <v>1026</v>
      </c>
      <c r="I2540" s="1635" t="s">
        <v>52</v>
      </c>
      <c r="J2540" s="59" t="s">
        <v>280</v>
      </c>
      <c r="K2540" s="1635" t="s">
        <v>5366</v>
      </c>
      <c r="L2540" s="101" t="s">
        <v>282</v>
      </c>
      <c r="M2540" s="494">
        <v>2130</v>
      </c>
      <c r="N2540" s="114"/>
      <c r="O2540" s="101" t="s">
        <v>64</v>
      </c>
      <c r="P2540" s="46">
        <v>30</v>
      </c>
      <c r="Q2540" s="46">
        <v>40</v>
      </c>
      <c r="R2540" s="60">
        <v>30</v>
      </c>
      <c r="S2540" s="46">
        <v>40</v>
      </c>
      <c r="T2540" s="68">
        <v>30</v>
      </c>
      <c r="U2540" s="68">
        <v>40</v>
      </c>
      <c r="V2540" s="66">
        <v>30</v>
      </c>
      <c r="W2540" s="106">
        <v>40</v>
      </c>
      <c r="X2540" s="101" t="s">
        <v>283</v>
      </c>
      <c r="Y2540" s="101"/>
      <c r="Z2540" s="101"/>
      <c r="AA2540" s="649">
        <f>V2540*W2540/144</f>
        <v>8.3333333333333339</v>
      </c>
      <c r="AB2540" s="184">
        <f>AA2540*Swiss1</f>
        <v>235.83333333333334</v>
      </c>
      <c r="AC2540" s="104">
        <f>MDFSHEET*0.25</f>
        <v>6.0875000000000004</v>
      </c>
      <c r="AD2540" s="120">
        <f>Table1[[#This Row],[Substrate SF]]*Materials!C$37</f>
        <v>23.333333333333332</v>
      </c>
      <c r="AE2540" s="121">
        <f>IF(Table1[[#This Row],[Work Center]]="SwissQ",Materials!G$37,IF(Table1[[#This Row],[Work Center]]="Inca",Materials!G$29,IF(Table1[[#This Row],[Work Center]]="Canon",Materials!G$49,Materials!G$45)))</f>
        <v>20</v>
      </c>
      <c r="AF2540" s="102">
        <f>'Cali Frames'!D541</f>
        <v>126.02</v>
      </c>
      <c r="AG2540" s="121"/>
      <c r="AH2540" s="120">
        <f t="shared" si="908"/>
        <v>106.5</v>
      </c>
      <c r="AI2540" s="120"/>
      <c r="AJ2540" s="121">
        <f>SUM(AC2540:AH2540)</f>
        <v>281.94083333333333</v>
      </c>
      <c r="AK2540" s="108">
        <f t="shared" si="904"/>
        <v>0.8676334115805947</v>
      </c>
      <c r="AL2540" s="121">
        <f>Table1[[#This Row],[WSP/Dealer]]/Table1[[#This Row],[OD Sq Inch]]</f>
        <v>1.7749999999999999</v>
      </c>
      <c r="AM2540" s="113">
        <f>Table1[[#This Row],[OD Wdth]]*Table1[[#This Row],[OD Hgt]]</f>
        <v>1200</v>
      </c>
      <c r="AN2540" s="115">
        <f>Table1[[#This Row],[Min VO]]+Table1[[#This Row],[Max VO]]</f>
        <v>70</v>
      </c>
      <c r="AO2540" s="113"/>
      <c r="AP2540" s="115"/>
      <c r="AQ2540" s="121"/>
      <c r="AR2540" s="121"/>
      <c r="AS2540" s="121"/>
      <c r="AT2540" s="104"/>
      <c r="AU2540" s="1367" t="str">
        <f t="shared" si="899"/>
        <v>-</v>
      </c>
    </row>
    <row r="2541" spans="1:47" s="170" customFormat="1" hidden="1" x14ac:dyDescent="0.2">
      <c r="A2541" s="101" t="s">
        <v>187</v>
      </c>
      <c r="B2541" s="1067" t="s">
        <v>734</v>
      </c>
      <c r="C2541" s="1538" t="s">
        <v>5798</v>
      </c>
      <c r="D2541" s="168"/>
      <c r="E2541" s="1632" t="s">
        <v>5799</v>
      </c>
      <c r="F2541" s="169" t="s">
        <v>585</v>
      </c>
      <c r="G2541" s="1636" t="s">
        <v>51</v>
      </c>
      <c r="H2541" s="101" t="s">
        <v>1026</v>
      </c>
      <c r="I2541" s="92" t="s">
        <v>108</v>
      </c>
      <c r="J2541" s="59" t="s">
        <v>197</v>
      </c>
      <c r="K2541" s="92" t="s">
        <v>198</v>
      </c>
      <c r="L2541" s="101" t="s">
        <v>199</v>
      </c>
      <c r="M2541" s="494">
        <v>60</v>
      </c>
      <c r="N2541" s="114"/>
      <c r="O2541" s="101" t="s">
        <v>64</v>
      </c>
      <c r="P2541" s="60">
        <v>30</v>
      </c>
      <c r="Q2541" s="60">
        <v>40</v>
      </c>
      <c r="R2541" s="60">
        <v>30</v>
      </c>
      <c r="S2541" s="60">
        <v>40</v>
      </c>
      <c r="T2541" s="68">
        <v>30</v>
      </c>
      <c r="U2541" s="68">
        <v>40</v>
      </c>
      <c r="V2541" s="66">
        <v>30</v>
      </c>
      <c r="W2541" s="106">
        <v>40</v>
      </c>
      <c r="X2541" s="101" t="s">
        <v>197</v>
      </c>
      <c r="Y2541" s="101"/>
      <c r="Z2541" s="101"/>
      <c r="AA2541" s="649">
        <f>V2541*W2541/144</f>
        <v>8.3333333333333339</v>
      </c>
      <c r="AB2541" s="184">
        <f>AA2541*SWISSRML</f>
        <v>16.666666666666668</v>
      </c>
      <c r="AC2541" s="104">
        <f>Table1[[#This Row],[Substrate SF]]*POster</f>
        <v>6.2</v>
      </c>
      <c r="AD2541" s="120">
        <f>Table1[[#This Row],[Substrate SF]]*SWISSRC</f>
        <v>1.8333333333333335</v>
      </c>
      <c r="AE2541" s="121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541" s="102">
        <v>0</v>
      </c>
      <c r="AG2541" s="121">
        <f>Materials!D$76</f>
        <v>10.82</v>
      </c>
      <c r="AH2541" s="120">
        <f t="shared" si="908"/>
        <v>3</v>
      </c>
      <c r="AI2541" s="120"/>
      <c r="AJ2541" s="121">
        <f>SUM(AC2541:AH2541)</f>
        <v>31.853333333333332</v>
      </c>
      <c r="AK2541" s="108">
        <f t="shared" si="904"/>
        <v>0.46911111111111115</v>
      </c>
      <c r="AL2541" s="121">
        <f>Table1[[#This Row],[WSP/Dealer]]/Table1[[#This Row],[OD Sq Inch]]</f>
        <v>0.05</v>
      </c>
      <c r="AM2541" s="113">
        <f>Table1[[#This Row],[OD Wdth]]*Table1[[#This Row],[OD Hgt]]</f>
        <v>1200</v>
      </c>
      <c r="AN2541" s="115"/>
      <c r="AO2541" s="113"/>
      <c r="AP2541" s="115"/>
      <c r="AQ2541" s="121"/>
      <c r="AR2541" s="121"/>
      <c r="AS2541" s="121"/>
      <c r="AT2541" s="104"/>
      <c r="AU2541" s="1367" t="str">
        <f t="shared" si="899"/>
        <v>-</v>
      </c>
    </row>
    <row r="2542" spans="1:47" s="170" customFormat="1" hidden="1" x14ac:dyDescent="0.2">
      <c r="A2542" s="60" t="s">
        <v>318</v>
      </c>
      <c r="B2542" s="1071" t="s">
        <v>305</v>
      </c>
      <c r="C2542" s="80" t="s">
        <v>5800</v>
      </c>
      <c r="D2542" s="79"/>
      <c r="E2542" s="492" t="s">
        <v>5801</v>
      </c>
      <c r="F2542" s="83" t="s">
        <v>322</v>
      </c>
      <c r="G2542" s="92" t="s">
        <v>2194</v>
      </c>
      <c r="H2542" s="60" t="s">
        <v>302</v>
      </c>
      <c r="I2542" s="92" t="s">
        <v>256</v>
      </c>
      <c r="J2542" s="59" t="s">
        <v>257</v>
      </c>
      <c r="K2542" s="92" t="s">
        <v>258</v>
      </c>
      <c r="L2542" s="60" t="s">
        <v>259</v>
      </c>
      <c r="M2542" s="622">
        <v>400</v>
      </c>
      <c r="N2542" s="124"/>
      <c r="O2542" s="60" t="s">
        <v>260</v>
      </c>
      <c r="P2542" s="60">
        <v>22</v>
      </c>
      <c r="Q2542" s="60">
        <v>30</v>
      </c>
      <c r="R2542" s="60">
        <v>22</v>
      </c>
      <c r="S2542" s="273">
        <v>30</v>
      </c>
      <c r="T2542" s="60">
        <v>24</v>
      </c>
      <c r="U2542" s="60">
        <v>32</v>
      </c>
      <c r="V2542" s="47">
        <f>IF(J2542="Canvas",P2542+BorderGW,P2542)</f>
        <v>22</v>
      </c>
      <c r="W2542" s="47">
        <f>IF(J2542="Canvas",Q2542+BorderGW,Q2542)</f>
        <v>30</v>
      </c>
      <c r="X2542" s="60" t="s">
        <v>257</v>
      </c>
      <c r="Y2542" s="1444">
        <v>24</v>
      </c>
      <c r="Z2542" s="1444">
        <v>32</v>
      </c>
      <c r="AA2542" s="678">
        <f>(Table1[[#This Row],[Cut Width]]*Table1[[#This Row],[Cut Height]])/144</f>
        <v>5.333333333333333</v>
      </c>
      <c r="AB2542" s="125">
        <f>(Table1[[#This Row],[Print Wth]]*Table1[[#This Row],[Print Ht]])/144*canonML</f>
        <v>21.999999999999996</v>
      </c>
      <c r="AC2542" s="69">
        <f>Table1[[#This Row],[Substrate SF]]*Paper</f>
        <v>7.2159999999999993</v>
      </c>
      <c r="AD2542" s="48">
        <f>(Table1[[#This Row],[Print Wth]]*Table1[[#This Row],[Print Ht]])/144*CanonC</f>
        <v>1.2375</v>
      </c>
      <c r="AE2542" s="69">
        <f>IF(Table1[[#This Row],[Work Center]]="SwissQ",Materials!G$37,IF(Table1[[#This Row],[Work Center]]="Inca",Materials!G$29,IF(Table1[[#This Row],[Work Center]]="Canon",Materials!G$49,Materials!G$45)))</f>
        <v>7</v>
      </c>
      <c r="AF2542" s="72">
        <f>'Cali Frames'!D33</f>
        <v>95</v>
      </c>
      <c r="AG2542" s="540"/>
      <c r="AH2542" s="175">
        <f t="shared" si="908"/>
        <v>20</v>
      </c>
      <c r="AI2542" s="175"/>
      <c r="AJ2542" s="175">
        <f>SUM(AC2542:AH2542)</f>
        <v>130.45350000000002</v>
      </c>
      <c r="AK2542" s="676">
        <f t="shared" si="904"/>
        <v>0.67386625</v>
      </c>
      <c r="AL2542" s="176">
        <f>Table1[[#This Row],[WSP/Dealer]]/Table1[[#This Row],[OD Sq Inch]]</f>
        <v>0.52083333333333337</v>
      </c>
      <c r="AM2542" s="173">
        <f>Table1[[#This Row],[OD Wdth]]*Table1[[#This Row],[OD Hgt]]</f>
        <v>768</v>
      </c>
      <c r="AN2542" s="180">
        <f>Table1[[#This Row],[Min VO]]+Table1[[#This Row],[Max VO]]</f>
        <v>52</v>
      </c>
      <c r="AO2542" s="95"/>
      <c r="AP2542" s="821"/>
      <c r="AQ2542" s="72">
        <f>(Table1[[#This Row],[Desgnr/Retail P]]*0.05)</f>
        <v>0</v>
      </c>
      <c r="AR2542" s="72" t="b">
        <f>IF(A2542="Codarus",(AP2542*0.13))</f>
        <v>0</v>
      </c>
      <c r="AS2542" s="72" t="e" cm="1">
        <f t="array" ref="AS2542">SUM(AC2542:AG2542+AQ+AR)</f>
        <v>#NAME?</v>
      </c>
      <c r="AT2542" s="72" t="e">
        <f>(AP2542-AS2542)/AP2542</f>
        <v>#NAME?</v>
      </c>
      <c r="AU2542" s="1355" t="str">
        <f t="shared" si="899"/>
        <v>-</v>
      </c>
    </row>
    <row r="2543" spans="1:47" s="170" customFormat="1" hidden="1" x14ac:dyDescent="0.2">
      <c r="A2543" s="101"/>
      <c r="B2543" s="1064"/>
      <c r="C2543" s="1710"/>
      <c r="D2543" s="100"/>
      <c r="E2543" s="1632" t="s">
        <v>5802</v>
      </c>
      <c r="F2543" s="169" t="s">
        <v>50</v>
      </c>
      <c r="G2543" s="1636" t="s">
        <v>519</v>
      </c>
      <c r="H2543" s="101" t="s">
        <v>519</v>
      </c>
      <c r="I2543" s="605" t="s">
        <v>52</v>
      </c>
      <c r="J2543" s="59" t="s">
        <v>280</v>
      </c>
      <c r="K2543" s="605" t="s">
        <v>281</v>
      </c>
      <c r="L2543" s="101" t="s">
        <v>282</v>
      </c>
      <c r="M2543" s="494">
        <v>230</v>
      </c>
      <c r="N2543" s="114"/>
      <c r="O2543" s="101" t="s">
        <v>56</v>
      </c>
      <c r="P2543" s="60">
        <v>16</v>
      </c>
      <c r="Q2543" s="60">
        <v>20</v>
      </c>
      <c r="R2543" s="60">
        <v>16</v>
      </c>
      <c r="S2543" s="60">
        <v>20</v>
      </c>
      <c r="T2543" s="68">
        <v>16</v>
      </c>
      <c r="U2543" s="68">
        <v>20</v>
      </c>
      <c r="V2543" s="66">
        <f>IF(J2543="Canvas",P2543+Border,P2543)</f>
        <v>16</v>
      </c>
      <c r="W2543" s="106">
        <f>IF(J2543="Canvas",Q2543+Border,Q2543)</f>
        <v>20</v>
      </c>
      <c r="X2543" s="101" t="s">
        <v>283</v>
      </c>
      <c r="Y2543" s="101">
        <v>16</v>
      </c>
      <c r="Z2543" s="101">
        <v>20</v>
      </c>
      <c r="AA2543" s="649">
        <f>V2543*W2543/144</f>
        <v>2.2222222222222223</v>
      </c>
      <c r="AB2543" s="184">
        <f>AA2543*IncaG</f>
        <v>46.755555555555553</v>
      </c>
      <c r="AC2543" s="104">
        <f>MDFSHEET/10</f>
        <v>2.4350000000000001</v>
      </c>
      <c r="AD2543" s="120">
        <f>Table1[[#This Row],[Substrate SF]]*IncaC</f>
        <v>3.7404444444444445</v>
      </c>
      <c r="AE2543" s="121">
        <f>IF(Table1[[#This Row],[Work Center]]="SwissQ",Materials!G$37,IF(Table1[[#This Row],[Work Center]]="Inca",Materials!G$29,IF(Table1[[#This Row],[Work Center]]="Canon",Materials!G$49,Materials!G$45)))</f>
        <v>8</v>
      </c>
      <c r="AF2543" s="102">
        <f>'Cali Frames'!D$535</f>
        <v>87.64</v>
      </c>
      <c r="AG2543" s="115"/>
      <c r="AH2543" s="121">
        <f t="shared" si="908"/>
        <v>11.5</v>
      </c>
      <c r="AI2543" s="121"/>
      <c r="AJ2543" s="121">
        <f>SUM(AC2543:AH2543)</f>
        <v>113.31544444444444</v>
      </c>
      <c r="AK2543" s="830">
        <f t="shared" si="904"/>
        <v>0.50732415458937197</v>
      </c>
      <c r="AL2543" s="121">
        <f>Table1[[#This Row],[WSP/Dealer]]/Table1[[#This Row],[OD Sq Inch]]</f>
        <v>0.71875</v>
      </c>
      <c r="AM2543" s="113">
        <f>Table1[[#This Row],[OD Wdth]]*Table1[[#This Row],[OD Hgt]]</f>
        <v>320</v>
      </c>
      <c r="AN2543" s="115" t="str">
        <f>Table1[[#This Row],[Color]]</f>
        <v>NGM</v>
      </c>
      <c r="AO2543" s="115" t="str">
        <f>Table1[[#This Row],[Print Type]]</f>
        <v>Synograph</v>
      </c>
      <c r="AP2543" s="121"/>
      <c r="AQ2543" s="121"/>
      <c r="AR2543" s="121"/>
      <c r="AS2543" s="121"/>
      <c r="AT2543" s="104"/>
      <c r="AU2543" s="1359" t="str">
        <f t="shared" ref="AU2543:AU2574" si="909">IF(AQ2543=0,"-",(AQ2543-AT2543)/AQ2543)</f>
        <v>-</v>
      </c>
    </row>
    <row r="2544" spans="1:47" s="170" customFormat="1" hidden="1" x14ac:dyDescent="0.2">
      <c r="A2544" s="101"/>
      <c r="B2544" s="1067"/>
      <c r="C2544" s="1053" t="s">
        <v>5803</v>
      </c>
      <c r="D2544" s="168"/>
      <c r="E2544" s="378" t="s">
        <v>5804</v>
      </c>
      <c r="F2544" s="115" t="s">
        <v>960</v>
      </c>
      <c r="G2544" s="303" t="s">
        <v>3879</v>
      </c>
      <c r="H2544" s="101"/>
      <c r="I2544" s="92" t="s">
        <v>304</v>
      </c>
      <c r="J2544" s="59" t="s">
        <v>257</v>
      </c>
      <c r="K2544" s="92" t="s">
        <v>258</v>
      </c>
      <c r="L2544" s="101" t="s">
        <v>83</v>
      </c>
      <c r="M2544" s="494"/>
      <c r="N2544" s="114"/>
      <c r="O2544" s="101"/>
      <c r="P2544" s="60"/>
      <c r="Q2544" s="60"/>
      <c r="R2544" s="60"/>
      <c r="S2544" s="60"/>
      <c r="T2544" s="68"/>
      <c r="U2544" s="68"/>
      <c r="V2544" s="917"/>
      <c r="W2544" s="608"/>
      <c r="X2544" s="101"/>
      <c r="Y2544" s="101"/>
      <c r="Z2544" s="101"/>
      <c r="AA2544" s="649"/>
      <c r="AB2544" s="184"/>
      <c r="AC2544" s="104"/>
      <c r="AD2544" s="121"/>
      <c r="AE2544" s="121"/>
      <c r="AF2544" s="102"/>
      <c r="AG2544" s="121"/>
      <c r="AH2544" s="121">
        <f t="shared" si="908"/>
        <v>0</v>
      </c>
      <c r="AI2544" s="121"/>
      <c r="AJ2544" s="121"/>
      <c r="AK2544" s="830" t="e">
        <f t="shared" si="904"/>
        <v>#DIV/0!</v>
      </c>
      <c r="AL2544" s="121" t="e">
        <f>Table1[[#This Row],[WSP/Dealer]]/Table1[[#This Row],[OD Sq Inch]]</f>
        <v>#DIV/0!</v>
      </c>
      <c r="AM2544" s="115"/>
      <c r="AN2544" s="115">
        <f>Table1[[#This Row],[Min VO]]+Table1[[#This Row],[Max VO]]</f>
        <v>0</v>
      </c>
      <c r="AO2544" s="115"/>
      <c r="AP2544" s="115"/>
      <c r="AQ2544" s="121"/>
      <c r="AR2544" s="121"/>
      <c r="AS2544" s="121"/>
      <c r="AT2544" s="104"/>
      <c r="AU2544" s="1359" t="str">
        <f t="shared" si="909"/>
        <v>-</v>
      </c>
    </row>
    <row r="2545" spans="1:47" s="399" customFormat="1" hidden="1" x14ac:dyDescent="0.2">
      <c r="A2545" s="101" t="s">
        <v>110</v>
      </c>
      <c r="B2545" s="1067" t="s">
        <v>250</v>
      </c>
      <c r="C2545" s="1336" t="s">
        <v>5805</v>
      </c>
      <c r="D2545" s="168"/>
      <c r="E2545" s="327" t="s">
        <v>5806</v>
      </c>
      <c r="F2545" s="115" t="s">
        <v>448</v>
      </c>
      <c r="G2545" s="303" t="s">
        <v>5807</v>
      </c>
      <c r="H2545" s="101" t="s">
        <v>5808</v>
      </c>
      <c r="I2545" s="303" t="s">
        <v>52</v>
      </c>
      <c r="J2545" s="487" t="s">
        <v>53</v>
      </c>
      <c r="K2545" s="101" t="s">
        <v>69</v>
      </c>
      <c r="L2545" s="101" t="s">
        <v>70</v>
      </c>
      <c r="M2545" s="692">
        <v>1120</v>
      </c>
      <c r="N2545" s="114"/>
      <c r="O2545" s="101" t="s">
        <v>56</v>
      </c>
      <c r="P2545" s="101">
        <v>48</v>
      </c>
      <c r="Q2545" s="101">
        <v>58</v>
      </c>
      <c r="R2545" s="101">
        <v>48</v>
      </c>
      <c r="S2545" s="101">
        <v>58</v>
      </c>
      <c r="T2545" s="101">
        <v>49</v>
      </c>
      <c r="U2545" s="101">
        <v>59</v>
      </c>
      <c r="V2545" s="106">
        <f>IF(J2545="Canvas",P2545+Border,P2545)</f>
        <v>56</v>
      </c>
      <c r="W2545" s="106">
        <f>IF(J2545="Canvas",Q2545+Border,Q2545)</f>
        <v>66</v>
      </c>
      <c r="X2545" s="101">
        <v>59</v>
      </c>
      <c r="Y2545" s="101">
        <v>56</v>
      </c>
      <c r="Z2545" s="101">
        <v>66</v>
      </c>
      <c r="AA2545" s="1069">
        <f t="shared" ref="AA2545:AA2560" si="910">V2545*W2545/144</f>
        <v>25.666666666666668</v>
      </c>
      <c r="AB2545" s="1162">
        <f>AA2545*IncaG</f>
        <v>540.02666666666664</v>
      </c>
      <c r="AC2545" s="104">
        <f>MDFSHEET/10</f>
        <v>2.4350000000000001</v>
      </c>
      <c r="AD2545" s="120">
        <f>Table1[[#This Row],[Substrate SF]]*IncaC</f>
        <v>43.202133333333336</v>
      </c>
      <c r="AE2545" s="121">
        <f>IF(Table1[[#This Row],[Work Center]]="SwissQ",Materials!G$37,IF(Table1[[#This Row],[Work Center]]="Inca",Materials!G$29,IF(Table1[[#This Row],[Work Center]]="Canon",Materials!G$49,Materials!G$45)))</f>
        <v>8</v>
      </c>
      <c r="AF2545" s="102">
        <f>'Cali Frames'!D334</f>
        <v>240</v>
      </c>
      <c r="AG2545" s="121"/>
      <c r="AH2545" s="120">
        <f t="shared" si="908"/>
        <v>56</v>
      </c>
      <c r="AI2545" s="405">
        <f>IF(A2545="Codarus",(M2545*0.13))</f>
        <v>145.6</v>
      </c>
      <c r="AJ2545" s="104">
        <f>SUM(AC2545:AI2545)</f>
        <v>495.2371333333333</v>
      </c>
      <c r="AK2545" s="108">
        <f t="shared" si="904"/>
        <v>0.55782398809523814</v>
      </c>
      <c r="AL2545" s="660">
        <f>Table1[[#This Row],[WSP/Dealer]]/Table1[[#This Row],[OD Sq Inch]]</f>
        <v>0.38740920096852299</v>
      </c>
      <c r="AM2545" s="399">
        <f>Table1[[#This Row],[OD Wdth]]*Table1[[#This Row],[OD Hgt]]</f>
        <v>2891</v>
      </c>
      <c r="AN2545" s="400">
        <f>Table1[[#This Row],[Min VO]]+Table1[[#This Row],[Max VO]]</f>
        <v>106</v>
      </c>
      <c r="AO2545" s="113"/>
      <c r="AP2545" s="1307">
        <v>2240</v>
      </c>
      <c r="AQ2545" s="121">
        <f>(Table1[[#This Row],[Desgnr/Retail P]]*0.05)</f>
        <v>112</v>
      </c>
      <c r="AR2545" s="121">
        <f>IF(A2545="Codarus",(AP2545*0.13))</f>
        <v>291.2</v>
      </c>
      <c r="AS2545" s="121">
        <f>SUM(Table1[[#This Row],[Substrate $]:[GP FINISH]])+Table1[[#This Row],[Retail Royalty]]+Table1[[#This Row],[Retail$Comm]]</f>
        <v>696.83713333333333</v>
      </c>
      <c r="AT2545" s="830">
        <f>IF(AP2545=0,"-",(AP2545-AS2545)/AP2545)</f>
        <v>0.68891199404761905</v>
      </c>
      <c r="AU2545" s="1367">
        <f t="shared" si="909"/>
        <v>0.99384900005314625</v>
      </c>
    </row>
    <row r="2546" spans="1:47" s="170" customFormat="1" hidden="1" x14ac:dyDescent="0.2">
      <c r="A2546" s="101"/>
      <c r="B2546" s="1067"/>
      <c r="C2546" s="183" t="s">
        <v>5809</v>
      </c>
      <c r="D2546" s="168"/>
      <c r="E2546" s="1711" t="s">
        <v>5810</v>
      </c>
      <c r="F2546" s="169" t="s">
        <v>150</v>
      </c>
      <c r="G2546" s="303" t="s">
        <v>1566</v>
      </c>
      <c r="H2546" s="101" t="s">
        <v>5811</v>
      </c>
      <c r="I2546" s="92" t="s">
        <v>52</v>
      </c>
      <c r="J2546" s="59" t="s">
        <v>257</v>
      </c>
      <c r="K2546" s="60" t="s">
        <v>258</v>
      </c>
      <c r="L2546" s="101" t="s">
        <v>259</v>
      </c>
      <c r="M2546" s="494">
        <v>320</v>
      </c>
      <c r="N2546" s="114"/>
      <c r="O2546" s="101" t="s">
        <v>56</v>
      </c>
      <c r="P2546" s="273">
        <v>19</v>
      </c>
      <c r="Q2546" s="273">
        <v>24</v>
      </c>
      <c r="R2546" s="60">
        <v>19</v>
      </c>
      <c r="S2546" s="273">
        <v>24</v>
      </c>
      <c r="T2546" s="697">
        <v>21</v>
      </c>
      <c r="U2546" s="697">
        <v>26</v>
      </c>
      <c r="V2546" s="106">
        <f>IF(J2546="Canvas",P2546+Border,P2546)</f>
        <v>19</v>
      </c>
      <c r="W2546" s="106">
        <f>IF(J2546="Canvas",Q2546+Border,Q2546)</f>
        <v>24</v>
      </c>
      <c r="X2546" s="101" t="s">
        <v>257</v>
      </c>
      <c r="Y2546" s="101"/>
      <c r="Z2546" s="101"/>
      <c r="AA2546" s="649">
        <f t="shared" si="910"/>
        <v>3.1666666666666665</v>
      </c>
      <c r="AB2546" s="184">
        <f>AA2546*IncaG</f>
        <v>66.626666666666665</v>
      </c>
      <c r="AC2546" s="104">
        <f>Table1[[#This Row],[Substrate SF]]*Paper</f>
        <v>4.2844999999999995</v>
      </c>
      <c r="AD2546" s="120">
        <f>AA2546*IncaC</f>
        <v>5.3301333333333334</v>
      </c>
      <c r="AE2546" s="121">
        <f>IF(Table1[[#This Row],[Work Center]]="SwissQ",Materials!G$37,IF(Table1[[#This Row],[Work Center]]="Inca",Materials!G$29,IF(Table1[[#This Row],[Work Center]]="Canon",Materials!G$49,Materials!G$45)))</f>
        <v>8</v>
      </c>
      <c r="AF2546" s="102">
        <f>'Cali Frames'!D$26</f>
        <v>86.87</v>
      </c>
      <c r="AG2546" s="121"/>
      <c r="AH2546" s="120">
        <f t="shared" si="908"/>
        <v>16</v>
      </c>
      <c r="AI2546" s="120"/>
      <c r="AJ2546" s="120">
        <f t="shared" ref="AJ2546:AJ2554" si="911">SUM(AC2546:AH2546)</f>
        <v>120.48463333333333</v>
      </c>
      <c r="AK2546" s="108">
        <f t="shared" si="904"/>
        <v>0.62348552083333331</v>
      </c>
      <c r="AL2546" s="121">
        <f>Table1[[#This Row],[WSP/Dealer]]/Table1[[#This Row],[OD Sq Inch]]</f>
        <v>0.58608058608058611</v>
      </c>
      <c r="AM2546" s="113">
        <f>Table1[[#This Row],[OD Wdth]]*Table1[[#This Row],[OD Hgt]]</f>
        <v>546</v>
      </c>
      <c r="AN2546" s="115">
        <f>Table1[[#This Row],[Min VO]]+Table1[[#This Row],[Max VO]]</f>
        <v>43</v>
      </c>
      <c r="AO2546" s="115"/>
      <c r="AP2546" s="115"/>
      <c r="AQ2546" s="121"/>
      <c r="AR2546" s="104"/>
      <c r="AS2546" s="104"/>
      <c r="AT2546" s="104"/>
      <c r="AU2546" s="1359" t="str">
        <f t="shared" si="909"/>
        <v>-</v>
      </c>
    </row>
    <row r="2547" spans="1:47" s="170" customFormat="1" hidden="1" x14ac:dyDescent="0.2">
      <c r="A2547" s="101"/>
      <c r="B2547" s="1067"/>
      <c r="C2547" s="1336" t="s">
        <v>5812</v>
      </c>
      <c r="D2547" s="100"/>
      <c r="E2547" s="1632" t="s">
        <v>5813</v>
      </c>
      <c r="F2547" s="169" t="s">
        <v>150</v>
      </c>
      <c r="G2547" s="303" t="s">
        <v>643</v>
      </c>
      <c r="H2547" s="101" t="s">
        <v>810</v>
      </c>
      <c r="I2547" s="92" t="s">
        <v>52</v>
      </c>
      <c r="J2547" s="59" t="s">
        <v>257</v>
      </c>
      <c r="K2547" s="92" t="s">
        <v>1444</v>
      </c>
      <c r="L2547" s="101" t="s">
        <v>259</v>
      </c>
      <c r="M2547" s="494">
        <v>225</v>
      </c>
      <c r="N2547" s="114"/>
      <c r="O2547" s="101" t="s">
        <v>56</v>
      </c>
      <c r="P2547" s="273">
        <v>20</v>
      </c>
      <c r="Q2547" s="273">
        <v>16</v>
      </c>
      <c r="R2547" s="60">
        <v>16</v>
      </c>
      <c r="S2547" s="273">
        <v>20</v>
      </c>
      <c r="T2547" s="623">
        <v>22</v>
      </c>
      <c r="U2547" s="623">
        <v>18</v>
      </c>
      <c r="V2547" s="917">
        <f>IF(J2547="Canvas",P2547+Border,P2547)</f>
        <v>20</v>
      </c>
      <c r="W2547" s="608">
        <f>IF(J2547="Canvas",Q2547+Border,Q2547)</f>
        <v>16</v>
      </c>
      <c r="X2547" s="101"/>
      <c r="Y2547" s="101">
        <v>20</v>
      </c>
      <c r="Z2547" s="101">
        <v>16</v>
      </c>
      <c r="AA2547" s="649">
        <f t="shared" si="910"/>
        <v>2.2222222222222223</v>
      </c>
      <c r="AB2547" s="184">
        <f>AA2547*IncaG</f>
        <v>46.755555555555553</v>
      </c>
      <c r="AC2547" s="104">
        <f>Table1[[#This Row],[Substrate SF]]*Paper</f>
        <v>3.0066666666666668</v>
      </c>
      <c r="AD2547" s="120">
        <f>Table1[[#This Row],[Substrate SF]]*IncaC</f>
        <v>3.7404444444444445</v>
      </c>
      <c r="AE2547" s="121">
        <f>IF(Table1[[#This Row],[Work Center]]="SwissQ",Materials!G$37,IF(Table1[[#This Row],[Work Center]]="Inca",Materials!G$29,IF(Table1[[#This Row],[Work Center]]="Canon",Materials!G$49,Materials!G$45)))</f>
        <v>8</v>
      </c>
      <c r="AF2547" s="102">
        <f>'Cali Frames'!D$22</f>
        <v>82.44</v>
      </c>
      <c r="AG2547" s="115"/>
      <c r="AH2547" s="120">
        <f t="shared" si="908"/>
        <v>11.25</v>
      </c>
      <c r="AI2547" s="120"/>
      <c r="AJ2547" s="120">
        <f t="shared" si="911"/>
        <v>108.43711111111111</v>
      </c>
      <c r="AK2547" s="108">
        <f t="shared" si="904"/>
        <v>0.51805728395061734</v>
      </c>
      <c r="AL2547" s="121">
        <f>Table1[[#This Row],[WSP/Dealer]]/Table1[[#This Row],[OD Sq Inch]]</f>
        <v>0.56818181818181823</v>
      </c>
      <c r="AM2547" s="113">
        <f>Table1[[#This Row],[OD Wdth]]*Table1[[#This Row],[OD Hgt]]</f>
        <v>396</v>
      </c>
      <c r="AN2547" s="115" t="str">
        <f>Table1[[#This Row],[Color]]</f>
        <v>BA</v>
      </c>
      <c r="AO2547" s="115" t="str">
        <f>Table1[[#This Row],[Print Type]]</f>
        <v>Synograph</v>
      </c>
      <c r="AP2547" s="115"/>
      <c r="AQ2547" s="121"/>
      <c r="AR2547" s="121"/>
      <c r="AS2547" s="121"/>
      <c r="AT2547" s="104"/>
      <c r="AU2547" s="1359" t="str">
        <f t="shared" si="909"/>
        <v>-</v>
      </c>
    </row>
    <row r="2548" spans="1:47" s="170" customFormat="1" hidden="1" x14ac:dyDescent="0.2">
      <c r="A2548" s="101"/>
      <c r="B2548" s="1067"/>
      <c r="C2548" s="183" t="s">
        <v>5814</v>
      </c>
      <c r="D2548" s="168"/>
      <c r="E2548" s="327" t="s">
        <v>5815</v>
      </c>
      <c r="F2548" s="115" t="s">
        <v>150</v>
      </c>
      <c r="G2548" s="303" t="s">
        <v>5816</v>
      </c>
      <c r="H2548" s="101"/>
      <c r="I2548" s="92" t="s">
        <v>108</v>
      </c>
      <c r="J2548" s="59" t="s">
        <v>257</v>
      </c>
      <c r="K2548" s="60" t="s">
        <v>258</v>
      </c>
      <c r="L2548" s="101" t="s">
        <v>259</v>
      </c>
      <c r="M2548" s="494">
        <v>225</v>
      </c>
      <c r="N2548" s="114"/>
      <c r="O2548" s="101" t="s">
        <v>260</v>
      </c>
      <c r="P2548" s="60">
        <v>24</v>
      </c>
      <c r="Q2548" s="60">
        <v>19</v>
      </c>
      <c r="R2548" s="60">
        <v>19</v>
      </c>
      <c r="S2548" s="60">
        <v>24</v>
      </c>
      <c r="T2548" s="101">
        <v>26</v>
      </c>
      <c r="U2548" s="101">
        <v>21</v>
      </c>
      <c r="V2548" s="946">
        <f>Table1[[#This Row],[VO Wdth]]+Materials!$C$50</f>
        <v>26</v>
      </c>
      <c r="W2548" s="608">
        <f>Table1[[#This Row],[VO Hgt]]+Materials!$C$50</f>
        <v>21</v>
      </c>
      <c r="X2548" s="101" t="s">
        <v>257</v>
      </c>
      <c r="Y2548" s="101"/>
      <c r="Z2548" s="101"/>
      <c r="AA2548" s="649">
        <f t="shared" si="910"/>
        <v>3.7916666666666665</v>
      </c>
      <c r="AB2548" s="184">
        <f>AA2548*canonML</f>
        <v>18.2</v>
      </c>
      <c r="AC2548" s="104">
        <f>Table1[[#This Row],[Print Wth]]*paper60</f>
        <v>8.84</v>
      </c>
      <c r="AD2548" s="120">
        <f>Table1[[#This Row],[Ink g/mL]]*CanonC</f>
        <v>4.9139999999999997</v>
      </c>
      <c r="AE2548" s="121">
        <f>IF(Table1[[#This Row],[Work Center]]="SwissQ",Materials!G$37,IF(Table1[[#This Row],[Work Center]]="Inca",Materials!G$29,IF(Table1[[#This Row],[Work Center]]="Canon",Materials!G$49,Materials!G$45)))</f>
        <v>7</v>
      </c>
      <c r="AF2548" s="102">
        <f>'Cali Frames'!D26</f>
        <v>86.87</v>
      </c>
      <c r="AG2548" s="121"/>
      <c r="AH2548" s="121">
        <f t="shared" si="908"/>
        <v>11.25</v>
      </c>
      <c r="AI2548" s="121"/>
      <c r="AJ2548" s="120">
        <f t="shared" si="911"/>
        <v>118.874</v>
      </c>
      <c r="AK2548" s="830">
        <f t="shared" si="904"/>
        <v>0.47167111111111115</v>
      </c>
      <c r="AL2548" s="121" t="e">
        <f>Table1[[#This Row],[WSP/Dealer]]/Table1[[#This Row],[OD Sq Inch]]</f>
        <v>#DIV/0!</v>
      </c>
      <c r="AM2548" s="113"/>
      <c r="AN2548" s="115">
        <f>Table1[[#This Row],[Min VO]]+Table1[[#This Row],[Max VO]]</f>
        <v>43</v>
      </c>
      <c r="AO2548" s="115"/>
      <c r="AP2548" s="115"/>
      <c r="AQ2548" s="121"/>
      <c r="AR2548" s="121"/>
      <c r="AS2548" s="121"/>
      <c r="AT2548" s="104"/>
      <c r="AU2548" s="1359" t="str">
        <f t="shared" si="909"/>
        <v>-</v>
      </c>
    </row>
    <row r="2549" spans="1:47" s="170" customFormat="1" hidden="1" x14ac:dyDescent="0.2">
      <c r="A2549" s="101"/>
      <c r="B2549" s="1067"/>
      <c r="C2549" s="183" t="s">
        <v>5817</v>
      </c>
      <c r="D2549" s="168"/>
      <c r="E2549" s="327" t="s">
        <v>5815</v>
      </c>
      <c r="F2549" s="115" t="s">
        <v>150</v>
      </c>
      <c r="G2549" s="303" t="s">
        <v>5816</v>
      </c>
      <c r="H2549" s="101"/>
      <c r="I2549" s="92" t="s">
        <v>108</v>
      </c>
      <c r="J2549" s="59" t="s">
        <v>257</v>
      </c>
      <c r="K2549" s="92" t="s">
        <v>258</v>
      </c>
      <c r="L2549" s="101" t="s">
        <v>269</v>
      </c>
      <c r="M2549" s="494">
        <v>250</v>
      </c>
      <c r="N2549" s="114"/>
      <c r="O2549" s="101" t="s">
        <v>260</v>
      </c>
      <c r="P2549" s="60">
        <v>24</v>
      </c>
      <c r="Q2549" s="60">
        <v>19</v>
      </c>
      <c r="R2549" s="60">
        <v>19</v>
      </c>
      <c r="S2549" s="60">
        <v>24</v>
      </c>
      <c r="T2549" s="103">
        <v>26</v>
      </c>
      <c r="U2549" s="103">
        <v>21</v>
      </c>
      <c r="V2549" s="47">
        <f>Table1[[#This Row],[VO Wdth]]+Materials!$C$50</f>
        <v>26</v>
      </c>
      <c r="W2549" s="106">
        <f>Table1[[#This Row],[VO Hgt]]+Materials!$C$50</f>
        <v>21</v>
      </c>
      <c r="X2549" s="101" t="s">
        <v>257</v>
      </c>
      <c r="Y2549" s="101"/>
      <c r="Z2549" s="101"/>
      <c r="AA2549" s="649">
        <f t="shared" si="910"/>
        <v>3.7916666666666665</v>
      </c>
      <c r="AB2549" s="184">
        <f>AA2549*canonML</f>
        <v>18.2</v>
      </c>
      <c r="AC2549" s="104">
        <f>Table1[[#This Row],[Print Wth]]*paper60</f>
        <v>8.84</v>
      </c>
      <c r="AD2549" s="120">
        <f>Table1[[#This Row],[Ink g/mL]]*CanonC</f>
        <v>4.9139999999999997</v>
      </c>
      <c r="AE2549" s="121">
        <f>IF(Table1[[#This Row],[Work Center]]="SwissQ",Materials!G$37,IF(Table1[[#This Row],[Work Center]]="Inca",Materials!G$29,IF(Table1[[#This Row],[Work Center]]="Canon",Materials!G$49,Materials!G$45)))</f>
        <v>7</v>
      </c>
      <c r="AF2549" s="102">
        <v>70</v>
      </c>
      <c r="AG2549" s="121"/>
      <c r="AH2549" s="120">
        <f t="shared" si="908"/>
        <v>12.5</v>
      </c>
      <c r="AI2549" s="120"/>
      <c r="AJ2549" s="121">
        <f t="shared" si="911"/>
        <v>103.25399999999999</v>
      </c>
      <c r="AK2549" s="108">
        <f t="shared" si="904"/>
        <v>0.58698400000000006</v>
      </c>
      <c r="AL2549" s="121" t="e">
        <f>Table1[[#This Row],[WSP/Dealer]]/Table1[[#This Row],[OD Sq Inch]]</f>
        <v>#DIV/0!</v>
      </c>
      <c r="AM2549" s="113"/>
      <c r="AN2549" s="115">
        <f>Table1[[#This Row],[Min VO]]+Table1[[#This Row],[Max VO]]</f>
        <v>43</v>
      </c>
      <c r="AO2549" s="115"/>
      <c r="AP2549" s="115"/>
      <c r="AQ2549" s="121"/>
      <c r="AR2549" s="121"/>
      <c r="AS2549" s="121"/>
      <c r="AT2549" s="104"/>
      <c r="AU2549" s="1359" t="str">
        <f t="shared" si="909"/>
        <v>-</v>
      </c>
    </row>
    <row r="2550" spans="1:47" s="173" customFormat="1" hidden="1" x14ac:dyDescent="0.2">
      <c r="A2550" s="101"/>
      <c r="B2550" s="1067"/>
      <c r="C2550" s="183" t="s">
        <v>5818</v>
      </c>
      <c r="D2550" s="168"/>
      <c r="E2550" s="1711" t="s">
        <v>5819</v>
      </c>
      <c r="F2550" s="169" t="s">
        <v>150</v>
      </c>
      <c r="G2550" s="303" t="s">
        <v>1566</v>
      </c>
      <c r="H2550" s="101" t="s">
        <v>5811</v>
      </c>
      <c r="I2550" s="92" t="s">
        <v>52</v>
      </c>
      <c r="J2550" s="59" t="s">
        <v>257</v>
      </c>
      <c r="K2550" s="92" t="s">
        <v>258</v>
      </c>
      <c r="L2550" s="101" t="s">
        <v>259</v>
      </c>
      <c r="M2550" s="114">
        <v>320</v>
      </c>
      <c r="N2550" s="114"/>
      <c r="O2550" s="101" t="s">
        <v>56</v>
      </c>
      <c r="P2550" s="273">
        <v>19</v>
      </c>
      <c r="Q2550" s="273">
        <v>24</v>
      </c>
      <c r="R2550" s="60">
        <v>19</v>
      </c>
      <c r="S2550" s="273">
        <v>24</v>
      </c>
      <c r="T2550" s="116">
        <v>21</v>
      </c>
      <c r="U2550" s="116">
        <v>26</v>
      </c>
      <c r="V2550" s="106">
        <f t="shared" ref="V2550:V2559" si="912">IF(J2550="Canvas",P2550+Border,P2550)</f>
        <v>19</v>
      </c>
      <c r="W2550" s="106">
        <f t="shared" ref="W2550:W2559" si="913">IF(J2550="Canvas",Q2550+Border,Q2550)</f>
        <v>24</v>
      </c>
      <c r="X2550" s="101" t="s">
        <v>257</v>
      </c>
      <c r="Y2550" s="101"/>
      <c r="Z2550" s="101"/>
      <c r="AA2550" s="649">
        <f t="shared" si="910"/>
        <v>3.1666666666666665</v>
      </c>
      <c r="AB2550" s="184">
        <f>AA2550*IncaG</f>
        <v>66.626666666666665</v>
      </c>
      <c r="AC2550" s="104">
        <f>Table1[[#This Row],[Substrate SF]]*Paper</f>
        <v>4.2844999999999995</v>
      </c>
      <c r="AD2550" s="120">
        <f>AA2550*IncaC</f>
        <v>5.3301333333333334</v>
      </c>
      <c r="AE2550" s="121">
        <f>IF(Table1[[#This Row],[Work Center]]="SwissQ",Materials!G$37,IF(Table1[[#This Row],[Work Center]]="Inca",Materials!G$29,IF(Table1[[#This Row],[Work Center]]="Canon",Materials!G$49,Materials!G$45)))</f>
        <v>8</v>
      </c>
      <c r="AF2550" s="102">
        <f>'Cali Frames'!D$26</f>
        <v>86.87</v>
      </c>
      <c r="AG2550" s="121"/>
      <c r="AH2550" s="120">
        <f t="shared" si="908"/>
        <v>16</v>
      </c>
      <c r="AI2550" s="120"/>
      <c r="AJ2550" s="121">
        <f t="shared" si="911"/>
        <v>120.48463333333333</v>
      </c>
      <c r="AK2550" s="108">
        <f t="shared" si="904"/>
        <v>0.62348552083333331</v>
      </c>
      <c r="AL2550" s="121">
        <f>Table1[[#This Row],[WSP/Dealer]]/Table1[[#This Row],[OD Sq Inch]]</f>
        <v>0.58608058608058611</v>
      </c>
      <c r="AM2550" s="113">
        <f>Table1[[#This Row],[OD Wdth]]*Table1[[#This Row],[OD Hgt]]</f>
        <v>546</v>
      </c>
      <c r="AN2550" s="115">
        <f>Table1[[#This Row],[Min VO]]+Table1[[#This Row],[Max VO]]</f>
        <v>43</v>
      </c>
      <c r="AO2550" s="115"/>
      <c r="AP2550" s="115"/>
      <c r="AQ2550" s="121"/>
      <c r="AR2550" s="104"/>
      <c r="AS2550" s="104"/>
      <c r="AT2550" s="104"/>
      <c r="AU2550" s="1359" t="str">
        <f t="shared" si="909"/>
        <v>-</v>
      </c>
    </row>
    <row r="2551" spans="1:47" s="170" customFormat="1" hidden="1" x14ac:dyDescent="0.2">
      <c r="A2551" s="101"/>
      <c r="B2551" s="1067"/>
      <c r="C2551" s="1336" t="s">
        <v>5820</v>
      </c>
      <c r="D2551" s="100"/>
      <c r="E2551" s="378" t="s">
        <v>5821</v>
      </c>
      <c r="F2551" s="115" t="s">
        <v>150</v>
      </c>
      <c r="G2551" s="303" t="s">
        <v>643</v>
      </c>
      <c r="H2551" s="101" t="s">
        <v>810</v>
      </c>
      <c r="I2551" s="92" t="s">
        <v>52</v>
      </c>
      <c r="J2551" s="59" t="s">
        <v>257</v>
      </c>
      <c r="K2551" s="92" t="s">
        <v>1444</v>
      </c>
      <c r="L2551" s="101" t="s">
        <v>259</v>
      </c>
      <c r="M2551" s="494">
        <v>225</v>
      </c>
      <c r="N2551" s="114"/>
      <c r="O2551" s="101" t="s">
        <v>56</v>
      </c>
      <c r="P2551" s="273">
        <v>20</v>
      </c>
      <c r="Q2551" s="273">
        <v>16</v>
      </c>
      <c r="R2551" s="60">
        <v>16</v>
      </c>
      <c r="S2551" s="61">
        <v>20</v>
      </c>
      <c r="T2551" s="65">
        <v>22</v>
      </c>
      <c r="U2551" s="65">
        <v>18</v>
      </c>
      <c r="V2551" s="66">
        <f t="shared" si="912"/>
        <v>20</v>
      </c>
      <c r="W2551" s="106">
        <f t="shared" si="913"/>
        <v>16</v>
      </c>
      <c r="X2551" s="101"/>
      <c r="Y2551" s="101">
        <v>20</v>
      </c>
      <c r="Z2551" s="101">
        <v>16</v>
      </c>
      <c r="AA2551" s="649">
        <f t="shared" si="910"/>
        <v>2.2222222222222223</v>
      </c>
      <c r="AB2551" s="184">
        <f>AA2551*IncaG</f>
        <v>46.755555555555553</v>
      </c>
      <c r="AC2551" s="104">
        <f>Table1[[#This Row],[Substrate SF]]*Paper</f>
        <v>3.0066666666666668</v>
      </c>
      <c r="AD2551" s="120">
        <f>Table1[[#This Row],[Substrate SF]]*IncaC</f>
        <v>3.7404444444444445</v>
      </c>
      <c r="AE2551" s="121">
        <f>IF(Table1[[#This Row],[Work Center]]="SwissQ",Materials!G$37,IF(Table1[[#This Row],[Work Center]]="Inca",Materials!G$29,IF(Table1[[#This Row],[Work Center]]="Canon",Materials!G$49,Materials!G$45)))</f>
        <v>8</v>
      </c>
      <c r="AF2551" s="102">
        <f>'Cali Frames'!D$22</f>
        <v>82.44</v>
      </c>
      <c r="AG2551" s="115"/>
      <c r="AH2551" s="120">
        <f t="shared" si="908"/>
        <v>11.25</v>
      </c>
      <c r="AI2551" s="120"/>
      <c r="AJ2551" s="120">
        <f t="shared" si="911"/>
        <v>108.43711111111111</v>
      </c>
      <c r="AK2551" s="108">
        <f t="shared" si="904"/>
        <v>0.51805728395061734</v>
      </c>
      <c r="AL2551" s="121">
        <f>Table1[[#This Row],[WSP/Dealer]]/Table1[[#This Row],[OD Sq Inch]]</f>
        <v>0.56818181818181823</v>
      </c>
      <c r="AM2551" s="113">
        <f>Table1[[#This Row],[OD Wdth]]*Table1[[#This Row],[OD Hgt]]</f>
        <v>396</v>
      </c>
      <c r="AN2551" s="115" t="str">
        <f>Table1[[#This Row],[Color]]</f>
        <v>BA</v>
      </c>
      <c r="AO2551" s="113" t="str">
        <f>Table1[[#This Row],[Print Type]]</f>
        <v>Synograph</v>
      </c>
      <c r="AP2551" s="115"/>
      <c r="AQ2551" s="121"/>
      <c r="AR2551" s="121"/>
      <c r="AS2551" s="121"/>
      <c r="AT2551" s="104"/>
      <c r="AU2551" s="1367" t="str">
        <f t="shared" si="909"/>
        <v>-</v>
      </c>
    </row>
    <row r="2552" spans="1:47" s="170" customFormat="1" hidden="1" x14ac:dyDescent="0.2">
      <c r="A2552" s="101"/>
      <c r="B2552" s="1067"/>
      <c r="C2552" s="183" t="s">
        <v>5822</v>
      </c>
      <c r="D2552" s="168"/>
      <c r="E2552" s="1711" t="s">
        <v>5823</v>
      </c>
      <c r="F2552" s="169" t="s">
        <v>150</v>
      </c>
      <c r="G2552" s="303" t="s">
        <v>1566</v>
      </c>
      <c r="H2552" s="101" t="s">
        <v>5811</v>
      </c>
      <c r="I2552" s="92" t="s">
        <v>52</v>
      </c>
      <c r="J2552" s="59" t="s">
        <v>257</v>
      </c>
      <c r="K2552" s="92" t="s">
        <v>258</v>
      </c>
      <c r="L2552" s="101" t="s">
        <v>259</v>
      </c>
      <c r="M2552" s="494">
        <v>320</v>
      </c>
      <c r="N2552" s="114"/>
      <c r="O2552" s="101" t="s">
        <v>56</v>
      </c>
      <c r="P2552" s="273">
        <v>19</v>
      </c>
      <c r="Q2552" s="273">
        <v>24</v>
      </c>
      <c r="R2552" s="60">
        <v>19</v>
      </c>
      <c r="S2552" s="273">
        <v>24</v>
      </c>
      <c r="T2552" s="697">
        <v>21</v>
      </c>
      <c r="U2552" s="697">
        <v>26</v>
      </c>
      <c r="V2552" s="106">
        <f t="shared" si="912"/>
        <v>19</v>
      </c>
      <c r="W2552" s="106">
        <f t="shared" si="913"/>
        <v>24</v>
      </c>
      <c r="X2552" s="101" t="s">
        <v>257</v>
      </c>
      <c r="Y2552" s="101"/>
      <c r="Z2552" s="101"/>
      <c r="AA2552" s="649">
        <f t="shared" si="910"/>
        <v>3.1666666666666665</v>
      </c>
      <c r="AB2552" s="184">
        <f>AA2552*IncaG</f>
        <v>66.626666666666665</v>
      </c>
      <c r="AC2552" s="104">
        <f>Table1[[#This Row],[Substrate SF]]*Paper</f>
        <v>4.2844999999999995</v>
      </c>
      <c r="AD2552" s="120">
        <f>AA2552*IncaC</f>
        <v>5.3301333333333334</v>
      </c>
      <c r="AE2552" s="121">
        <f>IF(Table1[[#This Row],[Work Center]]="SwissQ",Materials!G$37,IF(Table1[[#This Row],[Work Center]]="Inca",Materials!G$29,IF(Table1[[#This Row],[Work Center]]="Canon",Materials!G$49,Materials!G$45)))</f>
        <v>8</v>
      </c>
      <c r="AF2552" s="102">
        <f>'Cali Frames'!D$26</f>
        <v>86.87</v>
      </c>
      <c r="AG2552" s="121"/>
      <c r="AH2552" s="121">
        <f t="shared" si="908"/>
        <v>16</v>
      </c>
      <c r="AI2552" s="121"/>
      <c r="AJ2552" s="121">
        <f t="shared" si="911"/>
        <v>120.48463333333333</v>
      </c>
      <c r="AK2552" s="830">
        <f t="shared" si="904"/>
        <v>0.62348552083333331</v>
      </c>
      <c r="AL2552" s="121">
        <f>Table1[[#This Row],[WSP/Dealer]]/Table1[[#This Row],[OD Sq Inch]]</f>
        <v>0.58608058608058611</v>
      </c>
      <c r="AM2552" s="113">
        <f>Table1[[#This Row],[OD Wdth]]*Table1[[#This Row],[OD Hgt]]</f>
        <v>546</v>
      </c>
      <c r="AN2552" s="115">
        <f>Table1[[#This Row],[Min VO]]+Table1[[#This Row],[Max VO]]</f>
        <v>43</v>
      </c>
      <c r="AO2552" s="115"/>
      <c r="AP2552" s="115"/>
      <c r="AQ2552" s="121"/>
      <c r="AR2552" s="104"/>
      <c r="AS2552" s="104"/>
      <c r="AT2552" s="104"/>
      <c r="AU2552" s="1359" t="str">
        <f t="shared" si="909"/>
        <v>-</v>
      </c>
    </row>
    <row r="2553" spans="1:47" s="170" customFormat="1" hidden="1" x14ac:dyDescent="0.2">
      <c r="A2553" s="101"/>
      <c r="B2553" s="1067"/>
      <c r="C2553" s="1336" t="s">
        <v>5824</v>
      </c>
      <c r="D2553" s="100"/>
      <c r="E2553" s="1632" t="s">
        <v>5825</v>
      </c>
      <c r="F2553" s="169" t="s">
        <v>150</v>
      </c>
      <c r="G2553" s="303" t="s">
        <v>643</v>
      </c>
      <c r="H2553" s="101" t="s">
        <v>810</v>
      </c>
      <c r="I2553" s="92" t="s">
        <v>52</v>
      </c>
      <c r="J2553" s="59" t="s">
        <v>257</v>
      </c>
      <c r="K2553" s="60" t="s">
        <v>1444</v>
      </c>
      <c r="L2553" s="101" t="s">
        <v>259</v>
      </c>
      <c r="M2553" s="494">
        <v>225</v>
      </c>
      <c r="N2553" s="114"/>
      <c r="O2553" s="101" t="s">
        <v>56</v>
      </c>
      <c r="P2553" s="273">
        <v>20</v>
      </c>
      <c r="Q2553" s="273">
        <v>16</v>
      </c>
      <c r="R2553" s="60">
        <v>16</v>
      </c>
      <c r="S2553" s="273">
        <v>20</v>
      </c>
      <c r="T2553" s="623">
        <v>22</v>
      </c>
      <c r="U2553" s="623">
        <v>18</v>
      </c>
      <c r="V2553" s="917">
        <f t="shared" si="912"/>
        <v>20</v>
      </c>
      <c r="W2553" s="608">
        <f t="shared" si="913"/>
        <v>16</v>
      </c>
      <c r="X2553" s="101"/>
      <c r="Y2553" s="101">
        <v>20</v>
      </c>
      <c r="Z2553" s="101">
        <v>16</v>
      </c>
      <c r="AA2553" s="649">
        <f t="shared" si="910"/>
        <v>2.2222222222222223</v>
      </c>
      <c r="AB2553" s="184">
        <f>AA2553*IncaG</f>
        <v>46.755555555555553</v>
      </c>
      <c r="AC2553" s="104">
        <f>Table1[[#This Row],[Substrate SF]]*Paper</f>
        <v>3.0066666666666668</v>
      </c>
      <c r="AD2553" s="121">
        <f>Table1[[#This Row],[Substrate SF]]*IncaC</f>
        <v>3.7404444444444445</v>
      </c>
      <c r="AE2553" s="121">
        <f>IF(Table1[[#This Row],[Work Center]]="SwissQ",Materials!G$37,IF(Table1[[#This Row],[Work Center]]="Inca",Materials!G$29,IF(Table1[[#This Row],[Work Center]]="Canon",Materials!G$49,Materials!G$45)))</f>
        <v>8</v>
      </c>
      <c r="AF2553" s="102">
        <f>'Cali Frames'!D$22</f>
        <v>82.44</v>
      </c>
      <c r="AG2553" s="115"/>
      <c r="AH2553" s="121">
        <f t="shared" si="908"/>
        <v>11.25</v>
      </c>
      <c r="AI2553" s="121"/>
      <c r="AJ2553" s="121">
        <f t="shared" si="911"/>
        <v>108.43711111111111</v>
      </c>
      <c r="AK2553" s="830">
        <f t="shared" ref="AK2553:AK2584" si="914">(M2553-AJ2553)/M2553</f>
        <v>0.51805728395061734</v>
      </c>
      <c r="AL2553" s="121">
        <f>Table1[[#This Row],[WSP/Dealer]]/Table1[[#This Row],[OD Sq Inch]]</f>
        <v>0.56818181818181823</v>
      </c>
      <c r="AM2553" s="115">
        <f>Table1[[#This Row],[OD Wdth]]*Table1[[#This Row],[OD Hgt]]</f>
        <v>396</v>
      </c>
      <c r="AN2553" s="115" t="str">
        <f>Table1[[#This Row],[Color]]</f>
        <v>BA</v>
      </c>
      <c r="AO2553" s="115" t="str">
        <f>Table1[[#This Row],[Print Type]]</f>
        <v>Synograph</v>
      </c>
      <c r="AP2553" s="115"/>
      <c r="AQ2553" s="121"/>
      <c r="AR2553" s="121"/>
      <c r="AS2553" s="121"/>
      <c r="AT2553" s="104"/>
      <c r="AU2553" s="1359" t="str">
        <f t="shared" si="909"/>
        <v>-</v>
      </c>
    </row>
    <row r="2554" spans="1:47" s="170" customFormat="1" hidden="1" x14ac:dyDescent="0.2">
      <c r="A2554" s="101"/>
      <c r="B2554" s="1067"/>
      <c r="C2554" s="183" t="s">
        <v>5826</v>
      </c>
      <c r="D2554" s="168"/>
      <c r="E2554" s="327" t="s">
        <v>5827</v>
      </c>
      <c r="F2554" s="115" t="s">
        <v>1808</v>
      </c>
      <c r="G2554" s="303" t="s">
        <v>5828</v>
      </c>
      <c r="H2554" s="101"/>
      <c r="I2554" s="92" t="s">
        <v>52</v>
      </c>
      <c r="J2554" s="59" t="s">
        <v>53</v>
      </c>
      <c r="K2554" s="92" t="s">
        <v>54</v>
      </c>
      <c r="L2554" s="101" t="s">
        <v>55</v>
      </c>
      <c r="M2554" s="494">
        <v>375</v>
      </c>
      <c r="N2554" s="114"/>
      <c r="O2554" s="101" t="s">
        <v>56</v>
      </c>
      <c r="P2554" s="46">
        <v>50</v>
      </c>
      <c r="Q2554" s="46">
        <v>38</v>
      </c>
      <c r="R2554" s="60">
        <v>38</v>
      </c>
      <c r="S2554" s="46">
        <v>50</v>
      </c>
      <c r="T2554" s="46">
        <v>50</v>
      </c>
      <c r="U2554" s="46">
        <v>38</v>
      </c>
      <c r="V2554" s="47">
        <f t="shared" si="912"/>
        <v>58</v>
      </c>
      <c r="W2554" s="106">
        <f t="shared" si="913"/>
        <v>46</v>
      </c>
      <c r="X2554" s="101">
        <v>59.5</v>
      </c>
      <c r="Y2554" s="101">
        <v>58</v>
      </c>
      <c r="Z2554" s="101">
        <v>46</v>
      </c>
      <c r="AA2554" s="649">
        <f t="shared" si="910"/>
        <v>18.527777777777779</v>
      </c>
      <c r="AB2554" s="184">
        <f>AA2554*Swiss1</f>
        <v>524.33611111111111</v>
      </c>
      <c r="AC2554" s="104">
        <f>AA2554*Canvas</f>
        <v>12.228333333333335</v>
      </c>
      <c r="AD2554" s="120">
        <f>AA2554*IncaC</f>
        <v>31.185955555555559</v>
      </c>
      <c r="AE2554" s="121">
        <f>IF(Table1[[#This Row],[Work Center]]="SwissQ",Materials!G$37,IF(Table1[[#This Row],[Work Center]]="Inca",Materials!G$29,IF(Table1[[#This Row],[Work Center]]="Canon",Materials!G$49,Materials!G$45)))</f>
        <v>8</v>
      </c>
      <c r="AF2554" s="102">
        <f>'Cali FPS'!H80</f>
        <v>89.600000000000009</v>
      </c>
      <c r="AG2554" s="121"/>
      <c r="AH2554" s="121">
        <f t="shared" si="908"/>
        <v>18.75</v>
      </c>
      <c r="AI2554" s="121"/>
      <c r="AJ2554" s="121">
        <f t="shared" si="911"/>
        <v>159.7642888888889</v>
      </c>
      <c r="AK2554" s="830">
        <f t="shared" si="914"/>
        <v>0.57396189629629624</v>
      </c>
      <c r="AL2554" s="121" t="e">
        <f>Table1[[#This Row],[WSP/Dealer]]/Table1[[#This Row],[OD Sq Inch]]</f>
        <v>#DIV/0!</v>
      </c>
      <c r="AM2554" s="113"/>
      <c r="AN2554" s="115">
        <f>Table1[[#This Row],[Min VO]]+Table1[[#This Row],[Max VO]]</f>
        <v>88</v>
      </c>
      <c r="AO2554" s="113"/>
      <c r="AP2554" s="115"/>
      <c r="AQ2554" s="121"/>
      <c r="AR2554" s="121"/>
      <c r="AS2554" s="121"/>
      <c r="AT2554" s="104"/>
      <c r="AU2554" s="1367" t="str">
        <f t="shared" si="909"/>
        <v>-</v>
      </c>
    </row>
    <row r="2555" spans="1:47" s="399" customFormat="1" hidden="1" x14ac:dyDescent="0.2">
      <c r="A2555" s="101" t="s">
        <v>110</v>
      </c>
      <c r="B2555" s="1067" t="s">
        <v>134</v>
      </c>
      <c r="C2555" s="1336" t="s">
        <v>5829</v>
      </c>
      <c r="D2555" s="100"/>
      <c r="E2555" s="1656" t="s">
        <v>5830</v>
      </c>
      <c r="F2555" s="115" t="s">
        <v>1808</v>
      </c>
      <c r="G2555" s="303" t="s">
        <v>5828</v>
      </c>
      <c r="H2555" s="101" t="s">
        <v>5828</v>
      </c>
      <c r="I2555" s="303" t="s">
        <v>52</v>
      </c>
      <c r="J2555" s="487" t="s">
        <v>53</v>
      </c>
      <c r="K2555" s="303" t="s">
        <v>54</v>
      </c>
      <c r="L2555" s="101" t="s">
        <v>55</v>
      </c>
      <c r="M2555" s="692">
        <v>500</v>
      </c>
      <c r="N2555" s="114"/>
      <c r="O2555" s="101" t="s">
        <v>56</v>
      </c>
      <c r="P2555" s="101">
        <v>50</v>
      </c>
      <c r="Q2555" s="101">
        <v>38</v>
      </c>
      <c r="R2555" s="101">
        <v>38</v>
      </c>
      <c r="S2555" s="101">
        <v>50</v>
      </c>
      <c r="T2555" s="697">
        <f>Table1[[#This Row],[VO Wdth]]</f>
        <v>50</v>
      </c>
      <c r="U2555" s="697">
        <f>Table1[[#This Row],[VO Hgt]]</f>
        <v>38</v>
      </c>
      <c r="V2555" s="608">
        <f t="shared" si="912"/>
        <v>58</v>
      </c>
      <c r="W2555" s="608">
        <f t="shared" si="913"/>
        <v>46</v>
      </c>
      <c r="X2555" s="137">
        <v>59</v>
      </c>
      <c r="Y2555" s="101">
        <v>58</v>
      </c>
      <c r="Z2555" s="101">
        <v>46</v>
      </c>
      <c r="AA2555" s="649">
        <f t="shared" si="910"/>
        <v>18.527777777777779</v>
      </c>
      <c r="AB2555" s="184">
        <f>AA2555*IncaG</f>
        <v>389.82444444444445</v>
      </c>
      <c r="AC2555" s="104">
        <f>AA2555*Canvas</f>
        <v>12.228333333333335</v>
      </c>
      <c r="AD2555" s="121">
        <f>AA2555*IncaC</f>
        <v>31.185955555555559</v>
      </c>
      <c r="AE2555" s="121">
        <f>IF(Table1[[#This Row],[Work Center]]="SwissQ",Materials!G$37,IF(Table1[[#This Row],[Work Center]]="Inca",Materials!G$29,IF(Table1[[#This Row],[Work Center]]="Canon",Materials!G$49,Materials!G$45)))</f>
        <v>8</v>
      </c>
      <c r="AF2555" s="102">
        <f>'Cali FPS'!C85</f>
        <v>107.4325</v>
      </c>
      <c r="AG2555" s="115"/>
      <c r="AH2555" s="121">
        <f t="shared" si="908"/>
        <v>25</v>
      </c>
      <c r="AI2555" s="406">
        <f>IF(A2555="Codarus",(M2555*0.13))</f>
        <v>65</v>
      </c>
      <c r="AJ2555" s="104">
        <f>SUM(AC2555:AI2555)</f>
        <v>248.84678888888891</v>
      </c>
      <c r="AK2555" s="830">
        <f t="shared" si="914"/>
        <v>0.50230642222222222</v>
      </c>
      <c r="AL2555" s="121">
        <f>Table1[[#This Row],[WSP/Dealer]]/Table1[[#This Row],[OD Sq Inch]]</f>
        <v>0.26315789473684209</v>
      </c>
      <c r="AM2555" s="101">
        <f>Table1[[#This Row],[OD Wdth]]*Table1[[#This Row],[OD Hgt]]</f>
        <v>1900</v>
      </c>
      <c r="AN2555" s="101">
        <f>Table1[[#This Row],[Min VO]]+Table1[[#This Row],[Max VO]]</f>
        <v>88</v>
      </c>
      <c r="AO2555" s="115"/>
      <c r="AP2555" s="121">
        <v>1000</v>
      </c>
      <c r="AQ2555" s="121">
        <f>(Table1[[#This Row],[Desgnr/Retail P]]*0.05)</f>
        <v>50</v>
      </c>
      <c r="AR2555" s="121">
        <f>IF(A2555="Codarus",(AP2555*0.13))</f>
        <v>130</v>
      </c>
      <c r="AS2555" s="121">
        <f>SUM(Table1[[#This Row],[Substrate $]:[GP FINISH]])+Table1[[#This Row],[Retail Royalty]]+Table1[[#This Row],[Retail$Comm]]</f>
        <v>338.84678888888891</v>
      </c>
      <c r="AT2555" s="830">
        <f>IF(AP2555=0,"-",(AP2555-AS2555)/AP2555)</f>
        <v>0.66115321111111114</v>
      </c>
      <c r="AU2555" s="1359">
        <f t="shared" si="909"/>
        <v>0.9867769357777777</v>
      </c>
    </row>
    <row r="2556" spans="1:47" s="170" customFormat="1" hidden="1" x14ac:dyDescent="0.2">
      <c r="A2556" s="101"/>
      <c r="B2556" s="1067"/>
      <c r="C2556" s="1053" t="s">
        <v>5831</v>
      </c>
      <c r="D2556" s="100"/>
      <c r="E2556" s="1632" t="s">
        <v>5832</v>
      </c>
      <c r="F2556" s="115" t="s">
        <v>1808</v>
      </c>
      <c r="G2556" s="303" t="s">
        <v>637</v>
      </c>
      <c r="H2556" s="101" t="s">
        <v>1119</v>
      </c>
      <c r="I2556" s="92" t="s">
        <v>52</v>
      </c>
      <c r="J2556" s="59" t="s">
        <v>53</v>
      </c>
      <c r="K2556" s="92" t="s">
        <v>258</v>
      </c>
      <c r="L2556" s="101" t="s">
        <v>259</v>
      </c>
      <c r="M2556" s="494">
        <v>930</v>
      </c>
      <c r="N2556" s="114"/>
      <c r="O2556" s="101" t="s">
        <v>56</v>
      </c>
      <c r="P2556" s="60">
        <v>60</v>
      </c>
      <c r="Q2556" s="60">
        <v>48</v>
      </c>
      <c r="R2556" s="60">
        <v>48</v>
      </c>
      <c r="S2556" s="60">
        <v>60</v>
      </c>
      <c r="T2556" s="623">
        <f>Table1[[#This Row],[VO Wdth]]</f>
        <v>60</v>
      </c>
      <c r="U2556" s="623">
        <f>Table1[[#This Row],[VO Hgt]]</f>
        <v>48</v>
      </c>
      <c r="V2556" s="917">
        <f t="shared" si="912"/>
        <v>68</v>
      </c>
      <c r="W2556" s="608">
        <f t="shared" si="913"/>
        <v>56</v>
      </c>
      <c r="X2556" s="101">
        <v>59</v>
      </c>
      <c r="Y2556" s="101"/>
      <c r="Z2556" s="101"/>
      <c r="AA2556" s="649">
        <f t="shared" si="910"/>
        <v>26.444444444444443</v>
      </c>
      <c r="AB2556" s="184">
        <f>AA2556*IncaG</f>
        <v>556.39111111111106</v>
      </c>
      <c r="AC2556" s="104">
        <f>AA2556*Canvas</f>
        <v>17.453333333333333</v>
      </c>
      <c r="AD2556" s="121">
        <f>AA2556*IncaC</f>
        <v>44.511288888888885</v>
      </c>
      <c r="AE2556" s="121">
        <f>IF(Table1[[#This Row],[Work Center]]="SwissQ",Materials!G$37,IF(Table1[[#This Row],[Work Center]]="Inca",Materials!G$29,IF(Table1[[#This Row],[Work Center]]="Canon",Materials!G$49,Materials!G$45)))</f>
        <v>8</v>
      </c>
      <c r="AF2556" s="102">
        <f>'Cali Frames'!D49</f>
        <v>287.40249999999997</v>
      </c>
      <c r="AG2556" s="115"/>
      <c r="AH2556" s="120">
        <f t="shared" si="908"/>
        <v>46.5</v>
      </c>
      <c r="AI2556" s="120"/>
      <c r="AJ2556" s="121">
        <f>SUM(AC2556:AH2556)</f>
        <v>403.86712222222218</v>
      </c>
      <c r="AK2556" s="108">
        <f t="shared" si="914"/>
        <v>0.56573427718040625</v>
      </c>
      <c r="AL2556" s="121">
        <f>Table1[[#This Row],[WSP/Dealer]]/Table1[[#This Row],[OD Sq Inch]]</f>
        <v>0.32291666666666669</v>
      </c>
      <c r="AM2556" s="115">
        <f>Table1[[#This Row],[OD Wdth]]*Table1[[#This Row],[OD Hgt]]</f>
        <v>2880</v>
      </c>
      <c r="AN2556" s="115">
        <f>Table1[[#This Row],[Min VO]]+Table1[[#This Row],[Max VO]]</f>
        <v>108</v>
      </c>
      <c r="AO2556" s="115"/>
      <c r="AP2556" s="115"/>
      <c r="AQ2556" s="121"/>
      <c r="AR2556" s="104"/>
      <c r="AS2556" s="104"/>
      <c r="AT2556" s="104"/>
      <c r="AU2556" s="1359" t="str">
        <f t="shared" si="909"/>
        <v>-</v>
      </c>
    </row>
    <row r="2557" spans="1:47" s="868" customFormat="1" x14ac:dyDescent="0.2">
      <c r="A2557" s="551" t="s">
        <v>58</v>
      </c>
      <c r="B2557" s="1150" t="s">
        <v>310</v>
      </c>
      <c r="C2557" s="183" t="s">
        <v>5833</v>
      </c>
      <c r="D2557" s="805"/>
      <c r="E2557" s="1711" t="s">
        <v>5834</v>
      </c>
      <c r="F2557" s="653" t="s">
        <v>308</v>
      </c>
      <c r="G2557" s="885" t="s">
        <v>379</v>
      </c>
      <c r="H2557" s="551" t="s">
        <v>379</v>
      </c>
      <c r="I2557" s="885" t="s">
        <v>52</v>
      </c>
      <c r="J2557" s="856" t="s">
        <v>53</v>
      </c>
      <c r="K2557" s="885" t="s">
        <v>54</v>
      </c>
      <c r="L2557" s="551" t="s">
        <v>55</v>
      </c>
      <c r="M2557" s="1579">
        <v>1120</v>
      </c>
      <c r="N2557" s="896"/>
      <c r="O2557" s="551" t="s">
        <v>56</v>
      </c>
      <c r="P2557" s="551">
        <v>48</v>
      </c>
      <c r="Q2557" s="551">
        <v>72</v>
      </c>
      <c r="R2557" s="551">
        <v>48</v>
      </c>
      <c r="S2557" s="551">
        <v>72</v>
      </c>
      <c r="T2557" s="984">
        <v>48</v>
      </c>
      <c r="U2557" s="984">
        <v>72</v>
      </c>
      <c r="V2557" s="881">
        <f t="shared" si="912"/>
        <v>56</v>
      </c>
      <c r="W2557" s="881">
        <f t="shared" si="913"/>
        <v>80</v>
      </c>
      <c r="X2557" s="551">
        <v>82</v>
      </c>
      <c r="Y2557" s="551">
        <v>56</v>
      </c>
      <c r="Z2557" s="551">
        <v>80</v>
      </c>
      <c r="AA2557" s="860">
        <f t="shared" si="910"/>
        <v>31.111111111111111</v>
      </c>
      <c r="AB2557" s="861">
        <f>AA2557*IncaG</f>
        <v>654.57777777777778</v>
      </c>
      <c r="AC2557" s="863">
        <f>AA2557*Canvas</f>
        <v>20.533333333333335</v>
      </c>
      <c r="AD2557" s="864">
        <f>AA2557*IncaC</f>
        <v>52.36622222222222</v>
      </c>
      <c r="AE2557" s="864">
        <f>IF(Table1[[#This Row],[Work Center]]="SwissQ",Materials!G$37,IF(Table1[[#This Row],[Work Center]]="Inca",Materials!G$29,IF(Table1[[#This Row],[Work Center]]="Canon",Materials!G$49,Materials!G$45)))</f>
        <v>8</v>
      </c>
      <c r="AF2557" s="71">
        <f>'Cali FPS'!C126</f>
        <v>189.88</v>
      </c>
      <c r="AG2557" s="653"/>
      <c r="AH2557" s="1550">
        <f t="shared" si="908"/>
        <v>56</v>
      </c>
      <c r="AI2557" s="1550"/>
      <c r="AJ2557" s="864">
        <f>SUM(AC2557:AH2557)</f>
        <v>326.77955555555553</v>
      </c>
      <c r="AK2557" s="894">
        <f t="shared" si="914"/>
        <v>0.70823253968253963</v>
      </c>
      <c r="AL2557" s="864">
        <f>Table1[[#This Row],[WSP/Dealer]]/Table1[[#This Row],[OD Sq Inch]]</f>
        <v>0.32407407407407407</v>
      </c>
      <c r="AM2557" s="653">
        <f>Table1[[#This Row],[OD Wdth]]*Table1[[#This Row],[OD Hgt]]</f>
        <v>3456</v>
      </c>
      <c r="AN2557" s="653"/>
      <c r="AO2557" s="653"/>
      <c r="AP2557" s="653"/>
      <c r="AQ2557" s="864">
        <f>(Table1[[#This Row],[Desgnr/Retail P]]*0.05)</f>
        <v>0</v>
      </c>
      <c r="AR2557" s="863" t="b">
        <f>IF(A2557="Codarus",(AP2557*0.13))</f>
        <v>0</v>
      </c>
      <c r="AS2557" s="863" t="e" cm="1">
        <f t="array" ref="AS2557">SUM(AC2557:AG2557+AQ+AR)</f>
        <v>#NAME?</v>
      </c>
      <c r="AT2557" s="863" t="e">
        <f>(AP2557-AS2557)/AP2557</f>
        <v>#NAME?</v>
      </c>
      <c r="AU2557" s="1364" t="str">
        <f t="shared" si="909"/>
        <v>-</v>
      </c>
    </row>
    <row r="2558" spans="1:47" s="170" customFormat="1" x14ac:dyDescent="0.2">
      <c r="A2558" s="68" t="s">
        <v>58</v>
      </c>
      <c r="B2558" s="1072" t="s">
        <v>310</v>
      </c>
      <c r="C2558" s="1053" t="s">
        <v>5835</v>
      </c>
      <c r="D2558" s="78"/>
      <c r="E2558" s="1632" t="s">
        <v>5834</v>
      </c>
      <c r="F2558" s="84" t="s">
        <v>308</v>
      </c>
      <c r="G2558" s="282" t="s">
        <v>379</v>
      </c>
      <c r="H2558" s="68" t="s">
        <v>990</v>
      </c>
      <c r="I2558" s="282" t="s">
        <v>52</v>
      </c>
      <c r="J2558" s="140" t="s">
        <v>53</v>
      </c>
      <c r="K2558" s="282" t="s">
        <v>69</v>
      </c>
      <c r="L2558" s="68" t="s">
        <v>70</v>
      </c>
      <c r="M2558" s="380">
        <v>1300</v>
      </c>
      <c r="N2558" s="93"/>
      <c r="O2558" s="68" t="s">
        <v>56</v>
      </c>
      <c r="P2558" s="68">
        <v>48</v>
      </c>
      <c r="Q2558" s="68">
        <v>72</v>
      </c>
      <c r="R2558" s="68">
        <v>48</v>
      </c>
      <c r="S2558" s="68">
        <v>72</v>
      </c>
      <c r="T2558" s="623">
        <v>49</v>
      </c>
      <c r="U2558" s="623">
        <v>73</v>
      </c>
      <c r="V2558" s="917">
        <f t="shared" si="912"/>
        <v>56</v>
      </c>
      <c r="W2558" s="917">
        <f t="shared" si="913"/>
        <v>80</v>
      </c>
      <c r="X2558" s="68">
        <v>82</v>
      </c>
      <c r="Y2558" s="68">
        <v>56</v>
      </c>
      <c r="Z2558" s="68">
        <v>80</v>
      </c>
      <c r="AA2558" s="699">
        <f t="shared" si="910"/>
        <v>31.111111111111111</v>
      </c>
      <c r="AB2558" s="297">
        <f>AA2558*IncaG</f>
        <v>654.57777777777778</v>
      </c>
      <c r="AC2558" s="74">
        <f>AA2558*Canvas</f>
        <v>20.533333333333335</v>
      </c>
      <c r="AD2558" s="126">
        <f>AA2558*IncaC</f>
        <v>52.36622222222222</v>
      </c>
      <c r="AE2558" s="126">
        <f>IF(Table1[[#This Row],[Work Center]]="SwissQ",Materials!G$37,IF(Table1[[#This Row],[Work Center]]="Inca",Materials!G$29,IF(Table1[[#This Row],[Work Center]]="Canon",Materials!G$49,Materials!G$45)))</f>
        <v>8</v>
      </c>
      <c r="AF2558" s="73">
        <f>'Cali Frames'!D337</f>
        <v>263.8</v>
      </c>
      <c r="AG2558" s="84"/>
      <c r="AH2558" s="118">
        <f t="shared" si="908"/>
        <v>65</v>
      </c>
      <c r="AI2558" s="118"/>
      <c r="AJ2558" s="126">
        <f>SUM(AC2558:AH2558)</f>
        <v>409.69955555555555</v>
      </c>
      <c r="AK2558" s="661">
        <f t="shared" si="914"/>
        <v>0.6848464957264957</v>
      </c>
      <c r="AL2558" s="126">
        <f>Table1[[#This Row],[WSP/Dealer]]/Table1[[#This Row],[OD Sq Inch]]</f>
        <v>0.36343304445065699</v>
      </c>
      <c r="AM2558" s="84">
        <f>Table1[[#This Row],[OD Wdth]]*Table1[[#This Row],[OD Hgt]]</f>
        <v>3577</v>
      </c>
      <c r="AN2558" s="84"/>
      <c r="AO2558" s="84"/>
      <c r="AP2558" s="84"/>
      <c r="AQ2558" s="126">
        <f>(Table1[[#This Row],[Desgnr/Retail P]]*0.05)</f>
        <v>0</v>
      </c>
      <c r="AR2558" s="74" t="b">
        <f>IF(A2558="Codarus",(AP2558*0.13))</f>
        <v>0</v>
      </c>
      <c r="AS2558" s="74" t="e" cm="1">
        <f t="array" ref="AS2558">SUM(AC2558:AG2558+AQ+AR)</f>
        <v>#NAME?</v>
      </c>
      <c r="AT2558" s="74" t="e">
        <f>(AP2558-AS2558)/AP2558</f>
        <v>#NAME?</v>
      </c>
      <c r="AU2558" s="1357" t="str">
        <f t="shared" si="909"/>
        <v>-</v>
      </c>
    </row>
    <row r="2559" spans="1:47" s="170" customFormat="1" hidden="1" x14ac:dyDescent="0.2">
      <c r="A2559" s="101"/>
      <c r="B2559" s="1067"/>
      <c r="C2559" s="1053"/>
      <c r="D2559" s="168"/>
      <c r="E2559" s="1632" t="s">
        <v>5836</v>
      </c>
      <c r="F2559" s="169" t="s">
        <v>50</v>
      </c>
      <c r="G2559" s="303" t="s">
        <v>51</v>
      </c>
      <c r="H2559" s="101" t="s">
        <v>51</v>
      </c>
      <c r="I2559" s="92" t="s">
        <v>52</v>
      </c>
      <c r="J2559" s="59" t="s">
        <v>280</v>
      </c>
      <c r="K2559" s="92" t="s">
        <v>281</v>
      </c>
      <c r="L2559" s="101" t="s">
        <v>282</v>
      </c>
      <c r="M2559" s="494">
        <v>350</v>
      </c>
      <c r="N2559" s="114"/>
      <c r="O2559" s="101" t="s">
        <v>56</v>
      </c>
      <c r="P2559" s="60">
        <v>30</v>
      </c>
      <c r="Q2559" s="60">
        <v>40</v>
      </c>
      <c r="R2559" s="60">
        <v>30</v>
      </c>
      <c r="S2559" s="60">
        <v>40</v>
      </c>
      <c r="T2559" s="623">
        <v>30</v>
      </c>
      <c r="U2559" s="623">
        <v>40</v>
      </c>
      <c r="V2559" s="917">
        <f t="shared" si="912"/>
        <v>30</v>
      </c>
      <c r="W2559" s="608">
        <f t="shared" si="913"/>
        <v>40</v>
      </c>
      <c r="X2559" s="101" t="s">
        <v>283</v>
      </c>
      <c r="Y2559" s="101">
        <v>30</v>
      </c>
      <c r="Z2559" s="101">
        <v>40</v>
      </c>
      <c r="AA2559" s="649">
        <f t="shared" si="910"/>
        <v>8.3333333333333339</v>
      </c>
      <c r="AB2559" s="184">
        <f>AA2559*IncaG</f>
        <v>175.33333333333334</v>
      </c>
      <c r="AC2559" s="104">
        <f>MDFSHEET/3</f>
        <v>8.1166666666666671</v>
      </c>
      <c r="AD2559" s="121">
        <f>Table1[[#This Row],[Substrate SF]]*IncaC</f>
        <v>14.026666666666667</v>
      </c>
      <c r="AE2559" s="121">
        <f>IF(Table1[[#This Row],[Work Center]]="SwissQ",Materials!G$37,IF(Table1[[#This Row],[Work Center]]="Inca",Materials!G$29,IF(Table1[[#This Row],[Work Center]]="Canon",Materials!G$49,Materials!G$45)))</f>
        <v>8</v>
      </c>
      <c r="AF2559" s="102">
        <f>'Cali Frames'!D$541</f>
        <v>126.02</v>
      </c>
      <c r="AG2559" s="115"/>
      <c r="AH2559" s="120">
        <f t="shared" si="908"/>
        <v>17.5</v>
      </c>
      <c r="AI2559" s="120"/>
      <c r="AJ2559" s="121">
        <f>SUM(AC2559:AH2559)</f>
        <v>173.66333333333333</v>
      </c>
      <c r="AK2559" s="108">
        <f t="shared" si="914"/>
        <v>0.50381904761904761</v>
      </c>
      <c r="AL2559" s="121">
        <f>Table1[[#This Row],[WSP/Dealer]]/Table1[[#This Row],[OD Sq Inch]]</f>
        <v>0.29166666666666669</v>
      </c>
      <c r="AM2559" s="115">
        <f>Table1[[#This Row],[OD Wdth]]*Table1[[#This Row],[OD Hgt]]</f>
        <v>1200</v>
      </c>
      <c r="AN2559" s="115" t="str">
        <f>Table1[[#This Row],[Color]]</f>
        <v>NGM</v>
      </c>
      <c r="AO2559" s="115" t="str">
        <f>Table1[[#This Row],[Print Type]]</f>
        <v>Synograph</v>
      </c>
      <c r="AP2559" s="115"/>
      <c r="AQ2559" s="121"/>
      <c r="AR2559" s="121"/>
      <c r="AS2559" s="121"/>
      <c r="AT2559" s="104"/>
      <c r="AU2559" s="1359" t="str">
        <f t="shared" si="909"/>
        <v>-</v>
      </c>
    </row>
    <row r="2560" spans="1:47" s="170" customFormat="1" x14ac:dyDescent="0.2">
      <c r="A2560" s="101" t="s">
        <v>58</v>
      </c>
      <c r="B2560" s="1067" t="s">
        <v>96</v>
      </c>
      <c r="C2560" s="1335" t="s">
        <v>5837</v>
      </c>
      <c r="D2560" s="100"/>
      <c r="E2560" s="1658" t="s">
        <v>5838</v>
      </c>
      <c r="F2560" s="169" t="s">
        <v>650</v>
      </c>
      <c r="G2560" s="303" t="s">
        <v>637</v>
      </c>
      <c r="H2560" s="101" t="s">
        <v>637</v>
      </c>
      <c r="I2560" s="92" t="s">
        <v>52</v>
      </c>
      <c r="J2560" s="59" t="s">
        <v>53</v>
      </c>
      <c r="K2560" s="92" t="s">
        <v>54</v>
      </c>
      <c r="L2560" s="101" t="s">
        <v>55</v>
      </c>
      <c r="M2560" s="494">
        <v>950</v>
      </c>
      <c r="N2560" s="114">
        <v>950</v>
      </c>
      <c r="O2560" s="101" t="s">
        <v>64</v>
      </c>
      <c r="P2560" s="60">
        <v>60</v>
      </c>
      <c r="Q2560" s="60">
        <v>48</v>
      </c>
      <c r="R2560" s="60">
        <v>48</v>
      </c>
      <c r="S2560" s="60">
        <v>60</v>
      </c>
      <c r="T2560" s="273">
        <v>60</v>
      </c>
      <c r="U2560" s="273">
        <v>48</v>
      </c>
      <c r="V2560" s="47">
        <f>IF(J2560="Canvas",P2560+Materials!C$5,P2560)</f>
        <v>67</v>
      </c>
      <c r="W2560" s="106">
        <f>IF(J2560="Canvas",Q2560+Materials!C$5,Q2560)</f>
        <v>55</v>
      </c>
      <c r="X2560" s="101"/>
      <c r="Y2560" s="101">
        <v>67</v>
      </c>
      <c r="Z2560" s="101">
        <v>55</v>
      </c>
      <c r="AA2560" s="649">
        <f t="shared" si="910"/>
        <v>25.590277777777779</v>
      </c>
      <c r="AB2560" s="184">
        <f>AA2560*Swiss1</f>
        <v>724.2048611111112</v>
      </c>
      <c r="AC2560" s="104">
        <f>AA2560*Canvas</f>
        <v>16.889583333333334</v>
      </c>
      <c r="AD2560" s="120">
        <f>Table1[[#This Row],[Substrate SF]]*Materials!C$37</f>
        <v>71.652777777777771</v>
      </c>
      <c r="AE2560" s="121">
        <f>IF(Table1[[#This Row],[Work Center]]="SwissQ",Materials!G$37,IF(Table1[[#This Row],[Work Center]]="Inca",Materials!G$29,IF(Table1[[#This Row],[Work Center]]="Canon",Materials!G$49,Materials!G$45)))</f>
        <v>20</v>
      </c>
      <c r="AF2560" s="102">
        <f>'Cali FPS'!C121</f>
        <v>188.18</v>
      </c>
      <c r="AG2560" s="115"/>
      <c r="AH2560" s="121">
        <f t="shared" si="908"/>
        <v>47.5</v>
      </c>
      <c r="AI2560" s="121"/>
      <c r="AJ2560" s="121">
        <f>SUM(AC2560:AH2560)</f>
        <v>344.22236111111113</v>
      </c>
      <c r="AK2560" s="830">
        <f t="shared" si="914"/>
        <v>0.63766067251461989</v>
      </c>
      <c r="AL2560" s="121">
        <f>Table1[[#This Row],[WSP/Dealer]]/Table1[[#This Row],[OD Sq Inch]]</f>
        <v>0.3298611111111111</v>
      </c>
      <c r="AM2560" s="113">
        <f>Table1[[#This Row],[OD Wdth]]*Table1[[#This Row],[OD Hgt]]</f>
        <v>2880</v>
      </c>
      <c r="AN2560" s="115">
        <f>Table1[[#This Row],[Min VO]]+Table1[[#This Row],[Max VO]]</f>
        <v>108</v>
      </c>
      <c r="AO2560" s="115"/>
      <c r="AP2560" s="115"/>
      <c r="AQ2560" s="121"/>
      <c r="AR2560" s="121"/>
      <c r="AS2560" s="121"/>
      <c r="AT2560" s="104"/>
      <c r="AU2560" s="1359" t="str">
        <f t="shared" si="909"/>
        <v>-</v>
      </c>
    </row>
    <row r="2561" spans="1:47" s="170" customFormat="1" hidden="1" x14ac:dyDescent="0.2">
      <c r="A2561" s="101" t="s">
        <v>187</v>
      </c>
      <c r="B2561" s="1067" t="s">
        <v>261</v>
      </c>
      <c r="C2561" s="1053" t="s">
        <v>5839</v>
      </c>
      <c r="D2561" s="100"/>
      <c r="E2561" s="1632" t="s">
        <v>5840</v>
      </c>
      <c r="F2561" s="169" t="s">
        <v>448</v>
      </c>
      <c r="G2561" s="303" t="s">
        <v>1026</v>
      </c>
      <c r="H2561" s="101" t="s">
        <v>5841</v>
      </c>
      <c r="I2561" s="92" t="s">
        <v>304</v>
      </c>
      <c r="J2561" s="59" t="s">
        <v>257</v>
      </c>
      <c r="K2561" s="92" t="s">
        <v>258</v>
      </c>
      <c r="L2561" s="101" t="s">
        <v>259</v>
      </c>
      <c r="M2561" s="494"/>
      <c r="N2561" s="114"/>
      <c r="O2561" s="101" t="s">
        <v>260</v>
      </c>
      <c r="P2561" s="60"/>
      <c r="Q2561" s="60"/>
      <c r="R2561" s="60"/>
      <c r="S2561" s="60"/>
      <c r="T2561" s="623"/>
      <c r="U2561" s="623"/>
      <c r="V2561" s="917"/>
      <c r="W2561" s="608"/>
      <c r="X2561" s="101"/>
      <c r="Y2561" s="101"/>
      <c r="Z2561" s="101"/>
      <c r="AA2561" s="649"/>
      <c r="AB2561" s="184"/>
      <c r="AC2561" s="104"/>
      <c r="AD2561" s="120"/>
      <c r="AE2561" s="121"/>
      <c r="AF2561" s="102"/>
      <c r="AG2561" s="115"/>
      <c r="AH2561" s="120">
        <f t="shared" si="908"/>
        <v>0</v>
      </c>
      <c r="AI2561" s="120"/>
      <c r="AJ2561" s="120"/>
      <c r="AK2561" s="108" t="e">
        <f t="shared" si="914"/>
        <v>#DIV/0!</v>
      </c>
      <c r="AL2561" s="121" t="e">
        <f>Table1[[#This Row],[WSP/Dealer]]/Table1[[#This Row],[OD Sq Inch]]</f>
        <v>#DIV/0!</v>
      </c>
      <c r="AM2561" s="113"/>
      <c r="AN2561" s="115"/>
      <c r="AO2561" s="115"/>
      <c r="AP2561" s="115"/>
      <c r="AQ2561" s="121"/>
      <c r="AR2561" s="121"/>
      <c r="AS2561" s="121"/>
      <c r="AT2561" s="104"/>
      <c r="AU2561" s="1359" t="str">
        <f t="shared" si="909"/>
        <v>-</v>
      </c>
    </row>
    <row r="2562" spans="1:47" s="170" customFormat="1" hidden="1" x14ac:dyDescent="0.2">
      <c r="A2562" s="101" t="s">
        <v>187</v>
      </c>
      <c r="B2562" s="1067" t="s">
        <v>261</v>
      </c>
      <c r="C2562" s="1053" t="s">
        <v>5842</v>
      </c>
      <c r="D2562" s="100"/>
      <c r="E2562" s="1632" t="s">
        <v>5840</v>
      </c>
      <c r="F2562" s="169" t="s">
        <v>448</v>
      </c>
      <c r="G2562" s="303" t="s">
        <v>1026</v>
      </c>
      <c r="H2562" s="101" t="s">
        <v>5841</v>
      </c>
      <c r="I2562" s="92" t="s">
        <v>304</v>
      </c>
      <c r="J2562" s="59" t="s">
        <v>257</v>
      </c>
      <c r="K2562" s="92" t="s">
        <v>258</v>
      </c>
      <c r="L2562" s="101" t="s">
        <v>269</v>
      </c>
      <c r="M2562" s="494"/>
      <c r="N2562" s="114"/>
      <c r="O2562" s="101" t="s">
        <v>260</v>
      </c>
      <c r="P2562" s="60"/>
      <c r="Q2562" s="60"/>
      <c r="R2562" s="60"/>
      <c r="S2562" s="60"/>
      <c r="T2562" s="623"/>
      <c r="U2562" s="623"/>
      <c r="V2562" s="66"/>
      <c r="W2562" s="106"/>
      <c r="X2562" s="101"/>
      <c r="Y2562" s="101"/>
      <c r="Z2562" s="101"/>
      <c r="AA2562" s="649"/>
      <c r="AB2562" s="184"/>
      <c r="AC2562" s="104"/>
      <c r="AD2562" s="120"/>
      <c r="AE2562" s="121"/>
      <c r="AF2562" s="102"/>
      <c r="AG2562" s="115"/>
      <c r="AH2562" s="121">
        <f t="shared" si="908"/>
        <v>0</v>
      </c>
      <c r="AI2562" s="121"/>
      <c r="AJ2562" s="121"/>
      <c r="AK2562" s="830" t="e">
        <f t="shared" si="914"/>
        <v>#DIV/0!</v>
      </c>
      <c r="AL2562" s="121" t="e">
        <f>Table1[[#This Row],[WSP/Dealer]]/Table1[[#This Row],[OD Sq Inch]]</f>
        <v>#DIV/0!</v>
      </c>
      <c r="AM2562" s="113"/>
      <c r="AN2562" s="115"/>
      <c r="AO2562" s="115"/>
      <c r="AP2562" s="115"/>
      <c r="AQ2562" s="121"/>
      <c r="AR2562" s="121"/>
      <c r="AS2562" s="121"/>
      <c r="AT2562" s="104"/>
      <c r="AU2562" s="1359" t="str">
        <f t="shared" si="909"/>
        <v>-</v>
      </c>
    </row>
    <row r="2563" spans="1:47" s="170" customFormat="1" hidden="1" x14ac:dyDescent="0.2">
      <c r="A2563" s="101" t="s">
        <v>187</v>
      </c>
      <c r="B2563" s="1067" t="s">
        <v>261</v>
      </c>
      <c r="C2563" s="1053" t="s">
        <v>5843</v>
      </c>
      <c r="D2563" s="100"/>
      <c r="E2563" s="1632" t="s">
        <v>5840</v>
      </c>
      <c r="F2563" s="169" t="s">
        <v>448</v>
      </c>
      <c r="G2563" s="303" t="s">
        <v>1026</v>
      </c>
      <c r="H2563" s="101" t="s">
        <v>1026</v>
      </c>
      <c r="I2563" s="92" t="s">
        <v>304</v>
      </c>
      <c r="J2563" s="59" t="s">
        <v>257</v>
      </c>
      <c r="K2563" s="92" t="s">
        <v>198</v>
      </c>
      <c r="L2563" s="101" t="s">
        <v>199</v>
      </c>
      <c r="M2563" s="494"/>
      <c r="N2563" s="114"/>
      <c r="O2563" s="101" t="s">
        <v>260</v>
      </c>
      <c r="P2563" s="60"/>
      <c r="Q2563" s="60"/>
      <c r="R2563" s="60"/>
      <c r="S2563" s="60"/>
      <c r="T2563" s="623"/>
      <c r="U2563" s="623"/>
      <c r="V2563" s="66"/>
      <c r="W2563" s="106"/>
      <c r="X2563" s="101"/>
      <c r="Y2563" s="101"/>
      <c r="Z2563" s="101"/>
      <c r="AA2563" s="649"/>
      <c r="AB2563" s="184"/>
      <c r="AC2563" s="104"/>
      <c r="AD2563" s="120"/>
      <c r="AE2563" s="121">
        <f>IF(Table1[[#This Row],[Work Center]]="SwissQ",Materials!G$37,IF(Table1[[#This Row],[Work Center]]="Inca",Materials!G$29,IF(Table1[[#This Row],[Work Center]]="Canon",Materials!G$49,Materials!G$45)))</f>
        <v>7</v>
      </c>
      <c r="AF2563" s="1018"/>
      <c r="AG2563" s="121">
        <f>Materials!D$76</f>
        <v>10.82</v>
      </c>
      <c r="AH2563" s="121">
        <f t="shared" si="908"/>
        <v>0</v>
      </c>
      <c r="AI2563" s="121"/>
      <c r="AJ2563" s="121"/>
      <c r="AK2563" s="830" t="e">
        <f t="shared" si="914"/>
        <v>#DIV/0!</v>
      </c>
      <c r="AL2563" s="121" t="e">
        <f>Table1[[#This Row],[WSP/Dealer]]/Table1[[#This Row],[OD Sq Inch]]</f>
        <v>#DIV/0!</v>
      </c>
      <c r="AM2563" s="113"/>
      <c r="AN2563" s="115"/>
      <c r="AO2563" s="115"/>
      <c r="AP2563" s="115"/>
      <c r="AQ2563" s="121"/>
      <c r="AR2563" s="121"/>
      <c r="AS2563" s="121"/>
      <c r="AT2563" s="104"/>
      <c r="AU2563" s="1359" t="str">
        <f t="shared" si="909"/>
        <v>-</v>
      </c>
    </row>
    <row r="2564" spans="1:47" s="170" customFormat="1" hidden="1" x14ac:dyDescent="0.2">
      <c r="A2564" s="101" t="s">
        <v>187</v>
      </c>
      <c r="B2564" s="1067" t="s">
        <v>261</v>
      </c>
      <c r="C2564" s="1053" t="s">
        <v>5844</v>
      </c>
      <c r="D2564" s="100"/>
      <c r="E2564" s="1632" t="s">
        <v>5845</v>
      </c>
      <c r="F2564" s="1656" t="s">
        <v>448</v>
      </c>
      <c r="G2564" s="101" t="s">
        <v>1026</v>
      </c>
      <c r="H2564" s="101" t="s">
        <v>1026</v>
      </c>
      <c r="I2564" s="60" t="s">
        <v>108</v>
      </c>
      <c r="J2564" s="59" t="s">
        <v>197</v>
      </c>
      <c r="K2564" s="92" t="s">
        <v>198</v>
      </c>
      <c r="L2564" s="101" t="s">
        <v>199</v>
      </c>
      <c r="M2564" s="494">
        <v>50</v>
      </c>
      <c r="N2564" s="114"/>
      <c r="O2564" s="101" t="s">
        <v>260</v>
      </c>
      <c r="P2564" s="60"/>
      <c r="Q2564" s="60"/>
      <c r="R2564" s="60"/>
      <c r="S2564" s="60"/>
      <c r="T2564" s="623"/>
      <c r="U2564" s="623"/>
      <c r="V2564" s="917">
        <f>Table1[[#This Row],[VO Wdth]]+Materials!$C$7</f>
        <v>2</v>
      </c>
      <c r="W2564" s="608">
        <f>Table1[[#This Row],[VO Hgt]]+Materials!$C$7</f>
        <v>2</v>
      </c>
      <c r="X2564" s="101" t="s">
        <v>197</v>
      </c>
      <c r="Y2564" s="101"/>
      <c r="Z2564" s="101"/>
      <c r="AA2564" s="649">
        <f>V2564*W2564/144</f>
        <v>2.7777777777777776E-2</v>
      </c>
      <c r="AB2564" s="184"/>
      <c r="AC2564" s="104">
        <f>Table1[[#This Row],[Substrate SF]]*POster</f>
        <v>2.0666666666666667E-2</v>
      </c>
      <c r="AD2564" s="120"/>
      <c r="AE2564" s="121">
        <f>IF(Table1[[#This Row],[Work Center]]="SwissQ",Materials!G$37,IF(Table1[[#This Row],[Work Center]]="Inca",Materials!G$29,IF(Table1[[#This Row],[Work Center]]="Canon",Materials!G$49,Materials!G$45)))</f>
        <v>7</v>
      </c>
      <c r="AF2564" s="102">
        <v>0</v>
      </c>
      <c r="AG2564" s="121">
        <f>Materials!D$76</f>
        <v>10.82</v>
      </c>
      <c r="AH2564" s="121">
        <f t="shared" si="908"/>
        <v>2.5</v>
      </c>
      <c r="AI2564" s="121"/>
      <c r="AJ2564" s="121">
        <f>SUM(AC2564:AH2564)</f>
        <v>20.340666666666667</v>
      </c>
      <c r="AK2564" s="830">
        <f t="shared" si="914"/>
        <v>0.59318666666666664</v>
      </c>
      <c r="AL2564" s="121" t="e">
        <f>Table1[[#This Row],[WSP/Dealer]]/Table1[[#This Row],[OD Sq Inch]]</f>
        <v>#DIV/0!</v>
      </c>
      <c r="AM2564" s="113">
        <f>Table1[[#This Row],[OD Wdth]]*Table1[[#This Row],[OD Hgt]]</f>
        <v>0</v>
      </c>
      <c r="AN2564" s="115"/>
      <c r="AO2564" s="115"/>
      <c r="AP2564" s="115"/>
      <c r="AQ2564" s="121"/>
      <c r="AR2564" s="121"/>
      <c r="AS2564" s="121"/>
      <c r="AT2564" s="104"/>
      <c r="AU2564" s="1359" t="str">
        <f t="shared" si="909"/>
        <v>-</v>
      </c>
    </row>
    <row r="2565" spans="1:47" s="399" customFormat="1" hidden="1" x14ac:dyDescent="0.2">
      <c r="A2565" s="101" t="s">
        <v>110</v>
      </c>
      <c r="B2565" s="1067" t="s">
        <v>250</v>
      </c>
      <c r="C2565" s="1336" t="s">
        <v>5846</v>
      </c>
      <c r="D2565" s="100"/>
      <c r="E2565" s="1656" t="s">
        <v>5847</v>
      </c>
      <c r="F2565" s="1656" t="s">
        <v>448</v>
      </c>
      <c r="G2565" s="101" t="s">
        <v>5848</v>
      </c>
      <c r="H2565" s="101" t="s">
        <v>5849</v>
      </c>
      <c r="I2565" s="101" t="s">
        <v>256</v>
      </c>
      <c r="J2565" s="487" t="s">
        <v>257</v>
      </c>
      <c r="K2565" s="101" t="s">
        <v>258</v>
      </c>
      <c r="L2565" s="101" t="s">
        <v>259</v>
      </c>
      <c r="M2565" s="692">
        <v>635</v>
      </c>
      <c r="N2565" s="114"/>
      <c r="O2565" s="101" t="s">
        <v>260</v>
      </c>
      <c r="P2565" s="101">
        <v>34</v>
      </c>
      <c r="Q2565" s="101">
        <v>40</v>
      </c>
      <c r="R2565" s="101">
        <v>34</v>
      </c>
      <c r="S2565" s="101">
        <v>40</v>
      </c>
      <c r="T2565" s="697">
        <v>36</v>
      </c>
      <c r="U2565" s="697">
        <v>42</v>
      </c>
      <c r="V2565" s="608">
        <f>IF(J2565="Canvas",P2565+Border,P2565)</f>
        <v>34</v>
      </c>
      <c r="W2565" s="608">
        <f>IF(J2565="Canvas",Q2565+Border,Q2565)</f>
        <v>40</v>
      </c>
      <c r="X2565" s="101" t="s">
        <v>257</v>
      </c>
      <c r="Y2565" s="101">
        <v>36</v>
      </c>
      <c r="Z2565" s="101">
        <v>42</v>
      </c>
      <c r="AA2565" s="1069">
        <f>V2565*W2565/144</f>
        <v>9.4444444444444446</v>
      </c>
      <c r="AB2565" s="1162">
        <f>AA2565*canonML</f>
        <v>45.333333333333336</v>
      </c>
      <c r="AC2565" s="107">
        <f>Table1[[#This Row],[Print Wth]]*paper60</f>
        <v>11.56</v>
      </c>
      <c r="AD2565" s="120">
        <f>Table1[[#This Row],[Ink g/mL]]*CanonC</f>
        <v>12.240000000000002</v>
      </c>
      <c r="AE2565" s="120">
        <f>IF(Table1[[#This Row],[Work Center]]="SwissQ",Materials!G$37,IF(Table1[[#This Row],[Work Center]]="Inca",Materials!G$29,IF(Table1[[#This Row],[Work Center]]="Canon",Materials!G$49,Materials!G$45)))</f>
        <v>7</v>
      </c>
      <c r="AF2565" s="102">
        <f>'Cali Frames'!D44</f>
        <v>137.78</v>
      </c>
      <c r="AG2565" s="121"/>
      <c r="AH2565" s="121">
        <f t="shared" si="908"/>
        <v>31.75</v>
      </c>
      <c r="AI2565" s="406">
        <f>IF(A2565="Codarus",(M2565*0.13))</f>
        <v>82.55</v>
      </c>
      <c r="AJ2565" s="104">
        <f>SUM(AC2565:AI2565)</f>
        <v>282.88</v>
      </c>
      <c r="AK2565" s="830">
        <f t="shared" si="914"/>
        <v>0.5545196850393701</v>
      </c>
      <c r="AL2565" s="660">
        <f>Table1[[#This Row],[WSP/Dealer]]/Table1[[#This Row],[OD Sq Inch]]</f>
        <v>0.419973544973545</v>
      </c>
      <c r="AM2565" s="400">
        <f>Table1[[#This Row],[OD Wdth]]*Table1[[#This Row],[OD Hgt]]</f>
        <v>1512</v>
      </c>
      <c r="AN2565" s="400">
        <f>Table1[[#This Row],[Min VO]]+Table1[[#This Row],[Max VO]]</f>
        <v>74</v>
      </c>
      <c r="AO2565" s="115"/>
      <c r="AP2565" s="1307">
        <v>1270</v>
      </c>
      <c r="AQ2565" s="121">
        <f>(Table1[[#This Row],[Desgnr/Retail P]]*0.05)</f>
        <v>63.5</v>
      </c>
      <c r="AR2565" s="121">
        <f>IF(A2565="Codarus",(AP2565*0.13))</f>
        <v>165.1</v>
      </c>
      <c r="AS2565" s="121">
        <f>SUM(Table1[[#This Row],[Substrate $]:[GP FINISH]])+Table1[[#This Row],[Retail Royalty]]+Table1[[#This Row],[Retail$Comm]]</f>
        <v>397.18</v>
      </c>
      <c r="AT2565" s="830">
        <f>IF(AP2565=0,"-",(AP2565-AS2565)/AP2565)</f>
        <v>0.68725984251968497</v>
      </c>
      <c r="AU2565" s="1359">
        <f t="shared" si="909"/>
        <v>0.98917701035402072</v>
      </c>
    </row>
    <row r="2566" spans="1:47" s="170" customFormat="1" hidden="1" x14ac:dyDescent="0.2">
      <c r="A2566" s="101" t="s">
        <v>110</v>
      </c>
      <c r="B2566" s="1067" t="s">
        <v>250</v>
      </c>
      <c r="C2566" s="1336" t="s">
        <v>5850</v>
      </c>
      <c r="D2566" s="100"/>
      <c r="E2566" s="1680" t="s">
        <v>5851</v>
      </c>
      <c r="F2566" s="1680" t="s">
        <v>105</v>
      </c>
      <c r="G2566" s="101" t="s">
        <v>482</v>
      </c>
      <c r="H2566" s="101" t="s">
        <v>5852</v>
      </c>
      <c r="I2566" s="101" t="s">
        <v>574</v>
      </c>
      <c r="J2566" s="487" t="s">
        <v>53</v>
      </c>
      <c r="K2566" s="101" t="s">
        <v>814</v>
      </c>
      <c r="L2566" s="101" t="s">
        <v>815</v>
      </c>
      <c r="M2566" s="692">
        <v>710</v>
      </c>
      <c r="N2566" s="114"/>
      <c r="O2566" s="101" t="s">
        <v>575</v>
      </c>
      <c r="P2566" s="101">
        <v>40</v>
      </c>
      <c r="Q2566" s="101">
        <v>60</v>
      </c>
      <c r="R2566" s="101">
        <v>40</v>
      </c>
      <c r="S2566" s="101">
        <v>60</v>
      </c>
      <c r="T2566" s="697">
        <v>43</v>
      </c>
      <c r="U2566" s="697">
        <v>63</v>
      </c>
      <c r="V2566" s="106">
        <f>IF(J2566="Canvas",P2566+Border,P2566)</f>
        <v>48</v>
      </c>
      <c r="W2566" s="106">
        <f>IF(J2566="Canvas",Q2566+Border,Q2566)</f>
        <v>68</v>
      </c>
      <c r="X2566" s="101">
        <v>69</v>
      </c>
      <c r="Y2566" s="106">
        <f>Table1[[#This Row],[Print Wth]]</f>
        <v>48</v>
      </c>
      <c r="Z2566" s="106">
        <f>Table1[[#This Row],[Print Ht]]</f>
        <v>68</v>
      </c>
      <c r="AA2566" s="1069">
        <f>Table1[[#This Row],[Cut Width]]*Table1[[#This Row],[Cut Height]]/144</f>
        <v>22.666666666666668</v>
      </c>
      <c r="AB2566" s="1015">
        <f>(Table1[[#This Row],[Print Wth]]*Table1[[#This Row],[Print Ht]])/144*SWISSMLR</f>
        <v>45.333333333333336</v>
      </c>
      <c r="AC2566" s="104">
        <f>(Table1[[#This Row],[Cut Width]]*Table1[[#This Row],[Cut Height]])/144*Canvas</f>
        <v>14.96</v>
      </c>
      <c r="AD2566" s="405">
        <f>(Table1[[#This Row],[Print Wth]]*Table1[[#This Row],[Print Ht]])/144*Materials!$C$42</f>
        <v>7.2533333333333339</v>
      </c>
      <c r="AE2566" s="104">
        <v>10</v>
      </c>
      <c r="AF2566" s="102">
        <f>'Cali Frames'!D202</f>
        <v>195.35</v>
      </c>
      <c r="AG2566" s="121"/>
      <c r="AH2566" s="121">
        <f t="shared" si="908"/>
        <v>35.5</v>
      </c>
      <c r="AI2566" s="406">
        <f>IF(A2566="Codarus",(M2566*0.13))</f>
        <v>92.3</v>
      </c>
      <c r="AJ2566" s="104">
        <f>SUM(AC2566:AI2566)</f>
        <v>355.36333333333334</v>
      </c>
      <c r="AK2566" s="830">
        <f t="shared" si="914"/>
        <v>0.49948826291079812</v>
      </c>
      <c r="AL2566" s="660">
        <f>Table1[[#This Row],[WSP/Dealer]]/Table1[[#This Row],[OD Sq Inch]]</f>
        <v>0.26208933185677374</v>
      </c>
      <c r="AM2566" s="399">
        <f>Table1[[#This Row],[OD Wdth]]*Table1[[#This Row],[OD Hgt]]</f>
        <v>2709</v>
      </c>
      <c r="AN2566" s="400">
        <f>Table1[[#This Row],[Min VO]]+Table1[[#This Row],[Max VO]]</f>
        <v>100</v>
      </c>
      <c r="AO2566" s="115"/>
      <c r="AP2566" s="1307">
        <v>1420</v>
      </c>
      <c r="AQ2566" s="121">
        <f>(Table1[[#This Row],[Desgnr/Retail P]]*0.05)</f>
        <v>71</v>
      </c>
      <c r="AR2566" s="121">
        <f>IF(A2566="Codarus",(AP2566*0.13))</f>
        <v>184.6</v>
      </c>
      <c r="AS2566" s="121">
        <f>SUM(Table1[[#This Row],[Substrate $]:[GP FINISH]])+Table1[[#This Row],[Retail Royalty]]+Table1[[#This Row],[Retail$Comm]]</f>
        <v>483.1633333333333</v>
      </c>
      <c r="AT2566" s="830">
        <f>IF(AP2566=0,"-",(AP2566-AS2566)/AP2566)</f>
        <v>0.65974413145539912</v>
      </c>
      <c r="AU2566" s="1359">
        <f t="shared" si="909"/>
        <v>0.99070782913443101</v>
      </c>
    </row>
    <row r="2567" spans="1:47" s="399" customFormat="1" hidden="1" x14ac:dyDescent="0.2">
      <c r="A2567" s="101" t="s">
        <v>644</v>
      </c>
      <c r="B2567" s="1067" t="s">
        <v>96</v>
      </c>
      <c r="C2567" s="1336" t="s">
        <v>5853</v>
      </c>
      <c r="D2567" s="100"/>
      <c r="E2567" s="1656" t="s">
        <v>5851</v>
      </c>
      <c r="F2567" s="1656" t="s">
        <v>105</v>
      </c>
      <c r="G2567" s="101" t="s">
        <v>482</v>
      </c>
      <c r="H2567" s="101" t="s">
        <v>482</v>
      </c>
      <c r="I2567" s="101" t="s">
        <v>108</v>
      </c>
      <c r="J2567" s="487" t="s">
        <v>53</v>
      </c>
      <c r="K2567" s="101" t="s">
        <v>54</v>
      </c>
      <c r="L2567" s="101" t="s">
        <v>55</v>
      </c>
      <c r="M2567" s="494">
        <v>515</v>
      </c>
      <c r="N2567" s="114"/>
      <c r="O2567" s="101" t="s">
        <v>109</v>
      </c>
      <c r="P2567" s="103">
        <v>40</v>
      </c>
      <c r="Q2567" s="103">
        <v>60</v>
      </c>
      <c r="R2567" s="101">
        <v>40</v>
      </c>
      <c r="S2567" s="103">
        <v>60</v>
      </c>
      <c r="T2567" s="116">
        <v>40</v>
      </c>
      <c r="U2567" s="116">
        <v>60</v>
      </c>
      <c r="V2567" s="106">
        <f>IF(J2567="Canvas",P2567+BorderL,P2567)</f>
        <v>51</v>
      </c>
      <c r="W2567" s="106">
        <f>IF(J2567="Canvas",Q2567+BorderL,Q2567)</f>
        <v>71</v>
      </c>
      <c r="X2567" s="101">
        <v>53</v>
      </c>
      <c r="Y2567" s="101">
        <v>51</v>
      </c>
      <c r="Z2567" s="101">
        <v>71</v>
      </c>
      <c r="AA2567" s="649">
        <f>V2567*W2567/144</f>
        <v>25.145833333333332</v>
      </c>
      <c r="AB2567" s="184">
        <f>AA2567*EPSONM</f>
        <v>113.15625</v>
      </c>
      <c r="AC2567" s="104">
        <f>AA2567*Canvas</f>
        <v>16.596250000000001</v>
      </c>
      <c r="AD2567" s="120">
        <f>Table1[[#This Row],[Ink g/mL]]*EPSONC</f>
        <v>24.894375</v>
      </c>
      <c r="AE2567" s="121">
        <f>IF(Table1[[#This Row],[Work Center]]="SwissQ",Materials!G$37,IF(Table1[[#This Row],[Work Center]]="Inca",Materials!G$29,IF(Table1[[#This Row],[Work Center]]="Canon",Materials!G$49,Materials!G$45)))</f>
        <v>5</v>
      </c>
      <c r="AF2567" s="102">
        <f>'Cali FPS'!C89</f>
        <v>112.01750000000001</v>
      </c>
      <c r="AG2567" s="121"/>
      <c r="AH2567" s="121">
        <v>0</v>
      </c>
      <c r="AI2567" s="121"/>
      <c r="AJ2567" s="120">
        <f t="shared" ref="AJ2567:AJ2573" si="915">SUM(AC2567:AH2567)</f>
        <v>158.50812500000001</v>
      </c>
      <c r="AK2567" s="830">
        <f t="shared" si="914"/>
        <v>0.69221723300970872</v>
      </c>
      <c r="AL2567" s="121">
        <f>Table1[[#This Row],[WSP/Dealer]]/Table1[[#This Row],[OD Sq Inch]]</f>
        <v>0.21458333333333332</v>
      </c>
      <c r="AM2567" s="113">
        <f>Table1[[#This Row],[OD Wdth]]*Table1[[#This Row],[OD Hgt]]</f>
        <v>2400</v>
      </c>
      <c r="AN2567" s="115">
        <f>Table1[[#This Row],[Min VO]]+Table1[[#This Row],[Max VO]]</f>
        <v>100</v>
      </c>
      <c r="AO2567" s="113"/>
      <c r="AP2567" s="115"/>
      <c r="AQ2567" s="121"/>
      <c r="AR2567" s="121"/>
      <c r="AS2567" s="121"/>
      <c r="AT2567" s="104"/>
      <c r="AU2567" s="1367" t="str">
        <f t="shared" si="909"/>
        <v>-</v>
      </c>
    </row>
    <row r="2568" spans="1:47" s="170" customFormat="1" hidden="1" x14ac:dyDescent="0.2">
      <c r="A2568" s="101" t="s">
        <v>996</v>
      </c>
      <c r="B2568" s="1067" t="s">
        <v>96</v>
      </c>
      <c r="C2568" s="1336" t="s">
        <v>5854</v>
      </c>
      <c r="D2568" s="100"/>
      <c r="E2568" s="1656" t="s">
        <v>5851</v>
      </c>
      <c r="F2568" s="1656" t="s">
        <v>105</v>
      </c>
      <c r="G2568" s="101" t="s">
        <v>482</v>
      </c>
      <c r="H2568" s="101" t="s">
        <v>5852</v>
      </c>
      <c r="I2568" s="101" t="s">
        <v>574</v>
      </c>
      <c r="J2568" s="487" t="s">
        <v>280</v>
      </c>
      <c r="K2568" s="101" t="s">
        <v>814</v>
      </c>
      <c r="L2568" s="101" t="s">
        <v>815</v>
      </c>
      <c r="M2568" s="494">
        <v>1000</v>
      </c>
      <c r="N2568" s="114"/>
      <c r="O2568" s="101" t="s">
        <v>575</v>
      </c>
      <c r="P2568" s="101">
        <v>40</v>
      </c>
      <c r="Q2568" s="101">
        <v>60</v>
      </c>
      <c r="R2568" s="101">
        <v>40</v>
      </c>
      <c r="S2568" s="101">
        <v>60</v>
      </c>
      <c r="T2568" s="116">
        <v>43</v>
      </c>
      <c r="U2568" s="116">
        <v>63</v>
      </c>
      <c r="V2568" s="106">
        <v>40</v>
      </c>
      <c r="W2568" s="106">
        <v>60</v>
      </c>
      <c r="X2568" s="101" t="s">
        <v>283</v>
      </c>
      <c r="Y2568" s="101">
        <v>40.25</v>
      </c>
      <c r="Z2568" s="101">
        <v>60.25</v>
      </c>
      <c r="AA2568" s="649">
        <f>V2568*W2568/144</f>
        <v>16.666666666666668</v>
      </c>
      <c r="AB2568" s="184">
        <f>AA2568*SWISSMLR*3</f>
        <v>100</v>
      </c>
      <c r="AC2568" s="107">
        <f>MDFSHEET/1</f>
        <v>24.35</v>
      </c>
      <c r="AD2568" s="120">
        <f>Table1[[#This Row],[Substrate SF]]*SWISSCR*3</f>
        <v>11</v>
      </c>
      <c r="AE2568" s="121">
        <f>IF(Table1[[#This Row],[Work Center]]="SwissQ",Materials!G$37,IF(Table1[[#This Row],[Work Center]]="SwissQ V",Materials!I$41,IF(Table1[[#This Row],[Work Center]]="Inca",Materials!G$29,IF(Table1[[#This Row],[Work Center]]="Canon",Materials!G$49,Materials!G$45))))</f>
        <v>8</v>
      </c>
      <c r="AF2568" s="102">
        <f>'Cali Frames'!D202</f>
        <v>195.35</v>
      </c>
      <c r="AG2568" s="121"/>
      <c r="AH2568" s="120">
        <v>0</v>
      </c>
      <c r="AI2568" s="120"/>
      <c r="AJ2568" s="120">
        <f t="shared" si="915"/>
        <v>238.7</v>
      </c>
      <c r="AK2568" s="108">
        <f t="shared" si="914"/>
        <v>0.76129999999999998</v>
      </c>
      <c r="AL2568" s="121">
        <f>Table1[[#This Row],[WSP/Dealer]]/Table1[[#This Row],[OD Sq Inch]]</f>
        <v>0.36913990402362495</v>
      </c>
      <c r="AM2568" s="113">
        <f>Table1[[#This Row],[OD Wdth]]*Table1[[#This Row],[OD Hgt]]</f>
        <v>2709</v>
      </c>
      <c r="AN2568" s="115" t="str">
        <f>Table1[[#This Row],[Color]]</f>
        <v>CB</v>
      </c>
      <c r="AO2568" s="115" t="str">
        <f>Table1[[#This Row],[Print Type]]</f>
        <v>Reductive+</v>
      </c>
      <c r="AP2568" s="115"/>
      <c r="AQ2568" s="121"/>
      <c r="AR2568" s="121"/>
      <c r="AS2568" s="121"/>
      <c r="AT2568" s="104"/>
      <c r="AU2568" s="1359" t="str">
        <f t="shared" si="909"/>
        <v>-</v>
      </c>
    </row>
    <row r="2569" spans="1:47" s="399" customFormat="1" hidden="1" x14ac:dyDescent="0.2">
      <c r="A2569" s="101" t="s">
        <v>101</v>
      </c>
      <c r="B2569" s="1067" t="s">
        <v>111</v>
      </c>
      <c r="C2569" s="1336" t="s">
        <v>5855</v>
      </c>
      <c r="D2569" s="100"/>
      <c r="E2569" s="1656" t="s">
        <v>5851</v>
      </c>
      <c r="F2569" s="1656" t="s">
        <v>105</v>
      </c>
      <c r="G2569" s="101" t="s">
        <v>482</v>
      </c>
      <c r="H2569" s="101" t="s">
        <v>5852</v>
      </c>
      <c r="I2569" s="101" t="s">
        <v>574</v>
      </c>
      <c r="J2569" s="487" t="s">
        <v>53</v>
      </c>
      <c r="K2569" s="101" t="s">
        <v>814</v>
      </c>
      <c r="L2569" s="101" t="s">
        <v>815</v>
      </c>
      <c r="M2569" s="141">
        <v>256</v>
      </c>
      <c r="N2569" s="114"/>
      <c r="O2569" s="68" t="s">
        <v>575</v>
      </c>
      <c r="P2569" s="101">
        <v>40</v>
      </c>
      <c r="Q2569" s="101">
        <v>60</v>
      </c>
      <c r="R2569" s="101">
        <v>40</v>
      </c>
      <c r="S2569" s="103">
        <v>60</v>
      </c>
      <c r="T2569" s="116">
        <v>43</v>
      </c>
      <c r="U2569" s="116">
        <v>63</v>
      </c>
      <c r="V2569" s="106">
        <f>IF(J2569="Canvas",P2569+Border,P2569)</f>
        <v>48</v>
      </c>
      <c r="W2569" s="106">
        <f>IF(J2569="Canvas",Q2569+Border,Q2569)</f>
        <v>68</v>
      </c>
      <c r="X2569" s="101">
        <v>69</v>
      </c>
      <c r="Y2569" s="881">
        <f>Table1[[#This Row],[Print Wth]]</f>
        <v>48</v>
      </c>
      <c r="Z2569" s="881">
        <f>Table1[[#This Row],[Print Ht]]</f>
        <v>68</v>
      </c>
      <c r="AA2569" s="892">
        <f>Table1[[#This Row],[Cut Width]]*Table1[[#This Row],[Cut Height]]/144</f>
        <v>22.666666666666668</v>
      </c>
      <c r="AB2569" s="898">
        <f>(Table1[[#This Row],[Print Wth]]*Table1[[#This Row],[Print Ht]])/144*SWISSMLR</f>
        <v>45.333333333333336</v>
      </c>
      <c r="AC2569" s="863">
        <f>(Table1[[#This Row],[Cut Width]]*Table1[[#This Row],[Cut Height]])/144*Canvas</f>
        <v>14.96</v>
      </c>
      <c r="AD2569" s="865">
        <f>(Table1[[#This Row],[Print Wth]]*Table1[[#This Row],[Print Ht]])/144*Materials!$C$42</f>
        <v>7.2533333333333339</v>
      </c>
      <c r="AE2569" s="863">
        <v>10</v>
      </c>
      <c r="AF2569" s="102">
        <f>'Cali Frames'!D202</f>
        <v>195.35</v>
      </c>
      <c r="AG2569" s="121"/>
      <c r="AH2569" s="120">
        <v>0</v>
      </c>
      <c r="AI2569" s="120"/>
      <c r="AJ2569" s="120">
        <f t="shared" si="915"/>
        <v>227.56333333333333</v>
      </c>
      <c r="AK2569" s="108">
        <f t="shared" si="914"/>
        <v>0.11108072916666667</v>
      </c>
      <c r="AL2569" s="121">
        <f>Table1[[#This Row],[WSP/Dealer]]/Table1[[#This Row],[OD Sq Inch]]</f>
        <v>9.4499815430047984E-2</v>
      </c>
      <c r="AM2569" s="113">
        <f>Table1[[#This Row],[OD Wdth]]*Table1[[#This Row],[OD Hgt]]</f>
        <v>2709</v>
      </c>
      <c r="AN2569" s="115" t="str">
        <f>Table1[[#This Row],[Color]]</f>
        <v>CB</v>
      </c>
      <c r="AO2569" s="113" t="str">
        <f>Table1[[#This Row],[Print Type]]</f>
        <v>Reductive+</v>
      </c>
      <c r="AP2569" s="84"/>
      <c r="AQ2569" s="126"/>
      <c r="AR2569" s="126"/>
      <c r="AS2569" s="126"/>
      <c r="AT2569" s="74"/>
      <c r="AU2569" s="1357" t="str">
        <f t="shared" si="909"/>
        <v>-</v>
      </c>
    </row>
    <row r="2570" spans="1:47" s="399" customFormat="1" hidden="1" x14ac:dyDescent="0.2">
      <c r="A2570" s="101" t="s">
        <v>101</v>
      </c>
      <c r="B2570" s="1067" t="s">
        <v>102</v>
      </c>
      <c r="C2570" s="1336" t="s">
        <v>5856</v>
      </c>
      <c r="D2570" s="100"/>
      <c r="E2570" s="1656" t="s">
        <v>5857</v>
      </c>
      <c r="F2570" s="1656" t="s">
        <v>105</v>
      </c>
      <c r="G2570" s="101" t="s">
        <v>1002</v>
      </c>
      <c r="H2570" s="101" t="s">
        <v>1002</v>
      </c>
      <c r="I2570" s="101" t="s">
        <v>108</v>
      </c>
      <c r="J2570" s="487" t="s">
        <v>53</v>
      </c>
      <c r="K2570" s="101" t="s">
        <v>119</v>
      </c>
      <c r="L2570" s="101" t="s">
        <v>120</v>
      </c>
      <c r="M2570" s="141">
        <v>181</v>
      </c>
      <c r="N2570" s="114"/>
      <c r="O2570" s="101" t="s">
        <v>109</v>
      </c>
      <c r="P2570" s="101">
        <v>14</v>
      </c>
      <c r="Q2570" s="101">
        <v>20</v>
      </c>
      <c r="R2570" s="101">
        <v>14</v>
      </c>
      <c r="S2570" s="103">
        <v>20</v>
      </c>
      <c r="T2570" s="116">
        <v>14</v>
      </c>
      <c r="U2570" s="116">
        <v>20</v>
      </c>
      <c r="V2570" s="106">
        <f>IF(J2570="Canvas",P2570+Border,P2570)</f>
        <v>22</v>
      </c>
      <c r="W2570" s="106">
        <f>IF(J2570="Canvas",Q2570+Border,Q2570)</f>
        <v>28</v>
      </c>
      <c r="X2570" s="101">
        <v>40</v>
      </c>
      <c r="Y2570" s="686">
        <f>Table1[[#This Row],[Print Wth]]</f>
        <v>22</v>
      </c>
      <c r="Z2570" s="686">
        <f>Table1[[#This Row],[Print Ht]]</f>
        <v>28</v>
      </c>
      <c r="AA2570" s="1027">
        <f>Table1[[#This Row],[Cut Width]]*Table1[[#This Row],[Cut Height]]/144</f>
        <v>4.2777777777777777</v>
      </c>
      <c r="AB2570" s="1130">
        <f>Table1[[#This Row],[Print Wth]]*Table1[[#This Row],[Print Ht]]/144*EPSONM</f>
        <v>19.25</v>
      </c>
      <c r="AC2570" s="278">
        <f>Table1[[#This Row],[Substrate SF]]*Canvas</f>
        <v>2.8233333333333333</v>
      </c>
      <c r="AD2570" s="263">
        <f>Table1[[#This Row],[Ink g/mL]]*EPSONC</f>
        <v>4.2350000000000003</v>
      </c>
      <c r="AE2570" s="406">
        <f>IF(Table1[[#This Row],[Work Center]]="SwissQ",Materials!G$37,IF(Table1[[#This Row],[Work Center]]="Inca",Materials!G$29,IF(Table1[[#This Row],[Work Center]]="Canon",Materials!G$49,Materials!G$45)))</f>
        <v>5</v>
      </c>
      <c r="AF2570" s="102">
        <f>'Cali FPS'!C183</f>
        <v>78.14</v>
      </c>
      <c r="AG2570" s="121"/>
      <c r="AH2570" s="120">
        <v>0</v>
      </c>
      <c r="AI2570" s="120"/>
      <c r="AJ2570" s="120">
        <f t="shared" si="915"/>
        <v>90.198333333333338</v>
      </c>
      <c r="AK2570" s="108">
        <f t="shared" si="914"/>
        <v>0.50166666666666659</v>
      </c>
      <c r="AL2570" s="121">
        <f>Table1[[#This Row],[WSP/Dealer]]/Table1[[#This Row],[OD Sq Inch]]</f>
        <v>0.64642857142857146</v>
      </c>
      <c r="AM2570" s="113">
        <f>Table1[[#This Row],[OD Wdth]]*Table1[[#This Row],[OD Hgt]]</f>
        <v>280</v>
      </c>
      <c r="AN2570" s="115" t="str">
        <f>Table1[[#This Row],[Color]]</f>
        <v>GT</v>
      </c>
      <c r="AO2570" s="113" t="str">
        <f>Table1[[#This Row],[Print Type]]</f>
        <v>Reductive</v>
      </c>
      <c r="AP2570" s="115"/>
      <c r="AQ2570" s="121">
        <f>(Table1[[#This Row],[Desgnr/Retail P]]*0.05)</f>
        <v>0</v>
      </c>
      <c r="AR2570" s="121" t="b">
        <f>IF(A2570="Codarus",(AP2570*0.13))</f>
        <v>0</v>
      </c>
      <c r="AS2570" s="121" t="e" cm="1">
        <f t="array" ref="AS2570">SUM(AC2570:AG2570+AQ+AR)</f>
        <v>#NAME?</v>
      </c>
      <c r="AT2570" s="104" t="e">
        <f>(AP2570-AS2570)/AP2570</f>
        <v>#NAME?</v>
      </c>
      <c r="AU2570" s="1367" t="str">
        <f t="shared" si="909"/>
        <v>-</v>
      </c>
    </row>
    <row r="2571" spans="1:47" s="170" customFormat="1" hidden="1" x14ac:dyDescent="0.2">
      <c r="A2571" s="101" t="s">
        <v>187</v>
      </c>
      <c r="B2571" s="1067" t="s">
        <v>261</v>
      </c>
      <c r="C2571" s="1335" t="s">
        <v>5858</v>
      </c>
      <c r="D2571" s="168"/>
      <c r="E2571" s="1658" t="s">
        <v>5859</v>
      </c>
      <c r="F2571" s="1656" t="s">
        <v>585</v>
      </c>
      <c r="G2571" s="101" t="s">
        <v>1026</v>
      </c>
      <c r="H2571" s="101" t="s">
        <v>1026</v>
      </c>
      <c r="I2571" s="60" t="s">
        <v>52</v>
      </c>
      <c r="J2571" s="59" t="s">
        <v>280</v>
      </c>
      <c r="K2571" s="60" t="s">
        <v>281</v>
      </c>
      <c r="L2571" s="101" t="s">
        <v>282</v>
      </c>
      <c r="M2571" s="494">
        <v>625</v>
      </c>
      <c r="N2571" s="114">
        <v>625</v>
      </c>
      <c r="O2571" s="101" t="s">
        <v>64</v>
      </c>
      <c r="P2571" s="60">
        <v>30</v>
      </c>
      <c r="Q2571" s="60">
        <v>40</v>
      </c>
      <c r="R2571" s="60">
        <v>30</v>
      </c>
      <c r="S2571" s="46">
        <v>40</v>
      </c>
      <c r="T2571" s="46">
        <v>30</v>
      </c>
      <c r="U2571" s="46">
        <v>40</v>
      </c>
      <c r="V2571" s="47">
        <v>30</v>
      </c>
      <c r="W2571" s="106">
        <v>40</v>
      </c>
      <c r="X2571" s="101" t="s">
        <v>283</v>
      </c>
      <c r="Y2571" s="101"/>
      <c r="Z2571" s="101"/>
      <c r="AA2571" s="649">
        <f>V2571*W2571/144</f>
        <v>8.3333333333333339</v>
      </c>
      <c r="AB2571" s="184">
        <f>AA2571*Swiss1</f>
        <v>235.83333333333334</v>
      </c>
      <c r="AC2571" s="104">
        <f>MDFSHEET*0.5</f>
        <v>12.175000000000001</v>
      </c>
      <c r="AD2571" s="120">
        <f>Table1[[#This Row],[Substrate SF]]*Materials!C$37</f>
        <v>23.333333333333332</v>
      </c>
      <c r="AE2571" s="121">
        <f>IF(Table1[[#This Row],[Work Center]]="SwissQ",Materials!G$37,IF(Table1[[#This Row],[Work Center]]="Inca",Materials!G$29,IF(Table1[[#This Row],[Work Center]]="Canon",Materials!G$49,Materials!G$45)))</f>
        <v>20</v>
      </c>
      <c r="AF2571" s="102">
        <f>'Cali Frames'!D541</f>
        <v>126.02</v>
      </c>
      <c r="AG2571" s="121"/>
      <c r="AH2571" s="120">
        <f>(M2571*0.05)</f>
        <v>31.25</v>
      </c>
      <c r="AI2571" s="120"/>
      <c r="AJ2571" s="120">
        <f t="shared" si="915"/>
        <v>212.77833333333334</v>
      </c>
      <c r="AK2571" s="108">
        <f t="shared" si="914"/>
        <v>0.65955466666666673</v>
      </c>
      <c r="AL2571" s="121">
        <f>Table1[[#This Row],[WSP/Dealer]]/Table1[[#This Row],[OD Sq Inch]]</f>
        <v>0.52083333333333337</v>
      </c>
      <c r="AM2571" s="113">
        <f>Table1[[#This Row],[OD Wdth]]*Table1[[#This Row],[OD Hgt]]</f>
        <v>1200</v>
      </c>
      <c r="AN2571" s="115">
        <f>Table1[[#This Row],[Min VO]]+Table1[[#This Row],[Max VO]]</f>
        <v>70</v>
      </c>
      <c r="AO2571" s="113"/>
      <c r="AP2571" s="115"/>
      <c r="AQ2571" s="121"/>
      <c r="AR2571" s="121"/>
      <c r="AS2571" s="121"/>
      <c r="AT2571" s="104"/>
      <c r="AU2571" s="1367" t="str">
        <f t="shared" si="909"/>
        <v>-</v>
      </c>
    </row>
    <row r="2572" spans="1:47" s="399" customFormat="1" x14ac:dyDescent="0.2">
      <c r="A2572" s="101" t="s">
        <v>58</v>
      </c>
      <c r="B2572" s="1064" t="s">
        <v>587</v>
      </c>
      <c r="C2572" s="1335" t="s">
        <v>5858</v>
      </c>
      <c r="D2572" s="168"/>
      <c r="E2572" s="1658" t="s">
        <v>5859</v>
      </c>
      <c r="F2572" s="1656" t="s">
        <v>585</v>
      </c>
      <c r="G2572" s="101" t="s">
        <v>1026</v>
      </c>
      <c r="H2572" s="101" t="s">
        <v>1026</v>
      </c>
      <c r="I2572" s="60" t="s">
        <v>52</v>
      </c>
      <c r="J2572" s="59" t="s">
        <v>280</v>
      </c>
      <c r="K2572" s="60" t="s">
        <v>281</v>
      </c>
      <c r="L2572" s="101" t="s">
        <v>282</v>
      </c>
      <c r="M2572" s="494">
        <v>625</v>
      </c>
      <c r="N2572" s="114">
        <v>625</v>
      </c>
      <c r="O2572" s="101" t="s">
        <v>64</v>
      </c>
      <c r="P2572" s="60">
        <v>30</v>
      </c>
      <c r="Q2572" s="60">
        <v>40</v>
      </c>
      <c r="R2572" s="60">
        <v>30</v>
      </c>
      <c r="S2572" s="60">
        <v>40</v>
      </c>
      <c r="T2572" s="60">
        <v>30</v>
      </c>
      <c r="U2572" s="60">
        <v>40</v>
      </c>
      <c r="V2572" s="47">
        <v>30</v>
      </c>
      <c r="W2572" s="106">
        <v>40</v>
      </c>
      <c r="X2572" s="101" t="s">
        <v>283</v>
      </c>
      <c r="Y2572" s="101"/>
      <c r="Z2572" s="101"/>
      <c r="AA2572" s="649">
        <f>V2572*W2572/144</f>
        <v>8.3333333333333339</v>
      </c>
      <c r="AB2572" s="184">
        <f>AA2572*Swiss1</f>
        <v>235.83333333333334</v>
      </c>
      <c r="AC2572" s="104">
        <f>MDFSHEET*0.5</f>
        <v>12.175000000000001</v>
      </c>
      <c r="AD2572" s="120">
        <f>Table1[[#This Row],[Substrate SF]]*Materials!C$37</f>
        <v>23.333333333333332</v>
      </c>
      <c r="AE2572" s="121">
        <f>IF(Table1[[#This Row],[Work Center]]="SwissQ",Materials!G$37,IF(Table1[[#This Row],[Work Center]]="Inca",Materials!G$29,IF(Table1[[#This Row],[Work Center]]="Canon",Materials!G$49,Materials!G$45)))</f>
        <v>20</v>
      </c>
      <c r="AF2572" s="102">
        <f>'Cali Frames'!D541</f>
        <v>126.02</v>
      </c>
      <c r="AG2572" s="121"/>
      <c r="AH2572" s="121">
        <f>(M2572*0.05)</f>
        <v>31.25</v>
      </c>
      <c r="AI2572" s="121"/>
      <c r="AJ2572" s="121">
        <f t="shared" si="915"/>
        <v>212.77833333333334</v>
      </c>
      <c r="AK2572" s="830">
        <f t="shared" si="914"/>
        <v>0.65955466666666673</v>
      </c>
      <c r="AL2572" s="121">
        <f>Table1[[#This Row],[WSP/Dealer]]/Table1[[#This Row],[OD Sq Inch]]</f>
        <v>0.52083333333333337</v>
      </c>
      <c r="AM2572" s="113">
        <f>Table1[[#This Row],[OD Wdth]]*Table1[[#This Row],[OD Hgt]]</f>
        <v>1200</v>
      </c>
      <c r="AN2572" s="115">
        <f>Table1[[#This Row],[Min VO]]+Table1[[#This Row],[Max VO]]</f>
        <v>70</v>
      </c>
      <c r="AO2572" s="115"/>
      <c r="AP2572" s="115"/>
      <c r="AQ2572" s="121"/>
      <c r="AR2572" s="121"/>
      <c r="AS2572" s="121"/>
      <c r="AT2572" s="104"/>
      <c r="AU2572" s="1359" t="str">
        <f t="shared" si="909"/>
        <v>-</v>
      </c>
    </row>
    <row r="2573" spans="1:47" s="170" customFormat="1" hidden="1" x14ac:dyDescent="0.2">
      <c r="A2573" s="101" t="s">
        <v>187</v>
      </c>
      <c r="B2573" s="1064" t="s">
        <v>261</v>
      </c>
      <c r="C2573" s="1335" t="s">
        <v>5860</v>
      </c>
      <c r="D2573" s="168"/>
      <c r="E2573" s="1658" t="s">
        <v>5861</v>
      </c>
      <c r="F2573" s="1656" t="s">
        <v>585</v>
      </c>
      <c r="G2573" s="101" t="s">
        <v>1026</v>
      </c>
      <c r="H2573" s="101" t="s">
        <v>1026</v>
      </c>
      <c r="I2573" s="60" t="s">
        <v>108</v>
      </c>
      <c r="J2573" s="59" t="s">
        <v>197</v>
      </c>
      <c r="K2573" s="60" t="s">
        <v>198</v>
      </c>
      <c r="L2573" s="101" t="s">
        <v>199</v>
      </c>
      <c r="M2573" s="114">
        <v>60</v>
      </c>
      <c r="N2573" s="114"/>
      <c r="O2573" s="101" t="s">
        <v>64</v>
      </c>
      <c r="P2573" s="60">
        <v>30</v>
      </c>
      <c r="Q2573" s="60">
        <v>40</v>
      </c>
      <c r="R2573" s="60">
        <v>30</v>
      </c>
      <c r="S2573" s="60">
        <v>40</v>
      </c>
      <c r="T2573" s="60">
        <v>30</v>
      </c>
      <c r="U2573" s="60">
        <v>40</v>
      </c>
      <c r="V2573" s="66">
        <f>Table1[[#This Row],[VO Wdth]]+Materials!$C$7</f>
        <v>32</v>
      </c>
      <c r="W2573" s="106">
        <f>Table1[[#This Row],[VO Hgt]]+Materials!$C$7</f>
        <v>42</v>
      </c>
      <c r="X2573" s="101" t="s">
        <v>197</v>
      </c>
      <c r="Y2573" s="101"/>
      <c r="Z2573" s="101"/>
      <c r="AA2573" s="649">
        <f>V2573*W2573/144</f>
        <v>9.3333333333333339</v>
      </c>
      <c r="AB2573" s="184">
        <f>AA2573*SWISSRML</f>
        <v>18.666666666666668</v>
      </c>
      <c r="AC2573" s="104">
        <f>Table1[[#This Row],[Substrate SF]]*POster</f>
        <v>6.944</v>
      </c>
      <c r="AD2573" s="120">
        <f>Table1[[#This Row],[Substrate SF]]*SWISSRC</f>
        <v>2.0533333333333337</v>
      </c>
      <c r="AE2573" s="121">
        <f>IF(Table1[[#This Row],[Color]]="UF",10,IF(Table1[[#This Row],[Work Center]]="SwissQ",Materials!G$37,IF(Table1[[#This Row],[Work Center]]="Inca",Materials!G$29,IF(Table1[[#This Row],[Work Center]]="Canon",Materials!G$49,Materials!G$45))))</f>
        <v>10</v>
      </c>
      <c r="AF2573" s="102">
        <v>0</v>
      </c>
      <c r="AG2573" s="121">
        <f>Materials!D$76</f>
        <v>10.82</v>
      </c>
      <c r="AH2573" s="120">
        <f>(M2573*0.05)</f>
        <v>3</v>
      </c>
      <c r="AI2573" s="120"/>
      <c r="AJ2573" s="121">
        <f t="shared" si="915"/>
        <v>32.817333333333337</v>
      </c>
      <c r="AK2573" s="108">
        <f t="shared" si="914"/>
        <v>0.45304444444444436</v>
      </c>
      <c r="AL2573" s="121">
        <f>Table1[[#This Row],[WSP/Dealer]]/Table1[[#This Row],[OD Sq Inch]]</f>
        <v>0.05</v>
      </c>
      <c r="AM2573" s="113">
        <f>Table1[[#This Row],[OD Wdth]]*Table1[[#This Row],[OD Hgt]]</f>
        <v>1200</v>
      </c>
      <c r="AN2573" s="115">
        <f>Table1[[#This Row],[Min VO]]+Table1[[#This Row],[Max VO]]</f>
        <v>70</v>
      </c>
      <c r="AO2573" s="115"/>
      <c r="AP2573" s="115"/>
      <c r="AQ2573" s="121"/>
      <c r="AR2573" s="121"/>
      <c r="AS2573" s="121"/>
      <c r="AT2573" s="104"/>
      <c r="AU2573" s="1359" t="str">
        <f t="shared" si="909"/>
        <v>-</v>
      </c>
    </row>
    <row r="2574" spans="1:47" s="170" customFormat="1" hidden="1" x14ac:dyDescent="0.2">
      <c r="A2574" s="101" t="s">
        <v>187</v>
      </c>
      <c r="B2574" s="1064" t="s">
        <v>261</v>
      </c>
      <c r="C2574" s="1730" t="s">
        <v>5862</v>
      </c>
      <c r="D2574" s="168"/>
      <c r="E2574" s="1711" t="s">
        <v>5863</v>
      </c>
      <c r="F2574" s="1656" t="s">
        <v>585</v>
      </c>
      <c r="G2574" s="407" t="s">
        <v>51</v>
      </c>
      <c r="H2574" s="101"/>
      <c r="I2574" s="605" t="s">
        <v>52</v>
      </c>
      <c r="J2574" s="59"/>
      <c r="K2574" s="605" t="s">
        <v>5366</v>
      </c>
      <c r="L2574" s="101" t="s">
        <v>282</v>
      </c>
      <c r="M2574" s="114">
        <v>2130</v>
      </c>
      <c r="N2574" s="114"/>
      <c r="O2574" s="101"/>
      <c r="P2574" s="46"/>
      <c r="Q2574" s="46"/>
      <c r="R2574" s="60"/>
      <c r="S2574" s="46"/>
      <c r="T2574" s="63"/>
      <c r="U2574" s="63"/>
      <c r="V2574" s="66"/>
      <c r="W2574" s="106"/>
      <c r="X2574" s="101"/>
      <c r="Y2574" s="103"/>
      <c r="Z2574" s="103"/>
      <c r="AA2574" s="649"/>
      <c r="AB2574" s="184"/>
      <c r="AC2574" s="104"/>
      <c r="AD2574" s="120"/>
      <c r="AE2574" s="121"/>
      <c r="AF2574" s="102"/>
      <c r="AG2574" s="121"/>
      <c r="AH2574" s="120">
        <f>(M2574*0.05)</f>
        <v>106.5</v>
      </c>
      <c r="AI2574" s="120"/>
      <c r="AJ2574" s="121"/>
      <c r="AK2574" s="108">
        <f t="shared" si="914"/>
        <v>1</v>
      </c>
      <c r="AL2574" s="121" t="e">
        <f>Table1[[#This Row],[WSP/Dealer]]/Table1[[#This Row],[OD Sq Inch]]</f>
        <v>#DIV/0!</v>
      </c>
      <c r="AM2574" s="113"/>
      <c r="AN2574" s="115"/>
      <c r="AO2574" s="115"/>
      <c r="AP2574" s="115"/>
      <c r="AQ2574" s="121"/>
      <c r="AR2574" s="121"/>
      <c r="AS2574" s="121"/>
      <c r="AT2574" s="104"/>
      <c r="AU2574" s="1359" t="str">
        <f t="shared" si="909"/>
        <v>-</v>
      </c>
    </row>
    <row r="2575" spans="1:47" s="170" customFormat="1" x14ac:dyDescent="0.2">
      <c r="A2575" s="101" t="s">
        <v>58</v>
      </c>
      <c r="B2575" s="1064" t="s">
        <v>88</v>
      </c>
      <c r="C2575" s="183" t="s">
        <v>5864</v>
      </c>
      <c r="D2575" s="168" t="s">
        <v>5865</v>
      </c>
      <c r="E2575" s="1711" t="s">
        <v>5866</v>
      </c>
      <c r="F2575" s="1656" t="s">
        <v>634</v>
      </c>
      <c r="G2575" s="101" t="s">
        <v>1789</v>
      </c>
      <c r="H2575" s="101" t="s">
        <v>1790</v>
      </c>
      <c r="I2575" s="60" t="s">
        <v>794</v>
      </c>
      <c r="J2575" s="59" t="s">
        <v>53</v>
      </c>
      <c r="K2575" s="60" t="s">
        <v>69</v>
      </c>
      <c r="L2575" s="101" t="s">
        <v>70</v>
      </c>
      <c r="M2575" s="114">
        <v>682</v>
      </c>
      <c r="N2575" s="114">
        <v>750.2</v>
      </c>
      <c r="O2575" s="101" t="s">
        <v>795</v>
      </c>
      <c r="P2575" s="60">
        <v>43</v>
      </c>
      <c r="Q2575" s="60">
        <v>43</v>
      </c>
      <c r="R2575" s="60">
        <v>43</v>
      </c>
      <c r="S2575" s="60">
        <v>43</v>
      </c>
      <c r="T2575" s="101">
        <v>44</v>
      </c>
      <c r="U2575" s="101" t="str">
        <f>RIGHT(H2575,2)</f>
        <v>44</v>
      </c>
      <c r="V2575" s="106">
        <f>IF(J2575="Canvas",P2575+Border,P2575)</f>
        <v>51</v>
      </c>
      <c r="W2575" s="106">
        <f>IF(J2575="Canvas",Q2575+Border,Q2575)</f>
        <v>51</v>
      </c>
      <c r="X2575" s="101" t="s">
        <v>796</v>
      </c>
      <c r="Y2575" s="101"/>
      <c r="Z2575" s="101"/>
      <c r="AA2575" s="649">
        <f>V2575*W2575/144</f>
        <v>18.0625</v>
      </c>
      <c r="AB2575" s="184">
        <v>0</v>
      </c>
      <c r="AC2575" s="104">
        <f>TX!H35</f>
        <v>163.18</v>
      </c>
      <c r="AD2575" s="120">
        <f>AA2575*IncaC</f>
        <v>30.402799999999999</v>
      </c>
      <c r="AE2575" s="121">
        <v>0</v>
      </c>
      <c r="AF2575" s="102" t="e">
        <f>'Cali Frames'!#REF!</f>
        <v>#REF!</v>
      </c>
      <c r="AG2575" s="121"/>
      <c r="AH2575" s="120">
        <f>(M2575*0.05)</f>
        <v>34.1</v>
      </c>
      <c r="AI2575" s="120"/>
      <c r="AJ2575" s="121" t="e">
        <f>SUM(AC2575:AH2575)</f>
        <v>#REF!</v>
      </c>
      <c r="AK2575" s="108" t="e">
        <f t="shared" si="914"/>
        <v>#REF!</v>
      </c>
      <c r="AL2575" s="121">
        <f>Table1[[#This Row],[WSP/Dealer]]/Table1[[#This Row],[OD Sq Inch]]</f>
        <v>0.35227272727272729</v>
      </c>
      <c r="AM2575" s="113">
        <f>Table1[[#This Row],[OD Wdth]]*Table1[[#This Row],[OD Hgt]]</f>
        <v>1936</v>
      </c>
      <c r="AN2575" s="115">
        <f>Table1[[#This Row],[Min VO]]+Table1[[#This Row],[Max VO]]</f>
        <v>86</v>
      </c>
      <c r="AO2575" s="113"/>
      <c r="AP2575" s="115"/>
      <c r="AQ2575" s="121"/>
      <c r="AR2575" s="104"/>
      <c r="AS2575" s="104"/>
      <c r="AT2575" s="104"/>
      <c r="AU2575" s="1367" t="str">
        <f t="shared" ref="AU2575:AU2606" si="916">IF(AQ2575=0,"-",(AQ2575-AT2575)/AQ2575)</f>
        <v>-</v>
      </c>
    </row>
    <row r="2576" spans="1:47" s="170" customFormat="1" hidden="1" x14ac:dyDescent="0.2">
      <c r="A2576" s="101"/>
      <c r="B2576" s="1064"/>
      <c r="C2576" s="1053"/>
      <c r="D2576" s="168"/>
      <c r="E2576" s="378"/>
      <c r="F2576" s="327"/>
      <c r="G2576" s="101"/>
      <c r="H2576" s="101"/>
      <c r="I2576" s="60"/>
      <c r="J2576" s="59"/>
      <c r="K2576" s="60"/>
      <c r="L2576" s="101"/>
      <c r="M2576" s="114"/>
      <c r="N2576" s="114"/>
      <c r="O2576" s="101"/>
      <c r="P2576" s="60"/>
      <c r="Q2576" s="60"/>
      <c r="R2576" s="60"/>
      <c r="S2576" s="60"/>
      <c r="T2576" s="68"/>
      <c r="U2576" s="68"/>
      <c r="V2576" s="66"/>
      <c r="W2576" s="106"/>
      <c r="X2576" s="101"/>
      <c r="Y2576" s="101"/>
      <c r="Z2576" s="101"/>
      <c r="AA2576" s="649"/>
      <c r="AB2576" s="184"/>
      <c r="AC2576" s="104"/>
      <c r="AD2576" s="120"/>
      <c r="AE2576" s="121"/>
      <c r="AF2576" s="102"/>
      <c r="AG2576" s="121"/>
      <c r="AH2576" s="121"/>
      <c r="AI2576" s="121"/>
      <c r="AJ2576" s="121"/>
      <c r="AK2576" s="830"/>
      <c r="AL2576" s="121"/>
      <c r="AM2576" s="113"/>
      <c r="AN2576" s="115"/>
      <c r="AO2576" s="115"/>
      <c r="AP2576" s="115"/>
      <c r="AQ2576" s="121">
        <f>(Table1[[#This Row],[Desgnr/Retail P]]*0.05)</f>
        <v>0</v>
      </c>
      <c r="AR2576" s="121" t="b">
        <f>IF(A2576="Codarus",(AP2576*0.13))</f>
        <v>0</v>
      </c>
      <c r="AS2576" s="121" t="e" cm="1">
        <f t="array" ref="AS2576">SUM(AC2576:AG2576+AQ+AR)</f>
        <v>#NAME?</v>
      </c>
      <c r="AT2576" s="104" t="e">
        <f>(AP2576-AS2576)/AP2576</f>
        <v>#NAME?</v>
      </c>
      <c r="AU2576" s="1359" t="str">
        <f t="shared" si="916"/>
        <v>-</v>
      </c>
    </row>
    <row r="2577" spans="1:47" s="170" customFormat="1" hidden="1" x14ac:dyDescent="0.2">
      <c r="A2577" s="101"/>
      <c r="B2577" s="1067"/>
      <c r="C2577" s="1475"/>
      <c r="D2577" s="168"/>
      <c r="E2577" s="492"/>
      <c r="F2577" s="327"/>
      <c r="G2577" s="101"/>
      <c r="H2577" s="101"/>
      <c r="I2577" s="605"/>
      <c r="J2577" s="435"/>
      <c r="K2577" s="60"/>
      <c r="L2577" s="101"/>
      <c r="M2577" s="114"/>
      <c r="N2577" s="114"/>
      <c r="O2577" s="101"/>
      <c r="P2577" s="60"/>
      <c r="Q2577" s="60"/>
      <c r="R2577" s="60"/>
      <c r="S2577" s="46"/>
      <c r="T2577" s="273"/>
      <c r="U2577" s="273"/>
      <c r="V2577" s="47"/>
      <c r="W2577" s="106"/>
      <c r="X2577" s="101"/>
      <c r="Y2577" s="101"/>
      <c r="Z2577" s="101"/>
      <c r="AA2577" s="649"/>
      <c r="AB2577" s="184"/>
      <c r="AC2577" s="104"/>
      <c r="AD2577" s="120"/>
      <c r="AE2577" s="121"/>
      <c r="AF2577" s="102"/>
      <c r="AG2577" s="115"/>
      <c r="AH2577" s="120"/>
      <c r="AI2577" s="120"/>
      <c r="AJ2577" s="121"/>
      <c r="AK2577" s="108"/>
      <c r="AL2577" s="121"/>
      <c r="AM2577" s="113"/>
      <c r="AN2577" s="115"/>
      <c r="AO2577" s="115"/>
      <c r="AP2577" s="115"/>
      <c r="AQ2577" s="121">
        <f>(Table1[[#This Row],[Desgnr/Retail P]]*0.05)</f>
        <v>0</v>
      </c>
      <c r="AR2577" s="121" t="b">
        <f>IF(A2577="Codarus",(AP2577*0.13))</f>
        <v>0</v>
      </c>
      <c r="AS2577" s="121" t="e" cm="1">
        <f t="array" ref="AS2577">SUM(AC2577:AG2577+AQ+AR)</f>
        <v>#NAME?</v>
      </c>
      <c r="AT2577" s="104" t="e">
        <f>(AP2577-AS2577)/AP2577</f>
        <v>#NAME?</v>
      </c>
      <c r="AU2577" s="1359" t="str">
        <f t="shared" si="916"/>
        <v>-</v>
      </c>
    </row>
    <row r="2578" spans="1:47" s="170" customFormat="1" hidden="1" x14ac:dyDescent="0.2">
      <c r="A2578" s="101"/>
      <c r="B2578" s="1064"/>
      <c r="C2578" s="257"/>
      <c r="D2578" s="719"/>
      <c r="E2578" s="84"/>
      <c r="F2578" s="115"/>
      <c r="G2578" s="101"/>
      <c r="H2578" s="1398"/>
      <c r="I2578" s="60"/>
      <c r="J2578" s="59"/>
      <c r="K2578" s="60"/>
      <c r="L2578" s="101"/>
      <c r="M2578" s="114"/>
      <c r="N2578" s="114"/>
      <c r="O2578" s="103"/>
      <c r="P2578" s="61"/>
      <c r="Q2578" s="61"/>
      <c r="R2578" s="60"/>
      <c r="S2578" s="61"/>
      <c r="T2578" s="1221"/>
      <c r="U2578" s="1221"/>
      <c r="V2578" s="66"/>
      <c r="W2578" s="106"/>
      <c r="X2578" s="101"/>
      <c r="Y2578" s="103"/>
      <c r="Z2578" s="103"/>
      <c r="AA2578" s="649"/>
      <c r="AB2578" s="184"/>
      <c r="AC2578" s="107"/>
      <c r="AD2578" s="120"/>
      <c r="AE2578" s="121"/>
      <c r="AF2578" s="102"/>
      <c r="AG2578" s="121"/>
      <c r="AH2578" s="120"/>
      <c r="AI2578" s="120"/>
      <c r="AJ2578" s="120"/>
      <c r="AK2578" s="108"/>
      <c r="AL2578" s="121"/>
      <c r="AM2578" s="113"/>
      <c r="AN2578" s="115"/>
      <c r="AO2578" s="113"/>
      <c r="AP2578" s="113"/>
      <c r="AQ2578" s="1222"/>
      <c r="AR2578" s="1222"/>
      <c r="AS2578" s="1222"/>
      <c r="AT2578" s="1224"/>
      <c r="AU2578" s="1367" t="str">
        <f t="shared" si="916"/>
        <v>-</v>
      </c>
    </row>
    <row r="2579" spans="1:47" s="170" customFormat="1" hidden="1" x14ac:dyDescent="0.2">
      <c r="A2579" s="101"/>
      <c r="B2579" s="1109"/>
      <c r="C2579" s="78"/>
      <c r="D2579" s="100"/>
      <c r="E2579" s="84"/>
      <c r="F2579" s="115"/>
      <c r="G2579" s="101"/>
      <c r="H2579" s="101"/>
      <c r="I2579" s="60"/>
      <c r="J2579" s="59"/>
      <c r="K2579" s="60"/>
      <c r="L2579" s="101"/>
      <c r="M2579" s="114"/>
      <c r="N2579" s="114"/>
      <c r="O2579" s="103"/>
      <c r="P2579" s="46"/>
      <c r="Q2579" s="46"/>
      <c r="R2579" s="60"/>
      <c r="S2579" s="61"/>
      <c r="T2579" s="63"/>
      <c r="U2579" s="65"/>
      <c r="V2579" s="66"/>
      <c r="W2579" s="106"/>
      <c r="X2579" s="101"/>
      <c r="Y2579" s="103"/>
      <c r="Z2579" s="103"/>
      <c r="AA2579" s="649"/>
      <c r="AB2579" s="184"/>
      <c r="AC2579" s="107"/>
      <c r="AD2579" s="120"/>
      <c r="AE2579" s="121"/>
      <c r="AF2579" s="102"/>
      <c r="AG2579" s="121"/>
      <c r="AH2579" s="120"/>
      <c r="AI2579" s="120"/>
      <c r="AJ2579" s="120"/>
      <c r="AK2579" s="108"/>
      <c r="AL2579" s="121"/>
      <c r="AM2579" s="113"/>
      <c r="AN2579" s="115"/>
      <c r="AO2579" s="113"/>
      <c r="AP2579" s="113"/>
      <c r="AQ2579" s="120"/>
      <c r="AR2579" s="107"/>
      <c r="AS2579" s="107"/>
      <c r="AT2579" s="107"/>
      <c r="AU2579" s="1367" t="str">
        <f t="shared" si="916"/>
        <v>-</v>
      </c>
    </row>
    <row r="2580" spans="1:47" s="170" customFormat="1" hidden="1" x14ac:dyDescent="0.2">
      <c r="A2580" s="101"/>
      <c r="B2580" s="1109"/>
      <c r="C2580" s="94"/>
      <c r="D2580" s="168"/>
      <c r="E2580" s="172"/>
      <c r="F2580" s="169"/>
      <c r="G2580" s="101"/>
      <c r="H2580" s="407" t="s">
        <v>819</v>
      </c>
      <c r="I2580" s="60"/>
      <c r="J2580" s="59"/>
      <c r="K2580" s="60"/>
      <c r="L2580" s="101"/>
      <c r="M2580" s="114"/>
      <c r="N2580" s="114"/>
      <c r="O2580" s="103"/>
      <c r="P2580" s="46"/>
      <c r="Q2580" s="46"/>
      <c r="R2580" s="60"/>
      <c r="S2580" s="46"/>
      <c r="T2580" s="63"/>
      <c r="U2580" s="63"/>
      <c r="V2580" s="66"/>
      <c r="W2580" s="106"/>
      <c r="X2580" s="101"/>
      <c r="Y2580" s="103"/>
      <c r="Z2580" s="103"/>
      <c r="AA2580" s="96"/>
      <c r="AB2580" s="184"/>
      <c r="AC2580" s="107"/>
      <c r="AD2580" s="120"/>
      <c r="AE2580" s="121"/>
      <c r="AF2580" s="102"/>
      <c r="AG2580" s="121"/>
      <c r="AH2580" s="120"/>
      <c r="AI2580" s="120"/>
      <c r="AJ2580" s="120"/>
      <c r="AK2580" s="108"/>
      <c r="AL2580" s="121"/>
      <c r="AM2580" s="113"/>
      <c r="AN2580" s="115"/>
      <c r="AO2580" s="113"/>
      <c r="AP2580" s="113"/>
      <c r="AQ2580" s="120"/>
      <c r="AR2580" s="120"/>
      <c r="AS2580" s="120"/>
      <c r="AT2580" s="107"/>
      <c r="AU2580" s="1367" t="str">
        <f t="shared" si="916"/>
        <v>-</v>
      </c>
    </row>
    <row r="2581" spans="1:47" s="170" customFormat="1" hidden="1" x14ac:dyDescent="0.2">
      <c r="A2581" s="101"/>
      <c r="B2581" s="1109"/>
      <c r="C2581" s="94"/>
      <c r="D2581" s="168"/>
      <c r="E2581" s="172"/>
      <c r="F2581" s="169"/>
      <c r="G2581" s="101"/>
      <c r="H2581" s="101"/>
      <c r="I2581" s="60"/>
      <c r="J2581" s="59"/>
      <c r="K2581" s="60"/>
      <c r="L2581" s="101"/>
      <c r="M2581" s="114"/>
      <c r="N2581" s="114"/>
      <c r="O2581" s="103"/>
      <c r="P2581" s="46"/>
      <c r="Q2581" s="46"/>
      <c r="R2581" s="60"/>
      <c r="S2581" s="46"/>
      <c r="T2581" s="63"/>
      <c r="U2581" s="63"/>
      <c r="V2581" s="66"/>
      <c r="W2581" s="106"/>
      <c r="X2581" s="101"/>
      <c r="Y2581" s="103"/>
      <c r="Z2581" s="103"/>
      <c r="AA2581" s="96"/>
      <c r="AB2581" s="184"/>
      <c r="AC2581" s="107"/>
      <c r="AD2581" s="120"/>
      <c r="AE2581" s="121"/>
      <c r="AF2581" s="102"/>
      <c r="AG2581" s="121"/>
      <c r="AH2581" s="120"/>
      <c r="AI2581" s="120"/>
      <c r="AJ2581" s="120"/>
      <c r="AK2581" s="108"/>
      <c r="AL2581" s="121"/>
      <c r="AM2581" s="113"/>
      <c r="AN2581" s="115"/>
      <c r="AO2581" s="113"/>
      <c r="AP2581" s="113"/>
      <c r="AQ2581" s="120"/>
      <c r="AR2581" s="120"/>
      <c r="AS2581" s="120"/>
      <c r="AT2581" s="107"/>
      <c r="AU2581" s="1367" t="str">
        <f t="shared" si="916"/>
        <v>-</v>
      </c>
    </row>
    <row r="2582" spans="1:47" s="170" customFormat="1" hidden="1" x14ac:dyDescent="0.2">
      <c r="A2582" s="101"/>
      <c r="B2582" s="1109"/>
      <c r="C2582" s="94"/>
      <c r="D2582" s="168"/>
      <c r="E2582" s="172"/>
      <c r="F2582" s="169"/>
      <c r="G2582" s="101"/>
      <c r="H2582" s="101"/>
      <c r="I2582" s="60"/>
      <c r="J2582" s="59"/>
      <c r="K2582" s="60"/>
      <c r="L2582" s="101"/>
      <c r="M2582" s="114"/>
      <c r="N2582" s="114"/>
      <c r="O2582" s="103"/>
      <c r="P2582" s="46"/>
      <c r="Q2582" s="46"/>
      <c r="R2582" s="60"/>
      <c r="S2582" s="46"/>
      <c r="T2582" s="63"/>
      <c r="U2582" s="63"/>
      <c r="V2582" s="66"/>
      <c r="W2582" s="106"/>
      <c r="X2582" s="101"/>
      <c r="Y2582" s="103"/>
      <c r="Z2582" s="103"/>
      <c r="AA2582" s="96"/>
      <c r="AB2582" s="184"/>
      <c r="AC2582" s="107"/>
      <c r="AD2582" s="120"/>
      <c r="AE2582" s="121"/>
      <c r="AF2582" s="102"/>
      <c r="AG2582" s="121"/>
      <c r="AH2582" s="120"/>
      <c r="AI2582" s="120"/>
      <c r="AJ2582" s="120"/>
      <c r="AK2582" s="108"/>
      <c r="AL2582" s="121"/>
      <c r="AM2582" s="113"/>
      <c r="AN2582" s="115"/>
      <c r="AO2582" s="113"/>
      <c r="AP2582" s="113"/>
      <c r="AQ2582" s="120"/>
      <c r="AR2582" s="120"/>
      <c r="AS2582" s="120"/>
      <c r="AT2582" s="107"/>
      <c r="AU2582" s="1367" t="str">
        <f t="shared" si="916"/>
        <v>-</v>
      </c>
    </row>
    <row r="2583" spans="1:47" s="170" customFormat="1" hidden="1" x14ac:dyDescent="0.2">
      <c r="A2583" s="101"/>
      <c r="B2583" s="1109"/>
      <c r="C2583" s="94"/>
      <c r="D2583" s="168"/>
      <c r="E2583" s="172"/>
      <c r="F2583" s="169"/>
      <c r="G2583" s="101"/>
      <c r="H2583" s="101"/>
      <c r="I2583" s="60"/>
      <c r="J2583" s="59"/>
      <c r="K2583" s="60"/>
      <c r="L2583" s="101"/>
      <c r="M2583" s="114"/>
      <c r="N2583" s="114"/>
      <c r="O2583" s="103"/>
      <c r="P2583" s="46"/>
      <c r="Q2583" s="46"/>
      <c r="R2583" s="60"/>
      <c r="S2583" s="46"/>
      <c r="T2583" s="63"/>
      <c r="U2583" s="63"/>
      <c r="V2583" s="66"/>
      <c r="W2583" s="106"/>
      <c r="X2583" s="101"/>
      <c r="Y2583" s="103"/>
      <c r="Z2583" s="103"/>
      <c r="AA2583" s="96"/>
      <c r="AB2583" s="184"/>
      <c r="AC2583" s="107"/>
      <c r="AD2583" s="120"/>
      <c r="AE2583" s="121"/>
      <c r="AF2583" s="102"/>
      <c r="AG2583" s="121"/>
      <c r="AH2583" s="120"/>
      <c r="AI2583" s="120"/>
      <c r="AJ2583" s="120"/>
      <c r="AK2583" s="108"/>
      <c r="AL2583" s="121"/>
      <c r="AM2583" s="113"/>
      <c r="AN2583" s="115"/>
      <c r="AO2583" s="113"/>
      <c r="AP2583" s="113"/>
      <c r="AQ2583" s="120"/>
      <c r="AR2583" s="120"/>
      <c r="AS2583" s="120"/>
      <c r="AT2583" s="107"/>
      <c r="AU2583" s="1367" t="str">
        <f t="shared" si="916"/>
        <v>-</v>
      </c>
    </row>
    <row r="2584" spans="1:47" s="170" customFormat="1" hidden="1" x14ac:dyDescent="0.2">
      <c r="A2584" s="101"/>
      <c r="B2584" s="1109"/>
      <c r="C2584" s="94"/>
      <c r="D2584" s="168"/>
      <c r="E2584" s="172"/>
      <c r="F2584" s="169"/>
      <c r="G2584" s="101"/>
      <c r="H2584" s="101"/>
      <c r="I2584" s="60"/>
      <c r="J2584" s="59"/>
      <c r="K2584" s="60"/>
      <c r="L2584" s="101"/>
      <c r="M2584" s="114"/>
      <c r="N2584" s="114"/>
      <c r="O2584" s="103"/>
      <c r="P2584" s="46"/>
      <c r="Q2584" s="46"/>
      <c r="R2584" s="60"/>
      <c r="S2584" s="46"/>
      <c r="T2584" s="63"/>
      <c r="U2584" s="63"/>
      <c r="V2584" s="66"/>
      <c r="W2584" s="106"/>
      <c r="X2584" s="101"/>
      <c r="Y2584" s="103"/>
      <c r="Z2584" s="103"/>
      <c r="AA2584" s="96"/>
      <c r="AB2584" s="184"/>
      <c r="AC2584" s="107"/>
      <c r="AD2584" s="120"/>
      <c r="AE2584" s="121"/>
      <c r="AF2584" s="102"/>
      <c r="AG2584" s="121"/>
      <c r="AH2584" s="120"/>
      <c r="AI2584" s="120"/>
      <c r="AJ2584" s="120"/>
      <c r="AK2584" s="108"/>
      <c r="AL2584" s="121"/>
      <c r="AM2584" s="113"/>
      <c r="AN2584" s="115"/>
      <c r="AO2584" s="113"/>
      <c r="AP2584" s="113"/>
      <c r="AQ2584" s="120"/>
      <c r="AR2584" s="120"/>
      <c r="AS2584" s="120"/>
      <c r="AT2584" s="107"/>
      <c r="AU2584" s="1367" t="str">
        <f t="shared" si="916"/>
        <v>-</v>
      </c>
    </row>
    <row r="2585" spans="1:47" s="170" customFormat="1" hidden="1" x14ac:dyDescent="0.2">
      <c r="A2585" s="101"/>
      <c r="B2585" s="1109"/>
      <c r="C2585" s="94"/>
      <c r="D2585" s="168"/>
      <c r="E2585" s="172"/>
      <c r="F2585" s="169"/>
      <c r="G2585" s="101"/>
      <c r="H2585" s="101"/>
      <c r="I2585" s="60"/>
      <c r="J2585" s="59"/>
      <c r="K2585" s="60"/>
      <c r="L2585" s="101"/>
      <c r="M2585" s="114"/>
      <c r="N2585" s="114"/>
      <c r="O2585" s="103"/>
      <c r="P2585" s="46"/>
      <c r="Q2585" s="46"/>
      <c r="R2585" s="60"/>
      <c r="S2585" s="46"/>
      <c r="T2585" s="63"/>
      <c r="U2585" s="63"/>
      <c r="V2585" s="66"/>
      <c r="W2585" s="106"/>
      <c r="X2585" s="101"/>
      <c r="Y2585" s="103"/>
      <c r="Z2585" s="103"/>
      <c r="AA2585" s="96"/>
      <c r="AB2585" s="184"/>
      <c r="AC2585" s="107"/>
      <c r="AD2585" s="120"/>
      <c r="AE2585" s="121"/>
      <c r="AF2585" s="102"/>
      <c r="AG2585" s="121"/>
      <c r="AH2585" s="120"/>
      <c r="AI2585" s="120"/>
      <c r="AJ2585" s="120"/>
      <c r="AK2585" s="108"/>
      <c r="AL2585" s="121"/>
      <c r="AM2585" s="113"/>
      <c r="AN2585" s="115"/>
      <c r="AO2585" s="113"/>
      <c r="AP2585" s="113"/>
      <c r="AQ2585" s="120"/>
      <c r="AR2585" s="120"/>
      <c r="AS2585" s="120"/>
      <c r="AT2585" s="107"/>
      <c r="AU2585" s="1367" t="str">
        <f t="shared" si="916"/>
        <v>-</v>
      </c>
    </row>
    <row r="2586" spans="1:47" s="170" customFormat="1" hidden="1" x14ac:dyDescent="0.2">
      <c r="A2586" s="103"/>
      <c r="B2586" s="1136"/>
      <c r="C2586" s="94"/>
      <c r="D2586" s="168"/>
      <c r="E2586" s="172"/>
      <c r="F2586" s="169"/>
      <c r="G2586" s="101"/>
      <c r="H2586" s="103"/>
      <c r="I2586" s="46"/>
      <c r="J2586" s="56"/>
      <c r="K2586" s="60"/>
      <c r="L2586" s="103"/>
      <c r="M2586" s="114"/>
      <c r="N2586" s="114"/>
      <c r="O2586" s="103"/>
      <c r="P2586" s="46"/>
      <c r="Q2586" s="46"/>
      <c r="R2586" s="46"/>
      <c r="S2586" s="46"/>
      <c r="T2586" s="63"/>
      <c r="U2586" s="63"/>
      <c r="V2586" s="66"/>
      <c r="W2586" s="106"/>
      <c r="X2586" s="103"/>
      <c r="Y2586" s="103"/>
      <c r="Z2586" s="103"/>
      <c r="AA2586" s="96"/>
      <c r="AB2586" s="184"/>
      <c r="AC2586" s="107"/>
      <c r="AD2586" s="120"/>
      <c r="AE2586" s="120"/>
      <c r="AF2586" s="102"/>
      <c r="AG2586" s="120"/>
      <c r="AH2586" s="120"/>
      <c r="AI2586" s="120"/>
      <c r="AJ2586" s="120"/>
      <c r="AK2586" s="108"/>
      <c r="AL2586" s="120"/>
      <c r="AM2586" s="113"/>
      <c r="AN2586" s="113"/>
      <c r="AO2586" s="113"/>
      <c r="AP2586" s="113"/>
      <c r="AQ2586" s="120"/>
      <c r="AR2586" s="120"/>
      <c r="AS2586" s="120"/>
      <c r="AT2586" s="107"/>
      <c r="AU2586" s="1367" t="str">
        <f t="shared" si="916"/>
        <v>-</v>
      </c>
    </row>
    <row r="2587" spans="1:47" s="170" customFormat="1" hidden="1" x14ac:dyDescent="0.2">
      <c r="A2587" s="103"/>
      <c r="B2587" s="1136"/>
      <c r="C2587" s="94"/>
      <c r="D2587" s="168"/>
      <c r="E2587" s="172"/>
      <c r="F2587" s="169"/>
      <c r="G2587" s="101"/>
      <c r="H2587" s="103"/>
      <c r="I2587" s="46"/>
      <c r="J2587" s="56"/>
      <c r="K2587" s="60"/>
      <c r="L2587" s="103"/>
      <c r="M2587" s="114"/>
      <c r="N2587" s="114"/>
      <c r="O2587" s="103"/>
      <c r="P2587" s="46"/>
      <c r="Q2587" s="46"/>
      <c r="R2587" s="46"/>
      <c r="S2587" s="46"/>
      <c r="T2587" s="63"/>
      <c r="U2587" s="63"/>
      <c r="V2587" s="66"/>
      <c r="W2587" s="106"/>
      <c r="X2587" s="103"/>
      <c r="Y2587" s="103"/>
      <c r="Z2587" s="103"/>
      <c r="AA2587" s="96"/>
      <c r="AB2587" s="184"/>
      <c r="AC2587" s="107"/>
      <c r="AD2587" s="120"/>
      <c r="AE2587" s="120"/>
      <c r="AF2587" s="102"/>
      <c r="AG2587" s="120"/>
      <c r="AH2587" s="120"/>
      <c r="AI2587" s="120"/>
      <c r="AJ2587" s="120"/>
      <c r="AK2587" s="108"/>
      <c r="AL2587" s="120"/>
      <c r="AM2587" s="113"/>
      <c r="AN2587" s="113"/>
      <c r="AO2587" s="113"/>
      <c r="AP2587" s="113"/>
      <c r="AQ2587" s="120"/>
      <c r="AR2587" s="120"/>
      <c r="AS2587" s="120"/>
      <c r="AT2587" s="107"/>
      <c r="AU2587" s="1367" t="str">
        <f t="shared" si="916"/>
        <v>-</v>
      </c>
    </row>
    <row r="2588" spans="1:47" s="170" customFormat="1" hidden="1" x14ac:dyDescent="0.2">
      <c r="A2588" s="103"/>
      <c r="B2588" s="1136"/>
      <c r="C2588" s="94"/>
      <c r="D2588" s="168"/>
      <c r="E2588" s="172"/>
      <c r="F2588" s="169"/>
      <c r="G2588" s="101"/>
      <c r="H2588" s="103"/>
      <c r="I2588" s="46"/>
      <c r="J2588" s="56"/>
      <c r="K2588" s="60"/>
      <c r="L2588" s="103"/>
      <c r="M2588" s="114"/>
      <c r="N2588" s="114"/>
      <c r="O2588" s="103"/>
      <c r="P2588" s="46"/>
      <c r="Q2588" s="46"/>
      <c r="R2588" s="46"/>
      <c r="S2588" s="46"/>
      <c r="T2588" s="63"/>
      <c r="U2588" s="63"/>
      <c r="V2588" s="66"/>
      <c r="W2588" s="106"/>
      <c r="X2588" s="103"/>
      <c r="Y2588" s="103"/>
      <c r="Z2588" s="103"/>
      <c r="AA2588" s="96"/>
      <c r="AB2588" s="184"/>
      <c r="AC2588" s="107"/>
      <c r="AD2588" s="120"/>
      <c r="AE2588" s="120"/>
      <c r="AF2588" s="102"/>
      <c r="AG2588" s="120"/>
      <c r="AH2588" s="120"/>
      <c r="AI2588" s="120"/>
      <c r="AJ2588" s="120"/>
      <c r="AK2588" s="108"/>
      <c r="AL2588" s="120"/>
      <c r="AM2588" s="113"/>
      <c r="AN2588" s="113"/>
      <c r="AO2588" s="113"/>
      <c r="AP2588" s="113"/>
      <c r="AQ2588" s="120"/>
      <c r="AR2588" s="120"/>
      <c r="AS2588" s="120"/>
      <c r="AT2588" s="107"/>
      <c r="AU2588" s="1367" t="str">
        <f t="shared" si="916"/>
        <v>-</v>
      </c>
    </row>
    <row r="2589" spans="1:47" s="170" customFormat="1" hidden="1" x14ac:dyDescent="0.2">
      <c r="A2589" s="103"/>
      <c r="B2589" s="1136"/>
      <c r="C2589" s="94"/>
      <c r="D2589" s="168"/>
      <c r="E2589" s="172"/>
      <c r="F2589" s="169"/>
      <c r="G2589" s="101"/>
      <c r="H2589" s="103"/>
      <c r="I2589" s="46"/>
      <c r="J2589" s="56"/>
      <c r="K2589" s="60"/>
      <c r="L2589" s="103"/>
      <c r="M2589" s="114"/>
      <c r="N2589" s="114"/>
      <c r="O2589" s="103"/>
      <c r="P2589" s="46"/>
      <c r="Q2589" s="46"/>
      <c r="R2589" s="46"/>
      <c r="S2589" s="46"/>
      <c r="T2589" s="63"/>
      <c r="U2589" s="63"/>
      <c r="V2589" s="66"/>
      <c r="W2589" s="106"/>
      <c r="X2589" s="103"/>
      <c r="Y2589" s="103"/>
      <c r="Z2589" s="103"/>
      <c r="AA2589" s="96"/>
      <c r="AB2589" s="184"/>
      <c r="AC2589" s="107"/>
      <c r="AD2589" s="120"/>
      <c r="AE2589" s="120"/>
      <c r="AF2589" s="102"/>
      <c r="AG2589" s="120"/>
      <c r="AH2589" s="120"/>
      <c r="AI2589" s="120"/>
      <c r="AJ2589" s="120"/>
      <c r="AK2589" s="108"/>
      <c r="AL2589" s="120"/>
      <c r="AM2589" s="113"/>
      <c r="AN2589" s="113"/>
      <c r="AO2589" s="113"/>
      <c r="AP2589" s="113"/>
      <c r="AQ2589" s="120"/>
      <c r="AR2589" s="120"/>
      <c r="AS2589" s="120"/>
      <c r="AT2589" s="107"/>
      <c r="AU2589" s="1367" t="str">
        <f t="shared" si="916"/>
        <v>-</v>
      </c>
    </row>
    <row r="2590" spans="1:47" s="170" customFormat="1" hidden="1" x14ac:dyDescent="0.2">
      <c r="A2590" s="103"/>
      <c r="B2590" s="1136"/>
      <c r="C2590" s="94"/>
      <c r="D2590" s="168"/>
      <c r="E2590" s="172"/>
      <c r="F2590" s="169"/>
      <c r="G2590" s="103"/>
      <c r="H2590" s="103"/>
      <c r="I2590" s="46"/>
      <c r="J2590" s="56"/>
      <c r="K2590" s="60"/>
      <c r="L2590" s="103"/>
      <c r="M2590" s="114"/>
      <c r="N2590" s="114"/>
      <c r="O2590" s="103"/>
      <c r="P2590" s="46"/>
      <c r="Q2590" s="46"/>
      <c r="R2590" s="46"/>
      <c r="S2590" s="46"/>
      <c r="T2590" s="63"/>
      <c r="U2590" s="63"/>
      <c r="V2590" s="66"/>
      <c r="W2590" s="106"/>
      <c r="X2590" s="103"/>
      <c r="Y2590" s="103"/>
      <c r="Z2590" s="103"/>
      <c r="AA2590" s="96"/>
      <c r="AB2590" s="184"/>
      <c r="AC2590" s="107"/>
      <c r="AD2590" s="120"/>
      <c r="AE2590" s="120"/>
      <c r="AF2590" s="102"/>
      <c r="AG2590" s="120"/>
      <c r="AH2590" s="120"/>
      <c r="AI2590" s="120"/>
      <c r="AJ2590" s="120"/>
      <c r="AK2590" s="108"/>
      <c r="AL2590" s="120"/>
      <c r="AM2590" s="113"/>
      <c r="AN2590" s="113"/>
      <c r="AO2590" s="113"/>
      <c r="AP2590" s="113"/>
      <c r="AQ2590" s="120"/>
      <c r="AR2590" s="120"/>
      <c r="AS2590" s="120"/>
      <c r="AT2590" s="107"/>
      <c r="AU2590" s="1367" t="str">
        <f t="shared" si="916"/>
        <v>-</v>
      </c>
    </row>
    <row r="2591" spans="1:47" s="1437" customFormat="1" hidden="1" x14ac:dyDescent="0.2">
      <c r="A2591" s="103"/>
      <c r="B2591" s="1136"/>
      <c r="C2591" s="94"/>
      <c r="D2591" s="168"/>
      <c r="E2591" s="172"/>
      <c r="F2591" s="169"/>
      <c r="G2591" s="103"/>
      <c r="H2591" s="103"/>
      <c r="I2591" s="46"/>
      <c r="J2591" s="56"/>
      <c r="K2591" s="46"/>
      <c r="L2591" s="103"/>
      <c r="M2591" s="114"/>
      <c r="N2591" s="114"/>
      <c r="O2591" s="103"/>
      <c r="P2591" s="46"/>
      <c r="Q2591" s="46"/>
      <c r="R2591" s="46"/>
      <c r="S2591" s="46"/>
      <c r="T2591" s="63"/>
      <c r="U2591" s="63"/>
      <c r="V2591" s="66"/>
      <c r="W2591" s="106"/>
      <c r="X2591" s="103"/>
      <c r="Y2591" s="103"/>
      <c r="Z2591" s="103"/>
      <c r="AA2591" s="96"/>
      <c r="AB2591" s="184"/>
      <c r="AC2591" s="107"/>
      <c r="AD2591" s="120"/>
      <c r="AE2591" s="120"/>
      <c r="AF2591" s="102"/>
      <c r="AG2591" s="120"/>
      <c r="AH2591" s="120"/>
      <c r="AI2591" s="120"/>
      <c r="AJ2591" s="121"/>
      <c r="AK2591" s="830"/>
      <c r="AL2591" s="120"/>
      <c r="AM2591" s="113"/>
      <c r="AN2591" s="113"/>
      <c r="AO2591" s="113"/>
      <c r="AP2591" s="113"/>
      <c r="AQ2591" s="121"/>
      <c r="AR2591" s="121"/>
      <c r="AS2591" s="121"/>
      <c r="AT2591" s="104"/>
      <c r="AU2591" s="1359" t="str">
        <f t="shared" si="916"/>
        <v>-</v>
      </c>
    </row>
    <row r="2592" spans="1:47" s="1437" customFormat="1" hidden="1" x14ac:dyDescent="0.2">
      <c r="A2592" s="103"/>
      <c r="B2592" s="103"/>
      <c r="C2592" s="46"/>
      <c r="D2592" s="105"/>
      <c r="E2592" s="95"/>
      <c r="F2592" s="113"/>
      <c r="G2592" s="103"/>
      <c r="H2592" s="103"/>
      <c r="I2592" s="46"/>
      <c r="J2592" s="56"/>
      <c r="K2592" s="60"/>
      <c r="L2592" s="103"/>
      <c r="M2592" s="114"/>
      <c r="N2592" s="114"/>
      <c r="O2592" s="103"/>
      <c r="P2592" s="61"/>
      <c r="Q2592" s="61"/>
      <c r="R2592" s="46"/>
      <c r="S2592" s="61"/>
      <c r="T2592" s="61"/>
      <c r="U2592" s="61"/>
      <c r="V2592" s="46"/>
      <c r="W2592" s="103"/>
      <c r="X2592" s="139"/>
      <c r="Y2592" s="103"/>
      <c r="Z2592" s="103"/>
      <c r="AA2592" s="96"/>
      <c r="AB2592" s="533"/>
      <c r="AC2592" s="103"/>
      <c r="AD2592" s="113"/>
      <c r="AE2592" s="113"/>
      <c r="AF2592" s="114"/>
      <c r="AG2592" s="113"/>
      <c r="AH2592" s="113"/>
      <c r="AI2592" s="120"/>
      <c r="AJ2592" s="113"/>
      <c r="AK2592" s="103"/>
      <c r="AL2592" s="113"/>
      <c r="AM2592" s="113"/>
      <c r="AN2592" s="113"/>
      <c r="AO2592" s="113"/>
      <c r="AP2592" s="534"/>
      <c r="AQ2592" s="534"/>
      <c r="AR2592" s="534"/>
      <c r="AS2592" s="534"/>
      <c r="AT2592" s="1148"/>
      <c r="AU2592" s="1367" t="str">
        <f t="shared" si="916"/>
        <v>-</v>
      </c>
    </row>
    <row r="2593" spans="1:47" s="170" customFormat="1" x14ac:dyDescent="0.2">
      <c r="A2593" s="103"/>
      <c r="B2593" s="103"/>
      <c r="C2593" s="46"/>
      <c r="D2593" s="105"/>
      <c r="E2593" s="95"/>
      <c r="F2593" s="113"/>
      <c r="G2593" s="103"/>
      <c r="H2593" s="103"/>
      <c r="I2593" s="46"/>
      <c r="J2593" s="56"/>
      <c r="K2593" s="60"/>
      <c r="L2593" s="103"/>
      <c r="M2593" s="114"/>
      <c r="N2593" s="114"/>
      <c r="O2593" s="103"/>
      <c r="P2593" s="61"/>
      <c r="Q2593" s="61"/>
      <c r="R2593" s="46"/>
      <c r="S2593" s="61"/>
      <c r="T2593" s="61"/>
      <c r="U2593" s="61"/>
      <c r="V2593" s="46"/>
      <c r="W2593" s="103"/>
      <c r="X2593" s="139"/>
      <c r="Y2593" s="103"/>
      <c r="Z2593" s="103"/>
      <c r="AA2593" s="96"/>
      <c r="AB2593" s="533"/>
      <c r="AC2593" s="103"/>
      <c r="AD2593" s="113"/>
      <c r="AE2593" s="113"/>
      <c r="AF2593" s="114"/>
      <c r="AG2593" s="113"/>
      <c r="AH2593" s="113"/>
      <c r="AI2593" s="113"/>
      <c r="AJ2593" s="113"/>
      <c r="AK2593" s="103"/>
      <c r="AL2593" s="113"/>
      <c r="AM2593" s="103"/>
      <c r="AN2593" s="103"/>
      <c r="AO2593" s="113"/>
      <c r="AP2593" s="534"/>
      <c r="AQ2593" s="534"/>
      <c r="AR2593" s="534"/>
      <c r="AS2593" s="534"/>
      <c r="AT2593" s="1148"/>
      <c r="AU2593" s="113"/>
    </row>
    <row r="2594" spans="1:47" s="170" customFormat="1" x14ac:dyDescent="0.2">
      <c r="A2594" s="218"/>
      <c r="B2594" s="218"/>
      <c r="C2594" s="776"/>
      <c r="D2594" s="781"/>
      <c r="E2594" s="250" t="s">
        <v>5867</v>
      </c>
      <c r="F2594" s="250" t="s">
        <v>5868</v>
      </c>
      <c r="G2594" s="218" t="s">
        <v>5869</v>
      </c>
      <c r="H2594" s="218"/>
      <c r="I2594" s="218"/>
      <c r="J2594" s="218"/>
      <c r="K2594" s="216" t="s">
        <v>5867</v>
      </c>
      <c r="L2594" s="218" t="s">
        <v>5869</v>
      </c>
      <c r="M2594" s="226" t="s">
        <v>5870</v>
      </c>
      <c r="N2594" s="226"/>
      <c r="O2594" s="218"/>
      <c r="P2594" s="218"/>
      <c r="Q2594" s="216" t="s">
        <v>644</v>
      </c>
      <c r="R2594" s="218" t="s">
        <v>5871</v>
      </c>
      <c r="S2594" s="218" t="s">
        <v>5872</v>
      </c>
      <c r="T2594" s="218" t="s">
        <v>5873</v>
      </c>
      <c r="U2594" s="218" t="s">
        <v>5874</v>
      </c>
      <c r="V2594" s="218"/>
      <c r="W2594" s="218"/>
      <c r="X2594" s="1156"/>
      <c r="Y2594" s="218"/>
      <c r="Z2594" s="218"/>
      <c r="AA2594" s="224"/>
      <c r="AB2594" s="248"/>
      <c r="AC2594" s="218"/>
      <c r="AD2594" s="218"/>
      <c r="AE2594" s="218"/>
      <c r="AF2594" s="249"/>
      <c r="AG2594" s="218"/>
      <c r="AH2594" s="218"/>
      <c r="AI2594" s="218"/>
      <c r="AJ2594" s="218"/>
      <c r="AK2594" s="218"/>
      <c r="AL2594" s="218"/>
      <c r="AM2594" s="218"/>
      <c r="AN2594" s="218"/>
      <c r="AO2594" s="218"/>
      <c r="AP2594" s="227"/>
      <c r="AQ2594" s="227"/>
      <c r="AR2594" s="227"/>
      <c r="AS2594" s="227"/>
      <c r="AT2594" s="227"/>
      <c r="AU2594" s="218"/>
    </row>
    <row r="2595" spans="1:47" s="170" customFormat="1" x14ac:dyDescent="0.2">
      <c r="A2595" s="218"/>
      <c r="B2595" s="218"/>
      <c r="C2595" s="777" t="s">
        <v>5875</v>
      </c>
      <c r="D2595" s="1043" t="s">
        <v>5876</v>
      </c>
      <c r="E2595" s="252">
        <v>100</v>
      </c>
      <c r="F2595" s="252">
        <v>125</v>
      </c>
      <c r="G2595" s="304">
        <v>150</v>
      </c>
      <c r="H2595" s="218"/>
      <c r="I2595" s="383" t="s">
        <v>5877</v>
      </c>
      <c r="J2595" s="251" t="s">
        <v>5876</v>
      </c>
      <c r="K2595" s="252"/>
      <c r="L2595" s="252"/>
      <c r="M2595" s="773"/>
      <c r="N2595" s="225"/>
      <c r="O2595" s="383" t="s">
        <v>5878</v>
      </c>
      <c r="P2595" s="251" t="s">
        <v>5879</v>
      </c>
      <c r="Q2595" s="252">
        <v>60</v>
      </c>
      <c r="R2595" s="252">
        <v>-50</v>
      </c>
      <c r="S2595" s="252">
        <v>0</v>
      </c>
      <c r="T2595" s="252">
        <v>-50</v>
      </c>
      <c r="U2595" s="252">
        <v>0</v>
      </c>
      <c r="V2595" s="218"/>
      <c r="W2595" s="218"/>
      <c r="X2595" s="1156"/>
      <c r="Y2595" s="218"/>
      <c r="Z2595" s="218"/>
      <c r="AA2595" s="224"/>
      <c r="AB2595" s="248"/>
      <c r="AC2595" s="218"/>
      <c r="AD2595" s="218"/>
      <c r="AE2595" s="218"/>
      <c r="AF2595" s="249"/>
      <c r="AG2595" s="218"/>
      <c r="AH2595" s="218"/>
      <c r="AI2595" s="218"/>
      <c r="AJ2595" s="218"/>
      <c r="AK2595" s="218"/>
      <c r="AL2595" s="218"/>
      <c r="AM2595" s="218"/>
      <c r="AN2595" s="218"/>
      <c r="AO2595" s="218"/>
      <c r="AP2595" s="227"/>
      <c r="AQ2595" s="227"/>
      <c r="AR2595" s="227"/>
      <c r="AS2595" s="227"/>
      <c r="AT2595" s="227"/>
      <c r="AU2595" s="218"/>
    </row>
    <row r="2596" spans="1:47" s="170" customFormat="1" x14ac:dyDescent="0.2">
      <c r="A2596" s="218"/>
      <c r="B2596" s="218"/>
      <c r="C2596" s="778" t="s">
        <v>5880</v>
      </c>
      <c r="D2596" s="1044" t="s">
        <v>5881</v>
      </c>
      <c r="E2596" s="254">
        <v>175</v>
      </c>
      <c r="F2596" s="254">
        <v>195</v>
      </c>
      <c r="G2596" s="305">
        <v>215</v>
      </c>
      <c r="H2596" s="218"/>
      <c r="I2596" s="384"/>
      <c r="J2596" s="253" t="s">
        <v>5881</v>
      </c>
      <c r="K2596" s="254"/>
      <c r="L2596" s="254"/>
      <c r="M2596" s="774"/>
      <c r="N2596" s="225"/>
      <c r="O2596" s="384"/>
      <c r="P2596" s="253" t="s">
        <v>5882</v>
      </c>
      <c r="Q2596" s="254">
        <v>90</v>
      </c>
      <c r="R2596" s="254">
        <v>-100</v>
      </c>
      <c r="S2596" s="254"/>
      <c r="T2596" s="254">
        <f>100</f>
        <v>100</v>
      </c>
      <c r="U2596" s="254"/>
      <c r="V2596" s="218"/>
      <c r="W2596" s="218"/>
      <c r="X2596" s="1156"/>
      <c r="Y2596" s="218"/>
      <c r="Z2596" s="218"/>
      <c r="AA2596" s="224"/>
      <c r="AB2596" s="248"/>
      <c r="AC2596" s="218"/>
      <c r="AD2596" s="218"/>
      <c r="AE2596" s="218"/>
      <c r="AF2596" s="249"/>
      <c r="AG2596" s="218"/>
      <c r="AH2596" s="218"/>
      <c r="AI2596" s="218"/>
      <c r="AJ2596" s="218"/>
      <c r="AK2596" s="218"/>
      <c r="AL2596" s="218"/>
      <c r="AM2596" s="218"/>
      <c r="AN2596" s="218"/>
      <c r="AO2596" s="218"/>
      <c r="AP2596" s="227"/>
      <c r="AQ2596" s="227"/>
      <c r="AR2596" s="227"/>
      <c r="AS2596" s="227"/>
      <c r="AT2596" s="227"/>
      <c r="AU2596" s="218"/>
    </row>
    <row r="2597" spans="1:47" s="170" customFormat="1" x14ac:dyDescent="0.2">
      <c r="C2597" s="778" t="s">
        <v>5883</v>
      </c>
      <c r="D2597" s="1044" t="s">
        <v>5884</v>
      </c>
      <c r="E2597" s="254">
        <v>250</v>
      </c>
      <c r="F2597" s="254">
        <v>270</v>
      </c>
      <c r="G2597" s="305">
        <v>290</v>
      </c>
      <c r="H2597" s="218"/>
      <c r="I2597" s="384" t="s">
        <v>5883</v>
      </c>
      <c r="J2597" s="253" t="s">
        <v>5884</v>
      </c>
      <c r="K2597" s="254"/>
      <c r="L2597" s="254"/>
      <c r="M2597" s="774"/>
      <c r="N2597" s="225"/>
      <c r="O2597" s="384" t="s">
        <v>5885</v>
      </c>
      <c r="P2597" s="253" t="s">
        <v>5886</v>
      </c>
      <c r="Q2597" s="254">
        <v>120</v>
      </c>
      <c r="R2597" s="254">
        <v>-200</v>
      </c>
      <c r="S2597" s="254"/>
      <c r="T2597" s="254">
        <v>-200</v>
      </c>
      <c r="U2597" s="254"/>
    </row>
    <row r="2598" spans="1:47" s="170" customFormat="1" x14ac:dyDescent="0.2">
      <c r="C2598" s="778"/>
      <c r="D2598" s="1044" t="s">
        <v>5887</v>
      </c>
      <c r="E2598" s="254">
        <v>350</v>
      </c>
      <c r="F2598" s="254">
        <v>375</v>
      </c>
      <c r="G2598" s="305">
        <v>400</v>
      </c>
      <c r="H2598" s="218"/>
      <c r="I2598" s="384"/>
      <c r="J2598" s="253" t="s">
        <v>5887</v>
      </c>
      <c r="K2598" s="254"/>
      <c r="L2598" s="254"/>
      <c r="M2598" s="774"/>
      <c r="N2598" s="225"/>
      <c r="O2598" s="384"/>
      <c r="P2598" s="253" t="s">
        <v>5888</v>
      </c>
      <c r="Q2598" s="254">
        <v>120</v>
      </c>
      <c r="R2598" s="254"/>
      <c r="S2598" s="254"/>
      <c r="T2598" s="254"/>
      <c r="U2598" s="254"/>
    </row>
    <row r="2599" spans="1:47" s="170" customFormat="1" x14ac:dyDescent="0.2">
      <c r="C2599" s="778"/>
      <c r="D2599" s="1044" t="s">
        <v>5889</v>
      </c>
      <c r="E2599" s="254">
        <v>400</v>
      </c>
      <c r="F2599" s="254">
        <v>425</v>
      </c>
      <c r="G2599" s="305">
        <v>450</v>
      </c>
      <c r="H2599" s="218"/>
      <c r="I2599" s="384"/>
      <c r="J2599" s="253" t="s">
        <v>5889</v>
      </c>
      <c r="K2599" s="254"/>
      <c r="L2599" s="254"/>
      <c r="M2599" s="774"/>
      <c r="N2599" s="225"/>
      <c r="O2599" s="384"/>
      <c r="P2599" s="253" t="s">
        <v>5890</v>
      </c>
      <c r="Q2599" s="254">
        <v>150</v>
      </c>
      <c r="R2599" s="254"/>
      <c r="S2599" s="254"/>
      <c r="T2599" s="254"/>
      <c r="U2599" s="254"/>
    </row>
    <row r="2600" spans="1:47" s="63" customFormat="1" x14ac:dyDescent="0.2">
      <c r="C2600" s="778"/>
      <c r="D2600" s="1044" t="s">
        <v>5891</v>
      </c>
      <c r="E2600" s="254">
        <v>500</v>
      </c>
      <c r="F2600" s="254">
        <v>550</v>
      </c>
      <c r="G2600" s="305">
        <v>575</v>
      </c>
      <c r="H2600" s="218"/>
      <c r="I2600" s="384"/>
      <c r="J2600" s="253" t="s">
        <v>5891</v>
      </c>
      <c r="K2600" s="254"/>
      <c r="L2600" s="254"/>
      <c r="M2600" s="774"/>
      <c r="N2600" s="225"/>
      <c r="O2600" s="384"/>
      <c r="P2600" s="253" t="s">
        <v>5892</v>
      </c>
      <c r="Q2600" s="254">
        <v>175</v>
      </c>
      <c r="R2600" s="254"/>
      <c r="S2600" s="254"/>
      <c r="T2600" s="254"/>
      <c r="U2600" s="254"/>
    </row>
    <row r="2601" spans="1:47" s="103" customFormat="1" x14ac:dyDescent="0.2">
      <c r="C2601" s="780"/>
      <c r="D2601" s="1045"/>
      <c r="E2601" s="256"/>
      <c r="F2601" s="256"/>
      <c r="G2601" s="306"/>
      <c r="H2601" s="218"/>
      <c r="I2601" s="385"/>
      <c r="J2601" s="255"/>
      <c r="K2601" s="256"/>
      <c r="L2601" s="256"/>
      <c r="M2601" s="775"/>
      <c r="N2601" s="216"/>
      <c r="O2601" s="385"/>
      <c r="P2601" s="255"/>
      <c r="Q2601" s="256"/>
      <c r="R2601" s="256"/>
      <c r="S2601" s="256"/>
      <c r="T2601" s="256"/>
      <c r="U2601" s="256"/>
    </row>
    <row r="2602" spans="1:47" x14ac:dyDescent="0.2">
      <c r="C2602" s="776"/>
      <c r="E2602" s="220"/>
      <c r="F2602" s="216"/>
      <c r="K2602" s="216"/>
    </row>
    <row r="2603" spans="1:47" x14ac:dyDescent="0.2">
      <c r="K2603" s="216"/>
    </row>
    <row r="2604" spans="1:47" x14ac:dyDescent="0.2">
      <c r="K2604" s="216"/>
    </row>
  </sheetData>
  <sortState xmlns:xlrd2="http://schemas.microsoft.com/office/spreadsheetml/2017/richdata2" ref="A10:AO691">
    <sortCondition ref="E10:E691"/>
  </sortState>
  <phoneticPr fontId="18" type="noConversion"/>
  <hyperlinks>
    <hyperlink ref="C285" r:id="rId1" display="GP2000814" xr:uid="{AF16BC68-D02D-4FA4-A1FB-81F973DC566D}"/>
    <hyperlink ref="C286" r:id="rId2" display="GP2000814" xr:uid="{73443B00-18B2-41B1-B745-B2C9F7638A32}"/>
  </hyperlinks>
  <pageMargins left="0.5" right="0.5" top="0.75" bottom="0.5" header="0" footer="0"/>
  <pageSetup fitToHeight="15" orientation="landscape"/>
  <legacyDrawing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DBD6-D00B-E947-9191-324E37FD99E7}">
  <dimension ref="A1"/>
  <sheetViews>
    <sheetView workbookViewId="0"/>
  </sheetViews>
  <sheetFormatPr baseColWidth="10" defaultColWidth="11.5703125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B2500-C296-D546-AA17-5137AC71BE1C}">
  <dimension ref="A1:ML5"/>
  <sheetViews>
    <sheetView zoomScale="101" workbookViewId="0">
      <selection activeCell="D14" sqref="D14"/>
    </sheetView>
  </sheetViews>
  <sheetFormatPr baseColWidth="10" defaultColWidth="11.28515625" defaultRowHeight="16" x14ac:dyDescent="0.2"/>
  <cols>
    <col min="1" max="1" width="9.28515625" style="537" customWidth="1"/>
    <col min="2" max="2" width="12.28515625" customWidth="1"/>
    <col min="3" max="3" width="15.140625" customWidth="1"/>
    <col min="4" max="4" width="15.85546875" customWidth="1"/>
    <col min="5" max="5" width="42.7109375" customWidth="1"/>
    <col min="6" max="6" width="19" customWidth="1"/>
    <col min="7" max="7" width="9.5703125" customWidth="1"/>
    <col min="8" max="8" width="7.28515625" customWidth="1"/>
    <col min="9" max="9" width="10" customWidth="1"/>
    <col min="10" max="10" width="9.5703125" customWidth="1"/>
    <col min="11" max="11" width="15.28515625" customWidth="1"/>
    <col min="12" max="12" width="9.140625" customWidth="1"/>
    <col min="13" max="13" width="10.7109375" customWidth="1"/>
    <col min="14" max="14" width="13.7109375" customWidth="1"/>
    <col min="15" max="15" width="9.140625" customWidth="1"/>
    <col min="16" max="17" width="7.85546875" customWidth="1"/>
    <col min="18" max="18" width="8" customWidth="1"/>
    <col min="19" max="19" width="8.85546875" customWidth="1"/>
    <col min="20" max="20" width="7.42578125" customWidth="1"/>
    <col min="21" max="21" width="9.28515625" customWidth="1"/>
    <col min="22" max="22" width="8.28515625" customWidth="1"/>
    <col min="23" max="23" width="10.5703125" customWidth="1"/>
    <col min="24" max="24" width="9.5703125" customWidth="1"/>
    <col min="25" max="25" width="9.85546875" customWidth="1"/>
    <col min="26" max="26" width="10.85546875" customWidth="1"/>
    <col min="27" max="27" width="8.5703125" customWidth="1"/>
    <col min="28" max="28" width="10.28515625" customWidth="1"/>
    <col min="29" max="29" width="8.7109375" customWidth="1"/>
    <col min="30" max="30" width="12.140625" customWidth="1"/>
    <col min="31" max="31" width="11.28515625" customWidth="1"/>
    <col min="32" max="34" width="10.5703125" customWidth="1"/>
    <col min="35" max="35" width="10" customWidth="1"/>
    <col min="36" max="36" width="10.5703125" customWidth="1"/>
    <col min="37" max="37" width="9.85546875" customWidth="1"/>
    <col min="38" max="38" width="8.5703125" customWidth="1"/>
    <col min="39" max="39" width="10.5703125" customWidth="1"/>
    <col min="40" max="40" width="12.5703125" customWidth="1"/>
  </cols>
  <sheetData>
    <row r="1" spans="1:350" s="214" customFormat="1" x14ac:dyDescent="0.2">
      <c r="A1" s="211" t="s">
        <v>0</v>
      </c>
      <c r="B1" s="211" t="s">
        <v>1</v>
      </c>
      <c r="C1" s="211" t="s">
        <v>2</v>
      </c>
      <c r="D1" s="715" t="s">
        <v>3</v>
      </c>
      <c r="E1" s="211" t="s">
        <v>4</v>
      </c>
      <c r="F1" s="211" t="s">
        <v>5</v>
      </c>
      <c r="G1" s="211" t="s">
        <v>6</v>
      </c>
      <c r="H1" s="211" t="s">
        <v>7</v>
      </c>
      <c r="I1" s="211" t="s">
        <v>8</v>
      </c>
      <c r="J1" s="211" t="s">
        <v>9</v>
      </c>
      <c r="K1" s="211" t="s">
        <v>10</v>
      </c>
      <c r="L1" s="211" t="s">
        <v>11</v>
      </c>
      <c r="M1" s="212" t="s">
        <v>5893</v>
      </c>
      <c r="N1" s="211" t="s">
        <v>14</v>
      </c>
      <c r="O1" s="716" t="s">
        <v>15</v>
      </c>
      <c r="P1" s="716" t="s">
        <v>16</v>
      </c>
      <c r="Q1" s="211" t="s">
        <v>17</v>
      </c>
      <c r="R1" s="716" t="s">
        <v>18</v>
      </c>
      <c r="S1" s="716" t="s">
        <v>19</v>
      </c>
      <c r="T1" s="716" t="s">
        <v>20</v>
      </c>
      <c r="U1" s="211" t="s">
        <v>21</v>
      </c>
      <c r="V1" s="211" t="s">
        <v>22</v>
      </c>
      <c r="W1" s="733" t="s">
        <v>23</v>
      </c>
      <c r="X1" s="211" t="s">
        <v>24</v>
      </c>
      <c r="Y1" s="211" t="s">
        <v>25</v>
      </c>
      <c r="Z1" s="211" t="s">
        <v>26</v>
      </c>
      <c r="AA1" s="211" t="s">
        <v>27</v>
      </c>
      <c r="AB1" s="211" t="s">
        <v>28</v>
      </c>
      <c r="AC1" s="211" t="s">
        <v>29</v>
      </c>
      <c r="AD1" s="211" t="s">
        <v>30</v>
      </c>
      <c r="AE1" s="213" t="s">
        <v>31</v>
      </c>
      <c r="AF1" s="211" t="s">
        <v>32</v>
      </c>
      <c r="AG1" s="211" t="s">
        <v>33</v>
      </c>
      <c r="AH1" s="211" t="s">
        <v>35</v>
      </c>
      <c r="AI1" s="211" t="s">
        <v>36</v>
      </c>
      <c r="AJ1" s="211" t="s">
        <v>37</v>
      </c>
      <c r="AK1" s="214" t="s">
        <v>38</v>
      </c>
      <c r="AL1" s="214" t="s">
        <v>39</v>
      </c>
      <c r="AM1" s="214" t="s">
        <v>40</v>
      </c>
      <c r="AN1" s="215" t="s">
        <v>5894</v>
      </c>
      <c r="AO1" s="214" t="s">
        <v>46</v>
      </c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</row>
    <row r="2" spans="1:350" s="44" customFormat="1" x14ac:dyDescent="0.2">
      <c r="A2" s="616" t="s">
        <v>318</v>
      </c>
      <c r="B2" s="1417" t="s">
        <v>250</v>
      </c>
      <c r="C2" s="44" t="s">
        <v>5895</v>
      </c>
      <c r="E2" s="44" t="s">
        <v>5896</v>
      </c>
      <c r="N2" s="44" t="s">
        <v>5897</v>
      </c>
    </row>
    <row r="3" spans="1:350" s="44" customFormat="1" x14ac:dyDescent="0.2">
      <c r="A3" s="616" t="s">
        <v>318</v>
      </c>
      <c r="B3" s="1417" t="s">
        <v>250</v>
      </c>
      <c r="C3" s="44" t="s">
        <v>5898</v>
      </c>
      <c r="E3" s="44" t="s">
        <v>5899</v>
      </c>
      <c r="N3" s="44" t="s">
        <v>5897</v>
      </c>
    </row>
    <row r="4" spans="1:350" s="44" customFormat="1" x14ac:dyDescent="0.2">
      <c r="A4" s="616" t="s">
        <v>318</v>
      </c>
      <c r="B4" s="1417" t="s">
        <v>250</v>
      </c>
      <c r="C4" s="44" t="s">
        <v>5900</v>
      </c>
      <c r="E4" s="44" t="s">
        <v>5901</v>
      </c>
      <c r="N4" s="44" t="s">
        <v>5897</v>
      </c>
    </row>
    <row r="5" spans="1:350" s="44" customFormat="1" x14ac:dyDescent="0.2">
      <c r="A5" s="616" t="s">
        <v>318</v>
      </c>
      <c r="B5" s="1417" t="s">
        <v>250</v>
      </c>
      <c r="C5" s="44" t="s">
        <v>5902</v>
      </c>
      <c r="E5" s="44" t="s">
        <v>5903</v>
      </c>
      <c r="N5" s="44" t="s">
        <v>5897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14"/>
  <sheetViews>
    <sheetView topLeftCell="A15" zoomScale="150" zoomScaleNormal="150" zoomScalePageLayoutView="150" workbookViewId="0">
      <selection activeCell="H41" sqref="H41"/>
    </sheetView>
  </sheetViews>
  <sheetFormatPr baseColWidth="10" defaultColWidth="11.28515625" defaultRowHeight="15" customHeight="1" x14ac:dyDescent="0.2"/>
  <cols>
    <col min="1" max="1" width="26" customWidth="1"/>
    <col min="2" max="2" width="20.5703125" customWidth="1"/>
    <col min="3" max="3" width="10.5703125" customWidth="1"/>
    <col min="4" max="4" width="10.7109375" customWidth="1"/>
    <col min="5" max="5" width="10.5703125" customWidth="1"/>
    <col min="6" max="6" width="12.5703125" customWidth="1"/>
    <col min="7" max="26" width="10.5703125" customWidth="1"/>
  </cols>
  <sheetData>
    <row r="1" spans="1:8" ht="16" x14ac:dyDescent="0.2">
      <c r="A1" s="1" t="s">
        <v>5904</v>
      </c>
      <c r="B1" s="1"/>
      <c r="C1" s="1"/>
      <c r="D1" s="2" t="s">
        <v>5905</v>
      </c>
      <c r="E1" s="1" t="s">
        <v>5906</v>
      </c>
      <c r="F1" s="1"/>
    </row>
    <row r="2" spans="1:8" ht="16" x14ac:dyDescent="0.2">
      <c r="A2" s="412" t="s">
        <v>5907</v>
      </c>
      <c r="B2" s="412"/>
      <c r="C2" s="412"/>
      <c r="D2" s="409"/>
      <c r="E2" s="412"/>
      <c r="F2" s="412"/>
    </row>
    <row r="3" spans="1:8" ht="16" x14ac:dyDescent="0.2">
      <c r="A3" s="23" t="s">
        <v>5908</v>
      </c>
      <c r="B3" s="36"/>
      <c r="C3" s="416">
        <v>8</v>
      </c>
      <c r="D3" s="417">
        <v>8</v>
      </c>
      <c r="E3" s="23"/>
    </row>
    <row r="4" spans="1:8" ht="16" x14ac:dyDescent="0.2">
      <c r="A4" s="23" t="s">
        <v>5909</v>
      </c>
      <c r="B4" s="36"/>
      <c r="C4" s="417">
        <v>11</v>
      </c>
      <c r="D4" s="418"/>
      <c r="E4" s="23" t="s">
        <v>5910</v>
      </c>
    </row>
    <row r="5" spans="1:8" ht="16" x14ac:dyDescent="0.2">
      <c r="A5" s="23" t="s">
        <v>5911</v>
      </c>
      <c r="B5" s="369" t="s">
        <v>5912</v>
      </c>
      <c r="C5" s="368">
        <v>7</v>
      </c>
      <c r="D5" s="368"/>
      <c r="E5" s="23"/>
    </row>
    <row r="6" spans="1:8" ht="16" x14ac:dyDescent="0.2">
      <c r="A6" s="413" t="s">
        <v>5913</v>
      </c>
      <c r="B6" s="412"/>
      <c r="C6" s="414">
        <v>0</v>
      </c>
      <c r="D6" s="409"/>
      <c r="E6" s="412"/>
      <c r="F6" s="412"/>
    </row>
    <row r="7" spans="1:8" ht="16" x14ac:dyDescent="0.2">
      <c r="A7" s="413" t="s">
        <v>5914</v>
      </c>
      <c r="B7" s="412"/>
      <c r="C7" s="414">
        <v>2</v>
      </c>
      <c r="D7" s="409"/>
      <c r="E7" s="412"/>
      <c r="F7" s="412"/>
    </row>
    <row r="8" spans="1:8" ht="16" x14ac:dyDescent="0.2">
      <c r="A8" s="413" t="s">
        <v>5915</v>
      </c>
      <c r="C8" s="415">
        <v>0</v>
      </c>
      <c r="D8" s="5"/>
    </row>
    <row r="9" spans="1:8" ht="16" x14ac:dyDescent="0.2"/>
    <row r="10" spans="1:8" ht="16" x14ac:dyDescent="0.2"/>
    <row r="11" spans="1:8" ht="16" x14ac:dyDescent="0.2">
      <c r="A11" s="4" t="s">
        <v>5916</v>
      </c>
    </row>
    <row r="12" spans="1:8" ht="16" x14ac:dyDescent="0.2">
      <c r="A12" s="23" t="s">
        <v>5917</v>
      </c>
      <c r="B12" s="23" t="s">
        <v>5918</v>
      </c>
      <c r="D12" s="5">
        <v>0.55000000000000004</v>
      </c>
      <c r="E12" s="37">
        <f>D13*D12</f>
        <v>0.66</v>
      </c>
      <c r="F12" s="23" t="s">
        <v>5919</v>
      </c>
      <c r="H12" s="50" t="s">
        <v>5920</v>
      </c>
    </row>
    <row r="13" spans="1:8" ht="16" x14ac:dyDescent="0.2">
      <c r="A13" s="23" t="s">
        <v>5921</v>
      </c>
      <c r="C13" s="9">
        <v>0.2</v>
      </c>
      <c r="D13" s="8">
        <f>1+C13</f>
        <v>1.2</v>
      </c>
    </row>
    <row r="14" spans="1:8" ht="16" x14ac:dyDescent="0.2">
      <c r="A14" s="23" t="s">
        <v>5922</v>
      </c>
      <c r="B14" s="23" t="s">
        <v>5918</v>
      </c>
      <c r="C14" s="9"/>
      <c r="D14" s="8">
        <v>0.55000000000000004</v>
      </c>
      <c r="E14">
        <f>D14*D13</f>
        <v>0.66</v>
      </c>
      <c r="F14" s="1230" t="s">
        <v>5923</v>
      </c>
    </row>
    <row r="15" spans="1:8" ht="16" x14ac:dyDescent="0.2">
      <c r="C15" s="9"/>
      <c r="D15" s="8"/>
    </row>
    <row r="16" spans="1:8" ht="16" x14ac:dyDescent="0.2">
      <c r="A16" s="4" t="s">
        <v>5924</v>
      </c>
      <c r="C16" s="9"/>
      <c r="D16" s="8"/>
    </row>
    <row r="17" spans="1:7" ht="16" x14ac:dyDescent="0.2">
      <c r="A17" s="23" t="s">
        <v>5925</v>
      </c>
      <c r="B17" s="23" t="s">
        <v>5926</v>
      </c>
      <c r="D17" s="10">
        <v>1.23</v>
      </c>
      <c r="E17" s="5">
        <f>D18*D17</f>
        <v>1.353</v>
      </c>
      <c r="F17" s="23" t="s">
        <v>5927</v>
      </c>
    </row>
    <row r="18" spans="1:7" ht="16" x14ac:dyDescent="0.2">
      <c r="A18" s="23" t="s">
        <v>5928</v>
      </c>
      <c r="C18" s="9">
        <v>0.1</v>
      </c>
      <c r="D18" s="8">
        <f>1+C18</f>
        <v>1.1000000000000001</v>
      </c>
    </row>
    <row r="19" spans="1:7" ht="16" x14ac:dyDescent="0.2">
      <c r="A19" s="23" t="s">
        <v>5929</v>
      </c>
      <c r="B19" s="50" t="s">
        <v>5930</v>
      </c>
      <c r="C19" s="398">
        <v>310</v>
      </c>
      <c r="D19" s="13">
        <f>C19/5/100</f>
        <v>0.62</v>
      </c>
      <c r="E19" s="419">
        <f>D19*(1+0.2)</f>
        <v>0.74399999999999999</v>
      </c>
      <c r="F19" s="50" t="s">
        <v>5931</v>
      </c>
    </row>
    <row r="20" spans="1:7" ht="16" x14ac:dyDescent="0.2">
      <c r="C20" s="9"/>
      <c r="D20" s="8"/>
    </row>
    <row r="21" spans="1:7" ht="16" x14ac:dyDescent="0.2">
      <c r="A21" s="4" t="s">
        <v>5932</v>
      </c>
      <c r="B21" s="12">
        <v>21.68</v>
      </c>
      <c r="C21" s="9" t="s">
        <v>5933</v>
      </c>
      <c r="D21" s="13">
        <f>B21/32</f>
        <v>0.67749999999999999</v>
      </c>
      <c r="E21" s="8">
        <f>D21*G$21</f>
        <v>0.88075000000000003</v>
      </c>
      <c r="F21" s="23" t="s">
        <v>5934</v>
      </c>
      <c r="G21" s="13">
        <v>1.3</v>
      </c>
    </row>
    <row r="22" spans="1:7" ht="16" x14ac:dyDescent="0.2">
      <c r="A22" s="4" t="s">
        <v>5935</v>
      </c>
      <c r="B22" s="12">
        <v>58.32</v>
      </c>
      <c r="C22" s="9" t="s">
        <v>5936</v>
      </c>
      <c r="D22" s="13">
        <f>B22/40</f>
        <v>1.458</v>
      </c>
      <c r="E22" s="8">
        <f>D22*G$21</f>
        <v>1.8954</v>
      </c>
    </row>
    <row r="23" spans="1:7" ht="16" x14ac:dyDescent="0.2">
      <c r="A23" s="4" t="s">
        <v>5935</v>
      </c>
      <c r="B23" s="12">
        <v>48.66</v>
      </c>
      <c r="C23" s="9" t="s">
        <v>5933</v>
      </c>
      <c r="D23" s="13">
        <f>B23/32</f>
        <v>1.5206249999999999</v>
      </c>
      <c r="E23" s="8">
        <f>D23*G$21</f>
        <v>1.9768124999999999</v>
      </c>
    </row>
    <row r="24" spans="1:7" ht="16" x14ac:dyDescent="0.2">
      <c r="A24" s="4" t="s">
        <v>5937</v>
      </c>
      <c r="B24" s="12" t="s">
        <v>5938</v>
      </c>
      <c r="C24" s="9" t="s">
        <v>5933</v>
      </c>
      <c r="D24" s="13">
        <v>2</v>
      </c>
      <c r="E24" s="8">
        <f>D24*G$21</f>
        <v>2.6</v>
      </c>
      <c r="F24" s="23" t="s">
        <v>5939</v>
      </c>
    </row>
    <row r="25" spans="1:7" ht="16" x14ac:dyDescent="0.2">
      <c r="A25" s="4" t="s">
        <v>5940</v>
      </c>
      <c r="B25" s="12">
        <v>24.35</v>
      </c>
      <c r="C25" s="9" t="s">
        <v>5933</v>
      </c>
      <c r="D25" s="13">
        <f>B25/32</f>
        <v>0.76093750000000004</v>
      </c>
      <c r="E25" s="8">
        <f>D25*G$21</f>
        <v>0.98921875000000015</v>
      </c>
    </row>
    <row r="26" spans="1:7" ht="16" x14ac:dyDescent="0.2">
      <c r="C26" s="9"/>
      <c r="D26" s="8"/>
    </row>
    <row r="27" spans="1:7" ht="16" x14ac:dyDescent="0.2">
      <c r="A27" s="4" t="s">
        <v>5941</v>
      </c>
      <c r="D27" s="5"/>
    </row>
    <row r="28" spans="1:7" ht="16" x14ac:dyDescent="0.2">
      <c r="A28" s="23" t="s">
        <v>5942</v>
      </c>
      <c r="B28" s="23" t="s">
        <v>5943</v>
      </c>
      <c r="D28" s="8">
        <v>21.04</v>
      </c>
      <c r="G28" s="391" t="s">
        <v>5944</v>
      </c>
    </row>
    <row r="29" spans="1:7" ht="16" x14ac:dyDescent="0.2">
      <c r="A29" s="23" t="s">
        <v>5945</v>
      </c>
      <c r="B29" s="89" t="s">
        <v>5946</v>
      </c>
      <c r="C29" s="49">
        <v>0.08</v>
      </c>
      <c r="D29" s="5">
        <f>IncaG*C29</f>
        <v>1.6832</v>
      </c>
      <c r="E29" s="38"/>
      <c r="G29" s="392">
        <v>8</v>
      </c>
    </row>
    <row r="30" spans="1:7" ht="16" x14ac:dyDescent="0.2">
      <c r="A30" s="23"/>
      <c r="D30" s="5"/>
      <c r="E30" s="38"/>
      <c r="G30" s="409"/>
    </row>
    <row r="31" spans="1:7" ht="16" x14ac:dyDescent="0.2">
      <c r="A31" s="23" t="s">
        <v>5947</v>
      </c>
      <c r="B31" s="23" t="s">
        <v>5948</v>
      </c>
      <c r="D31" s="411">
        <v>1.02</v>
      </c>
      <c r="E31" s="50"/>
      <c r="G31" s="409"/>
    </row>
    <row r="32" spans="1:7" ht="16" x14ac:dyDescent="0.2">
      <c r="A32" s="23" t="s">
        <v>5949</v>
      </c>
      <c r="B32" s="89" t="s">
        <v>5946</v>
      </c>
      <c r="C32" s="49">
        <v>0.08</v>
      </c>
      <c r="D32" s="410">
        <v>0.08</v>
      </c>
      <c r="E32" s="23"/>
      <c r="G32" s="409"/>
    </row>
    <row r="35" spans="1:9" ht="15.75" customHeight="1" x14ac:dyDescent="0.2">
      <c r="A35" s="4" t="s">
        <v>5950</v>
      </c>
      <c r="B35" s="23"/>
      <c r="C35" s="24" t="s">
        <v>5951</v>
      </c>
      <c r="D35" s="24" t="s">
        <v>5952</v>
      </c>
      <c r="E35" s="24" t="s">
        <v>698</v>
      </c>
    </row>
    <row r="36" spans="1:9" ht="15.75" customHeight="1" x14ac:dyDescent="0.2">
      <c r="A36" s="23" t="s">
        <v>5953</v>
      </c>
      <c r="B36" s="398">
        <v>100</v>
      </c>
      <c r="C36" s="734">
        <v>28.3</v>
      </c>
      <c r="D36" s="734">
        <v>43</v>
      </c>
      <c r="E36" s="734">
        <f>(135+71)/12.84</f>
        <v>16.043613707165107</v>
      </c>
      <c r="F36" s="39" t="s">
        <v>5954</v>
      </c>
      <c r="G36" s="391" t="s">
        <v>5944</v>
      </c>
    </row>
    <row r="37" spans="1:9" ht="15.75" customHeight="1" x14ac:dyDescent="0.2">
      <c r="A37" s="23" t="s">
        <v>5955</v>
      </c>
      <c r="C37" s="5">
        <v>2.8</v>
      </c>
      <c r="D37" s="5">
        <v>4.5</v>
      </c>
      <c r="E37" s="5"/>
      <c r="G37" s="392">
        <v>20</v>
      </c>
    </row>
    <row r="38" spans="1:9" ht="15.75" customHeight="1" x14ac:dyDescent="0.2">
      <c r="A38" s="23"/>
      <c r="C38" s="5"/>
      <c r="D38" s="5"/>
      <c r="E38" s="5"/>
      <c r="F38" s="28"/>
    </row>
    <row r="39" spans="1:9" ht="15.75" customHeight="1" x14ac:dyDescent="0.2">
      <c r="A39" s="529" t="s">
        <v>5956</v>
      </c>
      <c r="B39" s="23"/>
      <c r="C39" s="24" t="s">
        <v>5951</v>
      </c>
      <c r="D39" s="5"/>
      <c r="E39" s="5"/>
      <c r="F39" s="28"/>
    </row>
    <row r="40" spans="1:9" ht="15.75" customHeight="1" x14ac:dyDescent="0.2">
      <c r="A40" s="23" t="s">
        <v>5953</v>
      </c>
      <c r="B40" s="398">
        <f>B36</f>
        <v>100</v>
      </c>
      <c r="C40" s="734">
        <v>2</v>
      </c>
      <c r="D40" s="5" t="s">
        <v>5957</v>
      </c>
      <c r="E40" s="14" t="s">
        <v>5958</v>
      </c>
      <c r="F40" s="14"/>
      <c r="G40" s="390">
        <v>0.19</v>
      </c>
      <c r="H40" s="58" t="s">
        <v>5959</v>
      </c>
      <c r="I40" s="391" t="s">
        <v>5944</v>
      </c>
    </row>
    <row r="41" spans="1:9" ht="15.75" customHeight="1" x14ac:dyDescent="0.2">
      <c r="A41" s="23" t="s">
        <v>5955</v>
      </c>
      <c r="C41" s="5">
        <v>0.22</v>
      </c>
      <c r="D41" s="5" t="s">
        <v>5960</v>
      </c>
      <c r="E41" s="23" t="s">
        <v>5961</v>
      </c>
      <c r="F41" s="398">
        <f>25*1.25</f>
        <v>31.25</v>
      </c>
      <c r="G41" s="23" t="s">
        <v>5962</v>
      </c>
      <c r="H41" s="49" t="s">
        <v>907</v>
      </c>
      <c r="I41" s="392">
        <v>8</v>
      </c>
    </row>
    <row r="42" spans="1:9" ht="15.75" customHeight="1" x14ac:dyDescent="0.2">
      <c r="A42" s="44" t="s">
        <v>5963</v>
      </c>
      <c r="B42" s="44"/>
      <c r="C42" s="5">
        <v>0.32</v>
      </c>
      <c r="D42" s="5"/>
      <c r="E42" s="5"/>
      <c r="F42" s="28"/>
    </row>
    <row r="43" spans="1:9" ht="15.75" customHeight="1" x14ac:dyDescent="0.2">
      <c r="A43" s="4" t="s">
        <v>5964</v>
      </c>
      <c r="C43" s="5"/>
      <c r="D43" s="5"/>
      <c r="E43" s="5"/>
      <c r="F43" s="28"/>
    </row>
    <row r="44" spans="1:9" ht="15.75" customHeight="1" x14ac:dyDescent="0.2">
      <c r="A44" s="23" t="s">
        <v>5953</v>
      </c>
      <c r="C44" s="734">
        <v>4.5</v>
      </c>
      <c r="D44" s="5"/>
      <c r="E44" s="5"/>
      <c r="F44" s="28"/>
      <c r="G44" s="391" t="s">
        <v>5944</v>
      </c>
    </row>
    <row r="45" spans="1:9" ht="15.75" customHeight="1" x14ac:dyDescent="0.2">
      <c r="A45" s="23" t="s">
        <v>5965</v>
      </c>
      <c r="B45" s="57">
        <v>167</v>
      </c>
      <c r="C45" s="5">
        <v>0.22</v>
      </c>
      <c r="D45" s="5"/>
      <c r="E45" s="23"/>
      <c r="G45" s="392">
        <v>5</v>
      </c>
    </row>
    <row r="46" spans="1:9" ht="15.75" customHeight="1" x14ac:dyDescent="0.2">
      <c r="A46" s="23" t="s">
        <v>5966</v>
      </c>
      <c r="B46" s="23" t="s">
        <v>5967</v>
      </c>
      <c r="C46" s="734">
        <f>(350+190)/2</f>
        <v>270</v>
      </c>
      <c r="D46" s="23" t="s">
        <v>5961</v>
      </c>
      <c r="E46" s="398">
        <f>25*1.25</f>
        <v>31.25</v>
      </c>
      <c r="F46" s="23" t="s">
        <v>5962</v>
      </c>
      <c r="G46" s="49">
        <f>E46/C46</f>
        <v>0.11574074074074074</v>
      </c>
      <c r="H46" s="370">
        <v>0.2</v>
      </c>
      <c r="I46" s="50" t="s">
        <v>5968</v>
      </c>
    </row>
    <row r="47" spans="1:9" ht="15.75" customHeight="1" x14ac:dyDescent="0.2">
      <c r="A47" s="23"/>
      <c r="B47" s="23"/>
      <c r="C47" s="734"/>
      <c r="D47" s="23"/>
      <c r="E47" s="398"/>
      <c r="F47" s="23"/>
      <c r="G47" s="49"/>
    </row>
    <row r="48" spans="1:9" ht="15.75" customHeight="1" x14ac:dyDescent="0.2">
      <c r="A48" s="4" t="s">
        <v>5969</v>
      </c>
      <c r="B48" s="23"/>
      <c r="C48" s="734"/>
      <c r="D48" s="23"/>
      <c r="E48" s="398"/>
      <c r="F48" s="23"/>
      <c r="G48" s="391" t="s">
        <v>5944</v>
      </c>
    </row>
    <row r="49" spans="1:8" ht="15.75" customHeight="1" x14ac:dyDescent="0.2">
      <c r="A49" s="23" t="s">
        <v>5970</v>
      </c>
      <c r="C49" s="51">
        <v>2</v>
      </c>
      <c r="D49" s="12" t="s">
        <v>5971</v>
      </c>
      <c r="E49" s="398"/>
      <c r="F49" s="23"/>
      <c r="G49" s="392">
        <v>7</v>
      </c>
    </row>
    <row r="50" spans="1:8" ht="15.75" customHeight="1" x14ac:dyDescent="0.2">
      <c r="A50" s="23" t="s">
        <v>5972</v>
      </c>
      <c r="C50" s="51">
        <v>2</v>
      </c>
      <c r="D50" s="12" t="s">
        <v>5971</v>
      </c>
      <c r="E50" s="398"/>
      <c r="F50" s="23"/>
      <c r="G50" s="49"/>
    </row>
    <row r="51" spans="1:8" ht="15.75" customHeight="1" x14ac:dyDescent="0.2">
      <c r="A51" s="23" t="s">
        <v>5973</v>
      </c>
      <c r="B51" s="23" t="s">
        <v>5974</v>
      </c>
      <c r="C51" s="54" t="s">
        <v>5975</v>
      </c>
      <c r="D51" s="55">
        <v>0.13</v>
      </c>
      <c r="E51" s="54" t="s">
        <v>5976</v>
      </c>
      <c r="F51" s="55">
        <v>0.27</v>
      </c>
      <c r="G51" s="54" t="s">
        <v>5977</v>
      </c>
      <c r="H51" s="49">
        <v>0.34</v>
      </c>
    </row>
    <row r="52" spans="1:8" ht="15.75" customHeight="1" x14ac:dyDescent="0.2">
      <c r="A52" s="23"/>
      <c r="B52" s="23"/>
      <c r="C52" s="734"/>
      <c r="D52" s="23"/>
      <c r="E52" s="398"/>
      <c r="F52" s="23"/>
      <c r="G52" s="49"/>
    </row>
    <row r="53" spans="1:8" ht="15.75" customHeight="1" x14ac:dyDescent="0.2">
      <c r="A53" s="23" t="s">
        <v>5978</v>
      </c>
      <c r="B53" s="52" t="s">
        <v>5979</v>
      </c>
      <c r="C53" s="52">
        <f>4*1.2</f>
        <v>4.8</v>
      </c>
      <c r="D53" s="52"/>
      <c r="E53" s="398"/>
      <c r="F53" s="23"/>
      <c r="G53" s="49"/>
    </row>
    <row r="54" spans="1:8" ht="15.75" customHeight="1" x14ac:dyDescent="0.2">
      <c r="A54" s="23" t="s">
        <v>5955</v>
      </c>
      <c r="B54" s="52" t="s">
        <v>5980</v>
      </c>
      <c r="C54" s="53">
        <f>0.27</f>
        <v>0.27</v>
      </c>
      <c r="D54" s="52"/>
      <c r="E54" s="398"/>
      <c r="F54" s="23"/>
      <c r="G54" s="49"/>
    </row>
    <row r="55" spans="1:8" ht="15.75" customHeight="1" x14ac:dyDescent="0.2">
      <c r="D55" s="5"/>
    </row>
    <row r="56" spans="1:8" ht="15.75" customHeight="1" x14ac:dyDescent="0.2">
      <c r="A56" s="4" t="s">
        <v>5981</v>
      </c>
      <c r="D56" s="5"/>
    </row>
    <row r="57" spans="1:8" ht="15.75" customHeight="1" x14ac:dyDescent="0.2">
      <c r="A57" s="23" t="s">
        <v>5982</v>
      </c>
      <c r="B57" s="23" t="s">
        <v>5983</v>
      </c>
      <c r="D57" s="5"/>
    </row>
    <row r="58" spans="1:8" ht="15.75" customHeight="1" x14ac:dyDescent="0.2">
      <c r="A58" s="23" t="s">
        <v>5984</v>
      </c>
      <c r="B58" s="23" t="s">
        <v>5985</v>
      </c>
      <c r="C58" s="23">
        <v>16</v>
      </c>
      <c r="D58" s="8">
        <f>C58*4/12</f>
        <v>5.333333333333333</v>
      </c>
      <c r="E58" s="23" t="s">
        <v>5986</v>
      </c>
    </row>
    <row r="59" spans="1:8" ht="15.75" customHeight="1" x14ac:dyDescent="0.2">
      <c r="A59" s="23" t="s">
        <v>5987</v>
      </c>
      <c r="B59" s="23" t="s">
        <v>5988</v>
      </c>
      <c r="C59" s="23">
        <v>16</v>
      </c>
      <c r="D59" s="8">
        <f>C59*4/12</f>
        <v>5.333333333333333</v>
      </c>
      <c r="E59" s="23" t="s">
        <v>5989</v>
      </c>
    </row>
    <row r="60" spans="1:8" ht="15.75" customHeight="1" x14ac:dyDescent="0.2">
      <c r="A60" s="23" t="s">
        <v>5990</v>
      </c>
      <c r="B60" s="23" t="s">
        <v>5991</v>
      </c>
      <c r="C60" s="23">
        <v>16</v>
      </c>
      <c r="D60" s="8">
        <f>C60*4/12</f>
        <v>5.333333333333333</v>
      </c>
      <c r="E60" s="23" t="s">
        <v>5992</v>
      </c>
    </row>
    <row r="61" spans="1:8" ht="15.75" customHeight="1" x14ac:dyDescent="0.2">
      <c r="D61" s="5"/>
    </row>
    <row r="62" spans="1:8" ht="15.75" customHeight="1" x14ac:dyDescent="0.2">
      <c r="A62" s="23" t="s">
        <v>5993</v>
      </c>
      <c r="B62" s="23" t="s">
        <v>5994</v>
      </c>
      <c r="D62" s="5">
        <v>0.4</v>
      </c>
      <c r="E62" s="5">
        <f>D62*D63</f>
        <v>0.45999999999999996</v>
      </c>
      <c r="F62" s="23" t="s">
        <v>5927</v>
      </c>
    </row>
    <row r="63" spans="1:8" ht="15.75" customHeight="1" x14ac:dyDescent="0.2">
      <c r="A63" s="14" t="s">
        <v>5995</v>
      </c>
      <c r="B63" s="14"/>
      <c r="C63" s="15">
        <v>0.15</v>
      </c>
      <c r="D63" s="8">
        <f>1+C63</f>
        <v>1.1499999999999999</v>
      </c>
    </row>
    <row r="64" spans="1:8" ht="15.75" customHeight="1" x14ac:dyDescent="0.2">
      <c r="A64" s="23" t="s">
        <v>5996</v>
      </c>
      <c r="B64" s="23" t="s">
        <v>5994</v>
      </c>
      <c r="D64" s="5">
        <v>0.73</v>
      </c>
      <c r="E64" s="5">
        <f>D64*D65</f>
        <v>0.83949999999999991</v>
      </c>
      <c r="F64" s="23" t="s">
        <v>5927</v>
      </c>
    </row>
    <row r="65" spans="1:7" ht="15.75" customHeight="1" x14ac:dyDescent="0.2">
      <c r="A65" s="14" t="s">
        <v>5995</v>
      </c>
      <c r="B65" s="14"/>
      <c r="C65" s="15">
        <v>0.15</v>
      </c>
      <c r="D65" s="8">
        <f>1+C65</f>
        <v>1.1499999999999999</v>
      </c>
      <c r="F65" s="30" t="s">
        <v>5997</v>
      </c>
    </row>
    <row r="66" spans="1:7" ht="15.75" customHeight="1" x14ac:dyDescent="0.2">
      <c r="A66" s="23" t="s">
        <v>5998</v>
      </c>
      <c r="C66" s="23">
        <v>25</v>
      </c>
      <c r="D66" s="5">
        <f>2*25*8/22</f>
        <v>18.181818181818183</v>
      </c>
    </row>
    <row r="67" spans="1:7" ht="15.75" customHeight="1" x14ac:dyDescent="0.2">
      <c r="D67" s="5"/>
    </row>
    <row r="68" spans="1:7" ht="15.75" customHeight="1" x14ac:dyDescent="0.2">
      <c r="A68" s="4" t="s">
        <v>5999</v>
      </c>
      <c r="D68" s="5"/>
    </row>
    <row r="69" spans="1:7" ht="15.75" customHeight="1" x14ac:dyDescent="0.2">
      <c r="A69" s="23" t="s">
        <v>6000</v>
      </c>
      <c r="D69" s="5">
        <v>3</v>
      </c>
      <c r="E69" s="23" t="s">
        <v>6001</v>
      </c>
    </row>
    <row r="70" spans="1:7" ht="15.75" customHeight="1" x14ac:dyDescent="0.2">
      <c r="A70" s="23" t="s">
        <v>6002</v>
      </c>
      <c r="D70" s="5">
        <v>4</v>
      </c>
      <c r="E70" s="23" t="s">
        <v>6001</v>
      </c>
    </row>
    <row r="71" spans="1:7" ht="15.75" customHeight="1" x14ac:dyDescent="0.2">
      <c r="A71" s="23" t="s">
        <v>6003</v>
      </c>
      <c r="D71" s="5">
        <f>SUM(D69:D70)</f>
        <v>7</v>
      </c>
    </row>
    <row r="72" spans="1:7" ht="15.75" customHeight="1" x14ac:dyDescent="0.2">
      <c r="D72" s="5"/>
    </row>
    <row r="73" spans="1:7" ht="15.75" customHeight="1" x14ac:dyDescent="0.2">
      <c r="A73" s="4" t="s">
        <v>6004</v>
      </c>
      <c r="D73" s="394" t="s">
        <v>6005</v>
      </c>
      <c r="E73" s="395" t="s">
        <v>6006</v>
      </c>
      <c r="F73" s="50" t="s">
        <v>6007</v>
      </c>
      <c r="G73" s="50" t="s">
        <v>6008</v>
      </c>
    </row>
    <row r="74" spans="1:7" ht="15.75" customHeight="1" x14ac:dyDescent="0.2">
      <c r="A74" s="23" t="s">
        <v>6009</v>
      </c>
      <c r="B74" s="50" t="s">
        <v>6010</v>
      </c>
      <c r="C74" s="49">
        <v>8.4600000000000009</v>
      </c>
      <c r="D74" s="12">
        <f>C74/3</f>
        <v>2.8200000000000003</v>
      </c>
      <c r="E74" s="262">
        <f>C74/3</f>
        <v>2.8200000000000003</v>
      </c>
      <c r="F74" s="262">
        <f>C75/2</f>
        <v>2.6749999999999998</v>
      </c>
      <c r="G74" s="262">
        <f>C75/2</f>
        <v>2.6749999999999998</v>
      </c>
    </row>
    <row r="75" spans="1:7" ht="15.75" customHeight="1" x14ac:dyDescent="0.2">
      <c r="A75" s="23" t="s">
        <v>6011</v>
      </c>
      <c r="B75" s="50" t="s">
        <v>6012</v>
      </c>
      <c r="C75" s="49">
        <v>5.35</v>
      </c>
      <c r="D75" s="49">
        <v>8</v>
      </c>
      <c r="E75" s="49">
        <v>8</v>
      </c>
      <c r="F75" s="49">
        <v>8</v>
      </c>
      <c r="G75" s="49">
        <v>8</v>
      </c>
    </row>
    <row r="76" spans="1:7" ht="15.75" customHeight="1" x14ac:dyDescent="0.2">
      <c r="B76" s="396"/>
      <c r="C76" s="397"/>
      <c r="D76" s="393">
        <f>SUM(D74:D75)</f>
        <v>10.82</v>
      </c>
      <c r="E76" s="393">
        <f t="shared" ref="E76:G76" si="0">SUM(E74:E75)</f>
        <v>10.82</v>
      </c>
      <c r="F76" s="393">
        <f t="shared" si="0"/>
        <v>10.675000000000001</v>
      </c>
      <c r="G76" s="393">
        <f t="shared" si="0"/>
        <v>10.675000000000001</v>
      </c>
    </row>
    <row r="77" spans="1:7" ht="15.75" customHeight="1" x14ac:dyDescent="0.2">
      <c r="A77" s="16" t="s">
        <v>6013</v>
      </c>
      <c r="D77" s="5"/>
    </row>
    <row r="78" spans="1:7" ht="15.75" customHeight="1" x14ac:dyDescent="0.2">
      <c r="A78" s="14" t="s">
        <v>6014</v>
      </c>
      <c r="D78" s="5"/>
    </row>
    <row r="79" spans="1:7" ht="15.75" customHeight="1" x14ac:dyDescent="0.2">
      <c r="A79" s="23" t="s">
        <v>6015</v>
      </c>
      <c r="D79" s="8">
        <f>1.75+4.5+1.75+4.5</f>
        <v>12.5</v>
      </c>
      <c r="E79" s="23" t="s">
        <v>6016</v>
      </c>
    </row>
    <row r="80" spans="1:7" ht="15.75" customHeight="1" x14ac:dyDescent="0.2">
      <c r="A80" s="23" t="s">
        <v>6017</v>
      </c>
      <c r="D80" s="5">
        <v>0.32</v>
      </c>
      <c r="E80" s="5">
        <f>D80*D81</f>
        <v>0.41600000000000004</v>
      </c>
      <c r="F80" s="23" t="s">
        <v>6018</v>
      </c>
      <c r="G80" s="23" t="s">
        <v>6019</v>
      </c>
    </row>
    <row r="81" spans="1:5" ht="15.75" customHeight="1" x14ac:dyDescent="0.2">
      <c r="A81" s="23" t="s">
        <v>6020</v>
      </c>
      <c r="C81" s="9">
        <v>0.3</v>
      </c>
      <c r="D81" s="8">
        <f>1+C81</f>
        <v>1.3</v>
      </c>
    </row>
    <row r="82" spans="1:5" ht="15.75" customHeight="1" x14ac:dyDescent="0.2">
      <c r="C82" s="9"/>
      <c r="D82" s="8"/>
    </row>
    <row r="83" spans="1:5" ht="15.75" customHeight="1" x14ac:dyDescent="0.2">
      <c r="A83" s="23" t="s">
        <v>6021</v>
      </c>
      <c r="B83" s="23">
        <v>8</v>
      </c>
      <c r="C83" s="12">
        <v>0.5</v>
      </c>
      <c r="D83" s="5">
        <f>C83*B83</f>
        <v>4</v>
      </c>
      <c r="E83" s="23" t="s">
        <v>6022</v>
      </c>
    </row>
    <row r="84" spans="1:5" ht="15.75" customHeight="1" x14ac:dyDescent="0.2">
      <c r="A84" s="23" t="s">
        <v>6023</v>
      </c>
      <c r="D84" s="5">
        <v>0.5</v>
      </c>
      <c r="E84" s="23" t="s">
        <v>6022</v>
      </c>
    </row>
    <row r="85" spans="1:5" ht="15.75" customHeight="1" x14ac:dyDescent="0.2">
      <c r="A85" s="23" t="s">
        <v>6024</v>
      </c>
      <c r="B85" s="23" t="s">
        <v>6025</v>
      </c>
      <c r="C85" s="12">
        <v>20</v>
      </c>
      <c r="D85" s="5">
        <f>C85/3</f>
        <v>6.666666666666667</v>
      </c>
      <c r="E85" s="23" t="s">
        <v>6026</v>
      </c>
    </row>
    <row r="86" spans="1:5" ht="15.75" customHeight="1" x14ac:dyDescent="0.2">
      <c r="B86" s="23" t="s">
        <v>6027</v>
      </c>
      <c r="C86" s="12">
        <v>20</v>
      </c>
      <c r="D86" s="5">
        <f>C86*1.2</f>
        <v>24</v>
      </c>
      <c r="E86" s="23" t="s">
        <v>6028</v>
      </c>
    </row>
    <row r="87" spans="1:5" ht="15.75" customHeight="1" x14ac:dyDescent="0.2">
      <c r="A87" s="23" t="s">
        <v>6029</v>
      </c>
      <c r="B87" s="23" t="s">
        <v>6025</v>
      </c>
      <c r="C87" s="12">
        <v>20</v>
      </c>
      <c r="D87" s="5">
        <f>C87/3</f>
        <v>6.666666666666667</v>
      </c>
    </row>
    <row r="88" spans="1:5" ht="15.75" customHeight="1" x14ac:dyDescent="0.2">
      <c r="B88" s="23" t="s">
        <v>6027</v>
      </c>
      <c r="C88" s="12">
        <v>20</v>
      </c>
      <c r="D88" s="5">
        <f>C88/2</f>
        <v>10</v>
      </c>
    </row>
    <row r="89" spans="1:5" ht="15.75" customHeight="1" x14ac:dyDescent="0.2">
      <c r="A89" s="23" t="s">
        <v>6030</v>
      </c>
      <c r="D89" s="17">
        <f>D83+D85+D87</f>
        <v>17.333333333333336</v>
      </c>
    </row>
    <row r="90" spans="1:5" ht="15.75" customHeight="1" x14ac:dyDescent="0.2">
      <c r="A90" s="23" t="s">
        <v>6031</v>
      </c>
      <c r="D90" s="17">
        <f>D83+D84+D86+D88</f>
        <v>38.5</v>
      </c>
    </row>
    <row r="91" spans="1:5" ht="15.75" customHeight="1" x14ac:dyDescent="0.2">
      <c r="D91" s="5"/>
    </row>
    <row r="92" spans="1:5" ht="15.75" customHeight="1" x14ac:dyDescent="0.2">
      <c r="A92" s="23" t="s">
        <v>6032</v>
      </c>
      <c r="D92" s="5">
        <f>D88</f>
        <v>10</v>
      </c>
      <c r="E92" s="23" t="s">
        <v>6033</v>
      </c>
    </row>
    <row r="93" spans="1:5" ht="15.75" customHeight="1" x14ac:dyDescent="0.2">
      <c r="A93" s="23" t="s">
        <v>6032</v>
      </c>
      <c r="D93" s="735">
        <v>10</v>
      </c>
      <c r="E93" s="23" t="s">
        <v>6034</v>
      </c>
    </row>
    <row r="94" spans="1:5" ht="15.75" customHeight="1" x14ac:dyDescent="0.2">
      <c r="D94" s="5">
        <f>SUM(D92:D93)</f>
        <v>20</v>
      </c>
    </row>
    <row r="97" spans="1:5" ht="15.75" customHeight="1" x14ac:dyDescent="0.2">
      <c r="A97" t="s">
        <v>6035</v>
      </c>
      <c r="D97" s="5"/>
    </row>
    <row r="98" spans="1:5" ht="15.75" customHeight="1" x14ac:dyDescent="0.2">
      <c r="D98" s="5"/>
    </row>
    <row r="99" spans="1:5" ht="15.75" customHeight="1" x14ac:dyDescent="0.2">
      <c r="A99" t="s">
        <v>6036</v>
      </c>
      <c r="B99" t="s">
        <v>6037</v>
      </c>
      <c r="D99" s="5">
        <v>499</v>
      </c>
    </row>
    <row r="100" spans="1:5" ht="15.75" customHeight="1" x14ac:dyDescent="0.2">
      <c r="B100" t="s">
        <v>6038</v>
      </c>
      <c r="D100" s="5">
        <v>-30</v>
      </c>
    </row>
    <row r="101" spans="1:5" ht="15.75" customHeight="1" x14ac:dyDescent="0.2">
      <c r="B101" t="s">
        <v>6039</v>
      </c>
      <c r="D101" s="5">
        <f>D99+D100</f>
        <v>469</v>
      </c>
    </row>
    <row r="102" spans="1:5" ht="15.75" customHeight="1" x14ac:dyDescent="0.2">
      <c r="B102" t="s">
        <v>6040</v>
      </c>
      <c r="D102" s="5">
        <v>-146.54</v>
      </c>
    </row>
    <row r="103" spans="1:5" ht="15.75" customHeight="1" x14ac:dyDescent="0.2">
      <c r="B103" t="s">
        <v>6041</v>
      </c>
      <c r="D103" s="5">
        <f>D102+D101</f>
        <v>322.46000000000004</v>
      </c>
      <c r="E103" s="42" t="s">
        <v>6042</v>
      </c>
    </row>
    <row r="104" spans="1:5" ht="15.75" customHeight="1" x14ac:dyDescent="0.2">
      <c r="D104" s="5"/>
    </row>
    <row r="105" spans="1:5" ht="15.75" customHeight="1" x14ac:dyDescent="0.2">
      <c r="B105" t="s">
        <v>6040</v>
      </c>
      <c r="D105" s="5">
        <v>146.54</v>
      </c>
    </row>
    <row r="106" spans="1:5" ht="15.75" customHeight="1" x14ac:dyDescent="0.2">
      <c r="B106" t="s">
        <v>6043</v>
      </c>
      <c r="D106" s="5">
        <v>-60</v>
      </c>
    </row>
    <row r="107" spans="1:5" ht="15.75" customHeight="1" x14ac:dyDescent="0.2">
      <c r="B107" t="s">
        <v>6044</v>
      </c>
      <c r="D107" s="5">
        <f>D105+D106</f>
        <v>86.539999999999992</v>
      </c>
    </row>
    <row r="108" spans="1:5" ht="15.75" customHeight="1" x14ac:dyDescent="0.2"/>
    <row r="109" spans="1:5" ht="15.75" customHeight="1" x14ac:dyDescent="0.2">
      <c r="B109" t="s">
        <v>6040</v>
      </c>
      <c r="D109" s="5">
        <v>146.54</v>
      </c>
    </row>
    <row r="110" spans="1:5" ht="15.75" customHeight="1" x14ac:dyDescent="0.2">
      <c r="B110" t="s">
        <v>6045</v>
      </c>
      <c r="D110" s="5">
        <v>86.54</v>
      </c>
    </row>
    <row r="111" spans="1:5" ht="15.75" customHeight="1" x14ac:dyDescent="0.2">
      <c r="B111" t="s">
        <v>6044</v>
      </c>
      <c r="D111" s="5">
        <f>D109-D110</f>
        <v>59.999999999999986</v>
      </c>
    </row>
    <row r="114" spans="1:4" ht="15.75" customHeight="1" x14ac:dyDescent="0.2">
      <c r="A114" t="s">
        <v>6046</v>
      </c>
      <c r="D114" s="5">
        <v>25</v>
      </c>
    </row>
  </sheetData>
  <phoneticPr fontId="18" type="noConversion"/>
  <pageMargins left="0.75" right="0.75" top="1" bottom="1" header="0" footer="0"/>
  <pageSetup orientation="portrait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O611"/>
  <sheetViews>
    <sheetView zoomScale="150" zoomScaleNormal="150" zoomScalePageLayoutView="150" workbookViewId="0">
      <pane ySplit="1" topLeftCell="A312" activePane="bottomLeft" state="frozen"/>
      <selection activeCell="B1" sqref="B1"/>
      <selection pane="bottomLeft" activeCell="A79" sqref="A79:XFD81"/>
    </sheetView>
  </sheetViews>
  <sheetFormatPr baseColWidth="10" defaultColWidth="18.85546875" defaultRowHeight="15" customHeight="1" x14ac:dyDescent="0.2"/>
  <cols>
    <col min="2" max="2" width="57.5703125" customWidth="1"/>
    <col min="3" max="3" width="13.28515625" customWidth="1"/>
    <col min="4" max="4" width="18.85546875" style="937"/>
    <col min="7" max="7" width="18.85546875" style="466"/>
    <col min="8" max="9" width="18.85546875" style="300"/>
    <col min="10" max="10" width="18.85546875" style="631"/>
    <col min="13" max="13" width="18.85546875" style="113"/>
  </cols>
  <sheetData>
    <row r="1" spans="1:14" s="674" customFormat="1" ht="16" x14ac:dyDescent="0.2">
      <c r="A1" s="27" t="s">
        <v>6047</v>
      </c>
      <c r="B1" s="27" t="s">
        <v>4</v>
      </c>
      <c r="C1" s="301"/>
      <c r="D1" s="767">
        <v>44743</v>
      </c>
      <c r="E1" s="671" t="s">
        <v>6048</v>
      </c>
      <c r="F1" s="671" t="s">
        <v>6049</v>
      </c>
      <c r="G1" s="767">
        <v>44666</v>
      </c>
      <c r="H1" s="301">
        <v>44440</v>
      </c>
      <c r="I1" s="301">
        <v>44579</v>
      </c>
      <c r="J1" s="301">
        <v>44666</v>
      </c>
      <c r="K1" s="672" t="s">
        <v>6050</v>
      </c>
      <c r="L1" s="673" t="s">
        <v>6051</v>
      </c>
      <c r="M1" s="673" t="s">
        <v>6052</v>
      </c>
      <c r="N1" s="673" t="s">
        <v>6053</v>
      </c>
    </row>
    <row r="2" spans="1:14" s="50" customFormat="1" ht="16" x14ac:dyDescent="0.2">
      <c r="A2" s="43"/>
      <c r="B2" s="43"/>
      <c r="C2" s="925"/>
      <c r="D2" s="933"/>
      <c r="E2" s="20"/>
      <c r="F2" s="20"/>
      <c r="G2" s="499"/>
      <c r="H2" s="467"/>
      <c r="I2" s="473"/>
      <c r="J2" s="628"/>
      <c r="K2" s="474"/>
      <c r="L2" s="475"/>
      <c r="M2" s="113"/>
    </row>
    <row r="3" spans="1:14" s="1836" customFormat="1" ht="16" x14ac:dyDescent="0.2">
      <c r="A3" s="26" t="s">
        <v>6054</v>
      </c>
      <c r="B3" s="26" t="s">
        <v>6055</v>
      </c>
      <c r="C3" s="1829"/>
      <c r="D3" s="1348">
        <v>68.55</v>
      </c>
      <c r="E3" s="900"/>
      <c r="F3" s="900"/>
      <c r="G3" s="1830"/>
      <c r="H3" s="1831"/>
      <c r="I3" s="1832"/>
      <c r="J3" s="1833"/>
      <c r="K3" s="1834"/>
      <c r="L3" s="1835"/>
      <c r="M3" s="1545"/>
    </row>
    <row r="4" spans="1:14" s="1836" customFormat="1" ht="16" x14ac:dyDescent="0.2">
      <c r="A4" s="26" t="s">
        <v>6056</v>
      </c>
      <c r="B4" s="26" t="s">
        <v>6057</v>
      </c>
      <c r="C4" s="1829"/>
      <c r="D4" s="1348">
        <v>58</v>
      </c>
      <c r="E4" s="900"/>
      <c r="F4" s="900"/>
      <c r="G4" s="1830"/>
      <c r="H4" s="1831"/>
      <c r="I4" s="1832"/>
      <c r="J4" s="1833"/>
      <c r="K4" s="1834"/>
      <c r="L4" s="1835"/>
      <c r="M4" s="1545"/>
    </row>
    <row r="5" spans="1:14" s="1836" customFormat="1" ht="16" x14ac:dyDescent="0.2">
      <c r="A5" s="26" t="s">
        <v>6058</v>
      </c>
      <c r="B5" s="26" t="s">
        <v>6059</v>
      </c>
      <c r="C5" s="1829"/>
      <c r="D5" s="1348">
        <v>58</v>
      </c>
      <c r="E5" s="900"/>
      <c r="F5" s="900"/>
      <c r="G5" s="1830"/>
      <c r="H5" s="1831"/>
      <c r="I5" s="1832"/>
      <c r="J5" s="1833"/>
      <c r="K5" s="1834"/>
      <c r="L5" s="1835"/>
      <c r="M5" s="1545"/>
    </row>
    <row r="6" spans="1:14" s="1836" customFormat="1" ht="16" x14ac:dyDescent="0.2">
      <c r="A6" s="26" t="s">
        <v>6060</v>
      </c>
      <c r="B6" s="26" t="s">
        <v>6061</v>
      </c>
      <c r="C6" s="1829"/>
      <c r="D6" s="1348">
        <v>68.5</v>
      </c>
      <c r="E6" s="900"/>
      <c r="F6" s="900"/>
      <c r="G6" s="1830"/>
      <c r="H6" s="1831"/>
      <c r="I6" s="1832"/>
      <c r="J6" s="1833"/>
      <c r="K6" s="1834"/>
      <c r="L6" s="1835"/>
      <c r="M6" s="1545"/>
    </row>
    <row r="7" spans="1:14" s="1836" customFormat="1" ht="16" x14ac:dyDescent="0.2">
      <c r="A7" s="26" t="s">
        <v>6062</v>
      </c>
      <c r="B7" s="26" t="s">
        <v>6063</v>
      </c>
      <c r="C7" s="1829"/>
      <c r="D7" s="1348">
        <v>68.53</v>
      </c>
      <c r="E7" s="900"/>
      <c r="F7" s="900"/>
      <c r="G7" s="1830"/>
      <c r="H7" s="1831"/>
      <c r="I7" s="1832"/>
      <c r="J7" s="1833"/>
      <c r="K7" s="1834"/>
      <c r="L7" s="1835"/>
      <c r="M7" s="1545"/>
    </row>
    <row r="8" spans="1:14" s="1836" customFormat="1" ht="16" x14ac:dyDescent="0.2">
      <c r="A8" s="26" t="s">
        <v>6064</v>
      </c>
      <c r="B8" s="26" t="s">
        <v>6065</v>
      </c>
      <c r="C8" s="1829"/>
      <c r="D8" s="1348">
        <v>65</v>
      </c>
      <c r="E8" s="900"/>
      <c r="F8" s="900"/>
      <c r="G8" s="1830"/>
      <c r="H8" s="1831"/>
      <c r="I8" s="1832"/>
      <c r="J8" s="1833"/>
      <c r="K8" s="1834"/>
      <c r="L8" s="1835"/>
      <c r="M8" s="1545"/>
    </row>
    <row r="9" spans="1:14" s="1836" customFormat="1" ht="16" x14ac:dyDescent="0.2">
      <c r="A9" s="26" t="s">
        <v>6066</v>
      </c>
      <c r="B9" s="26" t="s">
        <v>6067</v>
      </c>
      <c r="C9" s="1829"/>
      <c r="D9" s="1348">
        <v>80.239999999999995</v>
      </c>
      <c r="E9" s="900"/>
      <c r="F9" s="900"/>
      <c r="G9" s="1830"/>
      <c r="H9" s="1831"/>
      <c r="I9" s="1832"/>
      <c r="J9" s="1833"/>
      <c r="K9" s="1834"/>
      <c r="L9" s="1835"/>
      <c r="M9" s="1545"/>
    </row>
    <row r="10" spans="1:14" s="1836" customFormat="1" ht="16" x14ac:dyDescent="0.2">
      <c r="A10" s="26" t="s">
        <v>6068</v>
      </c>
      <c r="B10" s="26" t="s">
        <v>6069</v>
      </c>
      <c r="C10" s="1829"/>
      <c r="D10" s="1348">
        <v>83.44</v>
      </c>
      <c r="E10" s="900"/>
      <c r="F10" s="900"/>
      <c r="G10" s="1830"/>
      <c r="H10" s="1831"/>
      <c r="I10" s="1832"/>
      <c r="J10" s="1833"/>
      <c r="K10" s="1834"/>
      <c r="L10" s="1835"/>
      <c r="M10" s="1545"/>
    </row>
    <row r="11" spans="1:14" s="50" customFormat="1" ht="16" x14ac:dyDescent="0.2">
      <c r="A11" s="6" t="s">
        <v>6070</v>
      </c>
      <c r="B11" s="6" t="s">
        <v>6071</v>
      </c>
      <c r="C11" s="925"/>
      <c r="D11" s="931">
        <v>64.12</v>
      </c>
      <c r="E11" s="20">
        <v>12</v>
      </c>
      <c r="F11" s="20">
        <v>12</v>
      </c>
      <c r="G11" s="687">
        <v>59.85</v>
      </c>
      <c r="H11" s="1852">
        <v>62.25</v>
      </c>
      <c r="I11" s="1853">
        <v>62.720000000000006</v>
      </c>
      <c r="J11" s="825">
        <v>59.85</v>
      </c>
      <c r="K11" s="474">
        <f>J11-I11</f>
        <v>-2.8700000000000045</v>
      </c>
      <c r="L11" s="475">
        <f>K11/I11</f>
        <v>-4.5758928571428638E-2</v>
      </c>
      <c r="M11" s="113" t="s">
        <v>6072</v>
      </c>
    </row>
    <row r="12" spans="1:14" ht="16" x14ac:dyDescent="0.2">
      <c r="A12" s="6" t="s">
        <v>6073</v>
      </c>
      <c r="B12" s="6" t="s">
        <v>6074</v>
      </c>
      <c r="C12" s="925"/>
      <c r="D12" s="931">
        <v>75.78</v>
      </c>
      <c r="E12" s="20">
        <v>12</v>
      </c>
      <c r="F12" s="20">
        <v>16</v>
      </c>
      <c r="G12" s="687">
        <v>62.720000000000006</v>
      </c>
      <c r="H12" s="1852">
        <v>62.25</v>
      </c>
      <c r="I12" s="1853">
        <v>62.720000000000006</v>
      </c>
      <c r="J12" s="825">
        <v>62.720000000000006</v>
      </c>
      <c r="K12" s="474">
        <f>I12-H12</f>
        <v>0.47000000000000597</v>
      </c>
      <c r="L12" s="475">
        <f>IF(H12="","NA",K12/H12)</f>
        <v>7.5502008032129475E-3</v>
      </c>
    </row>
    <row r="13" spans="1:14" s="41" customFormat="1" ht="16" x14ac:dyDescent="0.2">
      <c r="A13" s="1095" t="s">
        <v>6075</v>
      </c>
      <c r="B13" s="1095" t="s">
        <v>6076</v>
      </c>
      <c r="C13" s="1023"/>
      <c r="D13" s="1024">
        <v>77.260000000000005</v>
      </c>
      <c r="E13" s="144"/>
      <c r="F13" s="144"/>
      <c r="G13" s="687"/>
      <c r="H13" s="1852"/>
      <c r="I13" s="1853"/>
      <c r="J13" s="825"/>
      <c r="K13" s="772"/>
      <c r="L13" s="713"/>
      <c r="M13" s="95"/>
    </row>
    <row r="14" spans="1:14" s="1837" customFormat="1" ht="16" x14ac:dyDescent="0.2">
      <c r="A14" s="26" t="s">
        <v>6077</v>
      </c>
      <c r="B14" s="26" t="s">
        <v>6078</v>
      </c>
      <c r="C14" s="1829"/>
      <c r="D14" s="1348">
        <v>80.239999999999995</v>
      </c>
      <c r="E14" s="900"/>
      <c r="F14" s="900"/>
      <c r="G14" s="687"/>
      <c r="H14" s="1852"/>
      <c r="I14" s="1853"/>
      <c r="J14" s="825"/>
      <c r="K14" s="1834"/>
      <c r="L14" s="1835"/>
      <c r="M14" s="1545"/>
      <c r="N14" s="1836"/>
    </row>
    <row r="15" spans="1:14" s="1837" customFormat="1" ht="16" x14ac:dyDescent="0.2">
      <c r="A15" s="26" t="s">
        <v>6079</v>
      </c>
      <c r="B15" s="26" t="s">
        <v>6080</v>
      </c>
      <c r="C15" s="1829"/>
      <c r="D15" s="1348">
        <v>77.260000000000005</v>
      </c>
      <c r="E15" s="900"/>
      <c r="F15" s="900"/>
      <c r="G15" s="687"/>
      <c r="H15" s="1852"/>
      <c r="I15" s="1853"/>
      <c r="J15" s="825"/>
      <c r="K15" s="1834"/>
      <c r="L15" s="1835"/>
      <c r="M15" s="1545"/>
      <c r="N15" s="1836"/>
    </row>
    <row r="16" spans="1:14" s="1837" customFormat="1" ht="16" x14ac:dyDescent="0.2">
      <c r="A16" s="26" t="s">
        <v>6081</v>
      </c>
      <c r="B16" s="26" t="s">
        <v>6082</v>
      </c>
      <c r="C16" s="1829"/>
      <c r="D16" s="1348">
        <v>82.48</v>
      </c>
      <c r="E16" s="900"/>
      <c r="F16" s="900"/>
      <c r="G16" s="687"/>
      <c r="H16" s="1852"/>
      <c r="I16" s="1853"/>
      <c r="J16" s="825"/>
      <c r="K16" s="1834"/>
      <c r="L16" s="1835"/>
      <c r="M16" s="1545"/>
      <c r="N16" s="1836"/>
    </row>
    <row r="17" spans="1:13" s="1837" customFormat="1" ht="16" x14ac:dyDescent="0.2">
      <c r="A17" s="26" t="s">
        <v>6083</v>
      </c>
      <c r="B17" s="26" t="s">
        <v>6084</v>
      </c>
      <c r="C17" s="1829"/>
      <c r="D17" s="1348">
        <v>79.31</v>
      </c>
      <c r="E17" s="900"/>
      <c r="F17" s="900"/>
      <c r="G17" s="687"/>
      <c r="H17" s="1852"/>
      <c r="I17" s="1853"/>
      <c r="J17" s="825"/>
      <c r="K17" s="1834"/>
      <c r="L17" s="1835"/>
      <c r="M17" s="1545"/>
    </row>
    <row r="18" spans="1:13" s="1837" customFormat="1" ht="16" x14ac:dyDescent="0.2">
      <c r="A18" s="26" t="s">
        <v>6085</v>
      </c>
      <c r="B18" s="26" t="s">
        <v>6086</v>
      </c>
      <c r="C18" s="1829"/>
      <c r="D18" s="1348">
        <v>82</v>
      </c>
      <c r="E18" s="900"/>
      <c r="F18" s="900"/>
      <c r="G18" s="687"/>
      <c r="H18" s="1852"/>
      <c r="I18" s="1853"/>
      <c r="J18" s="825"/>
      <c r="K18" s="1834"/>
      <c r="L18" s="1835"/>
      <c r="M18" s="1545"/>
    </row>
    <row r="19" spans="1:13" s="1837" customFormat="1" ht="16" x14ac:dyDescent="0.2">
      <c r="A19" s="26" t="s">
        <v>6087</v>
      </c>
      <c r="B19" s="26" t="s">
        <v>6088</v>
      </c>
      <c r="C19" s="1829"/>
      <c r="D19" s="1348">
        <v>82.44</v>
      </c>
      <c r="E19" s="900"/>
      <c r="F19" s="900"/>
      <c r="G19" s="687"/>
      <c r="H19" s="1852"/>
      <c r="I19" s="1853"/>
      <c r="J19" s="825"/>
      <c r="K19" s="1834"/>
      <c r="L19" s="1835"/>
      <c r="M19" s="1545"/>
    </row>
    <row r="20" spans="1:13" s="1837" customFormat="1" ht="16" x14ac:dyDescent="0.2">
      <c r="A20" s="26" t="s">
        <v>6089</v>
      </c>
      <c r="B20" s="26" t="s">
        <v>6090</v>
      </c>
      <c r="C20" s="1829"/>
      <c r="D20" s="1348">
        <v>87</v>
      </c>
      <c r="E20" s="900"/>
      <c r="F20" s="900"/>
      <c r="G20" s="687"/>
      <c r="H20" s="1852"/>
      <c r="I20" s="1853"/>
      <c r="J20" s="825"/>
      <c r="K20" s="1834"/>
      <c r="L20" s="1835"/>
      <c r="M20" s="1545"/>
    </row>
    <row r="21" spans="1:13" s="50" customFormat="1" ht="16" x14ac:dyDescent="0.2">
      <c r="A21" s="6" t="s">
        <v>6091</v>
      </c>
      <c r="B21" s="6" t="s">
        <v>6092</v>
      </c>
      <c r="C21" s="925"/>
      <c r="D21" s="931">
        <v>78.02</v>
      </c>
      <c r="E21" s="20">
        <v>16</v>
      </c>
      <c r="F21" s="20">
        <v>16</v>
      </c>
      <c r="G21" s="687">
        <v>66.5</v>
      </c>
      <c r="H21" s="1852">
        <v>55.05</v>
      </c>
      <c r="I21" s="1853">
        <v>66.5</v>
      </c>
      <c r="J21" s="825">
        <v>66.5</v>
      </c>
      <c r="K21" s="474">
        <f t="shared" ref="K21:K52" si="0">I21-H21</f>
        <v>11.450000000000003</v>
      </c>
      <c r="L21" s="475">
        <f t="shared" ref="L21:L52" si="1">IF(H21="","NA",K21/H21)</f>
        <v>0.20799273387829254</v>
      </c>
      <c r="M21" s="113"/>
    </row>
    <row r="22" spans="1:13" ht="16" x14ac:dyDescent="0.2">
      <c r="A22" s="6" t="s">
        <v>6093</v>
      </c>
      <c r="B22" s="6" t="s">
        <v>6094</v>
      </c>
      <c r="C22" s="925"/>
      <c r="D22" s="931">
        <v>82.44</v>
      </c>
      <c r="E22" s="20">
        <v>16</v>
      </c>
      <c r="F22" s="20">
        <v>20</v>
      </c>
      <c r="G22" s="687">
        <v>69.387500000000003</v>
      </c>
      <c r="H22" s="679">
        <v>62.25</v>
      </c>
      <c r="I22" s="680">
        <v>69.37</v>
      </c>
      <c r="J22" s="825">
        <v>69.387500000000003</v>
      </c>
      <c r="K22" s="474">
        <f t="shared" si="0"/>
        <v>7.1200000000000045</v>
      </c>
      <c r="L22" s="475">
        <f t="shared" si="1"/>
        <v>0.11437751004016071</v>
      </c>
    </row>
    <row r="23" spans="1:13" s="50" customFormat="1" ht="16" x14ac:dyDescent="0.2">
      <c r="A23" s="6" t="s">
        <v>6095</v>
      </c>
      <c r="B23" s="6" t="s">
        <v>6096</v>
      </c>
      <c r="C23" s="925"/>
      <c r="D23" s="931">
        <v>86.87</v>
      </c>
      <c r="E23" s="20">
        <v>16</v>
      </c>
      <c r="F23" s="20">
        <v>24</v>
      </c>
      <c r="G23" s="687">
        <v>72.362499999999997</v>
      </c>
      <c r="H23" s="679">
        <v>65</v>
      </c>
      <c r="I23" s="680">
        <v>72.362499999999997</v>
      </c>
      <c r="J23" s="825">
        <v>72.362499999999997</v>
      </c>
      <c r="K23" s="474">
        <f t="shared" si="0"/>
        <v>7.3624999999999972</v>
      </c>
      <c r="L23" s="475">
        <f t="shared" si="1"/>
        <v>0.11326923076923072</v>
      </c>
      <c r="M23" s="113"/>
    </row>
    <row r="24" spans="1:13" ht="16" x14ac:dyDescent="0.2">
      <c r="A24" s="6" t="s">
        <v>6097</v>
      </c>
      <c r="B24" s="6" t="s">
        <v>6098</v>
      </c>
      <c r="C24" s="925"/>
      <c r="D24" s="931">
        <v>82.44</v>
      </c>
      <c r="E24" s="20">
        <v>17</v>
      </c>
      <c r="F24" s="20">
        <v>17</v>
      </c>
      <c r="G24" s="687">
        <v>67.987499999999997</v>
      </c>
      <c r="H24" s="679">
        <v>54.68</v>
      </c>
      <c r="I24" s="680">
        <v>67.567499999999995</v>
      </c>
      <c r="J24" s="825">
        <v>67.987499999999997</v>
      </c>
      <c r="K24" s="474">
        <f t="shared" si="0"/>
        <v>12.887499999999996</v>
      </c>
      <c r="L24" s="475">
        <f t="shared" si="1"/>
        <v>0.23568946598390628</v>
      </c>
    </row>
    <row r="25" spans="1:13" ht="16" x14ac:dyDescent="0.2">
      <c r="A25" s="6" t="s">
        <v>6099</v>
      </c>
      <c r="B25" s="6" t="s">
        <v>6100</v>
      </c>
      <c r="C25" s="925"/>
      <c r="D25" s="931">
        <v>84.7</v>
      </c>
      <c r="E25" s="20">
        <v>17</v>
      </c>
      <c r="F25" s="20">
        <v>22</v>
      </c>
      <c r="G25" s="687">
        <v>69.475000000000009</v>
      </c>
      <c r="H25" s="679">
        <v>59.37</v>
      </c>
      <c r="I25" s="680">
        <v>69.072499999999991</v>
      </c>
      <c r="J25" s="825">
        <v>69.475000000000009</v>
      </c>
      <c r="K25" s="474">
        <f t="shared" si="0"/>
        <v>9.7024999999999935</v>
      </c>
      <c r="L25" s="475">
        <f t="shared" si="1"/>
        <v>0.16342428836112505</v>
      </c>
    </row>
    <row r="26" spans="1:13" ht="16" x14ac:dyDescent="0.2">
      <c r="A26" s="6" t="s">
        <v>6101</v>
      </c>
      <c r="B26" s="6" t="s">
        <v>6102</v>
      </c>
      <c r="C26" s="925"/>
      <c r="D26" s="931">
        <v>86.87</v>
      </c>
      <c r="E26" s="20">
        <v>18</v>
      </c>
      <c r="F26" s="20">
        <v>24</v>
      </c>
      <c r="G26" s="687">
        <v>70.962499999999991</v>
      </c>
      <c r="H26" s="679">
        <v>60.95</v>
      </c>
      <c r="I26" s="680">
        <v>70.542500000000004</v>
      </c>
      <c r="J26" s="825">
        <v>70.962499999999991</v>
      </c>
      <c r="K26" s="474">
        <f t="shared" si="0"/>
        <v>9.5925000000000011</v>
      </c>
      <c r="L26" s="475">
        <f t="shared" si="1"/>
        <v>0.157383100902379</v>
      </c>
    </row>
    <row r="27" spans="1:13" ht="16" x14ac:dyDescent="0.2">
      <c r="A27" s="6" t="s">
        <v>6103</v>
      </c>
      <c r="B27" s="6" t="s">
        <v>6104</v>
      </c>
      <c r="C27" s="925"/>
      <c r="D27" s="931">
        <v>93.56</v>
      </c>
      <c r="E27" s="20">
        <v>18</v>
      </c>
      <c r="F27" s="20">
        <v>30</v>
      </c>
      <c r="G27" s="687">
        <v>75.424999999999997</v>
      </c>
      <c r="H27" s="679">
        <v>65.94</v>
      </c>
      <c r="I27" s="680">
        <v>75.040000000000006</v>
      </c>
      <c r="J27" s="825">
        <v>75.424999999999997</v>
      </c>
      <c r="K27" s="474">
        <f t="shared" si="0"/>
        <v>9.1000000000000085</v>
      </c>
      <c r="L27" s="475">
        <f t="shared" si="1"/>
        <v>0.1380042462845012</v>
      </c>
    </row>
    <row r="28" spans="1:13" s="41" customFormat="1" ht="16" x14ac:dyDescent="0.2">
      <c r="A28" s="1095" t="s">
        <v>6105</v>
      </c>
      <c r="B28" s="1095" t="s">
        <v>6106</v>
      </c>
      <c r="C28" s="1023"/>
      <c r="D28" s="1024">
        <v>84.74</v>
      </c>
      <c r="E28" s="144"/>
      <c r="F28" s="144"/>
      <c r="G28" s="687"/>
      <c r="H28" s="679"/>
      <c r="I28" s="680"/>
      <c r="J28" s="825"/>
      <c r="K28" s="772"/>
      <c r="L28" s="713"/>
      <c r="M28" s="95"/>
    </row>
    <row r="29" spans="1:13" s="1836" customFormat="1" ht="16" x14ac:dyDescent="0.2">
      <c r="A29" s="26" t="s">
        <v>6107</v>
      </c>
      <c r="B29" s="26" t="s">
        <v>6108</v>
      </c>
      <c r="C29" s="1829"/>
      <c r="D29" s="1348">
        <v>74.03</v>
      </c>
      <c r="E29" s="900"/>
      <c r="F29" s="900"/>
      <c r="G29" s="687"/>
      <c r="H29" s="679"/>
      <c r="I29" s="680"/>
      <c r="J29" s="825"/>
      <c r="K29" s="1834"/>
      <c r="L29" s="1835"/>
      <c r="M29" s="1545"/>
    </row>
    <row r="30" spans="1:13" s="1836" customFormat="1" ht="16" x14ac:dyDescent="0.2">
      <c r="A30" s="26" t="s">
        <v>6109</v>
      </c>
      <c r="B30" s="26" t="s">
        <v>6110</v>
      </c>
      <c r="C30" s="1829"/>
      <c r="D30" s="1348">
        <v>85.59</v>
      </c>
      <c r="E30" s="900"/>
      <c r="F30" s="900"/>
      <c r="G30" s="687"/>
      <c r="H30" s="679"/>
      <c r="I30" s="680"/>
      <c r="J30" s="825"/>
      <c r="K30" s="1834"/>
      <c r="L30" s="1835"/>
      <c r="M30" s="1545"/>
    </row>
    <row r="31" spans="1:13" s="1836" customFormat="1" ht="16" x14ac:dyDescent="0.2">
      <c r="A31" s="26" t="s">
        <v>6111</v>
      </c>
      <c r="B31" s="26" t="s">
        <v>6112</v>
      </c>
      <c r="C31" s="1829"/>
      <c r="D31" s="1348">
        <v>88</v>
      </c>
      <c r="E31" s="900"/>
      <c r="F31" s="900"/>
      <c r="G31" s="687"/>
      <c r="H31" s="679"/>
      <c r="I31" s="680"/>
      <c r="J31" s="825"/>
      <c r="K31" s="1834"/>
      <c r="L31" s="1835"/>
      <c r="M31" s="1545"/>
    </row>
    <row r="32" spans="1:13" s="50" customFormat="1" ht="16" x14ac:dyDescent="0.2">
      <c r="A32" s="6" t="s">
        <v>6113</v>
      </c>
      <c r="B32" s="6" t="s">
        <v>6114</v>
      </c>
      <c r="C32" s="925"/>
      <c r="D32" s="931">
        <v>82.144999999999996</v>
      </c>
      <c r="E32" s="20">
        <v>20</v>
      </c>
      <c r="F32" s="20">
        <v>30</v>
      </c>
      <c r="G32" s="687">
        <v>76.825000000000003</v>
      </c>
      <c r="H32" s="679">
        <v>65.94</v>
      </c>
      <c r="I32" s="680">
        <v>75.040000000000006</v>
      </c>
      <c r="J32" s="825">
        <v>76.825000000000003</v>
      </c>
      <c r="K32" s="474">
        <f t="shared" ref="K32" si="2">I32-H32</f>
        <v>9.1000000000000085</v>
      </c>
      <c r="L32" s="475">
        <f t="shared" ref="L32" si="3">IF(H32="","NA",K32/H32)</f>
        <v>0.1380042462845012</v>
      </c>
      <c r="M32" s="113" t="s">
        <v>6072</v>
      </c>
    </row>
    <row r="33" spans="1:13" s="1836" customFormat="1" ht="16" x14ac:dyDescent="0.2">
      <c r="A33" s="26" t="s">
        <v>6115</v>
      </c>
      <c r="B33" s="26" t="s">
        <v>6116</v>
      </c>
      <c r="C33" s="1829"/>
      <c r="D33" s="1348">
        <v>95</v>
      </c>
      <c r="E33" s="900"/>
      <c r="F33" s="900"/>
      <c r="G33" s="687"/>
      <c r="H33" s="679"/>
      <c r="I33" s="680"/>
      <c r="J33" s="825"/>
      <c r="K33" s="1834"/>
      <c r="L33" s="1835"/>
      <c r="M33" s="1545"/>
    </row>
    <row r="34" spans="1:13" ht="16" x14ac:dyDescent="0.2">
      <c r="A34" s="6" t="s">
        <v>6117</v>
      </c>
      <c r="B34" s="6" t="s">
        <v>6118</v>
      </c>
      <c r="C34" s="925"/>
      <c r="D34" s="931">
        <v>80.64</v>
      </c>
      <c r="E34" s="20">
        <v>24</v>
      </c>
      <c r="F34" s="20">
        <v>24</v>
      </c>
      <c r="G34" s="687">
        <v>75.424999999999997</v>
      </c>
      <c r="H34" s="679">
        <v>69.989999999999995</v>
      </c>
      <c r="I34" s="680">
        <v>75.040000000000006</v>
      </c>
      <c r="J34" s="825">
        <v>75.424999999999997</v>
      </c>
      <c r="K34" s="474">
        <f t="shared" si="0"/>
        <v>5.0500000000000114</v>
      </c>
      <c r="L34" s="475">
        <f t="shared" si="1"/>
        <v>7.2153164737819853E-2</v>
      </c>
    </row>
    <row r="35" spans="1:13" s="50" customFormat="1" ht="16" x14ac:dyDescent="0.2">
      <c r="A35" s="6" t="s">
        <v>6119</v>
      </c>
      <c r="B35" s="6" t="s">
        <v>6120</v>
      </c>
      <c r="C35" s="925"/>
      <c r="D35" s="931">
        <v>110.5475</v>
      </c>
      <c r="E35" s="20">
        <v>24</v>
      </c>
      <c r="F35" s="20">
        <v>30</v>
      </c>
      <c r="G35" s="683">
        <v>101.41250000000001</v>
      </c>
      <c r="H35" s="679">
        <v>84.78</v>
      </c>
      <c r="I35" s="680">
        <v>99.33</v>
      </c>
      <c r="J35" s="825">
        <v>101.41250000000001</v>
      </c>
      <c r="K35" s="474">
        <f t="shared" si="0"/>
        <v>14.549999999999997</v>
      </c>
      <c r="L35" s="475">
        <f t="shared" si="1"/>
        <v>0.17162066525123845</v>
      </c>
      <c r="M35" s="113"/>
    </row>
    <row r="36" spans="1:13" s="1836" customFormat="1" ht="16" x14ac:dyDescent="0.2">
      <c r="A36" s="26" t="s">
        <v>6121</v>
      </c>
      <c r="B36" s="26" t="s">
        <v>6122</v>
      </c>
      <c r="C36" s="1829"/>
      <c r="D36" s="1348">
        <v>114.08</v>
      </c>
      <c r="E36" s="900"/>
      <c r="F36" s="900"/>
      <c r="G36" s="683"/>
      <c r="H36" s="679"/>
      <c r="I36" s="680"/>
      <c r="J36" s="825"/>
      <c r="K36" s="1834"/>
      <c r="L36" s="1835"/>
      <c r="M36" s="1545"/>
    </row>
    <row r="37" spans="1:13" ht="16" x14ac:dyDescent="0.2">
      <c r="A37" s="6" t="s">
        <v>6123</v>
      </c>
      <c r="B37" s="6" t="s">
        <v>6124</v>
      </c>
      <c r="C37" s="925"/>
      <c r="D37" s="931">
        <v>112.05250000000001</v>
      </c>
      <c r="E37" s="20">
        <v>24</v>
      </c>
      <c r="F37" s="20">
        <v>33</v>
      </c>
      <c r="G37" s="687">
        <v>102.8125</v>
      </c>
      <c r="H37" s="679">
        <v>88.82</v>
      </c>
      <c r="I37" s="680">
        <v>100.87</v>
      </c>
      <c r="J37" s="825">
        <v>102.8125</v>
      </c>
      <c r="K37" s="474">
        <f t="shared" si="0"/>
        <v>12.050000000000011</v>
      </c>
      <c r="L37" s="475">
        <f t="shared" si="1"/>
        <v>0.13566764242287788</v>
      </c>
    </row>
    <row r="38" spans="1:13" s="50" customFormat="1" ht="16" x14ac:dyDescent="0.2">
      <c r="A38" s="6" t="s">
        <v>6125</v>
      </c>
      <c r="B38" s="6" t="s">
        <v>6126</v>
      </c>
      <c r="C38" s="925"/>
      <c r="D38" s="931">
        <v>107.28</v>
      </c>
      <c r="E38" s="20">
        <v>24</v>
      </c>
      <c r="F38" s="20">
        <v>36</v>
      </c>
      <c r="G38" s="687">
        <v>107.28</v>
      </c>
      <c r="H38" s="679">
        <v>88.82</v>
      </c>
      <c r="I38" s="680">
        <v>100.87</v>
      </c>
      <c r="J38" s="825">
        <v>107.28</v>
      </c>
      <c r="K38" s="474">
        <f t="shared" ref="K38" si="4">I38-H38</f>
        <v>12.050000000000011</v>
      </c>
      <c r="L38" s="475">
        <f t="shared" ref="L38" si="5">IF(H38="","NA",K38/H38)</f>
        <v>0.13566764242287788</v>
      </c>
      <c r="M38" s="113" t="s">
        <v>6072</v>
      </c>
    </row>
    <row r="39" spans="1:13" s="50" customFormat="1" ht="16" x14ac:dyDescent="0.2">
      <c r="A39" s="6" t="s">
        <v>6127</v>
      </c>
      <c r="B39" s="6" t="s">
        <v>6128</v>
      </c>
      <c r="C39" s="925"/>
      <c r="D39" s="931">
        <v>114.67750000000001</v>
      </c>
      <c r="E39" s="20">
        <v>26</v>
      </c>
      <c r="F39" s="20">
        <v>35</v>
      </c>
      <c r="G39" s="687">
        <v>107.27499999999999</v>
      </c>
      <c r="H39" s="679">
        <v>93.84</v>
      </c>
      <c r="I39" s="680">
        <v>105.36750000000001</v>
      </c>
      <c r="J39" s="825">
        <v>107.27499999999999</v>
      </c>
      <c r="K39" s="474">
        <f t="shared" si="0"/>
        <v>11.527500000000003</v>
      </c>
      <c r="L39" s="475">
        <f t="shared" si="1"/>
        <v>0.12284207161125323</v>
      </c>
      <c r="M39" s="113"/>
    </row>
    <row r="40" spans="1:13" s="1836" customFormat="1" ht="16" x14ac:dyDescent="0.2">
      <c r="A40" s="26" t="s">
        <v>6129</v>
      </c>
      <c r="B40" s="26" t="s">
        <v>6130</v>
      </c>
      <c r="C40" s="1829"/>
      <c r="D40" s="1348">
        <v>134</v>
      </c>
      <c r="E40" s="900"/>
      <c r="F40" s="900"/>
      <c r="G40" s="683"/>
      <c r="H40" s="679"/>
      <c r="I40" s="680"/>
      <c r="J40" s="825"/>
      <c r="K40" s="1834"/>
      <c r="L40" s="1835"/>
      <c r="M40" s="1545"/>
    </row>
    <row r="41" spans="1:13" s="50" customFormat="1" ht="16" x14ac:dyDescent="0.2">
      <c r="A41" s="6" t="s">
        <v>6131</v>
      </c>
      <c r="B41" s="6" t="s">
        <v>6132</v>
      </c>
      <c r="C41" s="925"/>
      <c r="D41" s="931">
        <v>125.58000000000001</v>
      </c>
      <c r="E41" s="20">
        <v>30</v>
      </c>
      <c r="F41" s="20">
        <v>40</v>
      </c>
      <c r="G41" s="683">
        <v>116.02499999999999</v>
      </c>
      <c r="H41" s="679">
        <v>113.48</v>
      </c>
      <c r="I41" s="680">
        <v>115.85000000000001</v>
      </c>
      <c r="J41" s="825">
        <v>116.02499999999999</v>
      </c>
      <c r="K41" s="474">
        <f t="shared" ref="K41" si="6">I41-H41</f>
        <v>2.3700000000000045</v>
      </c>
      <c r="L41" s="475">
        <f t="shared" ref="L41" si="7">IF(H41="","NA",K41/H41)</f>
        <v>2.0884737398660595E-2</v>
      </c>
      <c r="M41" s="113" t="s">
        <v>6072</v>
      </c>
    </row>
    <row r="42" spans="1:13" s="50" customFormat="1" ht="16" x14ac:dyDescent="0.2">
      <c r="A42" s="6" t="s">
        <v>6133</v>
      </c>
      <c r="B42" s="6" t="s">
        <v>6134</v>
      </c>
      <c r="C42" s="925"/>
      <c r="D42" s="931">
        <v>127.08500000000001</v>
      </c>
      <c r="E42" s="20">
        <v>30</v>
      </c>
      <c r="F42" s="20">
        <v>42</v>
      </c>
      <c r="G42" s="683">
        <v>117.51250000000002</v>
      </c>
      <c r="H42" s="679">
        <v>113.48</v>
      </c>
      <c r="I42" s="680">
        <v>115.85000000000001</v>
      </c>
      <c r="J42" s="825">
        <v>117.51250000000002</v>
      </c>
      <c r="K42" s="474">
        <f t="shared" si="0"/>
        <v>2.3700000000000045</v>
      </c>
      <c r="L42" s="475">
        <f t="shared" si="1"/>
        <v>2.0884737398660595E-2</v>
      </c>
      <c r="M42" s="113"/>
    </row>
    <row r="43" spans="1:13" s="50" customFormat="1" ht="16" x14ac:dyDescent="0.2">
      <c r="A43" s="6" t="s">
        <v>6135</v>
      </c>
      <c r="B43" s="6" t="s">
        <v>6136</v>
      </c>
      <c r="C43" s="925"/>
      <c r="D43" s="931">
        <v>175.96</v>
      </c>
      <c r="E43" s="20">
        <v>32</v>
      </c>
      <c r="F43" s="20">
        <v>44</v>
      </c>
      <c r="G43" s="683">
        <v>147.96250000000001</v>
      </c>
      <c r="H43" s="679">
        <v>130</v>
      </c>
      <c r="I43" s="680">
        <v>146.2825</v>
      </c>
      <c r="J43" s="825">
        <v>147.96250000000001</v>
      </c>
      <c r="K43" s="474">
        <f t="shared" si="0"/>
        <v>16.282499999999999</v>
      </c>
      <c r="L43" s="475">
        <f t="shared" si="1"/>
        <v>0.12525</v>
      </c>
      <c r="M43" s="113"/>
    </row>
    <row r="44" spans="1:13" s="41" customFormat="1" ht="16" x14ac:dyDescent="0.2">
      <c r="A44" s="1095" t="s">
        <v>6137</v>
      </c>
      <c r="B44" s="1095" t="s">
        <v>6138</v>
      </c>
      <c r="C44" s="1023"/>
      <c r="D44" s="1024">
        <v>137.78</v>
      </c>
      <c r="E44" s="144"/>
      <c r="F44" s="144"/>
      <c r="G44" s="683"/>
      <c r="H44" s="679"/>
      <c r="I44" s="680"/>
      <c r="J44" s="825"/>
      <c r="K44" s="772"/>
      <c r="L44" s="713"/>
      <c r="M44" s="95"/>
    </row>
    <row r="45" spans="1:13" s="50" customFormat="1" ht="16" x14ac:dyDescent="0.2">
      <c r="A45" s="6" t="s">
        <v>6139</v>
      </c>
      <c r="B45" s="6" t="s">
        <v>6140</v>
      </c>
      <c r="C45" s="925"/>
      <c r="D45" s="931">
        <v>174.94749999999999</v>
      </c>
      <c r="E45" s="20">
        <v>36</v>
      </c>
      <c r="F45" s="20">
        <v>45</v>
      </c>
      <c r="G45" s="683">
        <v>162.4</v>
      </c>
      <c r="H45" s="679">
        <v>161.09</v>
      </c>
      <c r="I45" s="680">
        <v>160.37</v>
      </c>
      <c r="J45" s="825">
        <v>162.4</v>
      </c>
      <c r="K45" s="474">
        <f t="shared" si="0"/>
        <v>-0.71999999999999886</v>
      </c>
      <c r="L45" s="475">
        <f t="shared" si="1"/>
        <v>-4.4695511825687435E-3</v>
      </c>
      <c r="M45" s="113"/>
    </row>
    <row r="46" spans="1:13" s="50" customFormat="1" ht="16" x14ac:dyDescent="0.2">
      <c r="A46" s="29" t="s">
        <v>6141</v>
      </c>
      <c r="B46" s="6" t="s">
        <v>6142</v>
      </c>
      <c r="C46" s="925"/>
      <c r="D46" s="931">
        <v>176.45249999999999</v>
      </c>
      <c r="E46" s="20">
        <v>36</v>
      </c>
      <c r="F46" s="20">
        <v>48</v>
      </c>
      <c r="G46" s="683">
        <v>163.88750000000002</v>
      </c>
      <c r="H46" s="679">
        <v>163.84</v>
      </c>
      <c r="I46" s="680">
        <v>161.875</v>
      </c>
      <c r="J46" s="825">
        <v>163.88750000000002</v>
      </c>
      <c r="K46" s="474">
        <f t="shared" si="0"/>
        <v>-1.9650000000000034</v>
      </c>
      <c r="L46" s="475">
        <f t="shared" si="1"/>
        <v>-1.1993408203125021E-2</v>
      </c>
      <c r="M46" s="113"/>
    </row>
    <row r="47" spans="1:13" s="50" customFormat="1" ht="16" x14ac:dyDescent="0.2">
      <c r="A47" s="29" t="s">
        <v>6143</v>
      </c>
      <c r="B47" s="6" t="s">
        <v>6144</v>
      </c>
      <c r="C47" s="925"/>
      <c r="D47" s="931">
        <v>197.76750000000001</v>
      </c>
      <c r="E47" s="20">
        <v>60</v>
      </c>
      <c r="F47" s="20">
        <v>40</v>
      </c>
      <c r="G47" s="683">
        <v>184.71250000000001</v>
      </c>
      <c r="H47" s="679">
        <v>257.27999999999997</v>
      </c>
      <c r="I47" s="680">
        <v>268.67750000000001</v>
      </c>
      <c r="J47" s="825">
        <v>184.71250000000001</v>
      </c>
      <c r="K47" s="474">
        <f t="shared" ref="K47" si="8">I47-H47</f>
        <v>11.397500000000036</v>
      </c>
      <c r="L47" s="475">
        <f t="shared" ref="L47" si="9">IF(H47="","NA",K47/H47)</f>
        <v>4.4299984452736467E-2</v>
      </c>
      <c r="M47" s="113" t="s">
        <v>6072</v>
      </c>
    </row>
    <row r="48" spans="1:13" s="41" customFormat="1" ht="16" x14ac:dyDescent="0.2">
      <c r="A48" s="147" t="s">
        <v>6145</v>
      </c>
      <c r="B48" s="1095" t="s">
        <v>6146</v>
      </c>
      <c r="C48" s="1023"/>
      <c r="D48" s="1024">
        <v>275.43</v>
      </c>
      <c r="E48" s="144"/>
      <c r="F48" s="144"/>
      <c r="G48" s="683"/>
      <c r="H48" s="679"/>
      <c r="I48" s="680"/>
      <c r="J48" s="825"/>
      <c r="K48" s="772"/>
      <c r="L48" s="713"/>
      <c r="M48" s="95"/>
    </row>
    <row r="49" spans="1:13" s="50" customFormat="1" ht="16" x14ac:dyDescent="0.2">
      <c r="A49" s="29" t="s">
        <v>6147</v>
      </c>
      <c r="B49" s="6" t="s">
        <v>6148</v>
      </c>
      <c r="C49" s="925"/>
      <c r="D49" s="931">
        <v>287.40249999999997</v>
      </c>
      <c r="E49" s="20">
        <v>60</v>
      </c>
      <c r="F49" s="20">
        <v>48</v>
      </c>
      <c r="G49" s="683">
        <v>269.5</v>
      </c>
      <c r="H49" s="679">
        <v>257.27999999999997</v>
      </c>
      <c r="I49" s="680">
        <v>268.67750000000001</v>
      </c>
      <c r="J49" s="825">
        <v>269.5</v>
      </c>
      <c r="K49" s="474">
        <f t="shared" si="0"/>
        <v>11.397500000000036</v>
      </c>
      <c r="L49" s="475">
        <f t="shared" si="1"/>
        <v>4.4299984452736467E-2</v>
      </c>
      <c r="M49" s="113"/>
    </row>
    <row r="50" spans="1:13" s="50" customFormat="1" ht="16" x14ac:dyDescent="0.2">
      <c r="A50" s="29" t="s">
        <v>6149</v>
      </c>
      <c r="B50" s="6" t="s">
        <v>6150</v>
      </c>
      <c r="C50" s="925"/>
      <c r="D50" s="931">
        <v>359.07</v>
      </c>
      <c r="E50" s="20">
        <v>60</v>
      </c>
      <c r="F50" s="20">
        <v>60</v>
      </c>
      <c r="G50" s="683">
        <v>320.59999999999997</v>
      </c>
      <c r="H50" s="679">
        <v>365.03</v>
      </c>
      <c r="I50" s="680">
        <v>312.77749999999997</v>
      </c>
      <c r="J50" s="825">
        <v>320.59999999999997</v>
      </c>
      <c r="K50" s="474">
        <f t="shared" si="0"/>
        <v>-52.252499999999998</v>
      </c>
      <c r="L50" s="475">
        <f t="shared" si="1"/>
        <v>-0.14314576884091718</v>
      </c>
      <c r="M50" s="113"/>
    </row>
    <row r="51" spans="1:13" s="50" customFormat="1" ht="16" x14ac:dyDescent="0.2">
      <c r="A51" s="29" t="s">
        <v>6151</v>
      </c>
      <c r="B51" s="6" t="s">
        <v>6152</v>
      </c>
      <c r="C51" s="925"/>
      <c r="D51" s="931">
        <v>505.19099999999997</v>
      </c>
      <c r="E51" s="20">
        <v>60</v>
      </c>
      <c r="F51" s="20">
        <v>72</v>
      </c>
      <c r="G51" s="683">
        <v>442.92500000000001</v>
      </c>
      <c r="H51" s="679">
        <v>365.03</v>
      </c>
      <c r="I51" s="680">
        <v>452.21750000000003</v>
      </c>
      <c r="J51" s="825">
        <v>442.92500000000001</v>
      </c>
      <c r="K51" s="474">
        <f t="shared" si="0"/>
        <v>87.187500000000057</v>
      </c>
      <c r="L51" s="475">
        <f t="shared" si="1"/>
        <v>0.23885023148782308</v>
      </c>
      <c r="M51" s="113"/>
    </row>
    <row r="52" spans="1:13" s="50" customFormat="1" ht="16" x14ac:dyDescent="0.2">
      <c r="A52" s="29" t="s">
        <v>6153</v>
      </c>
      <c r="B52" s="6" t="s">
        <v>6154</v>
      </c>
      <c r="C52" s="925"/>
      <c r="D52" s="931">
        <v>578.52</v>
      </c>
      <c r="E52" s="20">
        <v>72</v>
      </c>
      <c r="F52" s="20">
        <v>72</v>
      </c>
      <c r="G52" s="683">
        <v>1126.125</v>
      </c>
      <c r="H52" s="679">
        <v>542.58000000000004</v>
      </c>
      <c r="I52" s="680">
        <v>566.07249999999999</v>
      </c>
      <c r="J52" s="825">
        <v>1126.125</v>
      </c>
      <c r="K52" s="474">
        <f t="shared" si="0"/>
        <v>23.49249999999995</v>
      </c>
      <c r="L52" s="475">
        <f t="shared" si="1"/>
        <v>4.3297762541929206E-2</v>
      </c>
      <c r="M52" s="113"/>
    </row>
    <row r="53" spans="1:13" s="50" customFormat="1" ht="16" x14ac:dyDescent="0.2">
      <c r="A53" s="29"/>
      <c r="B53" s="29"/>
      <c r="C53" s="925"/>
      <c r="D53" s="756"/>
      <c r="E53" s="20" t="s">
        <v>6155</v>
      </c>
      <c r="F53" s="20" t="s">
        <v>6155</v>
      </c>
      <c r="G53" s="1854"/>
      <c r="H53" s="679"/>
      <c r="I53" s="680"/>
      <c r="J53" s="681"/>
      <c r="K53" s="667"/>
      <c r="L53" s="502"/>
      <c r="M53" s="113"/>
    </row>
    <row r="54" spans="1:13" s="1836" customFormat="1" ht="16" x14ac:dyDescent="0.2">
      <c r="A54" s="1840" t="s">
        <v>6156</v>
      </c>
      <c r="B54" s="26" t="s">
        <v>6157</v>
      </c>
      <c r="C54" s="1829"/>
      <c r="D54" s="1841">
        <v>62</v>
      </c>
      <c r="E54" s="900"/>
      <c r="F54" s="900"/>
      <c r="G54" s="1854"/>
      <c r="H54" s="679"/>
      <c r="I54" s="680"/>
      <c r="J54" s="681"/>
      <c r="K54" s="1843"/>
      <c r="L54" s="1844"/>
      <c r="M54" s="1545"/>
    </row>
    <row r="55" spans="1:13" s="1836" customFormat="1" ht="16" x14ac:dyDescent="0.2">
      <c r="A55" s="1840" t="s">
        <v>6158</v>
      </c>
      <c r="B55" s="26" t="s">
        <v>6159</v>
      </c>
      <c r="C55" s="1829"/>
      <c r="D55" s="1348">
        <v>63.65</v>
      </c>
      <c r="E55" s="900"/>
      <c r="F55" s="900"/>
      <c r="G55" s="1854"/>
      <c r="H55" s="679"/>
      <c r="I55" s="680"/>
      <c r="J55" s="681"/>
      <c r="K55" s="1843"/>
      <c r="L55" s="1844"/>
      <c r="M55" s="1545"/>
    </row>
    <row r="56" spans="1:13" s="1836" customFormat="1" ht="16" x14ac:dyDescent="0.2">
      <c r="A56" s="1840" t="s">
        <v>6160</v>
      </c>
      <c r="B56" s="26" t="s">
        <v>6161</v>
      </c>
      <c r="C56" s="1829"/>
      <c r="D56" s="1348">
        <v>65</v>
      </c>
      <c r="E56" s="900"/>
      <c r="F56" s="900"/>
      <c r="G56" s="1854"/>
      <c r="H56" s="679"/>
      <c r="I56" s="680"/>
      <c r="J56" s="681"/>
      <c r="K56" s="1843"/>
      <c r="L56" s="1844"/>
      <c r="M56" s="1545"/>
    </row>
    <row r="57" spans="1:13" s="1836" customFormat="1" ht="16" x14ac:dyDescent="0.2">
      <c r="A57" s="1840" t="s">
        <v>6162</v>
      </c>
      <c r="B57" s="26" t="s">
        <v>6163</v>
      </c>
      <c r="C57" s="1829"/>
      <c r="D57" s="1348">
        <v>64.87</v>
      </c>
      <c r="E57" s="900"/>
      <c r="F57" s="900"/>
      <c r="G57" s="1854"/>
      <c r="H57" s="679"/>
      <c r="I57" s="680"/>
      <c r="J57" s="681"/>
      <c r="K57" s="1843"/>
      <c r="L57" s="1844"/>
      <c r="M57" s="1545"/>
    </row>
    <row r="58" spans="1:13" s="1836" customFormat="1" ht="16" x14ac:dyDescent="0.2">
      <c r="A58" s="1840" t="s">
        <v>6164</v>
      </c>
      <c r="B58" s="26" t="s">
        <v>6165</v>
      </c>
      <c r="C58" s="1829"/>
      <c r="D58" s="1348">
        <v>67.13</v>
      </c>
      <c r="E58" s="900"/>
      <c r="F58" s="900"/>
      <c r="G58" s="1854"/>
      <c r="H58" s="679"/>
      <c r="I58" s="680"/>
      <c r="J58" s="681"/>
      <c r="K58" s="1843"/>
      <c r="L58" s="1844"/>
      <c r="M58" s="1545"/>
    </row>
    <row r="59" spans="1:13" s="1836" customFormat="1" ht="16" x14ac:dyDescent="0.2">
      <c r="A59" s="1840" t="s">
        <v>6166</v>
      </c>
      <c r="B59" s="26" t="s">
        <v>6167</v>
      </c>
      <c r="C59" s="1829"/>
      <c r="D59" s="1348">
        <v>68.900000000000006</v>
      </c>
      <c r="E59" s="900"/>
      <c r="F59" s="900"/>
      <c r="G59" s="1854"/>
      <c r="H59" s="679"/>
      <c r="I59" s="680"/>
      <c r="J59" s="681"/>
      <c r="K59" s="1843"/>
      <c r="L59" s="1844"/>
      <c r="M59" s="1545"/>
    </row>
    <row r="60" spans="1:13" s="50" customFormat="1" ht="16" x14ac:dyDescent="0.2">
      <c r="A60" s="29" t="s">
        <v>6168</v>
      </c>
      <c r="B60" s="6" t="s">
        <v>6169</v>
      </c>
      <c r="C60" s="925"/>
      <c r="D60" s="931">
        <v>71.837499999999991</v>
      </c>
      <c r="E60" s="20">
        <v>16</v>
      </c>
      <c r="F60" s="20">
        <v>20</v>
      </c>
      <c r="G60" s="687">
        <v>67.2</v>
      </c>
      <c r="H60" s="679"/>
      <c r="I60" s="680">
        <v>66.55</v>
      </c>
      <c r="J60" s="825">
        <v>67.2</v>
      </c>
      <c r="K60" s="667">
        <f t="shared" ref="K60:K61" si="10">I60-H60</f>
        <v>66.55</v>
      </c>
      <c r="L60" s="475" t="str">
        <f t="shared" ref="L60:L70" si="11">IF(H60="","NA",K60/H60)</f>
        <v>NA</v>
      </c>
      <c r="M60" s="113"/>
    </row>
    <row r="61" spans="1:13" s="50" customFormat="1" ht="16" x14ac:dyDescent="0.2">
      <c r="A61" s="29" t="s">
        <v>6170</v>
      </c>
      <c r="B61" s="6" t="s">
        <v>6171</v>
      </c>
      <c r="C61" s="925"/>
      <c r="D61" s="931">
        <v>95.182500000000005</v>
      </c>
      <c r="E61" s="20">
        <v>20</v>
      </c>
      <c r="F61" s="20">
        <v>24</v>
      </c>
      <c r="G61" s="687">
        <v>71.75</v>
      </c>
      <c r="H61" s="823"/>
      <c r="I61" s="824"/>
      <c r="J61" s="825">
        <v>71.75</v>
      </c>
      <c r="K61" s="667">
        <f t="shared" si="10"/>
        <v>0</v>
      </c>
      <c r="L61" s="475" t="str">
        <f t="shared" ref="L61" si="12">IF(H61="","NA",K61/H61)</f>
        <v>NA</v>
      </c>
      <c r="M61" s="113"/>
    </row>
    <row r="62" spans="1:13" s="50" customFormat="1" ht="16" x14ac:dyDescent="0.2">
      <c r="A62" s="29" t="s">
        <v>6172</v>
      </c>
      <c r="B62" s="6" t="s">
        <v>6173</v>
      </c>
      <c r="C62" s="925"/>
      <c r="D62" s="931">
        <v>99.592500000000001</v>
      </c>
      <c r="E62" s="20">
        <v>30</v>
      </c>
      <c r="F62" s="20">
        <v>24</v>
      </c>
      <c r="G62" s="687">
        <v>92.137500000000003</v>
      </c>
      <c r="H62" s="823">
        <v>89.91</v>
      </c>
      <c r="I62" s="824">
        <v>91.612499999999997</v>
      </c>
      <c r="J62" s="825">
        <v>92.137500000000003</v>
      </c>
      <c r="K62" s="667">
        <f t="shared" ref="K62:K103" si="13">I62-H62</f>
        <v>1.7025000000000006</v>
      </c>
      <c r="L62" s="475">
        <f t="shared" si="11"/>
        <v>1.8935602268935609E-2</v>
      </c>
      <c r="M62" s="113"/>
    </row>
    <row r="63" spans="1:13" s="50" customFormat="1" ht="16" x14ac:dyDescent="0.2">
      <c r="A63" s="29" t="s">
        <v>6174</v>
      </c>
      <c r="B63" s="6" t="s">
        <v>6175</v>
      </c>
      <c r="C63" s="925"/>
      <c r="D63" s="931">
        <v>123.0425</v>
      </c>
      <c r="E63" s="20">
        <v>30</v>
      </c>
      <c r="F63" s="20">
        <v>42</v>
      </c>
      <c r="G63" s="687">
        <v>113.48749999999998</v>
      </c>
      <c r="H63" s="823">
        <v>116.82</v>
      </c>
      <c r="I63" s="824">
        <v>112.4025</v>
      </c>
      <c r="J63" s="825">
        <v>113.48749999999998</v>
      </c>
      <c r="K63" s="667">
        <f t="shared" si="13"/>
        <v>-4.4174999999999898</v>
      </c>
      <c r="L63" s="475">
        <f t="shared" si="11"/>
        <v>-3.7814586543400017E-2</v>
      </c>
      <c r="M63" s="113"/>
    </row>
    <row r="64" spans="1:13" s="50" customFormat="1" ht="16" x14ac:dyDescent="0.2">
      <c r="A64" s="29" t="s">
        <v>6176</v>
      </c>
      <c r="B64" s="6" t="s">
        <v>6177</v>
      </c>
      <c r="C64" s="925"/>
      <c r="D64" s="931">
        <v>155.96</v>
      </c>
      <c r="E64" s="20">
        <v>32</v>
      </c>
      <c r="F64" s="20">
        <v>44</v>
      </c>
      <c r="G64" s="687">
        <v>143.58750000000001</v>
      </c>
      <c r="H64" s="823">
        <v>164.36</v>
      </c>
      <c r="I64" s="824">
        <v>141.33000000000001</v>
      </c>
      <c r="J64" s="825">
        <v>143.58750000000001</v>
      </c>
      <c r="K64" s="667">
        <f t="shared" si="13"/>
        <v>-23.03</v>
      </c>
      <c r="L64" s="475">
        <f t="shared" si="11"/>
        <v>-0.14011925042589438</v>
      </c>
      <c r="M64" s="113"/>
    </row>
    <row r="65" spans="1:13" s="50" customFormat="1" ht="16" x14ac:dyDescent="0.2">
      <c r="A65" s="29" t="s">
        <v>6178</v>
      </c>
      <c r="B65" s="6" t="s">
        <v>6179</v>
      </c>
      <c r="C65" s="925"/>
      <c r="D65" s="931">
        <v>141.24249999999998</v>
      </c>
      <c r="E65" s="20">
        <v>36</v>
      </c>
      <c r="F65" s="20">
        <v>45</v>
      </c>
      <c r="G65" s="687">
        <v>129.91999999999999</v>
      </c>
      <c r="H65" s="823">
        <v>167.11</v>
      </c>
      <c r="I65" s="824">
        <v>129.91999999999999</v>
      </c>
      <c r="J65" s="825">
        <v>129.91999999999999</v>
      </c>
      <c r="K65" s="667">
        <f t="shared" si="13"/>
        <v>-37.190000000000026</v>
      </c>
      <c r="L65" s="475">
        <f t="shared" si="11"/>
        <v>-0.22254802226078646</v>
      </c>
      <c r="M65" s="113"/>
    </row>
    <row r="66" spans="1:13" s="50" customFormat="1" ht="16" x14ac:dyDescent="0.2">
      <c r="A66" s="29" t="s">
        <v>6180</v>
      </c>
      <c r="B66" s="6" t="s">
        <v>6181</v>
      </c>
      <c r="C66" s="925"/>
      <c r="D66" s="931">
        <v>171.13250000000002</v>
      </c>
      <c r="E66" s="20">
        <v>36</v>
      </c>
      <c r="F66" s="20">
        <v>48</v>
      </c>
      <c r="G66" s="687">
        <v>158.42750000000001</v>
      </c>
      <c r="H66" s="823">
        <v>271.51</v>
      </c>
      <c r="I66" s="824">
        <v>131.42499999999998</v>
      </c>
      <c r="J66" s="825">
        <v>158.42750000000001</v>
      </c>
      <c r="K66" s="667">
        <f t="shared" si="13"/>
        <v>-140.08500000000001</v>
      </c>
      <c r="L66" s="475">
        <f t="shared" si="11"/>
        <v>-0.51594784722477993</v>
      </c>
      <c r="M66" s="113"/>
    </row>
    <row r="67" spans="1:13" s="50" customFormat="1" ht="16" x14ac:dyDescent="0.2">
      <c r="A67" s="29" t="s">
        <v>6182</v>
      </c>
      <c r="B67" s="6" t="s">
        <v>6183</v>
      </c>
      <c r="C67" s="925"/>
      <c r="D67" s="931">
        <v>277.35750000000002</v>
      </c>
      <c r="E67" s="20">
        <v>60</v>
      </c>
      <c r="F67" s="20">
        <v>48</v>
      </c>
      <c r="G67" s="687">
        <v>262.84999999999997</v>
      </c>
      <c r="H67" s="823">
        <v>295.23</v>
      </c>
      <c r="I67" s="824">
        <v>259.01749999999998</v>
      </c>
      <c r="J67" s="825">
        <v>262.84999999999997</v>
      </c>
      <c r="K67" s="667">
        <f t="shared" si="13"/>
        <v>-36.212500000000034</v>
      </c>
      <c r="L67" s="475">
        <f t="shared" si="11"/>
        <v>-0.12265860515530275</v>
      </c>
      <c r="M67" s="113"/>
    </row>
    <row r="68" spans="1:13" s="50" customFormat="1" ht="16" x14ac:dyDescent="0.2">
      <c r="A68" s="29" t="s">
        <v>6184</v>
      </c>
      <c r="B68" s="6" t="s">
        <v>6185</v>
      </c>
      <c r="C68" s="925"/>
      <c r="D68" s="931">
        <v>327.19749999999999</v>
      </c>
      <c r="E68" s="20">
        <v>60</v>
      </c>
      <c r="F68" s="20">
        <v>60</v>
      </c>
      <c r="G68" s="687">
        <v>317.09999999999997</v>
      </c>
      <c r="H68" s="823">
        <v>390.22</v>
      </c>
      <c r="I68" s="824">
        <v>296.02999999999997</v>
      </c>
      <c r="J68" s="825">
        <v>317.09999999999997</v>
      </c>
      <c r="K68" s="667">
        <f t="shared" si="13"/>
        <v>-94.190000000000055</v>
      </c>
      <c r="L68" s="475">
        <f t="shared" si="11"/>
        <v>-0.24137665932038349</v>
      </c>
      <c r="M68" s="113"/>
    </row>
    <row r="69" spans="1:13" s="50" customFormat="1" ht="16" x14ac:dyDescent="0.2">
      <c r="A69" s="29" t="s">
        <v>6186</v>
      </c>
      <c r="B69" s="6" t="s">
        <v>6187</v>
      </c>
      <c r="C69" s="925"/>
      <c r="D69" s="931">
        <v>460.89750000000004</v>
      </c>
      <c r="E69" s="20">
        <v>60</v>
      </c>
      <c r="F69" s="20">
        <v>72</v>
      </c>
      <c r="G69" s="683">
        <v>439.25</v>
      </c>
      <c r="H69" s="823">
        <v>568.16</v>
      </c>
      <c r="I69" s="824">
        <v>419.84249999999997</v>
      </c>
      <c r="J69" s="825">
        <v>439.25</v>
      </c>
      <c r="K69" s="667">
        <f t="shared" si="13"/>
        <v>-148.3175</v>
      </c>
      <c r="L69" s="475">
        <f t="shared" si="11"/>
        <v>-0.26104882427485215</v>
      </c>
      <c r="M69" s="113"/>
    </row>
    <row r="70" spans="1:13" s="50" customFormat="1" ht="16" x14ac:dyDescent="0.2">
      <c r="A70" s="29" t="s">
        <v>6188</v>
      </c>
      <c r="B70" s="6" t="s">
        <v>6189</v>
      </c>
      <c r="C70" s="925"/>
      <c r="D70" s="931">
        <v>1161.2124999999999</v>
      </c>
      <c r="E70" s="20">
        <v>72</v>
      </c>
      <c r="F70" s="20">
        <v>72</v>
      </c>
      <c r="G70" s="687">
        <v>1120.4375</v>
      </c>
      <c r="H70" s="823"/>
      <c r="I70" s="824">
        <v>742.89249999999993</v>
      </c>
      <c r="J70" s="825">
        <v>1120.4375</v>
      </c>
      <c r="K70" s="667">
        <f t="shared" si="13"/>
        <v>742.89249999999993</v>
      </c>
      <c r="L70" s="475" t="str">
        <f t="shared" si="11"/>
        <v>NA</v>
      </c>
      <c r="M70" s="113"/>
    </row>
    <row r="71" spans="1:13" s="50" customFormat="1" ht="16" x14ac:dyDescent="0.2">
      <c r="A71" s="29"/>
      <c r="B71" s="29"/>
      <c r="C71" s="925"/>
      <c r="D71" s="931"/>
      <c r="E71" s="20"/>
      <c r="F71" s="20"/>
      <c r="G71" s="687"/>
      <c r="H71" s="823"/>
      <c r="I71" s="824"/>
      <c r="J71" s="825"/>
      <c r="K71" s="667"/>
      <c r="L71" s="475"/>
      <c r="M71" s="113"/>
    </row>
    <row r="72" spans="1:13" s="1836" customFormat="1" ht="16" x14ac:dyDescent="0.2">
      <c r="A72" s="1840" t="s">
        <v>6190</v>
      </c>
      <c r="B72" s="1840" t="s">
        <v>6191</v>
      </c>
      <c r="C72" s="1829"/>
      <c r="D72" s="1348">
        <v>66.33</v>
      </c>
      <c r="E72" s="900"/>
      <c r="F72" s="900"/>
      <c r="G72" s="687"/>
      <c r="H72" s="823"/>
      <c r="I72" s="824"/>
      <c r="J72" s="825"/>
      <c r="K72" s="1843"/>
      <c r="L72" s="1835"/>
      <c r="M72" s="1545"/>
    </row>
    <row r="73" spans="1:13" s="1836" customFormat="1" ht="16" x14ac:dyDescent="0.2">
      <c r="A73" s="1840" t="s">
        <v>6192</v>
      </c>
      <c r="B73" s="1840" t="s">
        <v>6193</v>
      </c>
      <c r="C73" s="1829"/>
      <c r="D73" s="1348">
        <v>65.290000000000006</v>
      </c>
      <c r="E73" s="900"/>
      <c r="F73" s="900"/>
      <c r="G73" s="687"/>
      <c r="H73" s="823"/>
      <c r="I73" s="824"/>
      <c r="J73" s="825"/>
      <c r="K73" s="1843"/>
      <c r="L73" s="1835"/>
      <c r="M73" s="1545"/>
    </row>
    <row r="74" spans="1:13" s="1836" customFormat="1" ht="16" x14ac:dyDescent="0.2">
      <c r="A74" s="1840" t="s">
        <v>6194</v>
      </c>
      <c r="B74" s="1840" t="s">
        <v>6195</v>
      </c>
      <c r="C74" s="1829"/>
      <c r="D74" s="1348">
        <v>70</v>
      </c>
      <c r="E74" s="900"/>
      <c r="F74" s="900"/>
      <c r="G74" s="687"/>
      <c r="H74" s="823"/>
      <c r="I74" s="824"/>
      <c r="J74" s="825"/>
      <c r="K74" s="1843"/>
      <c r="L74" s="1835"/>
      <c r="M74" s="1545"/>
    </row>
    <row r="75" spans="1:13" s="1836" customFormat="1" ht="16" x14ac:dyDescent="0.2">
      <c r="A75" s="1840" t="s">
        <v>6196</v>
      </c>
      <c r="B75" s="1840" t="s">
        <v>6197</v>
      </c>
      <c r="C75" s="1829"/>
      <c r="D75" s="1348">
        <v>78.19</v>
      </c>
      <c r="E75" s="900"/>
      <c r="F75" s="900"/>
      <c r="G75" s="687"/>
      <c r="H75" s="823"/>
      <c r="I75" s="824"/>
      <c r="J75" s="825"/>
      <c r="K75" s="1843"/>
      <c r="L75" s="1835"/>
      <c r="M75" s="1545"/>
    </row>
    <row r="76" spans="1:13" s="1836" customFormat="1" ht="16" x14ac:dyDescent="0.2">
      <c r="A76" s="1840" t="s">
        <v>6198</v>
      </c>
      <c r="B76" s="1840" t="s">
        <v>6199</v>
      </c>
      <c r="C76" s="1829"/>
      <c r="D76" s="1348">
        <v>78.91</v>
      </c>
      <c r="E76" s="900"/>
      <c r="F76" s="900"/>
      <c r="G76" s="687"/>
      <c r="H76" s="823"/>
      <c r="I76" s="824"/>
      <c r="J76" s="825"/>
      <c r="K76" s="1843"/>
      <c r="L76" s="1835"/>
      <c r="M76" s="1545"/>
    </row>
    <row r="77" spans="1:13" s="1836" customFormat="1" ht="16" x14ac:dyDescent="0.2">
      <c r="A77" s="1840" t="s">
        <v>6200</v>
      </c>
      <c r="B77" s="1840" t="s">
        <v>6201</v>
      </c>
      <c r="C77" s="1829"/>
      <c r="D77" s="1348">
        <v>104.79</v>
      </c>
      <c r="E77" s="900"/>
      <c r="F77" s="900"/>
      <c r="G77" s="687"/>
      <c r="H77" s="823"/>
      <c r="I77" s="824"/>
      <c r="J77" s="825"/>
      <c r="K77" s="1843"/>
      <c r="L77" s="1835"/>
      <c r="M77" s="1545"/>
    </row>
    <row r="78" spans="1:13" s="50" customFormat="1" ht="16" x14ac:dyDescent="0.2">
      <c r="A78" s="142"/>
      <c r="B78" s="142"/>
      <c r="C78" s="1003"/>
      <c r="D78" s="933"/>
      <c r="E78" s="20"/>
      <c r="F78" s="20"/>
      <c r="G78" s="687"/>
      <c r="H78" s="823"/>
      <c r="I78" s="824"/>
      <c r="J78" s="825"/>
      <c r="K78" s="667"/>
      <c r="L78" s="475"/>
      <c r="M78" s="113"/>
    </row>
    <row r="79" spans="1:13" s="1836" customFormat="1" ht="16" x14ac:dyDescent="0.2">
      <c r="A79" s="1840" t="s">
        <v>6202</v>
      </c>
      <c r="B79" s="1840" t="s">
        <v>6203</v>
      </c>
      <c r="C79" s="1829"/>
      <c r="D79" s="1348">
        <v>79.12</v>
      </c>
      <c r="E79" s="900"/>
      <c r="F79" s="900"/>
      <c r="G79" s="687"/>
      <c r="H79" s="823"/>
      <c r="I79" s="824"/>
      <c r="J79" s="825"/>
      <c r="K79" s="1843"/>
      <c r="L79" s="1835"/>
      <c r="M79" s="1545"/>
    </row>
    <row r="80" spans="1:13" s="1836" customFormat="1" ht="16" x14ac:dyDescent="0.2">
      <c r="A80" s="1840" t="s">
        <v>6204</v>
      </c>
      <c r="B80" s="1840" t="s">
        <v>6205</v>
      </c>
      <c r="C80" s="1829"/>
      <c r="D80" s="1348">
        <v>90</v>
      </c>
      <c r="E80" s="900"/>
      <c r="F80" s="900"/>
      <c r="G80" s="687"/>
      <c r="H80" s="823"/>
      <c r="I80" s="824"/>
      <c r="J80" s="825"/>
      <c r="K80" s="1843"/>
      <c r="L80" s="1835"/>
      <c r="M80" s="1545"/>
    </row>
    <row r="81" spans="1:13" s="1836" customFormat="1" ht="16" x14ac:dyDescent="0.2">
      <c r="A81" s="1840" t="s">
        <v>6206</v>
      </c>
      <c r="B81" s="1840" t="s">
        <v>6207</v>
      </c>
      <c r="C81" s="1829"/>
      <c r="D81" s="1348">
        <v>101.17</v>
      </c>
      <c r="E81" s="900"/>
      <c r="F81" s="900"/>
      <c r="G81" s="687"/>
      <c r="H81" s="823"/>
      <c r="I81" s="824"/>
      <c r="J81" s="825"/>
      <c r="K81" s="1843"/>
      <c r="L81" s="1835"/>
      <c r="M81" s="1545"/>
    </row>
    <row r="82" spans="1:13" s="50" customFormat="1" ht="16" x14ac:dyDescent="0.2">
      <c r="A82" s="29"/>
      <c r="B82" s="29"/>
      <c r="C82" s="925"/>
      <c r="D82" s="756"/>
      <c r="E82" s="20"/>
      <c r="F82" s="20"/>
      <c r="G82" s="687"/>
      <c r="H82" s="823"/>
      <c r="I82" s="824"/>
      <c r="J82" s="825"/>
      <c r="K82" s="667"/>
      <c r="L82" s="475"/>
      <c r="M82" s="113"/>
    </row>
    <row r="83" spans="1:13" s="1836" customFormat="1" ht="16" x14ac:dyDescent="0.2">
      <c r="A83" s="1840" t="s">
        <v>6208</v>
      </c>
      <c r="B83" s="26" t="s">
        <v>6209</v>
      </c>
      <c r="C83" s="1581"/>
      <c r="D83" s="1348">
        <v>336.18</v>
      </c>
      <c r="E83" s="900"/>
      <c r="F83" s="900"/>
      <c r="G83" s="687">
        <v>262.84999999999997</v>
      </c>
      <c r="H83" s="823"/>
      <c r="I83" s="824"/>
      <c r="J83" s="825"/>
      <c r="K83" s="1843"/>
      <c r="L83" s="1835"/>
      <c r="M83" s="1545"/>
    </row>
    <row r="84" spans="1:13" s="1836" customFormat="1" ht="16" x14ac:dyDescent="0.2">
      <c r="A84" s="1840" t="s">
        <v>6210</v>
      </c>
      <c r="B84" s="26" t="s">
        <v>6211</v>
      </c>
      <c r="C84" s="1829"/>
      <c r="D84" s="1348">
        <v>772.21</v>
      </c>
      <c r="E84" s="900"/>
      <c r="F84" s="900"/>
      <c r="G84" s="687"/>
      <c r="H84" s="823"/>
      <c r="I84" s="824"/>
      <c r="J84" s="825"/>
      <c r="K84" s="1843"/>
      <c r="L84" s="1835"/>
      <c r="M84" s="1545"/>
    </row>
    <row r="85" spans="1:13" s="44" customFormat="1" ht="16" x14ac:dyDescent="0.2">
      <c r="A85" s="142"/>
      <c r="B85" s="142"/>
      <c r="C85" s="925"/>
      <c r="D85" s="933"/>
      <c r="E85" s="159"/>
      <c r="F85" s="159"/>
      <c r="G85" s="687"/>
      <c r="H85" s="823"/>
      <c r="I85" s="824"/>
      <c r="J85" s="825"/>
      <c r="K85" s="682"/>
      <c r="L85" s="787"/>
      <c r="M85" s="119"/>
    </row>
    <row r="86" spans="1:13" s="1836" customFormat="1" ht="16" x14ac:dyDescent="0.2">
      <c r="A86" s="1840" t="s">
        <v>6212</v>
      </c>
      <c r="B86" s="26" t="s">
        <v>6213</v>
      </c>
      <c r="C86" s="1829"/>
      <c r="D86" s="1348">
        <v>75</v>
      </c>
      <c r="E86" s="900"/>
      <c r="F86" s="900"/>
      <c r="G86" s="687"/>
      <c r="H86" s="823"/>
      <c r="I86" s="824"/>
      <c r="J86" s="825"/>
      <c r="K86" s="1843"/>
      <c r="L86" s="1835"/>
      <c r="M86" s="1545"/>
    </row>
    <row r="87" spans="1:13" s="1836" customFormat="1" ht="16" x14ac:dyDescent="0.2">
      <c r="A87" s="1840" t="s">
        <v>6214</v>
      </c>
      <c r="B87" s="26" t="s">
        <v>6215</v>
      </c>
      <c r="C87" s="1829"/>
      <c r="D87" s="1348">
        <v>75.650000000000006</v>
      </c>
      <c r="E87" s="900"/>
      <c r="F87" s="900"/>
      <c r="G87" s="687"/>
      <c r="H87" s="823"/>
      <c r="I87" s="824"/>
      <c r="J87" s="825"/>
      <c r="K87" s="1843"/>
      <c r="L87" s="1835"/>
      <c r="M87" s="1545"/>
    </row>
    <row r="88" spans="1:13" s="1836" customFormat="1" ht="16" x14ac:dyDescent="0.2">
      <c r="A88" s="1840" t="s">
        <v>6216</v>
      </c>
      <c r="B88" s="26" t="s">
        <v>6217</v>
      </c>
      <c r="C88" s="1829"/>
      <c r="D88" s="1348">
        <v>80.239999999999995</v>
      </c>
      <c r="E88" s="900"/>
      <c r="F88" s="900"/>
      <c r="G88" s="687"/>
      <c r="H88" s="823"/>
      <c r="I88" s="824"/>
      <c r="J88" s="825"/>
      <c r="K88" s="1843"/>
      <c r="L88" s="1835"/>
      <c r="M88" s="1545"/>
    </row>
    <row r="89" spans="1:13" s="1836" customFormat="1" ht="16" x14ac:dyDescent="0.2">
      <c r="A89" s="1840" t="s">
        <v>6218</v>
      </c>
      <c r="B89" s="26" t="s">
        <v>6219</v>
      </c>
      <c r="C89" s="1829" t="s">
        <v>6220</v>
      </c>
      <c r="D89" s="1348">
        <v>84.93</v>
      </c>
      <c r="E89" s="900"/>
      <c r="F89" s="900"/>
      <c r="G89" s="687"/>
      <c r="H89" s="823"/>
      <c r="I89" s="824"/>
      <c r="J89" s="825"/>
      <c r="K89" s="1843"/>
      <c r="L89" s="1835"/>
      <c r="M89" s="1545"/>
    </row>
    <row r="90" spans="1:13" s="44" customFormat="1" ht="16" x14ac:dyDescent="0.2">
      <c r="A90" s="142" t="s">
        <v>6221</v>
      </c>
      <c r="B90" s="142"/>
      <c r="C90" s="925"/>
      <c r="D90" s="933">
        <v>70.790000000000006</v>
      </c>
      <c r="E90" s="159"/>
      <c r="F90" s="159"/>
      <c r="G90" s="687"/>
      <c r="H90" s="823"/>
      <c r="I90" s="824"/>
      <c r="J90" s="825"/>
      <c r="K90" s="682"/>
      <c r="L90" s="787"/>
      <c r="M90" s="119"/>
    </row>
    <row r="91" spans="1:13" s="1836" customFormat="1" ht="16" x14ac:dyDescent="0.2">
      <c r="A91" s="1840" t="s">
        <v>6222</v>
      </c>
      <c r="B91" s="1840" t="s">
        <v>6223</v>
      </c>
      <c r="C91" s="1829"/>
      <c r="D91" s="1348">
        <v>85</v>
      </c>
      <c r="E91" s="900"/>
      <c r="F91" s="900"/>
      <c r="G91" s="687"/>
      <c r="H91" s="823"/>
      <c r="I91" s="824"/>
      <c r="J91" s="825"/>
      <c r="K91" s="1843"/>
      <c r="L91" s="1835"/>
      <c r="M91" s="1545"/>
    </row>
    <row r="92" spans="1:13" s="44" customFormat="1" ht="16" x14ac:dyDescent="0.2">
      <c r="A92" s="142"/>
      <c r="B92" s="142"/>
      <c r="C92" s="925"/>
      <c r="D92" s="933"/>
      <c r="E92" s="159"/>
      <c r="F92" s="159"/>
      <c r="G92" s="687"/>
      <c r="H92" s="823"/>
      <c r="I92" s="824"/>
      <c r="J92" s="825"/>
      <c r="K92" s="682"/>
      <c r="L92" s="787"/>
      <c r="M92" s="119"/>
    </row>
    <row r="93" spans="1:13" s="1836" customFormat="1" ht="16" x14ac:dyDescent="0.2">
      <c r="A93" s="1840" t="s">
        <v>6224</v>
      </c>
      <c r="B93" s="1840" t="s">
        <v>6225</v>
      </c>
      <c r="C93" s="1829"/>
      <c r="D93" s="1348">
        <v>73.260000000000005</v>
      </c>
      <c r="E93" s="900"/>
      <c r="F93" s="900"/>
      <c r="G93" s="687"/>
      <c r="H93" s="823"/>
      <c r="I93" s="824"/>
      <c r="J93" s="825"/>
      <c r="K93" s="1843"/>
      <c r="L93" s="1835"/>
      <c r="M93" s="1545"/>
    </row>
    <row r="94" spans="1:13" s="1836" customFormat="1" ht="16" x14ac:dyDescent="0.2">
      <c r="A94" s="1840" t="s">
        <v>6226</v>
      </c>
      <c r="B94" s="1840" t="s">
        <v>6227</v>
      </c>
      <c r="C94" s="1829"/>
      <c r="D94" s="1348">
        <v>76.63</v>
      </c>
      <c r="E94" s="900"/>
      <c r="F94" s="900"/>
      <c r="G94" s="687"/>
      <c r="H94" s="823"/>
      <c r="I94" s="824"/>
      <c r="J94" s="825"/>
      <c r="K94" s="1843"/>
      <c r="L94" s="1835"/>
      <c r="M94" s="1545"/>
    </row>
    <row r="95" spans="1:13" s="1836" customFormat="1" ht="16" x14ac:dyDescent="0.2">
      <c r="A95" s="1840" t="s">
        <v>6228</v>
      </c>
      <c r="B95" s="1840" t="s">
        <v>6229</v>
      </c>
      <c r="C95" s="1829"/>
      <c r="D95" s="1348">
        <v>79.22</v>
      </c>
      <c r="E95" s="900"/>
      <c r="F95" s="900"/>
      <c r="G95" s="687"/>
      <c r="H95" s="823"/>
      <c r="I95" s="824"/>
      <c r="J95" s="825"/>
      <c r="K95" s="1843"/>
      <c r="L95" s="1835"/>
      <c r="M95" s="1545"/>
    </row>
    <row r="96" spans="1:13" s="1836" customFormat="1" ht="16" x14ac:dyDescent="0.2">
      <c r="A96" s="1840" t="s">
        <v>6230</v>
      </c>
      <c r="B96" s="1840" t="s">
        <v>6225</v>
      </c>
      <c r="C96" s="1829"/>
      <c r="D96" s="1348">
        <v>85.21</v>
      </c>
      <c r="E96" s="900"/>
      <c r="F96" s="900"/>
      <c r="G96" s="687"/>
      <c r="H96" s="823"/>
      <c r="I96" s="824"/>
      <c r="J96" s="825"/>
      <c r="K96" s="1843"/>
      <c r="L96" s="1835"/>
      <c r="M96" s="1545"/>
    </row>
    <row r="97" spans="1:14" s="50" customFormat="1" ht="16" x14ac:dyDescent="0.2">
      <c r="A97" s="29"/>
      <c r="B97" s="29"/>
      <c r="C97" s="925"/>
      <c r="D97" s="756"/>
      <c r="E97" s="20"/>
      <c r="F97" s="20"/>
      <c r="G97" s="1854"/>
      <c r="H97" s="823"/>
      <c r="I97" s="824"/>
      <c r="J97" s="1855"/>
      <c r="K97" s="667"/>
      <c r="L97" s="502"/>
      <c r="M97" s="113"/>
    </row>
    <row r="98" spans="1:14" s="50" customFormat="1" ht="16" x14ac:dyDescent="0.2">
      <c r="A98" s="29" t="s">
        <v>6231</v>
      </c>
      <c r="B98" s="29"/>
      <c r="C98" s="925"/>
      <c r="D98" s="670"/>
      <c r="E98" s="20" t="s">
        <v>6155</v>
      </c>
      <c r="F98" s="20" t="s">
        <v>6155</v>
      </c>
      <c r="G98" s="1856"/>
      <c r="H98" s="823"/>
      <c r="I98" s="824"/>
      <c r="J98" s="1855"/>
      <c r="K98" s="667"/>
      <c r="L98" s="502"/>
      <c r="M98" s="113"/>
    </row>
    <row r="99" spans="1:14" ht="16" x14ac:dyDescent="0.2">
      <c r="A99" s="11" t="s">
        <v>6232</v>
      </c>
      <c r="B99" s="11" t="s">
        <v>6233</v>
      </c>
      <c r="C99" s="925"/>
      <c r="D99" s="932">
        <v>73.150000000000006</v>
      </c>
      <c r="E99" s="20">
        <v>9</v>
      </c>
      <c r="F99" s="20">
        <v>12</v>
      </c>
      <c r="G99" s="683">
        <v>68.162500000000009</v>
      </c>
      <c r="H99" s="823">
        <v>44</v>
      </c>
      <c r="I99" s="824">
        <v>67.865000000000009</v>
      </c>
      <c r="J99" s="825">
        <v>68.162500000000009</v>
      </c>
      <c r="K99" s="667">
        <f t="shared" si="13"/>
        <v>23.865000000000009</v>
      </c>
      <c r="L99" s="475">
        <f t="shared" ref="L99:L103" si="14">IF(H99="","NA",K99/H99)</f>
        <v>0.54238636363636383</v>
      </c>
    </row>
    <row r="100" spans="1:14" ht="16" x14ac:dyDescent="0.2">
      <c r="A100" s="11" t="s">
        <v>6234</v>
      </c>
      <c r="B100" s="11" t="s">
        <v>6235</v>
      </c>
      <c r="C100" s="925"/>
      <c r="D100" s="932">
        <v>91.56</v>
      </c>
      <c r="E100" s="20">
        <v>16</v>
      </c>
      <c r="F100" s="20">
        <v>20</v>
      </c>
      <c r="G100" s="683">
        <v>85.3125</v>
      </c>
      <c r="H100" s="823">
        <v>60.15</v>
      </c>
      <c r="I100" s="824">
        <v>84.42</v>
      </c>
      <c r="J100" s="825">
        <v>85.3125</v>
      </c>
      <c r="K100" s="667">
        <f t="shared" si="13"/>
        <v>24.270000000000003</v>
      </c>
      <c r="L100" s="475">
        <f t="shared" si="14"/>
        <v>0.40349127182044892</v>
      </c>
    </row>
    <row r="101" spans="1:14" ht="16" x14ac:dyDescent="0.2">
      <c r="A101" s="11" t="s">
        <v>6236</v>
      </c>
      <c r="B101" s="11" t="s">
        <v>6237</v>
      </c>
      <c r="C101" s="925"/>
      <c r="D101" s="932">
        <v>91.56</v>
      </c>
      <c r="E101" s="20">
        <v>17</v>
      </c>
      <c r="F101" s="20">
        <v>17</v>
      </c>
      <c r="G101" s="683">
        <v>85.3125</v>
      </c>
      <c r="H101" s="679">
        <v>59.42</v>
      </c>
      <c r="I101" s="680">
        <v>84.42</v>
      </c>
      <c r="J101" s="825">
        <v>85.3125</v>
      </c>
      <c r="K101" s="667">
        <f t="shared" si="13"/>
        <v>25</v>
      </c>
      <c r="L101" s="475">
        <f t="shared" si="14"/>
        <v>0.42073375967687648</v>
      </c>
    </row>
    <row r="102" spans="1:14" ht="16" x14ac:dyDescent="0.2">
      <c r="A102" s="11" t="s">
        <v>6238</v>
      </c>
      <c r="B102" s="11" t="s">
        <v>6239</v>
      </c>
      <c r="C102" s="925"/>
      <c r="D102" s="932">
        <v>93.07</v>
      </c>
      <c r="E102" s="20">
        <v>17</v>
      </c>
      <c r="F102" s="20">
        <v>22</v>
      </c>
      <c r="G102" s="683">
        <v>86.712499999999991</v>
      </c>
      <c r="H102" s="679">
        <v>72.010000000000005</v>
      </c>
      <c r="I102" s="680">
        <v>85.924999999999997</v>
      </c>
      <c r="J102" s="825">
        <v>86.712499999999991</v>
      </c>
      <c r="K102" s="667">
        <f t="shared" si="13"/>
        <v>13.914999999999992</v>
      </c>
      <c r="L102" s="475">
        <f t="shared" si="14"/>
        <v>0.19323705040966521</v>
      </c>
    </row>
    <row r="103" spans="1:14" ht="16" x14ac:dyDescent="0.2">
      <c r="A103" s="11" t="s">
        <v>6240</v>
      </c>
      <c r="B103" s="11" t="s">
        <v>6241</v>
      </c>
      <c r="C103" s="925"/>
      <c r="D103" s="932">
        <v>135.5</v>
      </c>
      <c r="E103" s="20">
        <v>24</v>
      </c>
      <c r="F103" s="20">
        <v>33</v>
      </c>
      <c r="G103" s="683">
        <v>125.82500000000002</v>
      </c>
      <c r="H103" s="679">
        <v>88.68</v>
      </c>
      <c r="I103" s="680">
        <v>124.07500000000002</v>
      </c>
      <c r="J103" s="825">
        <v>125.82500000000002</v>
      </c>
      <c r="K103" s="667">
        <f t="shared" si="13"/>
        <v>35.39500000000001</v>
      </c>
      <c r="L103" s="475">
        <f t="shared" si="14"/>
        <v>0.39913170951736587</v>
      </c>
    </row>
    <row r="104" spans="1:14" ht="16" x14ac:dyDescent="0.2">
      <c r="A104" s="11"/>
      <c r="B104" s="11"/>
      <c r="C104" s="925"/>
      <c r="D104" s="932"/>
      <c r="E104" s="20"/>
      <c r="F104" s="20"/>
      <c r="G104" s="683"/>
      <c r="H104" s="679"/>
      <c r="I104" s="680"/>
      <c r="J104" s="825"/>
      <c r="K104" s="667"/>
      <c r="L104" s="475"/>
    </row>
    <row r="105" spans="1:14" s="41" customFormat="1" ht="16" x14ac:dyDescent="0.2">
      <c r="A105" s="25" t="s">
        <v>6242</v>
      </c>
      <c r="B105" s="25" t="s">
        <v>6243</v>
      </c>
      <c r="C105" s="1023"/>
      <c r="D105" s="1171">
        <v>74.2</v>
      </c>
      <c r="E105" s="144"/>
      <c r="F105" s="144"/>
      <c r="G105" s="683"/>
      <c r="H105" s="679"/>
      <c r="I105" s="680"/>
      <c r="J105" s="825"/>
      <c r="K105" s="712"/>
      <c r="L105" s="713"/>
      <c r="M105" s="95"/>
    </row>
    <row r="106" spans="1:14" ht="16" x14ac:dyDescent="0.2">
      <c r="A106" s="11"/>
      <c r="B106" s="6"/>
      <c r="C106" s="925"/>
      <c r="D106" s="670"/>
      <c r="E106" s="20"/>
      <c r="F106" s="20"/>
      <c r="G106" s="1856"/>
      <c r="H106" s="823"/>
      <c r="I106" s="824"/>
      <c r="J106" s="1855"/>
      <c r="K106" s="667"/>
      <c r="L106" s="502"/>
    </row>
    <row r="107" spans="1:14" ht="16" x14ac:dyDescent="0.2">
      <c r="A107" s="11" t="s">
        <v>6244</v>
      </c>
      <c r="B107" s="11" t="s">
        <v>6245</v>
      </c>
      <c r="C107" s="925"/>
      <c r="D107" s="931">
        <v>73.237499999999997</v>
      </c>
      <c r="E107" s="20">
        <v>8.25</v>
      </c>
      <c r="F107" s="20">
        <v>8.25</v>
      </c>
      <c r="G107" s="687">
        <v>68.075000000000003</v>
      </c>
      <c r="H107" s="823">
        <v>57.669999999999995</v>
      </c>
      <c r="I107" s="824">
        <v>68.040000000000006</v>
      </c>
      <c r="J107" s="1855">
        <v>68.075000000000003</v>
      </c>
      <c r="K107" s="667">
        <f>J107-I107</f>
        <v>3.4999999999996589E-2</v>
      </c>
      <c r="L107" s="475">
        <f>K107/I107</f>
        <v>5.144032921810198E-4</v>
      </c>
      <c r="M107" s="463">
        <v>4.1500000000000004</v>
      </c>
      <c r="N107" s="463">
        <v>4.1500000000000004</v>
      </c>
    </row>
    <row r="108" spans="1:14" s="1836" customFormat="1" ht="16" x14ac:dyDescent="0.2">
      <c r="A108" s="1581" t="s">
        <v>6246</v>
      </c>
      <c r="B108" s="1581" t="s">
        <v>6247</v>
      </c>
      <c r="C108" s="1829"/>
      <c r="D108" s="1348">
        <v>70.81</v>
      </c>
      <c r="E108" s="900"/>
      <c r="F108" s="900"/>
      <c r="G108" s="687"/>
      <c r="H108" s="823"/>
      <c r="I108" s="824"/>
      <c r="J108" s="1855"/>
      <c r="K108" s="1843"/>
      <c r="L108" s="1835"/>
      <c r="M108" s="1845"/>
      <c r="N108" s="1845"/>
    </row>
    <row r="109" spans="1:14" ht="16" x14ac:dyDescent="0.2">
      <c r="A109" s="11" t="s">
        <v>6248</v>
      </c>
      <c r="B109" s="11" t="s">
        <v>6249</v>
      </c>
      <c r="C109" s="925"/>
      <c r="D109" s="931">
        <v>74.847500000000011</v>
      </c>
      <c r="E109" s="20">
        <v>11</v>
      </c>
      <c r="F109" s="20">
        <v>13</v>
      </c>
      <c r="G109" s="687">
        <v>69.702500000000001</v>
      </c>
      <c r="H109" s="823">
        <v>61.449999999999996</v>
      </c>
      <c r="I109" s="824">
        <v>69.632499999999993</v>
      </c>
      <c r="J109" s="1855">
        <v>69.702500000000001</v>
      </c>
      <c r="K109" s="667">
        <f t="shared" ref="K109:K171" si="15">J109-I109</f>
        <v>7.000000000000739E-2</v>
      </c>
      <c r="L109" s="475">
        <f t="shared" ref="L109:L171" si="16">K109/I109</f>
        <v>1.005277707966932E-3</v>
      </c>
      <c r="M109" s="463">
        <v>4.1500000000000004</v>
      </c>
      <c r="N109" s="463">
        <v>4.1500000000000004</v>
      </c>
    </row>
    <row r="110" spans="1:14" ht="16" x14ac:dyDescent="0.2">
      <c r="A110" s="11" t="s">
        <v>6250</v>
      </c>
      <c r="B110" s="11" t="s">
        <v>6251</v>
      </c>
      <c r="C110" s="925"/>
      <c r="D110" s="931">
        <v>75.564999999999998</v>
      </c>
      <c r="E110" s="20">
        <v>11</v>
      </c>
      <c r="F110" s="20">
        <v>14</v>
      </c>
      <c r="G110" s="687">
        <v>70.402499999999989</v>
      </c>
      <c r="H110" s="823">
        <v>61.66</v>
      </c>
      <c r="I110" s="824">
        <v>70.332499999999996</v>
      </c>
      <c r="J110" s="1855">
        <v>70.402499999999989</v>
      </c>
      <c r="K110" s="667">
        <f t="shared" si="15"/>
        <v>6.9999999999993179E-2</v>
      </c>
      <c r="L110" s="475">
        <f t="shared" si="16"/>
        <v>9.9527245583468787E-4</v>
      </c>
      <c r="M110" s="463">
        <v>4.1500000000000004</v>
      </c>
      <c r="N110" s="463">
        <v>4.1500000000000004</v>
      </c>
    </row>
    <row r="111" spans="1:14" ht="16" x14ac:dyDescent="0.2">
      <c r="A111" s="11" t="s">
        <v>6252</v>
      </c>
      <c r="B111" s="11" t="s">
        <v>6253</v>
      </c>
      <c r="C111" s="925"/>
      <c r="D111" s="931">
        <v>75.564999999999998</v>
      </c>
      <c r="E111" s="20">
        <v>12</v>
      </c>
      <c r="F111" s="20">
        <v>13</v>
      </c>
      <c r="G111" s="687">
        <v>70.402499999999989</v>
      </c>
      <c r="H111" s="823">
        <v>61.66</v>
      </c>
      <c r="I111" s="824">
        <v>70.332499999999996</v>
      </c>
      <c r="J111" s="1855">
        <v>70.402499999999989</v>
      </c>
      <c r="K111" s="667">
        <f t="shared" si="15"/>
        <v>6.9999999999993179E-2</v>
      </c>
      <c r="L111" s="475">
        <f t="shared" si="16"/>
        <v>9.9527245583468787E-4</v>
      </c>
      <c r="M111" s="463">
        <v>4.1500000000000004</v>
      </c>
      <c r="N111" s="463">
        <v>4.1500000000000004</v>
      </c>
    </row>
    <row r="112" spans="1:14" s="1836" customFormat="1" ht="16" x14ac:dyDescent="0.2">
      <c r="A112" s="1581" t="s">
        <v>6254</v>
      </c>
      <c r="B112" s="1581" t="s">
        <v>6255</v>
      </c>
      <c r="C112" s="1829"/>
      <c r="D112" s="1348">
        <v>85</v>
      </c>
      <c r="E112" s="900"/>
      <c r="F112" s="900"/>
      <c r="G112" s="687"/>
      <c r="H112" s="823"/>
      <c r="I112" s="824"/>
      <c r="J112" s="1855"/>
      <c r="K112" s="1843"/>
      <c r="L112" s="1835"/>
      <c r="M112" s="1845"/>
      <c r="N112" s="1845"/>
    </row>
    <row r="113" spans="1:14" ht="16" x14ac:dyDescent="0.2">
      <c r="A113" s="11" t="s">
        <v>6256</v>
      </c>
      <c r="B113" s="11" t="s">
        <v>6257</v>
      </c>
      <c r="C113" s="925"/>
      <c r="D113" s="931">
        <v>90.07</v>
      </c>
      <c r="E113" s="20">
        <v>16</v>
      </c>
      <c r="F113" s="20">
        <v>20</v>
      </c>
      <c r="G113" s="687">
        <v>74.865000000000009</v>
      </c>
      <c r="H113" s="823">
        <v>69.240000000000009</v>
      </c>
      <c r="I113" s="824">
        <v>74.707499999999996</v>
      </c>
      <c r="J113" s="1855">
        <v>74.865000000000009</v>
      </c>
      <c r="K113" s="667">
        <f t="shared" si="15"/>
        <v>0.15750000000001307</v>
      </c>
      <c r="L113" s="475">
        <f t="shared" si="16"/>
        <v>2.1082220660577997E-3</v>
      </c>
      <c r="M113" s="463">
        <v>4.1500000000000004</v>
      </c>
      <c r="N113" s="463">
        <v>4.5999999999999996</v>
      </c>
    </row>
    <row r="114" spans="1:14" s="50" customFormat="1" ht="16" x14ac:dyDescent="0.2">
      <c r="A114" s="11" t="s">
        <v>6258</v>
      </c>
      <c r="B114" s="11" t="s">
        <v>6259</v>
      </c>
      <c r="C114" s="925"/>
      <c r="D114" s="931">
        <v>81.515000000000001</v>
      </c>
      <c r="E114" s="20">
        <v>16</v>
      </c>
      <c r="F114" s="20">
        <v>24</v>
      </c>
      <c r="G114" s="687">
        <v>76.352500000000006</v>
      </c>
      <c r="H114" s="823"/>
      <c r="I114" s="824">
        <v>75.78</v>
      </c>
      <c r="J114" s="1855">
        <v>76.352500000000006</v>
      </c>
      <c r="K114" s="667">
        <f t="shared" si="15"/>
        <v>0.57250000000000512</v>
      </c>
      <c r="L114" s="475">
        <f t="shared" si="16"/>
        <v>7.5547637899182514E-3</v>
      </c>
      <c r="M114" s="463">
        <v>4.1500000000000004</v>
      </c>
      <c r="N114" s="463">
        <v>4.5999999999999996</v>
      </c>
    </row>
    <row r="115" spans="1:14" ht="16" x14ac:dyDescent="0.2">
      <c r="A115" s="11" t="s">
        <v>6260</v>
      </c>
      <c r="B115" s="11" t="s">
        <v>6261</v>
      </c>
      <c r="C115" s="925"/>
      <c r="D115" s="931">
        <v>80.08</v>
      </c>
      <c r="E115" s="20">
        <v>18</v>
      </c>
      <c r="F115" s="20">
        <v>20</v>
      </c>
      <c r="G115" s="687">
        <v>74.899999999999991</v>
      </c>
      <c r="H115" s="823">
        <v>70.34</v>
      </c>
      <c r="I115" s="824">
        <v>74.759999999999991</v>
      </c>
      <c r="J115" s="1855">
        <v>74.899999999999991</v>
      </c>
      <c r="K115" s="667">
        <f t="shared" si="15"/>
        <v>0.14000000000000057</v>
      </c>
      <c r="L115" s="475">
        <f t="shared" si="16"/>
        <v>1.8726591760299704E-3</v>
      </c>
      <c r="M115" s="463">
        <v>4.1500000000000004</v>
      </c>
      <c r="N115" s="463">
        <v>4.5999999999999996</v>
      </c>
    </row>
    <row r="116" spans="1:14" ht="16" x14ac:dyDescent="0.2">
      <c r="A116" s="11" t="s">
        <v>6262</v>
      </c>
      <c r="B116" s="11" t="s">
        <v>6263</v>
      </c>
      <c r="C116" s="925"/>
      <c r="D116" s="931">
        <v>82.302500000000009</v>
      </c>
      <c r="E116" s="20">
        <v>18</v>
      </c>
      <c r="F116" s="20">
        <v>24</v>
      </c>
      <c r="G116" s="687">
        <v>77.122500000000002</v>
      </c>
      <c r="H116" s="823">
        <v>73</v>
      </c>
      <c r="I116" s="824">
        <v>76.947499999999991</v>
      </c>
      <c r="J116" s="1855">
        <v>77.122500000000002</v>
      </c>
      <c r="K116" s="667">
        <f t="shared" si="15"/>
        <v>0.17500000000001137</v>
      </c>
      <c r="L116" s="475">
        <f t="shared" si="16"/>
        <v>2.2742779167615763E-3</v>
      </c>
      <c r="M116" s="463">
        <v>4.1500000000000004</v>
      </c>
      <c r="N116" s="463">
        <v>4.5999999999999996</v>
      </c>
    </row>
    <row r="117" spans="1:14" ht="16" x14ac:dyDescent="0.2">
      <c r="A117" s="11" t="s">
        <v>6264</v>
      </c>
      <c r="B117" s="11" t="s">
        <v>6265</v>
      </c>
      <c r="C117" s="925"/>
      <c r="D117" s="931">
        <v>86.17</v>
      </c>
      <c r="E117" s="20">
        <v>18</v>
      </c>
      <c r="F117" s="20">
        <v>30</v>
      </c>
      <c r="G117" s="687">
        <v>81.007499999999993</v>
      </c>
      <c r="H117" s="823">
        <v>76.17</v>
      </c>
      <c r="I117" s="824">
        <v>80.814999999999998</v>
      </c>
      <c r="J117" s="1855">
        <v>81.007499999999993</v>
      </c>
      <c r="K117" s="667">
        <f t="shared" si="15"/>
        <v>0.19249999999999545</v>
      </c>
      <c r="L117" s="475">
        <f t="shared" si="16"/>
        <v>2.3819835426591037E-3</v>
      </c>
      <c r="M117" s="463">
        <v>4.1500000000000004</v>
      </c>
      <c r="N117" s="463">
        <v>4.5999999999999996</v>
      </c>
    </row>
    <row r="118" spans="1:14" ht="15.75" customHeight="1" x14ac:dyDescent="0.2">
      <c r="A118" s="11" t="s">
        <v>6266</v>
      </c>
      <c r="B118" s="11" t="s">
        <v>6267</v>
      </c>
      <c r="C118" s="925"/>
      <c r="D118" s="931">
        <v>82.32</v>
      </c>
      <c r="E118" s="20">
        <v>20</v>
      </c>
      <c r="F118" s="20">
        <v>24</v>
      </c>
      <c r="G118" s="683">
        <v>77.14</v>
      </c>
      <c r="H118" s="823">
        <v>75.87</v>
      </c>
      <c r="I118" s="824">
        <v>76.964999999999989</v>
      </c>
      <c r="J118" s="1855">
        <v>77.14</v>
      </c>
      <c r="K118" s="667">
        <f t="shared" si="15"/>
        <v>0.17500000000001137</v>
      </c>
      <c r="L118" s="475">
        <f t="shared" si="16"/>
        <v>2.2737608003639497E-3</v>
      </c>
      <c r="M118" s="463">
        <v>4.5999999999999996</v>
      </c>
      <c r="N118" s="463">
        <v>4.5999999999999996</v>
      </c>
    </row>
    <row r="119" spans="1:14" ht="15.75" customHeight="1" x14ac:dyDescent="0.2">
      <c r="A119" s="11" t="s">
        <v>6268</v>
      </c>
      <c r="B119" s="11" t="s">
        <v>6269</v>
      </c>
      <c r="C119" s="925"/>
      <c r="D119" s="931">
        <v>86.589999999999989</v>
      </c>
      <c r="E119" s="20">
        <v>22</v>
      </c>
      <c r="F119" s="20">
        <v>24</v>
      </c>
      <c r="G119" s="687">
        <v>81.252499999999998</v>
      </c>
      <c r="H119" s="823">
        <v>74.7</v>
      </c>
      <c r="I119" s="824">
        <v>81.024999999999991</v>
      </c>
      <c r="J119" s="1855">
        <v>81.252499999999998</v>
      </c>
      <c r="K119" s="667">
        <f t="shared" si="15"/>
        <v>0.22750000000000625</v>
      </c>
      <c r="L119" s="475">
        <f t="shared" si="16"/>
        <v>2.8077753779698401E-3</v>
      </c>
      <c r="M119" s="463">
        <v>4.5999999999999996</v>
      </c>
      <c r="N119" s="463">
        <v>4.5999999999999996</v>
      </c>
    </row>
    <row r="120" spans="1:14" s="1836" customFormat="1" ht="15.75" customHeight="1" x14ac:dyDescent="0.2">
      <c r="A120" s="1581" t="s">
        <v>6270</v>
      </c>
      <c r="B120" s="1581" t="s">
        <v>6271</v>
      </c>
      <c r="C120" s="1829"/>
      <c r="D120" s="1348">
        <v>100</v>
      </c>
      <c r="E120" s="900"/>
      <c r="F120" s="900"/>
      <c r="G120" s="687"/>
      <c r="H120" s="823"/>
      <c r="I120" s="824"/>
      <c r="J120" s="1855"/>
      <c r="K120" s="1843"/>
      <c r="L120" s="1835"/>
      <c r="M120" s="1845"/>
      <c r="N120" s="1845"/>
    </row>
    <row r="121" spans="1:14" ht="15.75" customHeight="1" x14ac:dyDescent="0.2">
      <c r="A121" s="11" t="s">
        <v>6272</v>
      </c>
      <c r="B121" s="11" t="s">
        <v>6273</v>
      </c>
      <c r="C121" s="925"/>
      <c r="D121" s="931">
        <v>106.4525</v>
      </c>
      <c r="E121" s="20">
        <v>24</v>
      </c>
      <c r="F121" s="20">
        <v>28</v>
      </c>
      <c r="G121" s="687">
        <v>99.837499999999991</v>
      </c>
      <c r="H121" s="823">
        <v>84.5</v>
      </c>
      <c r="I121" s="824">
        <v>99.207499999999996</v>
      </c>
      <c r="J121" s="1855">
        <v>99.837499999999991</v>
      </c>
      <c r="K121" s="667">
        <f t="shared" si="15"/>
        <v>0.62999999999999545</v>
      </c>
      <c r="L121" s="475">
        <f t="shared" si="16"/>
        <v>6.3503263362144546E-3</v>
      </c>
      <c r="M121" s="463">
        <v>4.5999999999999996</v>
      </c>
      <c r="N121" s="463">
        <v>4.5999999999999996</v>
      </c>
    </row>
    <row r="122" spans="1:14" ht="15.75" customHeight="1" x14ac:dyDescent="0.2">
      <c r="A122" s="11" t="s">
        <v>6274</v>
      </c>
      <c r="B122" s="11" t="s">
        <v>6275</v>
      </c>
      <c r="C122" s="925"/>
      <c r="D122" s="931">
        <v>108.815</v>
      </c>
      <c r="E122" s="20">
        <v>24</v>
      </c>
      <c r="F122" s="20">
        <v>30</v>
      </c>
      <c r="G122" s="683">
        <v>100.45</v>
      </c>
      <c r="H122" s="823">
        <v>85.08</v>
      </c>
      <c r="I122" s="824">
        <v>99.785000000000011</v>
      </c>
      <c r="J122" s="1855">
        <v>100.45</v>
      </c>
      <c r="K122" s="667">
        <f t="shared" si="15"/>
        <v>0.66499999999999204</v>
      </c>
      <c r="L122" s="475">
        <f t="shared" si="16"/>
        <v>6.6643283058575135E-3</v>
      </c>
      <c r="M122" s="463">
        <v>4.5999999999999996</v>
      </c>
      <c r="N122" s="463">
        <v>4.5999999999999996</v>
      </c>
    </row>
    <row r="123" spans="1:14" ht="15.75" customHeight="1" x14ac:dyDescent="0.2">
      <c r="A123" s="11" t="s">
        <v>6276</v>
      </c>
      <c r="B123" s="11" t="s">
        <v>6277</v>
      </c>
      <c r="C123" s="925"/>
      <c r="D123" s="931">
        <v>109.42750000000001</v>
      </c>
      <c r="E123" s="20">
        <v>24</v>
      </c>
      <c r="F123" s="20">
        <v>36</v>
      </c>
      <c r="G123" s="683">
        <v>102.795</v>
      </c>
      <c r="H123" s="823">
        <v>88.4</v>
      </c>
      <c r="I123" s="824">
        <v>102.095</v>
      </c>
      <c r="J123" s="1855">
        <v>102.795</v>
      </c>
      <c r="K123" s="667">
        <f t="shared" si="15"/>
        <v>0.70000000000000284</v>
      </c>
      <c r="L123" s="475">
        <f t="shared" si="16"/>
        <v>6.8563592732259447E-3</v>
      </c>
      <c r="M123" s="463">
        <v>4.5999999999999996</v>
      </c>
      <c r="N123" s="463">
        <v>4.5999999999999996</v>
      </c>
    </row>
    <row r="124" spans="1:14" s="41" customFormat="1" ht="15.75" customHeight="1" x14ac:dyDescent="0.2">
      <c r="A124" s="25" t="s">
        <v>6278</v>
      </c>
      <c r="B124" s="25" t="s">
        <v>6279</v>
      </c>
      <c r="C124" s="1023"/>
      <c r="D124" s="1024">
        <v>115.31</v>
      </c>
      <c r="E124" s="144"/>
      <c r="F124" s="144"/>
      <c r="G124" s="683"/>
      <c r="H124" s="823"/>
      <c r="I124" s="824"/>
      <c r="J124" s="1855"/>
      <c r="K124" s="712"/>
      <c r="L124" s="713"/>
      <c r="M124" s="1223"/>
      <c r="N124" s="1223"/>
    </row>
    <row r="125" spans="1:14" s="1836" customFormat="1" ht="15.75" customHeight="1" x14ac:dyDescent="0.2">
      <c r="A125" s="1581" t="s">
        <v>6280</v>
      </c>
      <c r="B125" s="1581" t="s">
        <v>6281</v>
      </c>
      <c r="C125" s="1829"/>
      <c r="D125" s="1348">
        <v>110</v>
      </c>
      <c r="E125" s="900"/>
      <c r="F125" s="900"/>
      <c r="G125" s="683"/>
      <c r="H125" s="823"/>
      <c r="I125" s="824"/>
      <c r="J125" s="1855"/>
      <c r="K125" s="1843"/>
      <c r="L125" s="1835"/>
      <c r="M125" s="1845"/>
      <c r="N125" s="1845"/>
    </row>
    <row r="126" spans="1:14" ht="15.75" customHeight="1" x14ac:dyDescent="0.2">
      <c r="A126" s="11" t="s">
        <v>6282</v>
      </c>
      <c r="B126" s="11" t="s">
        <v>6283</v>
      </c>
      <c r="C126" s="925"/>
      <c r="D126" s="931">
        <v>107.13499999999999</v>
      </c>
      <c r="E126" s="20">
        <v>27.5</v>
      </c>
      <c r="F126" s="20">
        <v>27.5</v>
      </c>
      <c r="G126" s="683">
        <v>100.52</v>
      </c>
      <c r="H126" s="823">
        <v>85.990000000000009</v>
      </c>
      <c r="I126" s="824">
        <v>99.855000000000004</v>
      </c>
      <c r="J126" s="1855">
        <v>100.52</v>
      </c>
      <c r="K126" s="667">
        <f t="shared" si="15"/>
        <v>0.66499999999999204</v>
      </c>
      <c r="L126" s="475">
        <f t="shared" si="16"/>
        <v>6.6596565019277154E-3</v>
      </c>
      <c r="M126" s="463">
        <v>4.5999999999999996</v>
      </c>
      <c r="N126" s="463">
        <v>4.5999999999999996</v>
      </c>
    </row>
    <row r="127" spans="1:14" ht="15.75" customHeight="1" x14ac:dyDescent="0.2">
      <c r="A127" s="11" t="s">
        <v>6284</v>
      </c>
      <c r="B127" s="11" t="s">
        <v>6285</v>
      </c>
      <c r="C127" s="925"/>
      <c r="D127" s="931">
        <v>111.7025</v>
      </c>
      <c r="E127" s="20">
        <v>27.5</v>
      </c>
      <c r="F127" s="20">
        <v>39.5</v>
      </c>
      <c r="G127" s="683">
        <v>105.07</v>
      </c>
      <c r="H127" s="823">
        <v>92.92</v>
      </c>
      <c r="I127" s="824">
        <v>104.35250000000001</v>
      </c>
      <c r="J127" s="1855">
        <v>105.07</v>
      </c>
      <c r="K127" s="667">
        <f t="shared" si="15"/>
        <v>0.71749999999998693</v>
      </c>
      <c r="L127" s="475">
        <f t="shared" si="16"/>
        <v>6.875733691094961E-3</v>
      </c>
      <c r="M127" s="463">
        <v>4.5999999999999996</v>
      </c>
      <c r="N127" s="463">
        <v>6.65</v>
      </c>
    </row>
    <row r="128" spans="1:14" ht="15.75" customHeight="1" x14ac:dyDescent="0.2">
      <c r="A128" s="11" t="s">
        <v>6286</v>
      </c>
      <c r="B128" s="11" t="s">
        <v>6287</v>
      </c>
      <c r="C128" s="925"/>
      <c r="D128" s="931">
        <v>113.19000000000001</v>
      </c>
      <c r="E128" s="20">
        <v>30</v>
      </c>
      <c r="F128" s="20">
        <v>40</v>
      </c>
      <c r="G128" s="683">
        <v>106.575</v>
      </c>
      <c r="H128" s="823">
        <v>95.7</v>
      </c>
      <c r="I128" s="824">
        <v>105.83999999999999</v>
      </c>
      <c r="J128" s="1855">
        <v>106.575</v>
      </c>
      <c r="K128" s="667">
        <f t="shared" si="15"/>
        <v>0.73500000000001364</v>
      </c>
      <c r="L128" s="475">
        <f t="shared" si="16"/>
        <v>6.9444444444445742E-3</v>
      </c>
      <c r="M128" s="463">
        <v>4.5999999999999996</v>
      </c>
      <c r="N128" s="463">
        <v>6.65</v>
      </c>
    </row>
    <row r="129" spans="1:14" s="50" customFormat="1" ht="15.75" customHeight="1" x14ac:dyDescent="0.2">
      <c r="A129" s="11" t="s">
        <v>6288</v>
      </c>
      <c r="B129" s="11" t="s">
        <v>6289</v>
      </c>
      <c r="C129" s="925"/>
      <c r="D129" s="931">
        <v>147.45500000000001</v>
      </c>
      <c r="E129" s="20">
        <v>31</v>
      </c>
      <c r="F129" s="20">
        <v>47</v>
      </c>
      <c r="G129" s="683">
        <v>138.0575</v>
      </c>
      <c r="H129" s="823"/>
      <c r="I129" s="824">
        <v>136.88499999999999</v>
      </c>
      <c r="J129" s="1855">
        <v>138.0575</v>
      </c>
      <c r="K129" s="667">
        <f t="shared" si="15"/>
        <v>1.1725000000000136</v>
      </c>
      <c r="L129" s="475">
        <f t="shared" si="16"/>
        <v>8.5655842495526435E-3</v>
      </c>
      <c r="M129" s="463">
        <v>4.5999999999999996</v>
      </c>
      <c r="N129" s="463">
        <v>6.65</v>
      </c>
    </row>
    <row r="130" spans="1:14" s="1836" customFormat="1" ht="15.75" customHeight="1" x14ac:dyDescent="0.2">
      <c r="A130" s="1581" t="s">
        <v>6290</v>
      </c>
      <c r="B130" s="1581" t="s">
        <v>6291</v>
      </c>
      <c r="C130" s="1829"/>
      <c r="D130" s="1348">
        <v>111.685</v>
      </c>
      <c r="E130" s="900"/>
      <c r="F130" s="900"/>
      <c r="G130" s="683">
        <v>110</v>
      </c>
      <c r="H130" s="823"/>
      <c r="I130" s="824"/>
      <c r="J130" s="1855"/>
      <c r="K130" s="1843"/>
      <c r="L130" s="1835"/>
      <c r="M130" s="1845"/>
      <c r="N130" s="1845"/>
    </row>
    <row r="131" spans="1:14" ht="15.75" customHeight="1" x14ac:dyDescent="0.2">
      <c r="A131" s="11" t="s">
        <v>6292</v>
      </c>
      <c r="B131" s="11" t="s">
        <v>6293</v>
      </c>
      <c r="C131" s="925"/>
      <c r="D131" s="931">
        <v>116.00750000000001</v>
      </c>
      <c r="E131" s="20">
        <v>36</v>
      </c>
      <c r="F131" s="20">
        <v>36</v>
      </c>
      <c r="G131" s="683">
        <v>109.375</v>
      </c>
      <c r="H131" s="823">
        <v>97.660000000000011</v>
      </c>
      <c r="I131" s="824">
        <v>108.53500000000001</v>
      </c>
      <c r="J131" s="1855">
        <v>109.375</v>
      </c>
      <c r="K131" s="667">
        <f t="shared" si="15"/>
        <v>0.8399999999999892</v>
      </c>
      <c r="L131" s="475">
        <f t="shared" si="16"/>
        <v>7.739438890680325E-3</v>
      </c>
      <c r="M131" s="463">
        <v>4.5999999999999996</v>
      </c>
      <c r="N131" s="463">
        <v>4.5999999999999996</v>
      </c>
    </row>
    <row r="132" spans="1:14" ht="15.75" customHeight="1" x14ac:dyDescent="0.2">
      <c r="A132" s="11" t="s">
        <v>6294</v>
      </c>
      <c r="B132" s="11" t="s">
        <v>6295</v>
      </c>
      <c r="C132" s="925"/>
      <c r="D132" s="931">
        <v>148.435</v>
      </c>
      <c r="E132" s="20">
        <v>36</v>
      </c>
      <c r="F132" s="20">
        <v>44</v>
      </c>
      <c r="G132" s="687">
        <v>133.7525</v>
      </c>
      <c r="H132" s="823">
        <v>116.45</v>
      </c>
      <c r="I132" s="824">
        <v>137.8125</v>
      </c>
      <c r="J132" s="1855">
        <v>133.7525</v>
      </c>
      <c r="K132" s="667">
        <f t="shared" si="15"/>
        <v>-4.0600000000000023</v>
      </c>
      <c r="L132" s="475">
        <f t="shared" si="16"/>
        <v>-2.9460317460317478E-2</v>
      </c>
      <c r="M132" s="463">
        <v>4.5999999999999996</v>
      </c>
      <c r="N132" s="463">
        <v>6.65</v>
      </c>
    </row>
    <row r="133" spans="1:14" ht="15.75" customHeight="1" x14ac:dyDescent="0.2">
      <c r="A133" s="11" t="s">
        <v>6296</v>
      </c>
      <c r="B133" s="11" t="s">
        <v>6297</v>
      </c>
      <c r="C133" s="925"/>
      <c r="D133" s="931">
        <v>148.8725</v>
      </c>
      <c r="E133" s="20">
        <v>36</v>
      </c>
      <c r="F133" s="20">
        <v>48</v>
      </c>
      <c r="G133" s="687">
        <v>139.58000000000001</v>
      </c>
      <c r="H133" s="823">
        <v>119.49000000000001</v>
      </c>
      <c r="I133" s="824">
        <v>138.35500000000002</v>
      </c>
      <c r="J133" s="1855">
        <v>139.58000000000001</v>
      </c>
      <c r="K133" s="667">
        <f t="shared" si="15"/>
        <v>1.2249999999999943</v>
      </c>
      <c r="L133" s="475">
        <f t="shared" si="16"/>
        <v>8.8540349101947462E-3</v>
      </c>
      <c r="M133" s="463">
        <v>4.5999999999999996</v>
      </c>
      <c r="N133" s="463">
        <v>6.65</v>
      </c>
    </row>
    <row r="134" spans="1:14" s="50" customFormat="1" ht="15.75" customHeight="1" x14ac:dyDescent="0.2">
      <c r="A134" s="29" t="s">
        <v>6298</v>
      </c>
      <c r="B134" s="11" t="s">
        <v>6299</v>
      </c>
      <c r="C134" s="925"/>
      <c r="D134" s="931">
        <v>150.9725</v>
      </c>
      <c r="E134" s="20">
        <v>36</v>
      </c>
      <c r="F134" s="20">
        <v>53</v>
      </c>
      <c r="G134" s="687">
        <v>141.67999999999998</v>
      </c>
      <c r="H134" s="823">
        <v>122.92</v>
      </c>
      <c r="I134" s="824">
        <v>140.4375</v>
      </c>
      <c r="J134" s="1855">
        <v>141.67999999999998</v>
      </c>
      <c r="K134" s="667">
        <f t="shared" si="15"/>
        <v>1.2424999999999784</v>
      </c>
      <c r="L134" s="475">
        <f t="shared" si="16"/>
        <v>8.8473520249219648E-3</v>
      </c>
      <c r="M134" s="463">
        <v>4.5999999999999996</v>
      </c>
      <c r="N134" s="463">
        <v>6.65</v>
      </c>
    </row>
    <row r="135" spans="1:14" s="50" customFormat="1" ht="15.75" customHeight="1" x14ac:dyDescent="0.2">
      <c r="A135" s="29" t="s">
        <v>6300</v>
      </c>
      <c r="B135" s="11" t="s">
        <v>6301</v>
      </c>
      <c r="C135" s="925"/>
      <c r="D135" s="931">
        <v>150.9725</v>
      </c>
      <c r="E135" s="20">
        <v>36</v>
      </c>
      <c r="F135" s="20">
        <v>55</v>
      </c>
      <c r="G135" s="687">
        <v>141.67999999999998</v>
      </c>
      <c r="H135" s="823">
        <v>123.59</v>
      </c>
      <c r="I135" s="824">
        <v>140.4375</v>
      </c>
      <c r="J135" s="1855">
        <v>141.67999999999998</v>
      </c>
      <c r="K135" s="667">
        <f t="shared" si="15"/>
        <v>1.2424999999999784</v>
      </c>
      <c r="L135" s="475">
        <f t="shared" si="16"/>
        <v>8.8473520249219648E-3</v>
      </c>
      <c r="M135" s="463">
        <v>4.5999999999999996</v>
      </c>
      <c r="N135" s="463">
        <v>6.65</v>
      </c>
    </row>
    <row r="136" spans="1:14" ht="15.75" customHeight="1" x14ac:dyDescent="0.2">
      <c r="A136" s="11" t="s">
        <v>6302</v>
      </c>
      <c r="B136" s="11" t="s">
        <v>6303</v>
      </c>
      <c r="C136" s="925"/>
      <c r="D136" s="931">
        <v>234.30749999999998</v>
      </c>
      <c r="E136" s="20">
        <v>36</v>
      </c>
      <c r="F136" s="20">
        <v>72</v>
      </c>
      <c r="G136" s="687">
        <v>218.54</v>
      </c>
      <c r="H136" s="823">
        <v>182.2</v>
      </c>
      <c r="I136" s="824">
        <v>216.755</v>
      </c>
      <c r="J136" s="1855">
        <v>218.54</v>
      </c>
      <c r="K136" s="667">
        <f t="shared" si="15"/>
        <v>1.7849999999999966</v>
      </c>
      <c r="L136" s="475">
        <f t="shared" si="16"/>
        <v>8.2351041498465848E-3</v>
      </c>
      <c r="M136" s="463">
        <v>4.5999999999999996</v>
      </c>
      <c r="N136" s="463">
        <v>6.65</v>
      </c>
    </row>
    <row r="137" spans="1:14" ht="15.75" customHeight="1" x14ac:dyDescent="0.2">
      <c r="A137" s="29" t="s">
        <v>6304</v>
      </c>
      <c r="B137" s="29" t="s">
        <v>6305</v>
      </c>
      <c r="C137" s="925"/>
      <c r="D137" s="931">
        <v>152.63499999999999</v>
      </c>
      <c r="E137" s="20">
        <v>38</v>
      </c>
      <c r="F137" s="20">
        <v>50</v>
      </c>
      <c r="G137" s="687">
        <v>143.20249999999999</v>
      </c>
      <c r="H137" s="823">
        <v>121.61</v>
      </c>
      <c r="I137" s="824">
        <v>141.9425</v>
      </c>
      <c r="J137" s="1855">
        <v>143.20249999999999</v>
      </c>
      <c r="K137" s="667">
        <f t="shared" si="15"/>
        <v>1.2599999999999909</v>
      </c>
      <c r="L137" s="475">
        <f t="shared" si="16"/>
        <v>8.8768339292318432E-3</v>
      </c>
      <c r="M137" s="463">
        <v>6.65</v>
      </c>
      <c r="N137" s="463">
        <v>6.65</v>
      </c>
    </row>
    <row r="138" spans="1:14" ht="15.75" customHeight="1" x14ac:dyDescent="0.2">
      <c r="A138" s="11" t="s">
        <v>6306</v>
      </c>
      <c r="B138" s="11" t="s">
        <v>6307</v>
      </c>
      <c r="C138" s="925"/>
      <c r="D138" s="931">
        <v>148.13750000000002</v>
      </c>
      <c r="E138" s="20">
        <v>39</v>
      </c>
      <c r="F138" s="20">
        <v>39</v>
      </c>
      <c r="G138" s="687">
        <v>138.70500000000001</v>
      </c>
      <c r="H138" s="823">
        <v>115.82000000000001</v>
      </c>
      <c r="I138" s="824">
        <v>137.51499999999999</v>
      </c>
      <c r="J138" s="1855">
        <v>138.70500000000001</v>
      </c>
      <c r="K138" s="667">
        <f t="shared" si="15"/>
        <v>1.1900000000000261</v>
      </c>
      <c r="L138" s="475">
        <f t="shared" si="16"/>
        <v>8.6536014252992493E-3</v>
      </c>
      <c r="M138" s="463">
        <v>6.65</v>
      </c>
      <c r="N138" s="463">
        <v>4.5999999999999996</v>
      </c>
    </row>
    <row r="139" spans="1:14" ht="15.75" customHeight="1" x14ac:dyDescent="0.2">
      <c r="A139" s="11" t="s">
        <v>6308</v>
      </c>
      <c r="B139" s="11" t="s">
        <v>6309</v>
      </c>
      <c r="C139" s="925"/>
      <c r="D139" s="931">
        <v>154.94500000000002</v>
      </c>
      <c r="E139" s="20">
        <v>39</v>
      </c>
      <c r="F139" s="20">
        <v>55</v>
      </c>
      <c r="G139" s="687">
        <v>145.51250000000002</v>
      </c>
      <c r="H139" s="823">
        <v>127.23</v>
      </c>
      <c r="I139" s="824">
        <v>144.20000000000002</v>
      </c>
      <c r="J139" s="1855">
        <v>145.51250000000002</v>
      </c>
      <c r="K139" s="667">
        <f t="shared" si="15"/>
        <v>1.3125</v>
      </c>
      <c r="L139" s="475">
        <f t="shared" si="16"/>
        <v>9.101941747572815E-3</v>
      </c>
      <c r="M139" s="463">
        <v>6.65</v>
      </c>
      <c r="N139" s="463">
        <v>6.65</v>
      </c>
    </row>
    <row r="140" spans="1:14" ht="15.75" customHeight="1" x14ac:dyDescent="0.2">
      <c r="A140" s="11" t="s">
        <v>6310</v>
      </c>
      <c r="B140" s="11" t="s">
        <v>6311</v>
      </c>
      <c r="C140" s="925"/>
      <c r="D140" s="931">
        <v>148.41750000000002</v>
      </c>
      <c r="E140" s="20">
        <v>40</v>
      </c>
      <c r="F140" s="20">
        <v>40</v>
      </c>
      <c r="G140" s="687">
        <v>138.98500000000001</v>
      </c>
      <c r="H140" s="823">
        <v>117.11</v>
      </c>
      <c r="I140" s="824">
        <v>137.2525</v>
      </c>
      <c r="J140" s="1855">
        <v>138.98500000000001</v>
      </c>
      <c r="K140" s="667">
        <f t="shared" si="15"/>
        <v>1.7325000000000159</v>
      </c>
      <c r="L140" s="475">
        <f t="shared" si="16"/>
        <v>1.2622720897615824E-2</v>
      </c>
      <c r="M140" s="463">
        <v>6.65</v>
      </c>
      <c r="N140" s="463">
        <v>6.65</v>
      </c>
    </row>
    <row r="141" spans="1:14" s="50" customFormat="1" ht="15.75" customHeight="1" x14ac:dyDescent="0.2">
      <c r="A141" s="11" t="s">
        <v>6312</v>
      </c>
      <c r="B141" s="11" t="s">
        <v>6313</v>
      </c>
      <c r="C141" s="925"/>
      <c r="D141" s="931">
        <v>180.43</v>
      </c>
      <c r="E141" s="20">
        <v>40</v>
      </c>
      <c r="F141" s="20">
        <v>60</v>
      </c>
      <c r="G141" s="687">
        <v>149.73000000000002</v>
      </c>
      <c r="H141" s="823">
        <v>117.11</v>
      </c>
      <c r="I141" s="824">
        <v>137.2525</v>
      </c>
      <c r="J141" s="1855">
        <v>149.73000000000002</v>
      </c>
      <c r="K141" s="667">
        <f t="shared" si="15"/>
        <v>12.47750000000002</v>
      </c>
      <c r="L141" s="475">
        <f t="shared" si="16"/>
        <v>9.0909090909091064E-2</v>
      </c>
      <c r="M141" s="463">
        <v>6.65</v>
      </c>
      <c r="N141" s="463">
        <v>6.65</v>
      </c>
    </row>
    <row r="142" spans="1:14" ht="15.75" customHeight="1" x14ac:dyDescent="0.2">
      <c r="A142" s="11" t="s">
        <v>6314</v>
      </c>
      <c r="B142" s="11" t="s">
        <v>6315</v>
      </c>
      <c r="C142" s="925"/>
      <c r="D142" s="931">
        <v>230.405</v>
      </c>
      <c r="E142" s="20">
        <v>41.25</v>
      </c>
      <c r="F142" s="20">
        <v>61.25</v>
      </c>
      <c r="G142" s="683">
        <v>216.29999999999998</v>
      </c>
      <c r="H142" s="679">
        <v>179.92999999999998</v>
      </c>
      <c r="I142" s="680">
        <v>212.45000000000002</v>
      </c>
      <c r="J142" s="1855">
        <v>216.29999999999998</v>
      </c>
      <c r="K142" s="667">
        <f t="shared" si="15"/>
        <v>3.8499999999999659</v>
      </c>
      <c r="L142" s="475">
        <f t="shared" si="16"/>
        <v>1.8121911037891108E-2</v>
      </c>
      <c r="M142" s="463">
        <v>6.65</v>
      </c>
      <c r="N142" s="463">
        <v>6.65</v>
      </c>
    </row>
    <row r="143" spans="1:14" ht="15.75" customHeight="1" x14ac:dyDescent="0.2">
      <c r="A143" s="11" t="s">
        <v>6316</v>
      </c>
      <c r="B143" s="11" t="s">
        <v>6317</v>
      </c>
      <c r="C143" s="925"/>
      <c r="D143" s="931">
        <v>150.6225</v>
      </c>
      <c r="E143" s="20">
        <v>41.5</v>
      </c>
      <c r="F143" s="20">
        <v>42.5</v>
      </c>
      <c r="G143" s="687">
        <v>141.19</v>
      </c>
      <c r="H143" s="679">
        <v>120.28</v>
      </c>
      <c r="I143" s="680">
        <v>139.94749999999999</v>
      </c>
      <c r="J143" s="1855">
        <v>141.19</v>
      </c>
      <c r="K143" s="667">
        <f t="shared" si="15"/>
        <v>1.2425000000000068</v>
      </c>
      <c r="L143" s="475">
        <f t="shared" si="16"/>
        <v>8.8783293735151172E-3</v>
      </c>
      <c r="M143" s="463">
        <v>6.65</v>
      </c>
      <c r="N143" s="463">
        <v>6.65</v>
      </c>
    </row>
    <row r="144" spans="1:14" ht="15.75" customHeight="1" x14ac:dyDescent="0.2">
      <c r="A144" s="11" t="s">
        <v>6318</v>
      </c>
      <c r="B144" s="11" t="s">
        <v>6319</v>
      </c>
      <c r="C144" s="925"/>
      <c r="D144" s="931">
        <v>229.89750000000001</v>
      </c>
      <c r="E144" s="20">
        <v>41.5</v>
      </c>
      <c r="F144" s="20">
        <v>61.5</v>
      </c>
      <c r="G144" s="687">
        <v>216.29999999999998</v>
      </c>
      <c r="H144" s="679">
        <v>184.78</v>
      </c>
      <c r="I144" s="680">
        <v>212.45000000000002</v>
      </c>
      <c r="J144" s="1855">
        <v>216.29999999999998</v>
      </c>
      <c r="K144" s="667">
        <f t="shared" si="15"/>
        <v>3.8499999999999659</v>
      </c>
      <c r="L144" s="475">
        <f t="shared" si="16"/>
        <v>1.8121911037891108E-2</v>
      </c>
      <c r="M144" s="463">
        <v>6.65</v>
      </c>
      <c r="N144" s="463">
        <v>6.65</v>
      </c>
    </row>
    <row r="145" spans="1:14" ht="15.75" customHeight="1" x14ac:dyDescent="0.2">
      <c r="A145" s="11" t="s">
        <v>6320</v>
      </c>
      <c r="B145" s="11" t="s">
        <v>6321</v>
      </c>
      <c r="C145" s="925"/>
      <c r="D145" s="931">
        <v>153.89499999999998</v>
      </c>
      <c r="E145" s="20">
        <v>42</v>
      </c>
      <c r="F145" s="20">
        <v>50</v>
      </c>
      <c r="G145" s="683">
        <v>145.6875</v>
      </c>
      <c r="H145" s="679">
        <v>125.55000000000001</v>
      </c>
      <c r="I145" s="680">
        <v>143.13250000000002</v>
      </c>
      <c r="J145" s="1855">
        <v>145.6875</v>
      </c>
      <c r="K145" s="667">
        <f t="shared" si="15"/>
        <v>2.5549999999999784</v>
      </c>
      <c r="L145" s="475">
        <f t="shared" si="16"/>
        <v>1.7850592982026989E-2</v>
      </c>
      <c r="M145" s="463">
        <v>6.65</v>
      </c>
      <c r="N145" s="463">
        <v>6.65</v>
      </c>
    </row>
    <row r="146" spans="1:14" ht="15.75" customHeight="1" x14ac:dyDescent="0.2">
      <c r="A146" s="11" t="s">
        <v>6322</v>
      </c>
      <c r="B146" s="11" t="s">
        <v>6323</v>
      </c>
      <c r="C146" s="925"/>
      <c r="D146" s="931">
        <v>155.10249999999999</v>
      </c>
      <c r="E146" s="20">
        <v>42</v>
      </c>
      <c r="F146" s="20">
        <v>52</v>
      </c>
      <c r="G146" s="683">
        <v>145.6875</v>
      </c>
      <c r="H146" s="679">
        <v>127.44000000000001</v>
      </c>
      <c r="I146" s="680">
        <v>144.34</v>
      </c>
      <c r="J146" s="1855">
        <v>145.6875</v>
      </c>
      <c r="K146" s="667">
        <f t="shared" si="15"/>
        <v>1.3474999999999966</v>
      </c>
      <c r="L146" s="475">
        <f t="shared" si="16"/>
        <v>9.3355965082443995E-3</v>
      </c>
      <c r="M146" s="463">
        <v>6.65</v>
      </c>
      <c r="N146" s="463">
        <v>6.65</v>
      </c>
    </row>
    <row r="147" spans="1:14" ht="15.75" customHeight="1" x14ac:dyDescent="0.2">
      <c r="A147" s="11" t="s">
        <v>6324</v>
      </c>
      <c r="B147" s="11" t="s">
        <v>6325</v>
      </c>
      <c r="C147" s="925"/>
      <c r="D147" s="931">
        <v>234.95499999999998</v>
      </c>
      <c r="E147" s="20">
        <v>46</v>
      </c>
      <c r="F147" s="20">
        <v>62</v>
      </c>
      <c r="G147" s="683">
        <v>217.38499999999999</v>
      </c>
      <c r="H147" s="679">
        <v>184.78</v>
      </c>
      <c r="I147" s="680">
        <v>217.38499999999999</v>
      </c>
      <c r="J147" s="1855">
        <v>217.38499999999999</v>
      </c>
      <c r="K147" s="667">
        <f t="shared" si="15"/>
        <v>0</v>
      </c>
      <c r="L147" s="475">
        <f t="shared" si="16"/>
        <v>0</v>
      </c>
      <c r="M147" s="463">
        <v>6.65</v>
      </c>
      <c r="N147" s="463">
        <v>6.65</v>
      </c>
    </row>
    <row r="148" spans="1:14" ht="15.75" customHeight="1" x14ac:dyDescent="0.2">
      <c r="A148" s="11" t="s">
        <v>6326</v>
      </c>
      <c r="B148" s="11" t="s">
        <v>6327</v>
      </c>
      <c r="C148" s="925"/>
      <c r="D148" s="931">
        <v>155.10249999999999</v>
      </c>
      <c r="E148" s="20">
        <v>47</v>
      </c>
      <c r="F148" s="20">
        <v>47</v>
      </c>
      <c r="G148" s="683">
        <v>145.6525</v>
      </c>
      <c r="H148" s="679">
        <v>128.13999999999999</v>
      </c>
      <c r="I148" s="680">
        <v>144.34</v>
      </c>
      <c r="J148" s="1855">
        <v>145.6525</v>
      </c>
      <c r="K148" s="667">
        <f t="shared" si="15"/>
        <v>1.3125</v>
      </c>
      <c r="L148" s="475">
        <f t="shared" si="16"/>
        <v>9.0931134820562559E-3</v>
      </c>
      <c r="M148" s="463">
        <v>6.65</v>
      </c>
      <c r="N148" s="463">
        <v>6.65</v>
      </c>
    </row>
    <row r="149" spans="1:14" ht="15.75" customHeight="1" x14ac:dyDescent="0.2">
      <c r="A149" s="11" t="s">
        <v>6328</v>
      </c>
      <c r="B149" s="11" t="s">
        <v>6329</v>
      </c>
      <c r="C149" s="925"/>
      <c r="D149" s="931">
        <v>233.64249999999998</v>
      </c>
      <c r="E149" s="20">
        <v>47</v>
      </c>
      <c r="F149" s="20">
        <v>57</v>
      </c>
      <c r="G149" s="683">
        <v>217.875</v>
      </c>
      <c r="H149" s="679">
        <v>182.69</v>
      </c>
      <c r="I149" s="680">
        <v>210.245</v>
      </c>
      <c r="J149" s="1855">
        <v>217.875</v>
      </c>
      <c r="K149" s="667">
        <f t="shared" si="15"/>
        <v>7.6299999999999955</v>
      </c>
      <c r="L149" s="475">
        <f t="shared" si="16"/>
        <v>3.629099384051937E-2</v>
      </c>
      <c r="M149" s="463">
        <v>6.65</v>
      </c>
      <c r="N149" s="463">
        <v>6.65</v>
      </c>
    </row>
    <row r="150" spans="1:14" ht="15.75" customHeight="1" x14ac:dyDescent="0.2">
      <c r="A150" s="11" t="s">
        <v>6330</v>
      </c>
      <c r="B150" s="11" t="s">
        <v>6331</v>
      </c>
      <c r="C150" s="925"/>
      <c r="D150" s="931">
        <v>237.94749999999999</v>
      </c>
      <c r="E150" s="20">
        <v>47</v>
      </c>
      <c r="F150" s="20">
        <v>68</v>
      </c>
      <c r="G150" s="683">
        <v>222.19749999999999</v>
      </c>
      <c r="H150" s="679">
        <v>190.51999999999998</v>
      </c>
      <c r="I150" s="680">
        <v>220.3075</v>
      </c>
      <c r="J150" s="1855">
        <v>222.19749999999999</v>
      </c>
      <c r="K150" s="667">
        <f t="shared" si="15"/>
        <v>1.8899999999999864</v>
      </c>
      <c r="L150" s="475">
        <f t="shared" si="16"/>
        <v>8.5789181031058238E-3</v>
      </c>
      <c r="M150" s="463">
        <v>6.65</v>
      </c>
      <c r="N150" s="463">
        <v>6.65</v>
      </c>
    </row>
    <row r="151" spans="1:14" ht="15.75" customHeight="1" x14ac:dyDescent="0.2">
      <c r="A151" s="11" t="s">
        <v>6332</v>
      </c>
      <c r="B151" s="11" t="s">
        <v>6333</v>
      </c>
      <c r="C151" s="925"/>
      <c r="D151" s="931">
        <v>237.96499999999997</v>
      </c>
      <c r="E151" s="20">
        <v>47</v>
      </c>
      <c r="F151" s="20">
        <v>69</v>
      </c>
      <c r="G151" s="683">
        <v>222.19749999999999</v>
      </c>
      <c r="H151" s="679">
        <v>190.89999999999998</v>
      </c>
      <c r="I151" s="680">
        <v>220.3075</v>
      </c>
      <c r="J151" s="1855">
        <v>222.19749999999999</v>
      </c>
      <c r="K151" s="667">
        <f t="shared" si="15"/>
        <v>1.8899999999999864</v>
      </c>
      <c r="L151" s="475">
        <f t="shared" si="16"/>
        <v>8.5789181031058238E-3</v>
      </c>
      <c r="M151" s="463">
        <v>6.65</v>
      </c>
      <c r="N151" s="463">
        <v>6.65</v>
      </c>
    </row>
    <row r="152" spans="1:14" ht="15.75" customHeight="1" x14ac:dyDescent="0.2">
      <c r="A152" s="11" t="s">
        <v>6334</v>
      </c>
      <c r="B152" s="11" t="s">
        <v>6335</v>
      </c>
      <c r="C152" s="925"/>
      <c r="D152" s="931">
        <v>156.16999999999999</v>
      </c>
      <c r="E152" s="20">
        <v>48</v>
      </c>
      <c r="F152" s="20">
        <v>48</v>
      </c>
      <c r="G152" s="687">
        <v>146.73749999999998</v>
      </c>
      <c r="H152" s="679">
        <v>129.54</v>
      </c>
      <c r="I152" s="680">
        <v>145.42499999999998</v>
      </c>
      <c r="J152" s="1855">
        <v>146.73749999999998</v>
      </c>
      <c r="K152" s="667">
        <f t="shared" si="15"/>
        <v>1.3125</v>
      </c>
      <c r="L152" s="475">
        <f t="shared" si="16"/>
        <v>9.0252707581227453E-3</v>
      </c>
      <c r="M152" s="463">
        <v>6.65</v>
      </c>
      <c r="N152" s="463">
        <v>6.65</v>
      </c>
    </row>
    <row r="153" spans="1:14" ht="15.75" customHeight="1" x14ac:dyDescent="0.2">
      <c r="A153" s="11" t="s">
        <v>6336</v>
      </c>
      <c r="B153" s="11" t="s">
        <v>6337</v>
      </c>
      <c r="C153" s="925"/>
      <c r="D153" s="931">
        <v>230.80749999999998</v>
      </c>
      <c r="E153" s="20">
        <v>48</v>
      </c>
      <c r="F153" s="20">
        <v>54</v>
      </c>
      <c r="G153" s="687">
        <v>215.04</v>
      </c>
      <c r="H153" s="679">
        <v>180.79999999999998</v>
      </c>
      <c r="I153" s="680">
        <v>213.3775</v>
      </c>
      <c r="J153" s="1855">
        <v>215.04</v>
      </c>
      <c r="K153" s="667">
        <f t="shared" si="15"/>
        <v>1.6624999999999943</v>
      </c>
      <c r="L153" s="475">
        <f t="shared" si="16"/>
        <v>7.7913556958910581E-3</v>
      </c>
      <c r="M153" s="463">
        <v>6.65</v>
      </c>
      <c r="N153" s="463">
        <v>6.65</v>
      </c>
    </row>
    <row r="154" spans="1:14" ht="15.75" customHeight="1" x14ac:dyDescent="0.2">
      <c r="A154" s="11" t="s">
        <v>6338</v>
      </c>
      <c r="B154" s="11" t="s">
        <v>6339</v>
      </c>
      <c r="C154" s="925"/>
      <c r="D154" s="931">
        <v>230.80749999999998</v>
      </c>
      <c r="E154" s="20">
        <v>48</v>
      </c>
      <c r="F154" s="20">
        <v>55</v>
      </c>
      <c r="G154" s="687">
        <v>215.04</v>
      </c>
      <c r="H154" s="679">
        <v>181.20999999999998</v>
      </c>
      <c r="I154" s="680">
        <v>213.3775</v>
      </c>
      <c r="J154" s="1855">
        <v>215.04</v>
      </c>
      <c r="K154" s="667">
        <f t="shared" si="15"/>
        <v>1.6624999999999943</v>
      </c>
      <c r="L154" s="475">
        <f t="shared" si="16"/>
        <v>7.7913556958910581E-3</v>
      </c>
      <c r="M154" s="463">
        <v>6.65</v>
      </c>
      <c r="N154" s="463">
        <v>6.65</v>
      </c>
    </row>
    <row r="155" spans="1:14" ht="15.75" customHeight="1" x14ac:dyDescent="0.2">
      <c r="A155" s="11" t="s">
        <v>6340</v>
      </c>
      <c r="B155" s="11" t="s">
        <v>6341</v>
      </c>
      <c r="C155" s="925"/>
      <c r="D155" s="931">
        <v>265.04000000000002</v>
      </c>
      <c r="E155" s="20">
        <v>48</v>
      </c>
      <c r="F155" s="20">
        <v>60</v>
      </c>
      <c r="G155" s="687">
        <v>220.3775</v>
      </c>
      <c r="H155" s="679">
        <v>184.95</v>
      </c>
      <c r="I155" s="680">
        <v>218.57500000000002</v>
      </c>
      <c r="J155" s="1855">
        <v>220.3775</v>
      </c>
      <c r="K155" s="667">
        <f t="shared" si="15"/>
        <v>1.8024999999999807</v>
      </c>
      <c r="L155" s="475">
        <f t="shared" si="16"/>
        <v>8.2465972778221694E-3</v>
      </c>
      <c r="M155" s="463">
        <v>6.65</v>
      </c>
      <c r="N155" s="463">
        <v>6.65</v>
      </c>
    </row>
    <row r="156" spans="1:14" ht="15.75" customHeight="1" x14ac:dyDescent="0.2">
      <c r="A156" s="11" t="s">
        <v>6342</v>
      </c>
      <c r="B156" s="11" t="s">
        <v>6343</v>
      </c>
      <c r="C156" s="925"/>
      <c r="D156" s="931">
        <v>236.14499999999998</v>
      </c>
      <c r="E156" s="20">
        <v>48</v>
      </c>
      <c r="F156" s="20">
        <v>62</v>
      </c>
      <c r="G156" s="687">
        <v>220.3775</v>
      </c>
      <c r="H156" s="679">
        <v>201.80124999999998</v>
      </c>
      <c r="I156" s="680">
        <v>218.57500000000002</v>
      </c>
      <c r="J156" s="1855">
        <v>220.3775</v>
      </c>
      <c r="K156" s="667">
        <f t="shared" si="15"/>
        <v>1.8024999999999807</v>
      </c>
      <c r="L156" s="475">
        <f t="shared" si="16"/>
        <v>8.2465972778221694E-3</v>
      </c>
      <c r="M156" s="463">
        <v>6.65</v>
      </c>
      <c r="N156" s="463">
        <v>6.65</v>
      </c>
    </row>
    <row r="157" spans="1:14" ht="15.75" customHeight="1" x14ac:dyDescent="0.2">
      <c r="A157" s="11" t="s">
        <v>6344</v>
      </c>
      <c r="B157" s="29" t="s">
        <v>6345</v>
      </c>
      <c r="C157" s="925"/>
      <c r="D157" s="931">
        <v>240.85249999999999</v>
      </c>
      <c r="E157" s="20">
        <v>48</v>
      </c>
      <c r="F157" s="20">
        <v>72</v>
      </c>
      <c r="G157" s="687">
        <v>224.96250000000003</v>
      </c>
      <c r="H157" s="679">
        <v>209.43890625000003</v>
      </c>
      <c r="I157" s="680">
        <v>223.19500000000002</v>
      </c>
      <c r="J157" s="1855">
        <v>224.96250000000003</v>
      </c>
      <c r="K157" s="667">
        <f t="shared" si="15"/>
        <v>1.7675000000000125</v>
      </c>
      <c r="L157" s="475">
        <f t="shared" si="16"/>
        <v>7.9190842088757013E-3</v>
      </c>
      <c r="M157" s="463">
        <v>6.65</v>
      </c>
      <c r="N157" s="463">
        <v>6.65</v>
      </c>
    </row>
    <row r="158" spans="1:14" ht="15.75" customHeight="1" x14ac:dyDescent="0.2">
      <c r="A158" s="11" t="s">
        <v>6346</v>
      </c>
      <c r="B158" s="29" t="s">
        <v>6347</v>
      </c>
      <c r="C158" s="925"/>
      <c r="D158" s="931">
        <v>242.2525</v>
      </c>
      <c r="E158" s="20">
        <v>49</v>
      </c>
      <c r="F158" s="20">
        <v>72</v>
      </c>
      <c r="G158" s="687">
        <v>226.53749999999997</v>
      </c>
      <c r="H158" s="679">
        <v>273.66000000000003</v>
      </c>
      <c r="I158" s="680">
        <v>224.56</v>
      </c>
      <c r="J158" s="1855">
        <v>226.53749999999997</v>
      </c>
      <c r="K158" s="667">
        <f t="shared" si="15"/>
        <v>1.9774999999999636</v>
      </c>
      <c r="L158" s="475">
        <f t="shared" si="16"/>
        <v>8.8061097256856239E-3</v>
      </c>
      <c r="M158" s="463">
        <v>6.65</v>
      </c>
      <c r="N158" s="463">
        <v>6.65</v>
      </c>
    </row>
    <row r="159" spans="1:14" ht="15.75" customHeight="1" x14ac:dyDescent="0.2">
      <c r="A159" s="11" t="s">
        <v>6348</v>
      </c>
      <c r="B159" s="11" t="s">
        <v>6349</v>
      </c>
      <c r="C159" s="925"/>
      <c r="D159" s="931">
        <v>236.18</v>
      </c>
      <c r="E159" s="20">
        <v>50</v>
      </c>
      <c r="F159" s="20">
        <v>60</v>
      </c>
      <c r="G159" s="687">
        <v>220.41249999999999</v>
      </c>
      <c r="H159" s="679">
        <v>201.03890625000003</v>
      </c>
      <c r="I159" s="680">
        <v>218.61</v>
      </c>
      <c r="J159" s="1855">
        <v>220.41249999999999</v>
      </c>
      <c r="K159" s="667">
        <f t="shared" si="15"/>
        <v>1.8024999999999807</v>
      </c>
      <c r="L159" s="475">
        <f t="shared" si="16"/>
        <v>8.2452769772653617E-3</v>
      </c>
      <c r="M159" s="463">
        <v>6.65</v>
      </c>
      <c r="N159" s="463">
        <v>6.65</v>
      </c>
    </row>
    <row r="160" spans="1:14" ht="15.75" customHeight="1" x14ac:dyDescent="0.2">
      <c r="A160" s="11" t="s">
        <v>6350</v>
      </c>
      <c r="B160" s="11" t="s">
        <v>6351</v>
      </c>
      <c r="C160" s="925"/>
      <c r="D160" s="931">
        <v>313.9325</v>
      </c>
      <c r="E160" s="20">
        <v>52</v>
      </c>
      <c r="F160" s="20">
        <v>72</v>
      </c>
      <c r="G160" s="687">
        <v>291.90000000000003</v>
      </c>
      <c r="H160" s="679">
        <v>276.48140624999996</v>
      </c>
      <c r="I160" s="680">
        <v>289.1875</v>
      </c>
      <c r="J160" s="1855">
        <v>291.90000000000003</v>
      </c>
      <c r="K160" s="667">
        <f t="shared" si="15"/>
        <v>2.7125000000000341</v>
      </c>
      <c r="L160" s="475">
        <f t="shared" si="16"/>
        <v>9.3797276853253824E-3</v>
      </c>
      <c r="M160" s="463">
        <v>6.65</v>
      </c>
      <c r="N160" s="463">
        <v>6.65</v>
      </c>
    </row>
    <row r="161" spans="1:14" s="1836" customFormat="1" ht="15.75" customHeight="1" x14ac:dyDescent="0.2">
      <c r="A161" s="1581" t="s">
        <v>6352</v>
      </c>
      <c r="B161" s="1581" t="s">
        <v>6353</v>
      </c>
      <c r="C161" s="1829"/>
      <c r="D161" s="1348">
        <v>313</v>
      </c>
      <c r="E161" s="900"/>
      <c r="F161" s="900"/>
      <c r="G161" s="683"/>
      <c r="H161" s="679"/>
      <c r="I161" s="680"/>
      <c r="J161" s="1855"/>
      <c r="K161" s="1843"/>
      <c r="L161" s="1835"/>
      <c r="M161" s="1845"/>
      <c r="N161" s="1845"/>
    </row>
    <row r="162" spans="1:14" ht="15.75" customHeight="1" x14ac:dyDescent="0.2">
      <c r="A162" s="29" t="s">
        <v>6354</v>
      </c>
      <c r="B162" s="29" t="s">
        <v>6355</v>
      </c>
      <c r="C162" s="925"/>
      <c r="D162" s="931">
        <v>313.91499999999996</v>
      </c>
      <c r="E162" s="20">
        <v>54</v>
      </c>
      <c r="F162" s="20">
        <v>72</v>
      </c>
      <c r="G162" s="683">
        <v>291.90000000000003</v>
      </c>
      <c r="H162" s="679">
        <v>279.78890625000003</v>
      </c>
      <c r="I162" s="680">
        <v>289.1875</v>
      </c>
      <c r="J162" s="1855">
        <v>291.90000000000003</v>
      </c>
      <c r="K162" s="667">
        <f t="shared" si="15"/>
        <v>2.7125000000000341</v>
      </c>
      <c r="L162" s="475">
        <f t="shared" si="16"/>
        <v>9.3797276853253824E-3</v>
      </c>
      <c r="M162" s="463">
        <v>6.65</v>
      </c>
      <c r="N162" s="463">
        <v>6.65</v>
      </c>
    </row>
    <row r="163" spans="1:14" ht="15.75" customHeight="1" x14ac:dyDescent="0.2">
      <c r="A163" s="29" t="s">
        <v>6356</v>
      </c>
      <c r="B163" s="29" t="s">
        <v>6357</v>
      </c>
      <c r="C163" s="925"/>
      <c r="D163" s="931">
        <v>316.12</v>
      </c>
      <c r="E163" s="20">
        <v>54</v>
      </c>
      <c r="F163" s="20">
        <v>76</v>
      </c>
      <c r="G163" s="687">
        <v>294.08999999999997</v>
      </c>
      <c r="H163" s="679">
        <v>283.26</v>
      </c>
      <c r="I163" s="680">
        <v>291.33999999999997</v>
      </c>
      <c r="J163" s="1855">
        <v>294</v>
      </c>
      <c r="K163" s="667">
        <f t="shared" si="15"/>
        <v>2.660000000000025</v>
      </c>
      <c r="L163" s="475">
        <f t="shared" si="16"/>
        <v>9.130225852955396E-3</v>
      </c>
      <c r="M163" s="463">
        <v>6.65</v>
      </c>
      <c r="N163" s="463">
        <v>6.65</v>
      </c>
    </row>
    <row r="164" spans="1:14" s="1836" customFormat="1" ht="15.75" customHeight="1" x14ac:dyDescent="0.2">
      <c r="A164" s="1840" t="s">
        <v>6358</v>
      </c>
      <c r="B164" s="1840" t="s">
        <v>6359</v>
      </c>
      <c r="C164" s="1829"/>
      <c r="D164" s="1348">
        <v>325</v>
      </c>
      <c r="E164" s="900"/>
      <c r="F164" s="900"/>
      <c r="G164" s="687"/>
      <c r="H164" s="679"/>
      <c r="I164" s="680"/>
      <c r="J164" s="1855"/>
      <c r="K164" s="1843"/>
      <c r="L164" s="1835"/>
      <c r="M164" s="1845"/>
      <c r="N164" s="1845"/>
    </row>
    <row r="165" spans="1:14" s="1836" customFormat="1" ht="15.75" customHeight="1" x14ac:dyDescent="0.2">
      <c r="A165" s="1840" t="s">
        <v>6360</v>
      </c>
      <c r="B165" s="1840" t="s">
        <v>6361</v>
      </c>
      <c r="C165" s="1829"/>
      <c r="D165" s="1348">
        <v>350</v>
      </c>
      <c r="E165" s="900"/>
      <c r="F165" s="900"/>
      <c r="G165" s="687"/>
      <c r="H165" s="679"/>
      <c r="I165" s="680"/>
      <c r="J165" s="1855"/>
      <c r="K165" s="1843"/>
      <c r="L165" s="1835"/>
      <c r="M165" s="1845"/>
      <c r="N165" s="1845"/>
    </row>
    <row r="166" spans="1:14" ht="15.75" customHeight="1" x14ac:dyDescent="0.2">
      <c r="A166" s="29" t="s">
        <v>6362</v>
      </c>
      <c r="B166" s="29" t="s">
        <v>6363</v>
      </c>
      <c r="C166" s="925"/>
      <c r="D166" s="931">
        <v>351.93</v>
      </c>
      <c r="E166" s="20">
        <v>56</v>
      </c>
      <c r="F166" s="20">
        <v>74</v>
      </c>
      <c r="G166" s="687">
        <v>294.08750000000003</v>
      </c>
      <c r="H166" s="679">
        <v>283.26</v>
      </c>
      <c r="I166" s="680">
        <v>291.33999999999997</v>
      </c>
      <c r="J166" s="1855">
        <v>294.08750000000003</v>
      </c>
      <c r="K166" s="667">
        <f t="shared" si="15"/>
        <v>2.7475000000000591</v>
      </c>
      <c r="L166" s="475">
        <f t="shared" si="16"/>
        <v>9.4305622296974641E-3</v>
      </c>
      <c r="M166" s="463">
        <v>6.65</v>
      </c>
      <c r="N166" s="463">
        <v>6.65</v>
      </c>
    </row>
    <row r="167" spans="1:14" ht="15.75" customHeight="1" x14ac:dyDescent="0.2">
      <c r="A167" s="11" t="s">
        <v>6364</v>
      </c>
      <c r="B167" s="526" t="s">
        <v>6365</v>
      </c>
      <c r="C167" s="925"/>
      <c r="D167" s="931">
        <v>242.06</v>
      </c>
      <c r="E167" s="20">
        <v>60</v>
      </c>
      <c r="F167" s="20">
        <v>60</v>
      </c>
      <c r="G167" s="687">
        <v>226.27500000000003</v>
      </c>
      <c r="H167" s="679">
        <v>228.14750000000001</v>
      </c>
      <c r="I167" s="680">
        <v>224.36750000000001</v>
      </c>
      <c r="J167" s="1855">
        <v>226.27500000000003</v>
      </c>
      <c r="K167" s="667">
        <f t="shared" si="15"/>
        <v>1.9075000000000273</v>
      </c>
      <c r="L167" s="475">
        <f t="shared" si="16"/>
        <v>8.5016769362765421E-3</v>
      </c>
      <c r="M167" s="463">
        <v>6.65</v>
      </c>
      <c r="N167" s="463">
        <v>6.65</v>
      </c>
    </row>
    <row r="168" spans="1:14" ht="15.75" customHeight="1" x14ac:dyDescent="0.2">
      <c r="A168" s="11" t="s">
        <v>6366</v>
      </c>
      <c r="B168" s="526" t="s">
        <v>6367</v>
      </c>
      <c r="C168" s="925"/>
      <c r="D168" s="931">
        <v>317.065</v>
      </c>
      <c r="E168" s="20">
        <v>60</v>
      </c>
      <c r="F168" s="20">
        <v>72</v>
      </c>
      <c r="G168" s="683">
        <v>295.05</v>
      </c>
      <c r="H168" s="679">
        <v>301.91000000000003</v>
      </c>
      <c r="I168" s="680">
        <v>292.25</v>
      </c>
      <c r="J168" s="1855">
        <v>295.05</v>
      </c>
      <c r="K168" s="667">
        <f t="shared" si="15"/>
        <v>2.8000000000000114</v>
      </c>
      <c r="L168" s="475">
        <f t="shared" si="16"/>
        <v>9.5808383233533315E-3</v>
      </c>
      <c r="M168" s="463">
        <v>6.65</v>
      </c>
      <c r="N168" s="463">
        <v>6.65</v>
      </c>
    </row>
    <row r="169" spans="1:14" ht="15.75" customHeight="1" x14ac:dyDescent="0.2">
      <c r="A169" s="11" t="s">
        <v>6368</v>
      </c>
      <c r="B169" s="526" t="s">
        <v>6369</v>
      </c>
      <c r="C169" s="925"/>
      <c r="D169" s="931">
        <v>320.19749999999999</v>
      </c>
      <c r="E169" s="20">
        <v>60</v>
      </c>
      <c r="F169" s="20">
        <v>80</v>
      </c>
      <c r="G169" s="683">
        <v>298.11250000000001</v>
      </c>
      <c r="H169" s="679">
        <v>311.13249999999999</v>
      </c>
      <c r="I169" s="680">
        <v>295.3125</v>
      </c>
      <c r="J169" s="1855">
        <v>298.11250000000001</v>
      </c>
      <c r="K169" s="667">
        <f>J169-I169</f>
        <v>2.8000000000000114</v>
      </c>
      <c r="L169" s="475">
        <f>K169/I169</f>
        <v>9.4814814814815195E-3</v>
      </c>
      <c r="M169" s="463">
        <v>6.65</v>
      </c>
      <c r="N169" s="463">
        <v>6.65</v>
      </c>
    </row>
    <row r="170" spans="1:14" s="50" customFormat="1" ht="15.75" customHeight="1" x14ac:dyDescent="0.2">
      <c r="A170" s="11" t="s">
        <v>6370</v>
      </c>
      <c r="B170" s="527" t="s">
        <v>6371</v>
      </c>
      <c r="C170" s="925"/>
      <c r="D170" s="931">
        <v>394.64249999999998</v>
      </c>
      <c r="E170" s="20">
        <v>64</v>
      </c>
      <c r="F170" s="20">
        <v>94</v>
      </c>
      <c r="G170" s="683">
        <v>370.3</v>
      </c>
      <c r="H170" s="679"/>
      <c r="I170" s="680">
        <v>302.16000000000003</v>
      </c>
      <c r="J170" s="1855">
        <v>370.3</v>
      </c>
      <c r="K170" s="667">
        <f>J170-I170</f>
        <v>68.139999999999986</v>
      </c>
      <c r="L170" s="475">
        <f>K170/I170</f>
        <v>0.22550966375430229</v>
      </c>
      <c r="M170" s="463">
        <v>6.65</v>
      </c>
      <c r="N170" s="463">
        <v>6.65</v>
      </c>
    </row>
    <row r="171" spans="1:14" ht="15.75" customHeight="1" x14ac:dyDescent="0.2">
      <c r="A171" s="11" t="s">
        <v>6372</v>
      </c>
      <c r="B171" s="526" t="s">
        <v>6373</v>
      </c>
      <c r="C171" s="925"/>
      <c r="D171" s="931">
        <v>322.875</v>
      </c>
      <c r="E171" s="20">
        <v>72</v>
      </c>
      <c r="F171" s="20">
        <v>72</v>
      </c>
      <c r="G171" s="683">
        <v>300.82499999999999</v>
      </c>
      <c r="H171" s="679">
        <v>318.60500000000002</v>
      </c>
      <c r="I171" s="680">
        <v>297.84999999999997</v>
      </c>
      <c r="J171" s="1855">
        <v>300.82499999999999</v>
      </c>
      <c r="K171" s="667">
        <f t="shared" si="15"/>
        <v>2.9750000000000227</v>
      </c>
      <c r="L171" s="475">
        <f t="shared" si="16"/>
        <v>9.9882491186839787E-3</v>
      </c>
      <c r="M171" s="463">
        <v>6.65</v>
      </c>
      <c r="N171" s="463">
        <v>6.65</v>
      </c>
    </row>
    <row r="172" spans="1:14" s="1836" customFormat="1" ht="15.75" customHeight="1" x14ac:dyDescent="0.2">
      <c r="A172" s="1581" t="s">
        <v>6374</v>
      </c>
      <c r="B172" s="1846" t="s">
        <v>6375</v>
      </c>
      <c r="C172" s="1829"/>
      <c r="D172" s="1847">
        <v>390</v>
      </c>
      <c r="E172" s="900"/>
      <c r="F172" s="900"/>
      <c r="G172" s="683"/>
      <c r="H172" s="679"/>
      <c r="I172" s="680"/>
      <c r="J172" s="1855"/>
      <c r="K172" s="1843"/>
      <c r="L172" s="1835"/>
      <c r="M172" s="1845"/>
      <c r="N172" s="1845"/>
    </row>
    <row r="173" spans="1:14" ht="15.75" customHeight="1" x14ac:dyDescent="0.2">
      <c r="A173" s="11"/>
      <c r="B173" s="29"/>
      <c r="C173" s="925"/>
      <c r="D173" s="670"/>
      <c r="E173" s="20"/>
      <c r="F173" s="20"/>
      <c r="G173" s="1856"/>
      <c r="H173" s="679"/>
      <c r="I173" s="680"/>
      <c r="J173" s="681"/>
      <c r="K173" s="667"/>
      <c r="L173" s="502"/>
    </row>
    <row r="174" spans="1:14" ht="15.75" customHeight="1" x14ac:dyDescent="0.2">
      <c r="A174" s="11" t="s">
        <v>6376</v>
      </c>
      <c r="B174" s="11" t="s">
        <v>6377</v>
      </c>
      <c r="C174" s="925"/>
      <c r="D174" s="932">
        <v>215</v>
      </c>
      <c r="E174" s="20">
        <v>11</v>
      </c>
      <c r="F174" s="20">
        <v>14</v>
      </c>
      <c r="G174" s="1856">
        <v>215</v>
      </c>
      <c r="H174" s="1857">
        <v>221.64</v>
      </c>
      <c r="I174" s="1858">
        <v>221.64</v>
      </c>
      <c r="J174" s="1859">
        <v>215</v>
      </c>
      <c r="K174" s="667">
        <f>J174-I174</f>
        <v>-6.6399999999999864</v>
      </c>
      <c r="L174" s="475">
        <f>K174/I174</f>
        <v>-2.9958491247067256E-2</v>
      </c>
      <c r="M174" s="630">
        <v>4.1500000000000004</v>
      </c>
      <c r="N174" s="630">
        <v>4.1500000000000004</v>
      </c>
    </row>
    <row r="175" spans="1:14" ht="15.75" customHeight="1" x14ac:dyDescent="0.2">
      <c r="A175" s="11" t="s">
        <v>6378</v>
      </c>
      <c r="B175" s="11" t="s">
        <v>6379</v>
      </c>
      <c r="C175" s="925"/>
      <c r="D175" s="932">
        <v>221.64</v>
      </c>
      <c r="E175" s="20">
        <v>16</v>
      </c>
      <c r="F175" s="20">
        <v>20</v>
      </c>
      <c r="G175" s="1856">
        <v>221.64</v>
      </c>
      <c r="H175" s="1857">
        <v>221.64</v>
      </c>
      <c r="I175" s="1858">
        <v>221.64</v>
      </c>
      <c r="J175" s="1859">
        <v>221.64</v>
      </c>
      <c r="K175" s="667">
        <f t="shared" ref="K175:K204" si="17">J175-I175</f>
        <v>0</v>
      </c>
      <c r="L175" s="475">
        <f t="shared" ref="L175:L204" si="18">K175/I175</f>
        <v>0</v>
      </c>
      <c r="M175" s="630">
        <v>4.1500000000000004</v>
      </c>
      <c r="N175" s="630">
        <v>4.5999999999999996</v>
      </c>
    </row>
    <row r="176" spans="1:14" ht="15.75" customHeight="1" x14ac:dyDescent="0.2">
      <c r="A176" s="11" t="s">
        <v>6380</v>
      </c>
      <c r="B176" s="11" t="s">
        <v>6381</v>
      </c>
      <c r="C176" s="925"/>
      <c r="D176" s="931">
        <v>250</v>
      </c>
      <c r="E176" s="20">
        <v>18</v>
      </c>
      <c r="F176" s="20">
        <v>22</v>
      </c>
      <c r="G176" s="1854">
        <v>250</v>
      </c>
      <c r="H176" s="1857">
        <v>221.64</v>
      </c>
      <c r="I176" s="1858">
        <v>221.64</v>
      </c>
      <c r="J176" s="1859">
        <v>250</v>
      </c>
      <c r="K176" s="667">
        <f>J176-I176</f>
        <v>28.360000000000014</v>
      </c>
      <c r="L176" s="475">
        <f>K176/I176</f>
        <v>0.12795524273596831</v>
      </c>
      <c r="M176" s="630">
        <v>4.1500000000000004</v>
      </c>
      <c r="N176" s="630">
        <v>4.5999999999999996</v>
      </c>
    </row>
    <row r="177" spans="1:14" ht="15.75" customHeight="1" x14ac:dyDescent="0.2">
      <c r="A177" s="11" t="s">
        <v>6382</v>
      </c>
      <c r="B177" s="11" t="s">
        <v>6383</v>
      </c>
      <c r="C177" s="925"/>
      <c r="D177" s="931">
        <v>260</v>
      </c>
      <c r="E177" s="20">
        <v>18.5</v>
      </c>
      <c r="F177" s="20">
        <v>24</v>
      </c>
      <c r="G177" s="1854">
        <v>260</v>
      </c>
      <c r="H177" s="1857">
        <v>221.64</v>
      </c>
      <c r="I177" s="824">
        <v>221.64</v>
      </c>
      <c r="J177" s="1859">
        <v>260</v>
      </c>
      <c r="K177" s="667">
        <f t="shared" si="17"/>
        <v>38.360000000000014</v>
      </c>
      <c r="L177" s="475">
        <f t="shared" si="18"/>
        <v>0.17307345244540703</v>
      </c>
      <c r="M177" s="630">
        <v>4.1500000000000004</v>
      </c>
      <c r="N177" s="630">
        <v>4.5999999999999996</v>
      </c>
    </row>
    <row r="178" spans="1:14" ht="15.75" customHeight="1" x14ac:dyDescent="0.2">
      <c r="A178" s="11" t="s">
        <v>6384</v>
      </c>
      <c r="B178" s="11" t="s">
        <v>6385</v>
      </c>
      <c r="C178" s="925"/>
      <c r="D178" s="931">
        <v>288.12</v>
      </c>
      <c r="E178" s="20">
        <v>20</v>
      </c>
      <c r="F178" s="20">
        <v>24</v>
      </c>
      <c r="G178" s="1854">
        <v>288.12</v>
      </c>
      <c r="H178" s="1857">
        <v>288.12</v>
      </c>
      <c r="I178" s="1858">
        <v>288.12</v>
      </c>
      <c r="J178" s="1859">
        <v>288.12</v>
      </c>
      <c r="K178" s="667">
        <f t="shared" si="17"/>
        <v>0</v>
      </c>
      <c r="L178" s="475">
        <f t="shared" si="18"/>
        <v>0</v>
      </c>
      <c r="M178" s="630">
        <v>4.5999999999999996</v>
      </c>
      <c r="N178" s="630">
        <v>4.5999999999999996</v>
      </c>
    </row>
    <row r="179" spans="1:14" ht="15.75" customHeight="1" x14ac:dyDescent="0.2">
      <c r="A179" s="11"/>
      <c r="B179" s="11"/>
      <c r="C179" s="925"/>
      <c r="D179" s="756"/>
      <c r="E179" s="20"/>
      <c r="F179" s="20"/>
      <c r="G179" s="1854"/>
      <c r="H179" s="1857"/>
      <c r="I179" s="1858"/>
      <c r="J179" s="1859"/>
      <c r="K179" s="667"/>
      <c r="L179" s="475"/>
      <c r="M179" s="630"/>
      <c r="N179" s="630"/>
    </row>
    <row r="180" spans="1:14" s="1836" customFormat="1" ht="15.75" customHeight="1" x14ac:dyDescent="0.2">
      <c r="A180" s="1581" t="s">
        <v>6386</v>
      </c>
      <c r="B180" s="1581" t="s">
        <v>6387</v>
      </c>
      <c r="C180" s="1829"/>
      <c r="D180" s="1841">
        <v>119.28</v>
      </c>
      <c r="E180" s="900"/>
      <c r="F180" s="900"/>
      <c r="G180" s="1854"/>
      <c r="H180" s="1857"/>
      <c r="I180" s="1858"/>
      <c r="J180" s="1859"/>
      <c r="K180" s="1843"/>
      <c r="L180" s="1835"/>
      <c r="M180" s="1848"/>
      <c r="N180" s="1848"/>
    </row>
    <row r="181" spans="1:14" s="1836" customFormat="1" ht="15.75" customHeight="1" x14ac:dyDescent="0.2">
      <c r="A181" s="1581" t="s">
        <v>6388</v>
      </c>
      <c r="B181" s="1581" t="s">
        <v>6389</v>
      </c>
      <c r="C181" s="1829"/>
      <c r="D181" s="1841">
        <v>120</v>
      </c>
      <c r="E181" s="900"/>
      <c r="F181" s="900"/>
      <c r="G181" s="1854"/>
      <c r="H181" s="1857"/>
      <c r="I181" s="1858"/>
      <c r="J181" s="1859"/>
      <c r="K181" s="1843"/>
      <c r="L181" s="1835"/>
      <c r="M181" s="1848"/>
      <c r="N181" s="1848"/>
    </row>
    <row r="182" spans="1:14" s="1836" customFormat="1" ht="15.75" customHeight="1" x14ac:dyDescent="0.2">
      <c r="A182" s="1581" t="s">
        <v>6390</v>
      </c>
      <c r="B182" s="1581" t="s">
        <v>6391</v>
      </c>
      <c r="C182" s="1829"/>
      <c r="D182" s="1841">
        <v>121</v>
      </c>
      <c r="E182" s="900"/>
      <c r="F182" s="900"/>
      <c r="G182" s="1854"/>
      <c r="H182" s="1857"/>
      <c r="I182" s="1858"/>
      <c r="J182" s="1859"/>
      <c r="K182" s="1843"/>
      <c r="L182" s="1835"/>
      <c r="M182" s="1848"/>
      <c r="N182" s="1848"/>
    </row>
    <row r="183" spans="1:14" s="1836" customFormat="1" ht="15.75" customHeight="1" x14ac:dyDescent="0.2">
      <c r="A183" s="1581" t="s">
        <v>6392</v>
      </c>
      <c r="B183" s="1581" t="s">
        <v>6393</v>
      </c>
      <c r="C183" s="1829"/>
      <c r="D183" s="1841">
        <v>121</v>
      </c>
      <c r="E183" s="900"/>
      <c r="F183" s="900"/>
      <c r="G183" s="1854"/>
      <c r="H183" s="1857"/>
      <c r="I183" s="1858"/>
      <c r="J183" s="1859"/>
      <c r="K183" s="1843"/>
      <c r="L183" s="1835"/>
      <c r="M183" s="1848"/>
      <c r="N183" s="1848"/>
    </row>
    <row r="184" spans="1:14" s="1836" customFormat="1" ht="15.75" customHeight="1" x14ac:dyDescent="0.2">
      <c r="A184" s="1581" t="s">
        <v>6394</v>
      </c>
      <c r="B184" s="1581" t="s">
        <v>6395</v>
      </c>
      <c r="C184" s="1829"/>
      <c r="D184" s="1841">
        <v>121.1</v>
      </c>
      <c r="E184" s="900"/>
      <c r="F184" s="900"/>
      <c r="G184" s="1854"/>
      <c r="H184" s="1857"/>
      <c r="I184" s="1858"/>
      <c r="J184" s="1859"/>
      <c r="K184" s="1843"/>
      <c r="L184" s="1835"/>
      <c r="M184" s="1848"/>
      <c r="N184" s="1848"/>
    </row>
    <row r="185" spans="1:14" ht="15.75" customHeight="1" x14ac:dyDescent="0.2">
      <c r="A185" s="11" t="s">
        <v>6396</v>
      </c>
      <c r="B185" s="11" t="s">
        <v>6397</v>
      </c>
      <c r="C185" s="925"/>
      <c r="D185" s="931">
        <v>114.19</v>
      </c>
      <c r="E185" s="20"/>
      <c r="F185" s="20"/>
      <c r="G185" s="1854">
        <v>105.4375</v>
      </c>
      <c r="H185" s="1857">
        <v>100</v>
      </c>
      <c r="I185" s="1858">
        <v>75</v>
      </c>
      <c r="J185" s="1859">
        <v>105.4375</v>
      </c>
      <c r="K185" s="667">
        <f t="shared" si="17"/>
        <v>30.4375</v>
      </c>
      <c r="L185" s="475">
        <f t="shared" si="18"/>
        <v>0.40583333333333332</v>
      </c>
      <c r="M185" s="630">
        <v>4.1500000000000004</v>
      </c>
      <c r="N185" s="630">
        <v>4.1500000000000004</v>
      </c>
    </row>
    <row r="186" spans="1:14" s="1836" customFormat="1" ht="15.75" customHeight="1" x14ac:dyDescent="0.2">
      <c r="A186" s="1581" t="s">
        <v>6398</v>
      </c>
      <c r="B186" s="1581" t="s">
        <v>6399</v>
      </c>
      <c r="C186" s="1829"/>
      <c r="D186" s="1348">
        <v>144.19999999999999</v>
      </c>
      <c r="E186" s="900"/>
      <c r="F186" s="900"/>
      <c r="G186" s="1854"/>
      <c r="H186" s="1857"/>
      <c r="I186" s="1858"/>
      <c r="J186" s="1859"/>
      <c r="K186" s="1843"/>
      <c r="L186" s="1835"/>
      <c r="M186" s="1848"/>
      <c r="N186" s="1848"/>
    </row>
    <row r="187" spans="1:14" s="1836" customFormat="1" ht="15.75" customHeight="1" x14ac:dyDescent="0.2">
      <c r="A187" s="1581" t="s">
        <v>6400</v>
      </c>
      <c r="B187" s="1581" t="s">
        <v>6401</v>
      </c>
      <c r="C187" s="1829"/>
      <c r="D187" s="1348">
        <v>130</v>
      </c>
      <c r="E187" s="900"/>
      <c r="F187" s="900"/>
      <c r="G187" s="1854"/>
      <c r="H187" s="1857"/>
      <c r="I187" s="1858"/>
      <c r="J187" s="1859"/>
      <c r="K187" s="1843"/>
      <c r="L187" s="1835"/>
      <c r="M187" s="1848"/>
      <c r="N187" s="1848"/>
    </row>
    <row r="188" spans="1:14" s="1836" customFormat="1" ht="15.75" customHeight="1" x14ac:dyDescent="0.2">
      <c r="A188" s="1581" t="s">
        <v>6402</v>
      </c>
      <c r="B188" s="1581" t="s">
        <v>6403</v>
      </c>
      <c r="C188" s="1829"/>
      <c r="D188" s="1348">
        <v>130.1</v>
      </c>
      <c r="E188" s="900"/>
      <c r="F188" s="900"/>
      <c r="G188" s="1854"/>
      <c r="H188" s="1857"/>
      <c r="I188" s="1858"/>
      <c r="J188" s="1859"/>
      <c r="K188" s="1843"/>
      <c r="L188" s="1835"/>
      <c r="M188" s="1848"/>
      <c r="N188" s="1848"/>
    </row>
    <row r="189" spans="1:14" s="1836" customFormat="1" ht="15.75" customHeight="1" x14ac:dyDescent="0.2">
      <c r="A189" s="1581" t="s">
        <v>6404</v>
      </c>
      <c r="B189" s="1581" t="s">
        <v>6405</v>
      </c>
      <c r="C189" s="1829"/>
      <c r="D189" s="1348">
        <v>125</v>
      </c>
      <c r="E189" s="900"/>
      <c r="F189" s="900"/>
      <c r="G189" s="1854"/>
      <c r="H189" s="1857"/>
      <c r="I189" s="1858"/>
      <c r="J189" s="1859"/>
      <c r="K189" s="1843"/>
      <c r="L189" s="1835"/>
      <c r="M189" s="1848"/>
      <c r="N189" s="1848"/>
    </row>
    <row r="190" spans="1:14" s="1836" customFormat="1" ht="15.75" customHeight="1" x14ac:dyDescent="0.2">
      <c r="A190" s="1581" t="s">
        <v>6406</v>
      </c>
      <c r="B190" s="1581" t="s">
        <v>6407</v>
      </c>
      <c r="C190" s="1829"/>
      <c r="D190" s="1348">
        <v>125</v>
      </c>
      <c r="E190" s="900"/>
      <c r="F190" s="900"/>
      <c r="G190" s="1854"/>
      <c r="H190" s="1857"/>
      <c r="I190" s="1858"/>
      <c r="J190" s="1859"/>
      <c r="K190" s="1843"/>
      <c r="L190" s="1835"/>
      <c r="M190" s="1848"/>
      <c r="N190" s="1848"/>
    </row>
    <row r="191" spans="1:14" s="1836" customFormat="1" ht="15.75" customHeight="1" x14ac:dyDescent="0.2">
      <c r="A191" s="1581" t="s">
        <v>6408</v>
      </c>
      <c r="B191" s="1581" t="s">
        <v>6409</v>
      </c>
      <c r="C191" s="1829"/>
      <c r="D191" s="1348">
        <v>125</v>
      </c>
      <c r="E191" s="900"/>
      <c r="F191" s="900"/>
      <c r="G191" s="1854"/>
      <c r="H191" s="1857"/>
      <c r="I191" s="1858"/>
      <c r="J191" s="1859"/>
      <c r="K191" s="1843"/>
      <c r="L191" s="1835"/>
      <c r="M191" s="1848"/>
      <c r="N191" s="1848"/>
    </row>
    <row r="192" spans="1:14" s="1836" customFormat="1" ht="15.75" customHeight="1" x14ac:dyDescent="0.2">
      <c r="A192" s="1581" t="s">
        <v>6410</v>
      </c>
      <c r="B192" s="1581" t="s">
        <v>6411</v>
      </c>
      <c r="C192" s="1829"/>
      <c r="D192" s="1348">
        <v>125</v>
      </c>
      <c r="E192" s="900"/>
      <c r="F192" s="900"/>
      <c r="G192" s="1854"/>
      <c r="H192" s="1857"/>
      <c r="I192" s="1858"/>
      <c r="J192" s="1859"/>
      <c r="K192" s="1843"/>
      <c r="L192" s="1835"/>
      <c r="M192" s="1848"/>
      <c r="N192" s="1848"/>
    </row>
    <row r="193" spans="1:14" s="50" customFormat="1" ht="15.75" customHeight="1" x14ac:dyDescent="0.2">
      <c r="A193" s="11" t="s">
        <v>6412</v>
      </c>
      <c r="B193" s="11" t="s">
        <v>6413</v>
      </c>
      <c r="C193" s="925"/>
      <c r="D193" s="931">
        <v>126.35</v>
      </c>
      <c r="E193" s="20">
        <v>34</v>
      </c>
      <c r="F193" s="20">
        <v>20</v>
      </c>
      <c r="G193" s="1854">
        <v>108.58749999999999</v>
      </c>
      <c r="H193" s="1857">
        <v>93.86</v>
      </c>
      <c r="I193" s="1858">
        <v>105.86</v>
      </c>
      <c r="J193" s="1859">
        <v>108.58749999999999</v>
      </c>
      <c r="K193" s="667">
        <f t="shared" si="17"/>
        <v>2.727499999999992</v>
      </c>
      <c r="L193" s="475">
        <f t="shared" si="18"/>
        <v>2.576516153410157E-2</v>
      </c>
      <c r="M193" s="630">
        <v>4.1500000000000004</v>
      </c>
      <c r="N193" s="630">
        <v>4.5999999999999996</v>
      </c>
    </row>
    <row r="194" spans="1:14" s="1836" customFormat="1" ht="15.75" customHeight="1" x14ac:dyDescent="0.2">
      <c r="A194" s="1581" t="s">
        <v>6414</v>
      </c>
      <c r="B194" s="1581" t="s">
        <v>6415</v>
      </c>
      <c r="C194" s="1829"/>
      <c r="D194" s="1348">
        <v>157</v>
      </c>
      <c r="E194" s="900"/>
      <c r="F194" s="900"/>
      <c r="G194" s="1854"/>
      <c r="H194" s="1857"/>
      <c r="I194" s="1858"/>
      <c r="J194" s="1859"/>
      <c r="K194" s="1843"/>
      <c r="L194" s="1835"/>
      <c r="M194" s="1848"/>
      <c r="N194" s="1848"/>
    </row>
    <row r="195" spans="1:14" s="50" customFormat="1" ht="15.75" customHeight="1" x14ac:dyDescent="0.2">
      <c r="A195" s="11" t="s">
        <v>6416</v>
      </c>
      <c r="B195" s="11" t="s">
        <v>6417</v>
      </c>
      <c r="C195" s="925"/>
      <c r="D195" s="931">
        <v>119.46</v>
      </c>
      <c r="E195" s="20">
        <v>18</v>
      </c>
      <c r="F195" s="20">
        <v>22</v>
      </c>
      <c r="G195" s="1854">
        <v>110.60000000000001</v>
      </c>
      <c r="H195" s="1857"/>
      <c r="I195" s="1858">
        <v>107</v>
      </c>
      <c r="J195" s="1859">
        <v>110.60000000000001</v>
      </c>
      <c r="K195" s="667">
        <f t="shared" si="17"/>
        <v>3.6000000000000085</v>
      </c>
      <c r="L195" s="475">
        <f t="shared" si="18"/>
        <v>3.3644859813084189E-2</v>
      </c>
      <c r="M195" s="630">
        <v>4.5999999999999996</v>
      </c>
      <c r="N195" s="630">
        <v>4.5999999999999996</v>
      </c>
    </row>
    <row r="196" spans="1:14" s="1836" customFormat="1" ht="15.75" customHeight="1" x14ac:dyDescent="0.2">
      <c r="A196" s="1581" t="s">
        <v>6418</v>
      </c>
      <c r="B196" s="1581" t="s">
        <v>6419</v>
      </c>
      <c r="C196" s="1829"/>
      <c r="D196" s="1348">
        <v>120</v>
      </c>
      <c r="E196" s="900"/>
      <c r="F196" s="900"/>
      <c r="G196" s="1854"/>
      <c r="H196" s="1857"/>
      <c r="I196" s="1858"/>
      <c r="J196" s="1859"/>
      <c r="K196" s="1843"/>
      <c r="L196" s="1835"/>
      <c r="M196" s="1848"/>
      <c r="N196" s="1848"/>
    </row>
    <row r="197" spans="1:14" s="50" customFormat="1" ht="15.75" customHeight="1" x14ac:dyDescent="0.2">
      <c r="A197" s="11" t="s">
        <v>6420</v>
      </c>
      <c r="B197" s="11" t="s">
        <v>6421</v>
      </c>
      <c r="C197" s="925"/>
      <c r="D197" s="931">
        <v>121.71</v>
      </c>
      <c r="E197" s="20">
        <v>20</v>
      </c>
      <c r="F197" s="20">
        <v>24</v>
      </c>
      <c r="G197" s="1854">
        <v>112.61249999999998</v>
      </c>
      <c r="H197" s="1857">
        <v>97.33</v>
      </c>
      <c r="I197" s="1858">
        <v>109.33</v>
      </c>
      <c r="J197" s="1859">
        <v>112.61249999999998</v>
      </c>
      <c r="K197" s="667">
        <f t="shared" si="17"/>
        <v>3.2824999999999847</v>
      </c>
      <c r="L197" s="475">
        <f t="shared" si="18"/>
        <v>3.0023781212841716E-2</v>
      </c>
      <c r="M197" s="630">
        <v>4.5999999999999996</v>
      </c>
      <c r="N197" s="630">
        <v>4.5999999999999996</v>
      </c>
    </row>
    <row r="198" spans="1:14" s="50" customFormat="1" ht="15.75" customHeight="1" x14ac:dyDescent="0.2">
      <c r="A198" s="11" t="s">
        <v>6422</v>
      </c>
      <c r="B198" s="11" t="s">
        <v>6423</v>
      </c>
      <c r="C198" s="925"/>
      <c r="D198" s="931">
        <v>124.06</v>
      </c>
      <c r="E198" s="20"/>
      <c r="F198" s="20"/>
      <c r="G198" s="1854">
        <v>114.88750000000002</v>
      </c>
      <c r="H198" s="1857"/>
      <c r="I198" s="1858"/>
      <c r="J198" s="1859">
        <v>114.88750000000002</v>
      </c>
      <c r="K198" s="667"/>
      <c r="L198" s="475"/>
      <c r="M198" s="630">
        <v>4.5999999999999996</v>
      </c>
      <c r="N198" s="630">
        <v>4.5999999999999996</v>
      </c>
    </row>
    <row r="199" spans="1:14" s="41" customFormat="1" ht="15.75" customHeight="1" x14ac:dyDescent="0.2">
      <c r="A199" s="25" t="s">
        <v>6424</v>
      </c>
      <c r="B199" s="25" t="s">
        <v>6425</v>
      </c>
      <c r="C199" s="1023"/>
      <c r="D199" s="1024">
        <v>121.98</v>
      </c>
      <c r="E199" s="144"/>
      <c r="F199" s="144"/>
      <c r="G199" s="1854"/>
      <c r="H199" s="1857"/>
      <c r="I199" s="1858"/>
      <c r="J199" s="1859"/>
      <c r="K199" s="712"/>
      <c r="L199" s="713"/>
      <c r="M199" s="1025"/>
      <c r="N199" s="1025"/>
    </row>
    <row r="200" spans="1:14" s="1836" customFormat="1" ht="15.75" customHeight="1" x14ac:dyDescent="0.2">
      <c r="A200" s="1581" t="s">
        <v>6426</v>
      </c>
      <c r="B200" s="1581" t="s">
        <v>6427</v>
      </c>
      <c r="C200" s="1829"/>
      <c r="D200" s="1348">
        <v>150</v>
      </c>
      <c r="E200" s="900"/>
      <c r="F200" s="900"/>
      <c r="G200" s="1854"/>
      <c r="H200" s="1857"/>
      <c r="I200" s="1858"/>
      <c r="J200" s="1859"/>
      <c r="K200" s="1843"/>
      <c r="L200" s="1835"/>
      <c r="M200" s="1848"/>
      <c r="N200" s="1848"/>
    </row>
    <row r="201" spans="1:14" s="1836" customFormat="1" ht="15.75" customHeight="1" x14ac:dyDescent="0.2">
      <c r="A201" s="1581" t="s">
        <v>6428</v>
      </c>
      <c r="B201" s="1581" t="s">
        <v>6429</v>
      </c>
      <c r="C201" s="1829"/>
      <c r="D201" s="1348">
        <v>160</v>
      </c>
      <c r="E201" s="900"/>
      <c r="F201" s="900"/>
      <c r="G201" s="1854"/>
      <c r="H201" s="1857"/>
      <c r="I201" s="1858"/>
      <c r="J201" s="1859"/>
      <c r="K201" s="1843"/>
      <c r="L201" s="1835"/>
      <c r="M201" s="1848"/>
      <c r="N201" s="1848"/>
    </row>
    <row r="202" spans="1:14" s="50" customFormat="1" ht="15.75" customHeight="1" x14ac:dyDescent="0.2">
      <c r="A202" s="11" t="s">
        <v>6430</v>
      </c>
      <c r="B202" s="11" t="s">
        <v>6431</v>
      </c>
      <c r="C202" s="925"/>
      <c r="D202" s="931">
        <v>195.35</v>
      </c>
      <c r="E202" s="20"/>
      <c r="F202" s="20"/>
      <c r="G202" s="1854">
        <v>260</v>
      </c>
      <c r="H202" s="1857"/>
      <c r="I202" s="1858"/>
      <c r="J202" s="1859"/>
      <c r="K202" s="667"/>
      <c r="L202" s="475"/>
      <c r="M202" s="630"/>
      <c r="N202" s="630"/>
    </row>
    <row r="203" spans="1:14" s="50" customFormat="1" ht="15.75" customHeight="1" x14ac:dyDescent="0.2">
      <c r="A203" s="11"/>
      <c r="B203" s="11"/>
      <c r="C203" s="925"/>
      <c r="D203" s="756"/>
      <c r="E203" s="20"/>
      <c r="F203" s="20"/>
      <c r="G203" s="1854"/>
      <c r="H203" s="1857"/>
      <c r="I203" s="1858"/>
      <c r="J203" s="1859"/>
      <c r="K203" s="667"/>
      <c r="L203" s="475"/>
      <c r="M203" s="630"/>
      <c r="N203" s="630"/>
    </row>
    <row r="204" spans="1:14" s="50" customFormat="1" ht="15.75" customHeight="1" x14ac:dyDescent="0.2">
      <c r="A204" s="11" t="s">
        <v>6432</v>
      </c>
      <c r="B204" s="11" t="s">
        <v>6433</v>
      </c>
      <c r="C204" s="925"/>
      <c r="D204" s="931">
        <v>250</v>
      </c>
      <c r="E204" s="20">
        <v>16</v>
      </c>
      <c r="F204" s="20">
        <v>20</v>
      </c>
      <c r="G204" s="1854">
        <v>250</v>
      </c>
      <c r="H204" s="1857">
        <v>250</v>
      </c>
      <c r="I204" s="1858">
        <v>250</v>
      </c>
      <c r="J204" s="1859">
        <v>250</v>
      </c>
      <c r="K204" s="667">
        <f t="shared" si="17"/>
        <v>0</v>
      </c>
      <c r="L204" s="475">
        <f t="shared" si="18"/>
        <v>0</v>
      </c>
      <c r="M204" s="630">
        <v>4.1500000000000004</v>
      </c>
      <c r="N204" s="630">
        <v>4.5999999999999996</v>
      </c>
    </row>
    <row r="205" spans="1:14" s="50" customFormat="1" ht="15.75" customHeight="1" x14ac:dyDescent="0.2">
      <c r="A205" s="11"/>
      <c r="B205" s="11"/>
      <c r="C205" s="925"/>
      <c r="D205" s="756"/>
      <c r="E205" s="20"/>
      <c r="F205" s="20"/>
      <c r="G205" s="1854"/>
      <c r="H205" s="679"/>
      <c r="I205" s="680"/>
      <c r="J205" s="681"/>
      <c r="K205" s="667"/>
      <c r="L205" s="502"/>
      <c r="M205" s="113"/>
    </row>
    <row r="206" spans="1:14" s="1836" customFormat="1" ht="15.75" customHeight="1" x14ac:dyDescent="0.2">
      <c r="A206" s="1581" t="s">
        <v>6434</v>
      </c>
      <c r="B206" s="1581" t="s">
        <v>6435</v>
      </c>
      <c r="C206" s="1829"/>
      <c r="D206" s="1849">
        <v>70</v>
      </c>
      <c r="E206" s="900"/>
      <c r="F206" s="900"/>
      <c r="G206" s="1856"/>
      <c r="H206" s="679"/>
      <c r="I206" s="680"/>
      <c r="J206" s="681"/>
      <c r="K206" s="1843"/>
      <c r="L206" s="1844"/>
      <c r="M206" s="1545"/>
    </row>
    <row r="207" spans="1:14" s="1836" customFormat="1" ht="15.75" customHeight="1" x14ac:dyDescent="0.2">
      <c r="A207" s="1581" t="s">
        <v>6436</v>
      </c>
      <c r="B207" s="1581" t="s">
        <v>6437</v>
      </c>
      <c r="C207" s="1829"/>
      <c r="D207" s="1849">
        <v>75</v>
      </c>
      <c r="E207" s="900"/>
      <c r="F207" s="900"/>
      <c r="G207" s="1856"/>
      <c r="H207" s="679"/>
      <c r="I207" s="680"/>
      <c r="J207" s="681"/>
      <c r="K207" s="1843"/>
      <c r="L207" s="1844"/>
      <c r="M207" s="1545"/>
    </row>
    <row r="208" spans="1:14" ht="15.75" customHeight="1" x14ac:dyDescent="0.2">
      <c r="A208" s="11" t="s">
        <v>6438</v>
      </c>
      <c r="B208" s="132" t="s">
        <v>6439</v>
      </c>
      <c r="C208" s="925"/>
      <c r="D208" s="932">
        <v>79.817499999999995</v>
      </c>
      <c r="E208" s="20">
        <v>18</v>
      </c>
      <c r="F208" s="20">
        <v>24</v>
      </c>
      <c r="G208" s="683">
        <v>74.725000000000009</v>
      </c>
      <c r="H208" s="679">
        <v>71.95</v>
      </c>
      <c r="I208" s="680">
        <v>74.847500000000011</v>
      </c>
      <c r="J208" s="681">
        <v>74.725000000000009</v>
      </c>
      <c r="K208" s="667">
        <f>J208-I208</f>
        <v>-0.12250000000000227</v>
      </c>
      <c r="L208" s="475">
        <f>K208/I208</f>
        <v>-1.6366612111293265E-3</v>
      </c>
      <c r="M208" s="462">
        <v>4.1500000000000004</v>
      </c>
      <c r="N208" s="462">
        <v>4.5999999999999996</v>
      </c>
    </row>
    <row r="209" spans="1:14" ht="15.75" customHeight="1" x14ac:dyDescent="0.2">
      <c r="A209" s="11" t="s">
        <v>6440</v>
      </c>
      <c r="B209" s="132" t="s">
        <v>6441</v>
      </c>
      <c r="C209" s="925"/>
      <c r="D209" s="932">
        <v>83.79</v>
      </c>
      <c r="E209" s="20">
        <v>24</v>
      </c>
      <c r="F209" s="20">
        <v>24</v>
      </c>
      <c r="G209" s="687">
        <v>78.75</v>
      </c>
      <c r="H209" s="679">
        <v>75.940000000000012</v>
      </c>
      <c r="I209" s="680">
        <v>78.644999999999996</v>
      </c>
      <c r="J209" s="681">
        <v>78.75</v>
      </c>
      <c r="K209" s="667">
        <f t="shared" ref="K209:K221" si="19">J209-I209</f>
        <v>0.10500000000000398</v>
      </c>
      <c r="L209" s="475">
        <f t="shared" ref="L209:L221" si="20">K209/I209</f>
        <v>1.3351134846462456E-3</v>
      </c>
      <c r="M209" s="462">
        <v>4.5999999999999996</v>
      </c>
      <c r="N209" s="462">
        <v>4.5999999999999996</v>
      </c>
    </row>
    <row r="210" spans="1:14" s="1836" customFormat="1" ht="15.75" customHeight="1" x14ac:dyDescent="0.2">
      <c r="A210" s="1581" t="s">
        <v>6442</v>
      </c>
      <c r="B210" s="1850" t="s">
        <v>6443</v>
      </c>
      <c r="C210" s="1829"/>
      <c r="D210" s="1847">
        <v>110</v>
      </c>
      <c r="E210" s="900"/>
      <c r="F210" s="900"/>
      <c r="G210" s="687"/>
      <c r="H210" s="679"/>
      <c r="I210" s="680"/>
      <c r="J210" s="681"/>
      <c r="K210" s="1843"/>
      <c r="L210" s="1835"/>
      <c r="M210" s="1838"/>
      <c r="N210" s="1838"/>
    </row>
    <row r="211" spans="1:14" s="1836" customFormat="1" ht="15.75" customHeight="1" x14ac:dyDescent="0.2">
      <c r="A211" s="1581" t="s">
        <v>6444</v>
      </c>
      <c r="B211" s="1850" t="s">
        <v>6445</v>
      </c>
      <c r="C211" s="1829"/>
      <c r="D211" s="1847">
        <v>114.56</v>
      </c>
      <c r="E211" s="900"/>
      <c r="F211" s="900"/>
      <c r="G211" s="687"/>
      <c r="H211" s="679"/>
      <c r="I211" s="680"/>
      <c r="J211" s="681"/>
      <c r="K211" s="1843"/>
      <c r="L211" s="1835"/>
      <c r="M211" s="1838"/>
      <c r="N211" s="1838"/>
    </row>
    <row r="212" spans="1:14" ht="15.75" customHeight="1" x14ac:dyDescent="0.2">
      <c r="A212" s="11" t="s">
        <v>6446</v>
      </c>
      <c r="B212" s="132" t="s">
        <v>6447</v>
      </c>
      <c r="C212" s="925"/>
      <c r="D212" s="932">
        <v>111.94750000000001</v>
      </c>
      <c r="E212" s="20">
        <v>36</v>
      </c>
      <c r="F212" s="20">
        <v>36</v>
      </c>
      <c r="G212" s="687">
        <v>105.4375</v>
      </c>
      <c r="H212" s="679">
        <v>96.89</v>
      </c>
      <c r="I212" s="680">
        <v>105.08749999999999</v>
      </c>
      <c r="J212" s="681">
        <v>105.4375</v>
      </c>
      <c r="K212" s="667">
        <f t="shared" si="19"/>
        <v>0.35000000000000853</v>
      </c>
      <c r="L212" s="475">
        <f t="shared" si="20"/>
        <v>3.3305578684430454E-3</v>
      </c>
      <c r="M212" s="462">
        <v>4.5999999999999996</v>
      </c>
      <c r="N212" s="462">
        <v>4.5999999999999996</v>
      </c>
    </row>
    <row r="213" spans="1:14" ht="15.75" customHeight="1" x14ac:dyDescent="0.2">
      <c r="A213" s="11" t="s">
        <v>6448</v>
      </c>
      <c r="B213" s="132" t="s">
        <v>6449</v>
      </c>
      <c r="C213" s="925"/>
      <c r="D213" s="932">
        <v>140</v>
      </c>
      <c r="E213" s="20">
        <v>36</v>
      </c>
      <c r="F213" s="20">
        <v>48</v>
      </c>
      <c r="G213" s="683">
        <v>131.07500000000002</v>
      </c>
      <c r="H213" s="679">
        <v>119.02000000000001</v>
      </c>
      <c r="I213" s="680">
        <v>130.51499999999999</v>
      </c>
      <c r="J213" s="681">
        <v>131.07500000000002</v>
      </c>
      <c r="K213" s="667">
        <f t="shared" si="19"/>
        <v>0.5600000000000307</v>
      </c>
      <c r="L213" s="475">
        <f t="shared" si="20"/>
        <v>4.2906945561815178E-3</v>
      </c>
      <c r="M213" s="462">
        <v>6.65</v>
      </c>
      <c r="N213" s="462">
        <v>6.65</v>
      </c>
    </row>
    <row r="214" spans="1:14" ht="15.75" customHeight="1" x14ac:dyDescent="0.2">
      <c r="A214" s="11" t="s">
        <v>6450</v>
      </c>
      <c r="B214" s="132" t="s">
        <v>6451</v>
      </c>
      <c r="C214" s="925"/>
      <c r="D214" s="932">
        <v>153.79</v>
      </c>
      <c r="E214" s="20">
        <v>40</v>
      </c>
      <c r="F214" s="20">
        <v>60</v>
      </c>
      <c r="G214" s="683">
        <v>144.375</v>
      </c>
      <c r="H214" s="679">
        <v>130.89999999999998</v>
      </c>
      <c r="I214" s="680">
        <v>143.78</v>
      </c>
      <c r="J214" s="681">
        <v>144.375</v>
      </c>
      <c r="K214" s="667">
        <f t="shared" si="19"/>
        <v>0.59499999999999886</v>
      </c>
      <c r="L214" s="475">
        <f t="shared" si="20"/>
        <v>4.1382667964946366E-3</v>
      </c>
      <c r="M214" s="462">
        <v>6.65</v>
      </c>
      <c r="N214" s="462">
        <v>6.65</v>
      </c>
    </row>
    <row r="215" spans="1:14" ht="15.75" customHeight="1" x14ac:dyDescent="0.2">
      <c r="A215" s="11" t="s">
        <v>6452</v>
      </c>
      <c r="B215" s="132" t="s">
        <v>6453</v>
      </c>
      <c r="C215" s="925"/>
      <c r="D215" s="932">
        <v>150.88499999999999</v>
      </c>
      <c r="E215" s="20">
        <v>48</v>
      </c>
      <c r="F215" s="20">
        <v>48</v>
      </c>
      <c r="G215" s="683">
        <v>141.57500000000002</v>
      </c>
      <c r="H215" s="679">
        <v>129.16999999999999</v>
      </c>
      <c r="I215" s="680">
        <v>140.92750000000001</v>
      </c>
      <c r="J215" s="681">
        <v>141.57500000000002</v>
      </c>
      <c r="K215" s="667">
        <f t="shared" si="19"/>
        <v>0.64750000000000796</v>
      </c>
      <c r="L215" s="475">
        <f t="shared" si="20"/>
        <v>4.5945610331554016E-3</v>
      </c>
      <c r="M215" s="462">
        <v>6.65</v>
      </c>
      <c r="N215" s="462">
        <v>6.65</v>
      </c>
    </row>
    <row r="216" spans="1:14" ht="15.75" customHeight="1" x14ac:dyDescent="0.2">
      <c r="A216" s="11" t="s">
        <v>6454</v>
      </c>
      <c r="B216" s="132" t="s">
        <v>6455</v>
      </c>
      <c r="C216" s="925"/>
      <c r="D216" s="932">
        <v>230.23</v>
      </c>
      <c r="E216" s="20">
        <v>48</v>
      </c>
      <c r="F216" s="20">
        <v>60</v>
      </c>
      <c r="G216" s="683">
        <v>214.54999999999998</v>
      </c>
      <c r="H216" s="679">
        <v>184.70999999999998</v>
      </c>
      <c r="I216" s="680">
        <v>213.55250000000001</v>
      </c>
      <c r="J216" s="681">
        <v>214.54999999999998</v>
      </c>
      <c r="K216" s="667">
        <f t="shared" si="19"/>
        <v>0.99749999999997385</v>
      </c>
      <c r="L216" s="475">
        <f t="shared" si="20"/>
        <v>4.6709825452756291E-3</v>
      </c>
      <c r="M216" s="462">
        <v>6.65</v>
      </c>
      <c r="N216" s="462">
        <v>6.65</v>
      </c>
    </row>
    <row r="217" spans="1:14" s="1836" customFormat="1" ht="15.75" customHeight="1" x14ac:dyDescent="0.2">
      <c r="A217" s="1581" t="s">
        <v>6456</v>
      </c>
      <c r="B217" s="1850" t="s">
        <v>6457</v>
      </c>
      <c r="C217" s="1829"/>
      <c r="D217" s="1847">
        <v>370</v>
      </c>
      <c r="E217" s="900"/>
      <c r="F217" s="900"/>
      <c r="G217" s="683"/>
      <c r="H217" s="679"/>
      <c r="I217" s="680"/>
      <c r="J217" s="681"/>
      <c r="K217" s="1843"/>
      <c r="L217" s="1835"/>
      <c r="M217" s="1838"/>
      <c r="N217" s="1838"/>
    </row>
    <row r="218" spans="1:14" s="1836" customFormat="1" ht="15.75" customHeight="1" x14ac:dyDescent="0.2">
      <c r="A218" s="1581" t="s">
        <v>6458</v>
      </c>
      <c r="B218" s="1850" t="s">
        <v>6459</v>
      </c>
      <c r="C218" s="1829"/>
      <c r="D218" s="1847">
        <v>301.72000000000003</v>
      </c>
      <c r="E218" s="900"/>
      <c r="F218" s="900"/>
      <c r="G218" s="683"/>
      <c r="H218" s="679"/>
      <c r="I218" s="680"/>
      <c r="J218" s="681"/>
      <c r="K218" s="1843"/>
      <c r="L218" s="1835"/>
      <c r="M218" s="1838"/>
      <c r="N218" s="1838"/>
    </row>
    <row r="219" spans="1:14" ht="15.75" customHeight="1" x14ac:dyDescent="0.2">
      <c r="A219" s="11" t="s">
        <v>6460</v>
      </c>
      <c r="B219" s="132" t="s">
        <v>6461</v>
      </c>
      <c r="C219" s="925"/>
      <c r="D219" s="932">
        <v>387.38</v>
      </c>
      <c r="E219" s="20">
        <v>60</v>
      </c>
      <c r="F219" s="20">
        <v>105</v>
      </c>
      <c r="G219" s="683">
        <v>363.03749999999997</v>
      </c>
      <c r="H219" s="679">
        <v>293.84999999999997</v>
      </c>
      <c r="I219" s="680">
        <v>296.41499999999996</v>
      </c>
      <c r="J219" s="681">
        <v>363.03749999999997</v>
      </c>
      <c r="K219" s="667">
        <f t="shared" si="19"/>
        <v>66.622500000000002</v>
      </c>
      <c r="L219" s="475">
        <f t="shared" si="20"/>
        <v>0.22476089266737517</v>
      </c>
      <c r="M219" s="462">
        <v>6.65</v>
      </c>
      <c r="N219" s="462">
        <v>6.65</v>
      </c>
    </row>
    <row r="220" spans="1:14" s="1836" customFormat="1" ht="15.75" customHeight="1" x14ac:dyDescent="0.2">
      <c r="A220" s="1581" t="s">
        <v>6462</v>
      </c>
      <c r="B220" s="1850" t="s">
        <v>6463</v>
      </c>
      <c r="C220" s="1829"/>
      <c r="D220" s="1847">
        <v>380</v>
      </c>
      <c r="E220" s="900"/>
      <c r="F220" s="900"/>
      <c r="G220" s="683"/>
      <c r="H220" s="679"/>
      <c r="I220" s="680"/>
      <c r="J220" s="681"/>
      <c r="K220" s="1843"/>
      <c r="L220" s="1835"/>
      <c r="M220" s="1838"/>
      <c r="N220" s="1838"/>
    </row>
    <row r="221" spans="1:14" s="50" customFormat="1" ht="15.75" customHeight="1" x14ac:dyDescent="0.2">
      <c r="A221" s="11" t="s">
        <v>6464</v>
      </c>
      <c r="B221" s="132" t="s">
        <v>6465</v>
      </c>
      <c r="C221" s="925"/>
      <c r="D221" s="932">
        <v>235.46250000000001</v>
      </c>
      <c r="E221" s="20">
        <v>66</v>
      </c>
      <c r="F221" s="20">
        <v>52</v>
      </c>
      <c r="G221" s="683">
        <v>219.79999999999998</v>
      </c>
      <c r="H221" s="679">
        <v>193.29999999999998</v>
      </c>
      <c r="I221" s="680">
        <v>218.9075</v>
      </c>
      <c r="J221" s="681">
        <v>219.79999999999998</v>
      </c>
      <c r="K221" s="667">
        <f t="shared" si="19"/>
        <v>0.89249999999998408</v>
      </c>
      <c r="L221" s="475">
        <f t="shared" si="20"/>
        <v>4.0770645135501712E-3</v>
      </c>
      <c r="M221" s="462">
        <v>6.65</v>
      </c>
      <c r="N221" s="462">
        <v>6.65</v>
      </c>
    </row>
    <row r="222" spans="1:14" s="50" customFormat="1" ht="15.75" customHeight="1" x14ac:dyDescent="0.2">
      <c r="A222" s="11"/>
      <c r="B222" s="11"/>
      <c r="C222" s="925"/>
      <c r="D222" s="670"/>
      <c r="E222" s="20"/>
      <c r="F222" s="20"/>
      <c r="G222" s="1089"/>
      <c r="H222" s="679"/>
      <c r="I222" s="680"/>
      <c r="J222" s="681"/>
      <c r="K222" s="667"/>
      <c r="L222" s="475"/>
      <c r="M222" s="462"/>
      <c r="N222" s="462"/>
    </row>
    <row r="223" spans="1:14" s="1836" customFormat="1" ht="15.75" customHeight="1" x14ac:dyDescent="0.2">
      <c r="A223" s="1545" t="s">
        <v>6466</v>
      </c>
      <c r="B223" s="1545" t="s">
        <v>6467</v>
      </c>
      <c r="C223" s="1829"/>
      <c r="D223" s="1847">
        <v>91.28</v>
      </c>
      <c r="E223" s="900"/>
      <c r="F223" s="900"/>
      <c r="G223" s="924"/>
      <c r="H223" s="679"/>
      <c r="I223" s="680"/>
      <c r="J223" s="681"/>
      <c r="K223" s="1843"/>
      <c r="L223" s="1835"/>
      <c r="M223" s="1838"/>
      <c r="N223" s="1838"/>
    </row>
    <row r="224" spans="1:14" s="41" customFormat="1" ht="15.75" customHeight="1" x14ac:dyDescent="0.2">
      <c r="A224" s="95" t="s">
        <v>6468</v>
      </c>
      <c r="B224" s="95" t="s">
        <v>6467</v>
      </c>
      <c r="C224" s="925"/>
      <c r="D224" s="932">
        <v>91.28</v>
      </c>
      <c r="E224" s="144"/>
      <c r="F224" s="144"/>
      <c r="G224" s="1860">
        <v>90.93</v>
      </c>
      <c r="H224" s="679"/>
      <c r="I224" s="680"/>
      <c r="J224" s="681"/>
      <c r="K224" s="712"/>
      <c r="L224" s="713"/>
      <c r="M224" s="710"/>
      <c r="N224" s="710"/>
    </row>
    <row r="225" spans="1:14" s="1836" customFormat="1" ht="15.75" customHeight="1" x14ac:dyDescent="0.2">
      <c r="A225" s="1545" t="s">
        <v>6469</v>
      </c>
      <c r="B225" s="1545" t="s">
        <v>6467</v>
      </c>
      <c r="C225" s="1829"/>
      <c r="D225" s="1847">
        <v>105</v>
      </c>
      <c r="E225" s="900"/>
      <c r="F225" s="900"/>
      <c r="G225" s="1860"/>
      <c r="H225" s="679"/>
      <c r="I225" s="680"/>
      <c r="J225" s="681"/>
      <c r="K225" s="1843"/>
      <c r="L225" s="1835"/>
      <c r="M225" s="1838"/>
      <c r="N225" s="1838"/>
    </row>
    <row r="226" spans="1:14" s="41" customFormat="1" ht="15.75" customHeight="1" x14ac:dyDescent="0.2">
      <c r="A226" s="95" t="s">
        <v>6470</v>
      </c>
      <c r="B226" s="95" t="s">
        <v>6467</v>
      </c>
      <c r="C226" s="925"/>
      <c r="D226" s="932">
        <v>107.065</v>
      </c>
      <c r="E226" s="144"/>
      <c r="F226" s="144"/>
      <c r="G226" s="1860">
        <v>106.49</v>
      </c>
      <c r="H226" s="679"/>
      <c r="I226" s="680"/>
      <c r="J226" s="681"/>
      <c r="K226" s="712"/>
      <c r="L226" s="713"/>
      <c r="M226" s="710"/>
      <c r="N226" s="710"/>
    </row>
    <row r="227" spans="1:14" s="1836" customFormat="1" ht="15.75" customHeight="1" x14ac:dyDescent="0.2">
      <c r="A227" s="1545" t="s">
        <v>6471</v>
      </c>
      <c r="B227" s="1545" t="s">
        <v>6472</v>
      </c>
      <c r="C227" s="1829"/>
      <c r="D227" s="1847">
        <v>140</v>
      </c>
      <c r="E227" s="900"/>
      <c r="F227" s="900"/>
      <c r="G227" s="1860"/>
      <c r="H227" s="679"/>
      <c r="I227" s="680"/>
      <c r="J227" s="681"/>
      <c r="K227" s="1843"/>
      <c r="L227" s="1835"/>
      <c r="M227" s="1838"/>
      <c r="N227" s="1838"/>
    </row>
    <row r="228" spans="1:14" s="1836" customFormat="1" ht="15.75" customHeight="1" x14ac:dyDescent="0.2">
      <c r="A228" s="1545" t="s">
        <v>6473</v>
      </c>
      <c r="B228" s="1545" t="s">
        <v>6474</v>
      </c>
      <c r="C228" s="1829"/>
      <c r="D228" s="1847">
        <v>119.63</v>
      </c>
      <c r="E228" s="900"/>
      <c r="F228" s="900"/>
      <c r="G228" s="1860"/>
      <c r="H228" s="679"/>
      <c r="I228" s="680"/>
      <c r="J228" s="681"/>
      <c r="K228" s="1843"/>
      <c r="L228" s="1835"/>
      <c r="M228" s="1838"/>
      <c r="N228" s="1838"/>
    </row>
    <row r="229" spans="1:14" s="41" customFormat="1" ht="15.75" customHeight="1" x14ac:dyDescent="0.2">
      <c r="A229" s="95" t="s">
        <v>6475</v>
      </c>
      <c r="B229" s="95" t="s">
        <v>6467</v>
      </c>
      <c r="C229" s="925"/>
      <c r="D229" s="932">
        <v>119.9975</v>
      </c>
      <c r="E229" s="144"/>
      <c r="F229" s="144"/>
      <c r="G229" s="1860">
        <v>119.4</v>
      </c>
      <c r="H229" s="679"/>
      <c r="I229" s="680"/>
      <c r="J229" s="681"/>
      <c r="K229" s="712"/>
      <c r="L229" s="713"/>
      <c r="M229" s="710"/>
      <c r="N229" s="710"/>
    </row>
    <row r="230" spans="1:14" s="41" customFormat="1" ht="15.75" customHeight="1" x14ac:dyDescent="0.2">
      <c r="A230" s="95" t="s">
        <v>6476</v>
      </c>
      <c r="B230" s="95" t="s">
        <v>6467</v>
      </c>
      <c r="C230" s="925"/>
      <c r="D230" s="932">
        <v>154.80500000000001</v>
      </c>
      <c r="E230" s="144"/>
      <c r="F230" s="144"/>
      <c r="G230" s="1860">
        <v>153.74</v>
      </c>
      <c r="H230" s="679"/>
      <c r="I230" s="680"/>
      <c r="J230" s="681"/>
      <c r="K230" s="712"/>
      <c r="L230" s="713"/>
      <c r="M230" s="710"/>
      <c r="N230" s="710"/>
    </row>
    <row r="231" spans="1:14" s="41" customFormat="1" ht="15.75" customHeight="1" x14ac:dyDescent="0.2">
      <c r="A231" s="95" t="s">
        <v>6477</v>
      </c>
      <c r="B231" s="95" t="s">
        <v>6478</v>
      </c>
      <c r="C231" s="925"/>
      <c r="D231" s="932">
        <v>120.69750000000001</v>
      </c>
      <c r="E231" s="144"/>
      <c r="F231" s="144"/>
      <c r="G231" s="1860">
        <v>120.1</v>
      </c>
      <c r="H231" s="679"/>
      <c r="I231" s="680"/>
      <c r="J231" s="681"/>
      <c r="K231" s="712"/>
      <c r="L231" s="713"/>
      <c r="M231" s="710"/>
      <c r="N231" s="710"/>
    </row>
    <row r="232" spans="1:14" s="41" customFormat="1" ht="15.75" customHeight="1" x14ac:dyDescent="0.2">
      <c r="A232" s="95" t="s">
        <v>6479</v>
      </c>
      <c r="B232" s="95" t="s">
        <v>6480</v>
      </c>
      <c r="C232" s="925"/>
      <c r="D232" s="932">
        <v>120.7</v>
      </c>
      <c r="E232" s="144"/>
      <c r="F232" s="144"/>
      <c r="G232" s="1860">
        <v>120.1</v>
      </c>
      <c r="H232" s="679"/>
      <c r="I232" s="680"/>
      <c r="J232" s="681"/>
      <c r="K232" s="712"/>
      <c r="L232" s="713"/>
      <c r="M232" s="710"/>
      <c r="N232" s="710"/>
    </row>
    <row r="233" spans="1:14" s="1836" customFormat="1" ht="15.75" customHeight="1" x14ac:dyDescent="0.2">
      <c r="A233" s="1545" t="s">
        <v>6481</v>
      </c>
      <c r="B233" s="1545" t="s">
        <v>6467</v>
      </c>
      <c r="C233" s="1829"/>
      <c r="D233" s="1847">
        <v>210</v>
      </c>
      <c r="E233" s="900"/>
      <c r="F233" s="900"/>
      <c r="G233" s="1860"/>
      <c r="H233" s="679"/>
      <c r="I233" s="680"/>
      <c r="J233" s="681"/>
      <c r="K233" s="1843"/>
      <c r="L233" s="1835"/>
      <c r="M233" s="1838"/>
      <c r="N233" s="1838"/>
    </row>
    <row r="234" spans="1:14" s="41" customFormat="1" ht="15.75" customHeight="1" x14ac:dyDescent="0.2">
      <c r="A234" s="95" t="s">
        <v>6482</v>
      </c>
      <c r="B234" s="95" t="s">
        <v>6483</v>
      </c>
      <c r="C234" s="925"/>
      <c r="D234" s="932">
        <v>244.23</v>
      </c>
      <c r="E234" s="144"/>
      <c r="F234" s="144"/>
      <c r="G234" s="1860">
        <v>242.55</v>
      </c>
      <c r="H234" s="679"/>
      <c r="I234" s="680"/>
      <c r="J234" s="681"/>
      <c r="K234" s="712"/>
      <c r="L234" s="713"/>
      <c r="M234" s="710"/>
      <c r="N234" s="710"/>
    </row>
    <row r="235" spans="1:14" s="41" customFormat="1" ht="15.75" customHeight="1" x14ac:dyDescent="0.2">
      <c r="A235" s="95" t="s">
        <v>6484</v>
      </c>
      <c r="B235" s="95" t="s">
        <v>6467</v>
      </c>
      <c r="C235" s="925"/>
      <c r="D235" s="932">
        <v>168.56</v>
      </c>
      <c r="E235" s="144"/>
      <c r="F235" s="144"/>
      <c r="G235" s="1860">
        <v>167.48</v>
      </c>
      <c r="H235" s="679"/>
      <c r="I235" s="680"/>
      <c r="J235" s="681"/>
      <c r="K235" s="712"/>
      <c r="L235" s="713"/>
      <c r="M235" s="710"/>
      <c r="N235" s="710"/>
    </row>
    <row r="236" spans="1:14" s="41" customFormat="1" ht="15.75" customHeight="1" x14ac:dyDescent="0.2">
      <c r="A236" s="95" t="s">
        <v>6485</v>
      </c>
      <c r="B236" s="95" t="s">
        <v>6467</v>
      </c>
      <c r="C236" s="925"/>
      <c r="D236" s="932">
        <v>247.99250000000001</v>
      </c>
      <c r="E236" s="144"/>
      <c r="F236" s="144"/>
      <c r="G236" s="1860">
        <v>246.31</v>
      </c>
      <c r="H236" s="679"/>
      <c r="I236" s="680"/>
      <c r="J236" s="681"/>
      <c r="K236" s="712"/>
      <c r="L236" s="713"/>
      <c r="M236" s="710"/>
      <c r="N236" s="710"/>
    </row>
    <row r="237" spans="1:14" s="41" customFormat="1" ht="15.75" customHeight="1" x14ac:dyDescent="0.2">
      <c r="A237" s="95" t="s">
        <v>6486</v>
      </c>
      <c r="B237" s="95" t="s">
        <v>6467</v>
      </c>
      <c r="C237" s="925"/>
      <c r="D237" s="932">
        <v>165.06</v>
      </c>
      <c r="E237" s="144"/>
      <c r="F237" s="144"/>
      <c r="G237" s="1860">
        <v>163.98</v>
      </c>
      <c r="H237" s="679"/>
      <c r="I237" s="680"/>
      <c r="J237" s="681"/>
      <c r="K237" s="712"/>
      <c r="L237" s="713"/>
      <c r="M237" s="710"/>
      <c r="N237" s="710"/>
    </row>
    <row r="238" spans="1:14" s="41" customFormat="1" ht="15.75" customHeight="1" x14ac:dyDescent="0.2">
      <c r="A238" s="95" t="s">
        <v>6487</v>
      </c>
      <c r="B238" s="95" t="s">
        <v>6488</v>
      </c>
      <c r="C238" s="925"/>
      <c r="D238" s="932">
        <v>262.55</v>
      </c>
      <c r="E238" s="144"/>
      <c r="F238" s="144"/>
      <c r="G238" s="1860">
        <v>244.39</v>
      </c>
      <c r="H238" s="679"/>
      <c r="I238" s="680"/>
      <c r="J238" s="681"/>
      <c r="K238" s="712"/>
      <c r="L238" s="713"/>
      <c r="M238" s="710"/>
      <c r="N238" s="710"/>
    </row>
    <row r="239" spans="1:14" s="41" customFormat="1" ht="15.75" customHeight="1" x14ac:dyDescent="0.2">
      <c r="A239" s="95" t="s">
        <v>6489</v>
      </c>
      <c r="B239" s="95" t="s">
        <v>6467</v>
      </c>
      <c r="C239" s="925"/>
      <c r="D239" s="932">
        <v>248.72749999999999</v>
      </c>
      <c r="E239" s="144"/>
      <c r="F239" s="144"/>
      <c r="G239" s="1860">
        <v>247</v>
      </c>
      <c r="H239" s="679"/>
      <c r="I239" s="680"/>
      <c r="J239" s="681"/>
      <c r="K239" s="712"/>
      <c r="L239" s="713"/>
      <c r="M239" s="710"/>
      <c r="N239" s="710"/>
    </row>
    <row r="240" spans="1:14" s="41" customFormat="1" ht="15.75" customHeight="1" x14ac:dyDescent="0.2">
      <c r="A240" s="95" t="s">
        <v>6490</v>
      </c>
      <c r="B240" s="95" t="s">
        <v>6467</v>
      </c>
      <c r="C240" s="925"/>
      <c r="D240" s="932">
        <v>325.43</v>
      </c>
      <c r="E240" s="144"/>
      <c r="F240" s="144"/>
      <c r="G240" s="1860">
        <v>323.75</v>
      </c>
      <c r="H240" s="679"/>
      <c r="I240" s="680"/>
      <c r="J240" s="681"/>
      <c r="K240" s="712"/>
      <c r="L240" s="713"/>
      <c r="M240" s="710"/>
      <c r="N240" s="710"/>
    </row>
    <row r="241" spans="1:15" s="1836" customFormat="1" ht="15.75" customHeight="1" x14ac:dyDescent="0.2">
      <c r="A241" s="1545" t="s">
        <v>6491</v>
      </c>
      <c r="B241" s="1545" t="s">
        <v>6467</v>
      </c>
      <c r="C241" s="1829"/>
      <c r="D241" s="1847">
        <v>329</v>
      </c>
      <c r="E241" s="900"/>
      <c r="F241" s="900"/>
      <c r="G241" s="1860"/>
      <c r="H241" s="679"/>
      <c r="I241" s="680"/>
      <c r="J241" s="681"/>
      <c r="K241" s="1843"/>
      <c r="L241" s="1835"/>
      <c r="M241" s="1838"/>
      <c r="N241" s="1838"/>
    </row>
    <row r="242" spans="1:15" s="41" customFormat="1" ht="15.75" customHeight="1" x14ac:dyDescent="0.2">
      <c r="A242" s="95" t="s">
        <v>6492</v>
      </c>
      <c r="B242" s="95" t="s">
        <v>6493</v>
      </c>
      <c r="C242" s="925"/>
      <c r="D242" s="932">
        <v>329.08749999999998</v>
      </c>
      <c r="E242" s="144"/>
      <c r="F242" s="144"/>
      <c r="G242" s="1860">
        <v>327.33999999999997</v>
      </c>
      <c r="H242" s="679"/>
      <c r="I242" s="680"/>
      <c r="J242" s="681"/>
      <c r="K242" s="712"/>
      <c r="L242" s="713"/>
      <c r="M242" s="710"/>
      <c r="N242" s="710"/>
    </row>
    <row r="243" spans="1:15" s="1836" customFormat="1" ht="15.75" customHeight="1" x14ac:dyDescent="0.2">
      <c r="A243" s="1545" t="s">
        <v>6494</v>
      </c>
      <c r="B243" s="1545" t="s">
        <v>6495</v>
      </c>
      <c r="C243" s="1829"/>
      <c r="D243" s="1847">
        <v>360</v>
      </c>
      <c r="E243" s="900"/>
      <c r="F243" s="900"/>
      <c r="G243" s="1860"/>
      <c r="H243" s="679"/>
      <c r="I243" s="680"/>
      <c r="J243" s="681"/>
      <c r="K243" s="1843"/>
      <c r="L243" s="1835"/>
      <c r="M243" s="1838"/>
      <c r="N243" s="1838"/>
    </row>
    <row r="244" spans="1:15" s="1836" customFormat="1" ht="15.75" customHeight="1" x14ac:dyDescent="0.2">
      <c r="A244" s="1545" t="s">
        <v>6496</v>
      </c>
      <c r="B244" s="1545" t="s">
        <v>6497</v>
      </c>
      <c r="C244" s="1829"/>
      <c r="D244" s="1847">
        <v>380</v>
      </c>
      <c r="E244" s="900"/>
      <c r="F244" s="900"/>
      <c r="G244" s="927">
        <v>336</v>
      </c>
      <c r="H244" s="679"/>
      <c r="I244" s="680"/>
      <c r="J244" s="681"/>
      <c r="K244" s="1843"/>
      <c r="L244" s="1835"/>
      <c r="M244" s="1838"/>
      <c r="N244" s="1838"/>
      <c r="O244" s="1836" t="s">
        <v>6498</v>
      </c>
    </row>
    <row r="245" spans="1:15" s="41" customFormat="1" ht="15.75" customHeight="1" x14ac:dyDescent="0.2">
      <c r="A245" s="95" t="s">
        <v>6499</v>
      </c>
      <c r="B245" s="95" t="s">
        <v>6500</v>
      </c>
      <c r="C245" s="1023"/>
      <c r="D245" s="1171">
        <v>400</v>
      </c>
      <c r="E245" s="144"/>
      <c r="F245" s="144"/>
      <c r="G245" s="927"/>
      <c r="H245" s="679"/>
      <c r="I245" s="680"/>
      <c r="J245" s="681"/>
      <c r="K245" s="712"/>
      <c r="L245" s="713"/>
      <c r="M245" s="710"/>
      <c r="N245" s="710"/>
    </row>
    <row r="246" spans="1:15" s="41" customFormat="1" ht="15.75" customHeight="1" x14ac:dyDescent="0.2">
      <c r="A246" s="95"/>
      <c r="B246" s="95"/>
      <c r="C246" s="1023"/>
      <c r="D246" s="1171"/>
      <c r="E246" s="144"/>
      <c r="F246" s="144"/>
      <c r="G246" s="927"/>
      <c r="H246" s="679"/>
      <c r="I246" s="680"/>
      <c r="J246" s="681"/>
      <c r="K246" s="712"/>
      <c r="L246" s="713"/>
      <c r="M246" s="710"/>
      <c r="N246" s="710"/>
    </row>
    <row r="247" spans="1:15" s="1836" customFormat="1" ht="15.75" customHeight="1" x14ac:dyDescent="0.2">
      <c r="A247" s="1851" t="s">
        <v>6501</v>
      </c>
      <c r="B247" s="1851" t="s">
        <v>6502</v>
      </c>
      <c r="C247" s="1829"/>
      <c r="D247" s="1847">
        <v>121.45</v>
      </c>
      <c r="E247" s="900"/>
      <c r="F247" s="900"/>
      <c r="G247" s="927"/>
      <c r="H247" s="679"/>
      <c r="I247" s="680"/>
      <c r="J247" s="681"/>
      <c r="K247" s="1843"/>
      <c r="L247" s="1835"/>
      <c r="M247" s="1838"/>
      <c r="N247" s="1838"/>
    </row>
    <row r="248" spans="1:15" s="1836" customFormat="1" ht="15.75" customHeight="1" x14ac:dyDescent="0.2">
      <c r="A248" s="1851" t="s">
        <v>6503</v>
      </c>
      <c r="B248" s="1851" t="s">
        <v>6504</v>
      </c>
      <c r="C248" s="1829"/>
      <c r="D248" s="1847">
        <v>350.44</v>
      </c>
      <c r="E248" s="900"/>
      <c r="F248" s="900"/>
      <c r="G248" s="927"/>
      <c r="H248" s="679"/>
      <c r="I248" s="680"/>
      <c r="J248" s="681"/>
      <c r="K248" s="1843"/>
      <c r="L248" s="1835"/>
      <c r="M248" s="1838"/>
      <c r="N248" s="1838"/>
    </row>
    <row r="249" spans="1:15" s="44" customFormat="1" ht="15.75" customHeight="1" x14ac:dyDescent="0.2">
      <c r="A249" s="119"/>
      <c r="B249" s="119"/>
      <c r="C249" s="1003"/>
      <c r="D249" s="934"/>
      <c r="E249" s="159"/>
      <c r="F249" s="159"/>
      <c r="G249" s="927"/>
      <c r="H249" s="679"/>
      <c r="I249" s="680"/>
      <c r="J249" s="681"/>
      <c r="K249" s="682"/>
      <c r="L249" s="787"/>
      <c r="M249" s="680"/>
      <c r="N249" s="680"/>
    </row>
    <row r="250" spans="1:15" s="1836" customFormat="1" ht="15.75" customHeight="1" x14ac:dyDescent="0.2">
      <c r="A250" s="1545" t="s">
        <v>6505</v>
      </c>
      <c r="B250" s="1545" t="s">
        <v>6506</v>
      </c>
      <c r="C250" s="1829"/>
      <c r="D250" s="1847">
        <v>10</v>
      </c>
      <c r="E250" s="900"/>
      <c r="F250" s="900"/>
      <c r="G250" s="927"/>
      <c r="H250" s="679"/>
      <c r="I250" s="680"/>
      <c r="J250" s="681"/>
      <c r="K250" s="1843"/>
      <c r="L250" s="1835"/>
      <c r="M250" s="1838"/>
      <c r="N250" s="1838"/>
    </row>
    <row r="251" spans="1:15" s="1836" customFormat="1" ht="15.75" customHeight="1" x14ac:dyDescent="0.2">
      <c r="A251" s="1545" t="s">
        <v>6507</v>
      </c>
      <c r="B251" s="1545" t="s">
        <v>6508</v>
      </c>
      <c r="C251" s="1829"/>
      <c r="D251" s="1847">
        <v>10</v>
      </c>
      <c r="E251" s="900"/>
      <c r="F251" s="900"/>
      <c r="G251" s="927"/>
      <c r="H251" s="679"/>
      <c r="I251" s="680"/>
      <c r="J251" s="681"/>
      <c r="K251" s="1843"/>
      <c r="L251" s="1835"/>
      <c r="M251" s="1838"/>
      <c r="N251" s="1838"/>
    </row>
    <row r="252" spans="1:15" s="50" customFormat="1" ht="15.75" customHeight="1" x14ac:dyDescent="0.2">
      <c r="A252" s="11"/>
      <c r="B252" s="11"/>
      <c r="C252" s="925"/>
      <c r="D252" s="945"/>
      <c r="E252" s="20" t="s">
        <v>6155</v>
      </c>
      <c r="F252" s="20"/>
      <c r="G252" s="1856"/>
      <c r="H252" s="679"/>
      <c r="I252" s="680"/>
      <c r="J252" s="681"/>
      <c r="K252" s="667">
        <f t="shared" ref="K252" si="21">I252-H252</f>
        <v>0</v>
      </c>
      <c r="L252" s="475" t="str">
        <f t="shared" ref="L252" si="22">IF(H252="","NA",K252/H252)</f>
        <v>NA</v>
      </c>
      <c r="M252" s="113"/>
    </row>
    <row r="253" spans="1:15" ht="15.75" customHeight="1" x14ac:dyDescent="0.2">
      <c r="A253" s="11" t="s">
        <v>6509</v>
      </c>
      <c r="B253" s="11" t="s">
        <v>6510</v>
      </c>
      <c r="C253" s="925"/>
      <c r="D253" s="931">
        <v>74.287499999999994</v>
      </c>
      <c r="E253" s="20">
        <v>8.2799999999999994</v>
      </c>
      <c r="F253" s="20">
        <v>8.25</v>
      </c>
      <c r="G253" s="687">
        <v>69.125</v>
      </c>
      <c r="H253" s="679">
        <v>56.75</v>
      </c>
      <c r="I253" s="680">
        <v>69.125</v>
      </c>
      <c r="J253" s="681">
        <v>69.125</v>
      </c>
      <c r="K253" s="667">
        <f>J253-I253</f>
        <v>0</v>
      </c>
      <c r="L253" s="475">
        <f>K253/I253</f>
        <v>0</v>
      </c>
      <c r="M253" s="629">
        <v>4.1500000000000004</v>
      </c>
      <c r="N253" s="629">
        <v>4.1500000000000004</v>
      </c>
    </row>
    <row r="254" spans="1:15" s="1836" customFormat="1" ht="15.75" customHeight="1" x14ac:dyDescent="0.2">
      <c r="A254" s="1581" t="s">
        <v>6511</v>
      </c>
      <c r="B254" s="1581" t="s">
        <v>6512</v>
      </c>
      <c r="C254" s="1829"/>
      <c r="D254" s="1348">
        <v>75</v>
      </c>
      <c r="E254" s="900"/>
      <c r="F254" s="900"/>
      <c r="G254" s="687"/>
      <c r="H254" s="679"/>
      <c r="I254" s="680"/>
      <c r="J254" s="681"/>
      <c r="K254" s="1843"/>
      <c r="L254" s="1835"/>
      <c r="M254" s="1842"/>
      <c r="N254" s="1842"/>
    </row>
    <row r="255" spans="1:15" s="41" customFormat="1" ht="15.75" customHeight="1" x14ac:dyDescent="0.2">
      <c r="A255" s="25" t="s">
        <v>6513</v>
      </c>
      <c r="B255" s="25" t="s">
        <v>6514</v>
      </c>
      <c r="C255" s="1023"/>
      <c r="D255" s="1024">
        <v>81.87</v>
      </c>
      <c r="E255" s="144"/>
      <c r="F255" s="144"/>
      <c r="G255" s="687"/>
      <c r="H255" s="679"/>
      <c r="I255" s="680"/>
      <c r="J255" s="681"/>
      <c r="K255" s="712"/>
      <c r="L255" s="713"/>
      <c r="M255" s="711"/>
      <c r="N255" s="711"/>
    </row>
    <row r="256" spans="1:15" ht="15.75" customHeight="1" x14ac:dyDescent="0.2">
      <c r="A256" s="11" t="s">
        <v>6515</v>
      </c>
      <c r="B256" s="11" t="s">
        <v>6516</v>
      </c>
      <c r="C256" s="925"/>
      <c r="D256" s="931">
        <v>76.37</v>
      </c>
      <c r="E256" s="20">
        <v>11</v>
      </c>
      <c r="F256" s="20">
        <v>13</v>
      </c>
      <c r="G256" s="687">
        <v>71.225000000000009</v>
      </c>
      <c r="H256" s="679">
        <v>60.949999999999996</v>
      </c>
      <c r="I256" s="680">
        <v>71.172499999999999</v>
      </c>
      <c r="J256" s="681">
        <v>71.225000000000009</v>
      </c>
      <c r="K256" s="667">
        <f t="shared" ref="K256:K339" si="23">J256-I256</f>
        <v>5.2500000000009095E-2</v>
      </c>
      <c r="L256" s="475">
        <f t="shared" ref="L256:L339" si="24">K256/I256</f>
        <v>7.3764445537263823E-4</v>
      </c>
      <c r="M256" s="629">
        <v>4.1500000000000004</v>
      </c>
      <c r="N256" s="629">
        <v>4.1500000000000004</v>
      </c>
    </row>
    <row r="257" spans="1:15" ht="15.75" customHeight="1" x14ac:dyDescent="0.2">
      <c r="A257" s="11" t="s">
        <v>6517</v>
      </c>
      <c r="B257" s="11" t="s">
        <v>6518</v>
      </c>
      <c r="C257" s="925"/>
      <c r="D257" s="931">
        <v>77.069999999999993</v>
      </c>
      <c r="E257" s="20">
        <v>11</v>
      </c>
      <c r="F257" s="20">
        <v>14</v>
      </c>
      <c r="G257" s="687">
        <v>71.924999999999997</v>
      </c>
      <c r="H257" s="679">
        <v>62.73</v>
      </c>
      <c r="I257" s="680">
        <v>71.855000000000004</v>
      </c>
      <c r="J257" s="681">
        <v>71.924999999999997</v>
      </c>
      <c r="K257" s="667">
        <f t="shared" si="23"/>
        <v>6.9999999999993179E-2</v>
      </c>
      <c r="L257" s="475">
        <f t="shared" si="24"/>
        <v>9.7418412079873604E-4</v>
      </c>
      <c r="M257" s="629">
        <v>4.1500000000000004</v>
      </c>
      <c r="N257" s="629">
        <v>4.1500000000000004</v>
      </c>
    </row>
    <row r="258" spans="1:15" s="1836" customFormat="1" ht="15.75" customHeight="1" x14ac:dyDescent="0.2">
      <c r="A258" s="1581" t="s">
        <v>6519</v>
      </c>
      <c r="B258" s="1581" t="s">
        <v>6520</v>
      </c>
      <c r="C258" s="1829"/>
      <c r="D258" s="1348">
        <v>83</v>
      </c>
      <c r="E258" s="900"/>
      <c r="F258" s="900"/>
      <c r="G258" s="687"/>
      <c r="H258" s="679"/>
      <c r="I258" s="680"/>
      <c r="J258" s="681"/>
      <c r="K258" s="1843"/>
      <c r="L258" s="1835"/>
      <c r="M258" s="1842"/>
      <c r="N258" s="1842"/>
    </row>
    <row r="259" spans="1:15" s="1836" customFormat="1" ht="15.75" customHeight="1" x14ac:dyDescent="0.2">
      <c r="A259" s="1581" t="s">
        <v>6521</v>
      </c>
      <c r="B259" s="1581" t="s">
        <v>6522</v>
      </c>
      <c r="C259" s="1829"/>
      <c r="D259" s="1348">
        <v>78</v>
      </c>
      <c r="E259" s="900"/>
      <c r="F259" s="900"/>
      <c r="G259" s="687"/>
      <c r="H259" s="679"/>
      <c r="I259" s="680"/>
      <c r="J259" s="681"/>
      <c r="K259" s="1843"/>
      <c r="L259" s="1835"/>
      <c r="M259" s="1842"/>
      <c r="N259" s="1842"/>
    </row>
    <row r="260" spans="1:15" s="41" customFormat="1" ht="15.75" customHeight="1" x14ac:dyDescent="0.2">
      <c r="A260" s="25" t="s">
        <v>6523</v>
      </c>
      <c r="B260" s="25" t="s">
        <v>6524</v>
      </c>
      <c r="C260" s="1023"/>
      <c r="D260" s="1024">
        <v>73</v>
      </c>
      <c r="E260" s="144">
        <v>12</v>
      </c>
      <c r="F260" s="144">
        <v>16</v>
      </c>
      <c r="G260" s="687">
        <v>73</v>
      </c>
      <c r="H260" s="679"/>
      <c r="I260" s="680"/>
      <c r="J260" s="681"/>
      <c r="K260" s="712"/>
      <c r="L260" s="713"/>
      <c r="M260" s="711"/>
      <c r="N260" s="711"/>
      <c r="O260" s="41" t="s">
        <v>6525</v>
      </c>
    </row>
    <row r="261" spans="1:15" s="1836" customFormat="1" ht="15.75" customHeight="1" x14ac:dyDescent="0.2">
      <c r="A261" s="1581" t="s">
        <v>6526</v>
      </c>
      <c r="B261" s="1581" t="s">
        <v>6527</v>
      </c>
      <c r="C261" s="1829"/>
      <c r="D261" s="1348">
        <v>80</v>
      </c>
      <c r="E261" s="900"/>
      <c r="F261" s="900"/>
      <c r="G261" s="687"/>
      <c r="H261" s="679"/>
      <c r="I261" s="680"/>
      <c r="J261" s="681"/>
      <c r="K261" s="1843"/>
      <c r="L261" s="1835"/>
      <c r="M261" s="1842"/>
      <c r="N261" s="1842"/>
    </row>
    <row r="262" spans="1:15" s="1836" customFormat="1" ht="15.75" customHeight="1" x14ac:dyDescent="0.2">
      <c r="A262" s="1581" t="s">
        <v>6528</v>
      </c>
      <c r="B262" s="1581" t="s">
        <v>6529</v>
      </c>
      <c r="C262" s="1829"/>
      <c r="D262" s="1348">
        <v>89.69</v>
      </c>
      <c r="E262" s="900"/>
      <c r="F262" s="900"/>
      <c r="G262" s="687"/>
      <c r="H262" s="679"/>
      <c r="I262" s="680"/>
      <c r="J262" s="681"/>
      <c r="K262" s="1843"/>
      <c r="L262" s="1835"/>
      <c r="M262" s="1842"/>
      <c r="N262" s="1842"/>
    </row>
    <row r="263" spans="1:15" ht="15.75" customHeight="1" x14ac:dyDescent="0.2">
      <c r="A263" s="11" t="s">
        <v>6530</v>
      </c>
      <c r="B263" s="11" t="s">
        <v>6531</v>
      </c>
      <c r="C263" s="925"/>
      <c r="D263" s="931">
        <v>81.462500000000006</v>
      </c>
      <c r="E263" s="20">
        <v>14</v>
      </c>
      <c r="F263" s="20">
        <v>20</v>
      </c>
      <c r="G263" s="687">
        <v>76.3</v>
      </c>
      <c r="H263" s="679">
        <v>68</v>
      </c>
      <c r="I263" s="680">
        <v>76.194999999999993</v>
      </c>
      <c r="J263" s="681">
        <v>76.3</v>
      </c>
      <c r="K263" s="667">
        <f t="shared" si="23"/>
        <v>0.10500000000000398</v>
      </c>
      <c r="L263" s="475">
        <f t="shared" si="24"/>
        <v>1.3780431786863179E-3</v>
      </c>
      <c r="M263" s="629">
        <v>4.1500000000000004</v>
      </c>
      <c r="N263" s="629">
        <v>4.5999999999999996</v>
      </c>
    </row>
    <row r="264" spans="1:15" s="1836" customFormat="1" ht="15.75" customHeight="1" x14ac:dyDescent="0.2">
      <c r="A264" s="1581" t="s">
        <v>6532</v>
      </c>
      <c r="B264" s="1581" t="s">
        <v>6533</v>
      </c>
      <c r="C264" s="1829"/>
      <c r="D264" s="1348">
        <v>82</v>
      </c>
      <c r="E264" s="900"/>
      <c r="F264" s="900"/>
      <c r="G264" s="687"/>
      <c r="H264" s="679"/>
      <c r="I264" s="680"/>
      <c r="J264" s="681"/>
      <c r="K264" s="1843"/>
      <c r="L264" s="1835"/>
      <c r="M264" s="1842"/>
      <c r="N264" s="1842"/>
    </row>
    <row r="265" spans="1:15" ht="15.75" customHeight="1" x14ac:dyDescent="0.2">
      <c r="A265" s="11" t="s">
        <v>6534</v>
      </c>
      <c r="B265" s="11" t="s">
        <v>6535</v>
      </c>
      <c r="C265" s="925"/>
      <c r="D265" s="931">
        <v>82.075000000000003</v>
      </c>
      <c r="E265" s="20">
        <v>15</v>
      </c>
      <c r="F265" s="20">
        <v>21</v>
      </c>
      <c r="G265" s="687">
        <v>76.912500000000009</v>
      </c>
      <c r="H265" s="679">
        <v>70.06</v>
      </c>
      <c r="I265" s="680">
        <v>76.790000000000006</v>
      </c>
      <c r="J265" s="681">
        <v>76.912500000000009</v>
      </c>
      <c r="K265" s="667">
        <f t="shared" si="23"/>
        <v>0.12250000000000227</v>
      </c>
      <c r="L265" s="475">
        <f t="shared" si="24"/>
        <v>1.5952597994530833E-3</v>
      </c>
      <c r="M265" s="629">
        <v>4.1500000000000004</v>
      </c>
      <c r="N265" s="629">
        <v>4.5999999999999996</v>
      </c>
    </row>
    <row r="266" spans="1:15" s="41" customFormat="1" ht="15.75" customHeight="1" x14ac:dyDescent="0.2">
      <c r="A266" s="25" t="s">
        <v>6536</v>
      </c>
      <c r="B266" s="25" t="s">
        <v>6537</v>
      </c>
      <c r="C266" s="1023"/>
      <c r="D266" s="1024">
        <v>77</v>
      </c>
      <c r="E266" s="144"/>
      <c r="F266" s="144"/>
      <c r="G266" s="687">
        <v>77</v>
      </c>
      <c r="H266" s="679"/>
      <c r="I266" s="680"/>
      <c r="J266" s="681"/>
      <c r="K266" s="712"/>
      <c r="L266" s="713"/>
      <c r="M266" s="711"/>
      <c r="N266" s="711"/>
      <c r="O266" s="41" t="s">
        <v>6525</v>
      </c>
    </row>
    <row r="267" spans="1:15" ht="15.75" customHeight="1" x14ac:dyDescent="0.2">
      <c r="A267" s="11" t="s">
        <v>6538</v>
      </c>
      <c r="B267" s="11" t="s">
        <v>6539</v>
      </c>
      <c r="C267" s="925"/>
      <c r="D267" s="931">
        <v>82.757499999999993</v>
      </c>
      <c r="E267" s="20">
        <v>16</v>
      </c>
      <c r="F267" s="20">
        <v>20</v>
      </c>
      <c r="G267" s="687">
        <v>77.612499999999997</v>
      </c>
      <c r="H267" s="679">
        <v>70.08</v>
      </c>
      <c r="I267" s="680">
        <v>77.472500000000011</v>
      </c>
      <c r="J267" s="681">
        <v>77.612499999999997</v>
      </c>
      <c r="K267" s="667">
        <f t="shared" si="23"/>
        <v>0.13999999999998636</v>
      </c>
      <c r="L267" s="475">
        <f t="shared" si="24"/>
        <v>1.8070928393944476E-3</v>
      </c>
      <c r="M267" s="629">
        <v>4.1500000000000004</v>
      </c>
      <c r="N267" s="629">
        <v>4.5999999999999996</v>
      </c>
    </row>
    <row r="268" spans="1:15" s="1836" customFormat="1" ht="15.75" customHeight="1" x14ac:dyDescent="0.2">
      <c r="A268" s="1581" t="s">
        <v>6540</v>
      </c>
      <c r="B268" s="1581" t="s">
        <v>6541</v>
      </c>
      <c r="C268" s="1829"/>
      <c r="D268" s="1348">
        <v>82</v>
      </c>
      <c r="E268" s="900"/>
      <c r="F268" s="900"/>
      <c r="G268" s="687"/>
      <c r="H268" s="679"/>
      <c r="I268" s="680"/>
      <c r="J268" s="681"/>
      <c r="K268" s="1843"/>
      <c r="L268" s="1835"/>
      <c r="M268" s="1842"/>
      <c r="N268" s="1842"/>
    </row>
    <row r="269" spans="1:15" ht="15.75" customHeight="1" x14ac:dyDescent="0.2">
      <c r="A269" s="11" t="s">
        <v>6542</v>
      </c>
      <c r="B269" s="11" t="s">
        <v>6543</v>
      </c>
      <c r="C269" s="925"/>
      <c r="D269" s="931">
        <v>82.897499999999994</v>
      </c>
      <c r="E269" s="20">
        <v>17</v>
      </c>
      <c r="F269" s="20">
        <v>22</v>
      </c>
      <c r="G269" s="687">
        <v>77.7</v>
      </c>
      <c r="H269" s="679">
        <v>71.39</v>
      </c>
      <c r="I269" s="680">
        <v>77.594999999999999</v>
      </c>
      <c r="J269" s="681">
        <v>77.7</v>
      </c>
      <c r="K269" s="667">
        <f t="shared" si="23"/>
        <v>0.10500000000000398</v>
      </c>
      <c r="L269" s="475">
        <f t="shared" si="24"/>
        <v>1.3531799729364518E-3</v>
      </c>
      <c r="M269" s="629">
        <v>4.1500000000000004</v>
      </c>
      <c r="N269" s="629">
        <v>4.5999999999999996</v>
      </c>
    </row>
    <row r="270" spans="1:15" ht="15.75" customHeight="1" x14ac:dyDescent="0.2">
      <c r="A270" s="11" t="s">
        <v>6544</v>
      </c>
      <c r="B270" s="11" t="s">
        <v>6545</v>
      </c>
      <c r="C270" s="925"/>
      <c r="D270" s="931">
        <v>81.462500000000006</v>
      </c>
      <c r="E270" s="20">
        <v>14.5</v>
      </c>
      <c r="F270" s="20">
        <v>20.5</v>
      </c>
      <c r="G270" s="687">
        <v>76.3</v>
      </c>
      <c r="H270" s="679">
        <v>68.23</v>
      </c>
      <c r="I270" s="680">
        <v>76.212499999999991</v>
      </c>
      <c r="J270" s="681">
        <v>76.3</v>
      </c>
      <c r="K270" s="667">
        <f t="shared" si="23"/>
        <v>8.7500000000005684E-2</v>
      </c>
      <c r="L270" s="475">
        <f t="shared" si="24"/>
        <v>1.1481056257176406E-3</v>
      </c>
      <c r="M270" s="629">
        <v>4.1500000000000004</v>
      </c>
      <c r="N270" s="629">
        <v>4.5999999999999996</v>
      </c>
      <c r="O270" s="23"/>
    </row>
    <row r="271" spans="1:15" ht="15.75" customHeight="1" x14ac:dyDescent="0.2">
      <c r="A271" s="11" t="s">
        <v>6546</v>
      </c>
      <c r="B271" s="11" t="s">
        <v>6547</v>
      </c>
      <c r="C271" s="925"/>
      <c r="D271" s="931">
        <v>82.075000000000003</v>
      </c>
      <c r="E271" s="20">
        <v>18</v>
      </c>
      <c r="F271" s="20">
        <v>20</v>
      </c>
      <c r="G271" s="687">
        <v>76.912500000000009</v>
      </c>
      <c r="H271" s="679">
        <v>71.17</v>
      </c>
      <c r="I271" s="680">
        <v>76.807500000000005</v>
      </c>
      <c r="J271" s="681">
        <v>76.912500000000009</v>
      </c>
      <c r="K271" s="667">
        <f t="shared" si="23"/>
        <v>0.10500000000000398</v>
      </c>
      <c r="L271" s="475">
        <f t="shared" si="24"/>
        <v>1.3670539986329977E-3</v>
      </c>
      <c r="M271" s="629">
        <v>4.1500000000000004</v>
      </c>
      <c r="N271" s="629">
        <v>4.5999999999999996</v>
      </c>
    </row>
    <row r="272" spans="1:15" ht="15.75" customHeight="1" x14ac:dyDescent="0.2">
      <c r="A272" s="11" t="s">
        <v>6548</v>
      </c>
      <c r="B272" s="11" t="s">
        <v>6549</v>
      </c>
      <c r="C272" s="925"/>
      <c r="D272" s="931">
        <v>79.45</v>
      </c>
      <c r="E272" s="20">
        <v>18</v>
      </c>
      <c r="F272" s="20">
        <v>24</v>
      </c>
      <c r="G272" s="683">
        <v>79.45</v>
      </c>
      <c r="H272" s="679">
        <v>74.300000000000011</v>
      </c>
      <c r="I272" s="680">
        <v>79.327500000000001</v>
      </c>
      <c r="J272" s="681">
        <v>79.45</v>
      </c>
      <c r="K272" s="667">
        <f t="shared" si="23"/>
        <v>0.12250000000000227</v>
      </c>
      <c r="L272" s="475">
        <f t="shared" si="24"/>
        <v>1.5442311934701367E-3</v>
      </c>
      <c r="M272" s="629">
        <v>4.1500000000000004</v>
      </c>
      <c r="N272" s="629">
        <v>4.5999999999999996</v>
      </c>
    </row>
    <row r="273" spans="1:15" ht="15.75" customHeight="1" x14ac:dyDescent="0.2">
      <c r="A273" s="11" t="s">
        <v>6550</v>
      </c>
      <c r="B273" s="11" t="s">
        <v>6551</v>
      </c>
      <c r="C273" s="925"/>
      <c r="D273" s="931">
        <v>90.53</v>
      </c>
      <c r="E273" s="20">
        <v>20</v>
      </c>
      <c r="F273" s="20">
        <v>24</v>
      </c>
      <c r="G273" s="687">
        <v>79.45</v>
      </c>
      <c r="H273" s="679">
        <v>75.400000000000006</v>
      </c>
      <c r="I273" s="680">
        <v>79.344999999999999</v>
      </c>
      <c r="J273" s="681">
        <v>79.45</v>
      </c>
      <c r="K273" s="667">
        <f t="shared" si="23"/>
        <v>0.10500000000000398</v>
      </c>
      <c r="L273" s="475">
        <f t="shared" si="24"/>
        <v>1.3233348037053876E-3</v>
      </c>
      <c r="M273" s="629">
        <v>4.5999999999999996</v>
      </c>
      <c r="N273" s="629">
        <v>4.5999999999999996</v>
      </c>
    </row>
    <row r="274" spans="1:15" s="50" customFormat="1" ht="15.75" customHeight="1" x14ac:dyDescent="0.2">
      <c r="A274" s="11" t="s">
        <v>6552</v>
      </c>
      <c r="B274" s="11" t="s">
        <v>6553</v>
      </c>
      <c r="C274" s="925"/>
      <c r="D274" s="931">
        <v>89.16</v>
      </c>
      <c r="E274" s="20">
        <v>20</v>
      </c>
      <c r="F274" s="20">
        <v>30</v>
      </c>
      <c r="G274" s="687">
        <v>89.162500000000009</v>
      </c>
      <c r="H274" s="679">
        <v>88.41</v>
      </c>
      <c r="I274" s="680">
        <v>88.41</v>
      </c>
      <c r="J274" s="681">
        <v>89.162500000000009</v>
      </c>
      <c r="K274" s="667">
        <f t="shared" si="23"/>
        <v>0.75250000000001194</v>
      </c>
      <c r="L274" s="475">
        <f t="shared" si="24"/>
        <v>8.5114806017420191E-3</v>
      </c>
      <c r="M274" s="629">
        <v>4.5999999999999996</v>
      </c>
      <c r="N274" s="629">
        <v>4.5999999999999996</v>
      </c>
    </row>
    <row r="275" spans="1:15" s="41" customFormat="1" ht="15.75" customHeight="1" x14ac:dyDescent="0.2">
      <c r="A275" s="25" t="s">
        <v>6554</v>
      </c>
      <c r="B275" s="25" t="s">
        <v>6555</v>
      </c>
      <c r="C275" s="1023"/>
      <c r="D275" s="1024">
        <v>122.71</v>
      </c>
      <c r="E275" s="144"/>
      <c r="F275" s="144"/>
      <c r="G275" s="683"/>
      <c r="H275" s="679"/>
      <c r="I275" s="680"/>
      <c r="J275" s="681"/>
      <c r="K275" s="712"/>
      <c r="L275" s="713"/>
      <c r="M275" s="711"/>
      <c r="N275" s="711"/>
    </row>
    <row r="276" spans="1:15" ht="15.75" customHeight="1" x14ac:dyDescent="0.2">
      <c r="A276" s="11" t="s">
        <v>6556</v>
      </c>
      <c r="B276" s="11" t="s">
        <v>6557</v>
      </c>
      <c r="C276" s="925"/>
      <c r="D276" s="931">
        <v>89.232500000000002</v>
      </c>
      <c r="E276" s="20">
        <v>22</v>
      </c>
      <c r="F276" s="20">
        <v>24</v>
      </c>
      <c r="G276" s="683">
        <v>83.912500000000009</v>
      </c>
      <c r="H276" s="679">
        <v>77.540000000000006</v>
      </c>
      <c r="I276" s="680">
        <v>83.72</v>
      </c>
      <c r="J276" s="681">
        <v>83.912500000000009</v>
      </c>
      <c r="K276" s="667">
        <f t="shared" si="23"/>
        <v>0.19250000000000966</v>
      </c>
      <c r="L276" s="475">
        <f t="shared" si="24"/>
        <v>2.2993311036790453E-3</v>
      </c>
      <c r="M276" s="629">
        <v>4.5999999999999996</v>
      </c>
      <c r="N276" s="629">
        <v>4.5999999999999996</v>
      </c>
    </row>
    <row r="277" spans="1:15" s="1836" customFormat="1" ht="15.75" customHeight="1" x14ac:dyDescent="0.2">
      <c r="A277" s="1581" t="s">
        <v>6558</v>
      </c>
      <c r="B277" s="1581" t="s">
        <v>6559</v>
      </c>
      <c r="C277" s="1829"/>
      <c r="D277" s="1348">
        <v>105</v>
      </c>
      <c r="E277" s="900"/>
      <c r="F277" s="900"/>
      <c r="G277" s="683"/>
      <c r="H277" s="679"/>
      <c r="I277" s="680"/>
      <c r="J277" s="681"/>
      <c r="K277" s="1843"/>
      <c r="L277" s="1835"/>
      <c r="M277" s="1842"/>
      <c r="N277" s="1842"/>
    </row>
    <row r="278" spans="1:15" ht="15.75" customHeight="1" x14ac:dyDescent="0.2">
      <c r="A278" s="11" t="s">
        <v>6560</v>
      </c>
      <c r="B278" s="11" t="s">
        <v>6561</v>
      </c>
      <c r="C278" s="925"/>
      <c r="D278" s="931">
        <v>93.42</v>
      </c>
      <c r="E278" s="20">
        <v>24</v>
      </c>
      <c r="F278" s="20">
        <v>24</v>
      </c>
      <c r="G278" s="683">
        <v>83.912500000000009</v>
      </c>
      <c r="H278" s="679">
        <v>78.67</v>
      </c>
      <c r="I278" s="680">
        <v>82.285000000000011</v>
      </c>
      <c r="J278" s="681">
        <v>83.912500000000009</v>
      </c>
      <c r="K278" s="667">
        <f t="shared" si="23"/>
        <v>1.6274999999999977</v>
      </c>
      <c r="L278" s="475">
        <f t="shared" si="24"/>
        <v>1.9778817524457648E-2</v>
      </c>
      <c r="M278" s="629">
        <v>4.5999999999999996</v>
      </c>
      <c r="N278" s="629">
        <v>4.5999999999999996</v>
      </c>
    </row>
    <row r="279" spans="1:15" ht="15.75" customHeight="1" x14ac:dyDescent="0.2">
      <c r="A279" s="11" t="s">
        <v>6562</v>
      </c>
      <c r="B279" s="11" t="s">
        <v>6563</v>
      </c>
      <c r="C279" s="925"/>
      <c r="D279" s="931">
        <v>109.34</v>
      </c>
      <c r="E279" s="20">
        <v>24</v>
      </c>
      <c r="F279" s="20">
        <v>28</v>
      </c>
      <c r="G279" s="683">
        <v>103.425</v>
      </c>
      <c r="H279" s="679">
        <v>86.67</v>
      </c>
      <c r="I279" s="680">
        <v>102.14749999999999</v>
      </c>
      <c r="J279" s="681">
        <v>103.425</v>
      </c>
      <c r="K279" s="667">
        <f t="shared" si="23"/>
        <v>1.2775000000000034</v>
      </c>
      <c r="L279" s="475">
        <f t="shared" si="24"/>
        <v>1.2506424533150625E-2</v>
      </c>
      <c r="M279" s="629">
        <v>4.5999999999999996</v>
      </c>
      <c r="N279" s="629">
        <v>4.5999999999999996</v>
      </c>
    </row>
    <row r="280" spans="1:15" ht="15.75" customHeight="1" x14ac:dyDescent="0.2">
      <c r="A280" s="11" t="s">
        <v>6564</v>
      </c>
      <c r="B280" s="11" t="s">
        <v>6565</v>
      </c>
      <c r="C280" s="925"/>
      <c r="D280" s="931">
        <v>110.0575</v>
      </c>
      <c r="E280" s="20">
        <v>24</v>
      </c>
      <c r="F280" s="20">
        <v>30</v>
      </c>
      <c r="G280" s="683">
        <v>103.425</v>
      </c>
      <c r="H280" s="679">
        <v>87.210000000000008</v>
      </c>
      <c r="I280" s="680">
        <v>102.84750000000001</v>
      </c>
      <c r="J280" s="681">
        <v>103.425</v>
      </c>
      <c r="K280" s="667">
        <f t="shared" si="23"/>
        <v>0.57749999999998636</v>
      </c>
      <c r="L280" s="475">
        <f t="shared" si="24"/>
        <v>5.6151097498722503E-3</v>
      </c>
      <c r="M280" s="629">
        <v>4.5999999999999996</v>
      </c>
      <c r="N280" s="629">
        <v>4.5999999999999996</v>
      </c>
    </row>
    <row r="281" spans="1:15" s="1836" customFormat="1" ht="15.75" customHeight="1" x14ac:dyDescent="0.2">
      <c r="A281" s="1581" t="s">
        <v>6566</v>
      </c>
      <c r="B281" s="1581" t="s">
        <v>6567</v>
      </c>
      <c r="C281" s="1829"/>
      <c r="D281" s="1348">
        <v>110</v>
      </c>
      <c r="E281" s="900"/>
      <c r="F281" s="900"/>
      <c r="G281" s="683"/>
      <c r="H281" s="679"/>
      <c r="I281" s="680"/>
      <c r="J281" s="681"/>
      <c r="K281" s="1843"/>
      <c r="L281" s="1835"/>
      <c r="M281" s="1842"/>
      <c r="N281" s="1842"/>
    </row>
    <row r="282" spans="1:15" ht="15.75" customHeight="1" x14ac:dyDescent="0.2">
      <c r="A282" s="11" t="s">
        <v>6568</v>
      </c>
      <c r="B282" s="11" t="s">
        <v>6569</v>
      </c>
      <c r="C282" s="925"/>
      <c r="D282" s="931">
        <v>112.66500000000001</v>
      </c>
      <c r="E282" s="20">
        <v>24</v>
      </c>
      <c r="F282" s="20">
        <v>36</v>
      </c>
      <c r="G282" s="683">
        <v>106.05</v>
      </c>
      <c r="H282" s="679">
        <v>91.03</v>
      </c>
      <c r="I282" s="680">
        <v>105.42</v>
      </c>
      <c r="J282" s="681">
        <v>106.05</v>
      </c>
      <c r="K282" s="667">
        <f t="shared" si="23"/>
        <v>0.62999999999999545</v>
      </c>
      <c r="L282" s="475">
        <f t="shared" si="24"/>
        <v>5.976095617529837E-3</v>
      </c>
      <c r="M282" s="629">
        <v>4.5999999999999996</v>
      </c>
      <c r="N282" s="629">
        <v>4.5999999999999996</v>
      </c>
    </row>
    <row r="283" spans="1:15" s="1836" customFormat="1" ht="15.75" customHeight="1" x14ac:dyDescent="0.2">
      <c r="A283" s="1581" t="s">
        <v>6570</v>
      </c>
      <c r="B283" s="1581" t="s">
        <v>6571</v>
      </c>
      <c r="C283" s="1829"/>
      <c r="D283" s="1348">
        <v>110</v>
      </c>
      <c r="E283" s="900"/>
      <c r="F283" s="900"/>
      <c r="G283" s="683"/>
      <c r="H283" s="679"/>
      <c r="I283" s="680"/>
      <c r="J283" s="681"/>
      <c r="K283" s="1843"/>
      <c r="L283" s="1835"/>
      <c r="M283" s="1842"/>
      <c r="N283" s="1842"/>
    </row>
    <row r="284" spans="1:15" s="50" customFormat="1" ht="15.75" customHeight="1" x14ac:dyDescent="0.2">
      <c r="A284" s="11" t="s">
        <v>6572</v>
      </c>
      <c r="B284" s="11" t="s">
        <v>6573</v>
      </c>
      <c r="C284" s="925"/>
      <c r="D284" s="931">
        <v>112.6125</v>
      </c>
      <c r="E284" s="20">
        <v>36</v>
      </c>
      <c r="F284" s="20">
        <v>27</v>
      </c>
      <c r="G284" s="683">
        <v>106.05</v>
      </c>
      <c r="H284" s="679">
        <v>94.210000000000008</v>
      </c>
      <c r="I284" s="680">
        <v>105.36750000000001</v>
      </c>
      <c r="J284" s="681">
        <v>106.05</v>
      </c>
      <c r="K284" s="667">
        <f t="shared" si="23"/>
        <v>0.68249999999999034</v>
      </c>
      <c r="L284" s="475">
        <f t="shared" si="24"/>
        <v>6.4773293472844117E-3</v>
      </c>
      <c r="M284" s="629">
        <v>4.5999999999999996</v>
      </c>
      <c r="N284" s="629">
        <v>4.5999999999999996</v>
      </c>
    </row>
    <row r="285" spans="1:15" ht="15.75" customHeight="1" x14ac:dyDescent="0.2">
      <c r="A285" s="11" t="s">
        <v>6574</v>
      </c>
      <c r="B285" s="11" t="s">
        <v>6575</v>
      </c>
      <c r="C285" s="925"/>
      <c r="D285" s="931">
        <v>110.145</v>
      </c>
      <c r="E285" s="20">
        <v>27.5</v>
      </c>
      <c r="F285" s="20">
        <v>27.5</v>
      </c>
      <c r="G285" s="683">
        <v>103.5125</v>
      </c>
      <c r="H285" s="679">
        <v>88.14</v>
      </c>
      <c r="I285" s="680">
        <v>102.9175</v>
      </c>
      <c r="J285" s="681">
        <v>103.5125</v>
      </c>
      <c r="K285" s="667">
        <f t="shared" si="23"/>
        <v>0.59499999999999886</v>
      </c>
      <c r="L285" s="475">
        <f t="shared" si="24"/>
        <v>5.7813297058323301E-3</v>
      </c>
      <c r="M285" s="629">
        <v>4.5999999999999996</v>
      </c>
      <c r="N285" s="629">
        <v>4.5999999999999996</v>
      </c>
      <c r="O285" s="23"/>
    </row>
    <row r="286" spans="1:15" ht="15.75" customHeight="1" x14ac:dyDescent="0.2">
      <c r="A286" s="11" t="s">
        <v>6576</v>
      </c>
      <c r="B286" s="11" t="s">
        <v>6577</v>
      </c>
      <c r="C286" s="925"/>
      <c r="D286" s="931">
        <v>115.27249999999999</v>
      </c>
      <c r="E286" s="20">
        <v>27.5</v>
      </c>
      <c r="F286" s="20">
        <v>39.5</v>
      </c>
      <c r="G286" s="687">
        <v>108.675</v>
      </c>
      <c r="H286" s="679">
        <v>97.56</v>
      </c>
      <c r="I286" s="680">
        <v>107.97500000000001</v>
      </c>
      <c r="J286" s="681">
        <v>108.675</v>
      </c>
      <c r="K286" s="667">
        <f t="shared" si="23"/>
        <v>0.69999999999998863</v>
      </c>
      <c r="L286" s="475">
        <f t="shared" si="24"/>
        <v>6.4829821717989214E-3</v>
      </c>
      <c r="M286" s="629">
        <v>4.5999999999999996</v>
      </c>
      <c r="N286" s="629">
        <v>6.65</v>
      </c>
      <c r="O286" s="23"/>
    </row>
    <row r="287" spans="1:15" ht="15.75" customHeight="1" x14ac:dyDescent="0.2">
      <c r="A287" s="11" t="s">
        <v>6578</v>
      </c>
      <c r="B287" s="11" t="s">
        <v>6579</v>
      </c>
      <c r="C287" s="925"/>
      <c r="D287" s="931">
        <v>119.2625</v>
      </c>
      <c r="E287" s="20">
        <v>24</v>
      </c>
      <c r="F287" s="20">
        <v>48</v>
      </c>
      <c r="G287" s="687">
        <v>112.70000000000002</v>
      </c>
      <c r="H287" s="679">
        <v>100.79</v>
      </c>
      <c r="I287" s="680">
        <v>111.91250000000001</v>
      </c>
      <c r="J287" s="681">
        <v>112.70000000000002</v>
      </c>
      <c r="K287" s="667">
        <f t="shared" si="23"/>
        <v>0.78750000000000853</v>
      </c>
      <c r="L287" s="475">
        <f t="shared" si="24"/>
        <v>7.0367474589523825E-3</v>
      </c>
      <c r="M287" s="629">
        <v>4.5999999999999996</v>
      </c>
      <c r="N287" s="629">
        <v>6.65</v>
      </c>
    </row>
    <row r="288" spans="1:15" s="41" customFormat="1" ht="15.75" customHeight="1" x14ac:dyDescent="0.2">
      <c r="A288" s="25" t="s">
        <v>6580</v>
      </c>
      <c r="B288" s="25" t="s">
        <v>6581</v>
      </c>
      <c r="C288" s="1023"/>
      <c r="D288" s="1024">
        <v>154.65</v>
      </c>
      <c r="E288" s="144"/>
      <c r="F288" s="144"/>
      <c r="G288" s="687"/>
      <c r="H288" s="679"/>
      <c r="I288" s="680"/>
      <c r="J288" s="681"/>
      <c r="K288" s="712"/>
      <c r="L288" s="713"/>
      <c r="M288" s="711"/>
      <c r="N288" s="711"/>
    </row>
    <row r="289" spans="1:15" s="50" customFormat="1" ht="15.75" customHeight="1" x14ac:dyDescent="0.2">
      <c r="A289" s="11" t="s">
        <v>6582</v>
      </c>
      <c r="B289" s="11" t="s">
        <v>6583</v>
      </c>
      <c r="C289" s="925"/>
      <c r="D289" s="931">
        <v>106.75</v>
      </c>
      <c r="E289" s="20">
        <v>30</v>
      </c>
      <c r="F289" s="20">
        <v>30</v>
      </c>
      <c r="G289" s="687">
        <v>106.75</v>
      </c>
      <c r="H289" s="679"/>
      <c r="I289" s="680">
        <v>105.77</v>
      </c>
      <c r="J289" s="681">
        <v>106.75</v>
      </c>
      <c r="K289" s="667">
        <f t="shared" si="23"/>
        <v>0.98000000000000398</v>
      </c>
      <c r="L289" s="475">
        <f t="shared" si="24"/>
        <v>9.2653871608206866E-3</v>
      </c>
      <c r="M289" s="629">
        <v>4.5999999999999996</v>
      </c>
      <c r="N289" s="629">
        <v>4.5999999999999996</v>
      </c>
    </row>
    <row r="290" spans="1:15" ht="15.75" customHeight="1" x14ac:dyDescent="0.2">
      <c r="A290" s="11" t="s">
        <v>6584</v>
      </c>
      <c r="B290" s="11" t="s">
        <v>6585</v>
      </c>
      <c r="C290" s="925"/>
      <c r="D290" s="931">
        <v>115.185</v>
      </c>
      <c r="E290" s="20">
        <v>30</v>
      </c>
      <c r="F290" s="20">
        <v>36</v>
      </c>
      <c r="G290" s="687">
        <v>108.58749999999999</v>
      </c>
      <c r="H290" s="679">
        <v>96.38000000000001</v>
      </c>
      <c r="I290" s="680">
        <v>107.9225</v>
      </c>
      <c r="J290" s="681">
        <v>108.58749999999999</v>
      </c>
      <c r="K290" s="667">
        <f t="shared" si="23"/>
        <v>0.66499999999999204</v>
      </c>
      <c r="L290" s="475">
        <f t="shared" si="24"/>
        <v>6.1618290903193689E-3</v>
      </c>
      <c r="M290" s="629">
        <v>4.5999999999999996</v>
      </c>
      <c r="N290" s="629">
        <v>4.5999999999999996</v>
      </c>
    </row>
    <row r="291" spans="1:15" ht="15.75" customHeight="1" x14ac:dyDescent="0.2">
      <c r="A291" s="11" t="s">
        <v>6586</v>
      </c>
      <c r="B291" s="11" t="s">
        <v>6587</v>
      </c>
      <c r="C291" s="925"/>
      <c r="D291" s="931">
        <v>117.0575</v>
      </c>
      <c r="E291" s="20">
        <v>30</v>
      </c>
      <c r="F291" s="20">
        <v>40</v>
      </c>
      <c r="G291" s="687">
        <v>110.425</v>
      </c>
      <c r="H291" s="679">
        <v>99.18</v>
      </c>
      <c r="I291" s="680">
        <v>109.77749999999999</v>
      </c>
      <c r="J291" s="681">
        <v>110.425</v>
      </c>
      <c r="K291" s="667">
        <f t="shared" si="23"/>
        <v>0.64750000000000796</v>
      </c>
      <c r="L291" s="475">
        <f t="shared" si="24"/>
        <v>5.898294277060491E-3</v>
      </c>
      <c r="M291" s="629">
        <v>4.5999999999999996</v>
      </c>
      <c r="N291" s="629">
        <v>6.65</v>
      </c>
    </row>
    <row r="292" spans="1:15" ht="15.75" customHeight="1" x14ac:dyDescent="0.2">
      <c r="A292" s="11" t="s">
        <v>6588</v>
      </c>
      <c r="B292" s="11" t="s">
        <v>6589</v>
      </c>
      <c r="C292" s="925"/>
      <c r="D292" s="931">
        <v>115.2375</v>
      </c>
      <c r="E292" s="20">
        <v>32</v>
      </c>
      <c r="F292" s="20">
        <v>36</v>
      </c>
      <c r="G292" s="687">
        <v>108.675</v>
      </c>
      <c r="H292" s="679">
        <v>98.64</v>
      </c>
      <c r="I292" s="680">
        <v>107.97500000000001</v>
      </c>
      <c r="J292" s="681">
        <v>108.675</v>
      </c>
      <c r="K292" s="667">
        <f t="shared" si="23"/>
        <v>0.69999999999998863</v>
      </c>
      <c r="L292" s="475">
        <f t="shared" si="24"/>
        <v>6.4829821717989214E-3</v>
      </c>
      <c r="M292" s="629">
        <v>4.5999999999999996</v>
      </c>
      <c r="N292" s="629">
        <v>4.5999999999999996</v>
      </c>
    </row>
    <row r="293" spans="1:15" s="1836" customFormat="1" ht="15.75" customHeight="1" x14ac:dyDescent="0.2">
      <c r="A293" s="1581" t="s">
        <v>6590</v>
      </c>
      <c r="B293" s="1581" t="s">
        <v>6591</v>
      </c>
      <c r="C293" s="1829"/>
      <c r="D293" s="1348">
        <v>126.7</v>
      </c>
      <c r="E293" s="900"/>
      <c r="F293" s="900"/>
      <c r="G293" s="687"/>
      <c r="H293" s="679"/>
      <c r="I293" s="680"/>
      <c r="J293" s="681"/>
      <c r="K293" s="1843"/>
      <c r="L293" s="1835"/>
      <c r="M293" s="1842"/>
      <c r="N293" s="1842"/>
    </row>
    <row r="294" spans="1:15" s="1836" customFormat="1" ht="15.75" customHeight="1" x14ac:dyDescent="0.2">
      <c r="A294" s="1581" t="s">
        <v>6592</v>
      </c>
      <c r="B294" s="1581" t="s">
        <v>6593</v>
      </c>
      <c r="C294" s="1829"/>
      <c r="D294" s="1348">
        <v>164</v>
      </c>
      <c r="E294" s="900"/>
      <c r="F294" s="900"/>
      <c r="G294" s="687"/>
      <c r="H294" s="679"/>
      <c r="I294" s="680"/>
      <c r="J294" s="681"/>
      <c r="K294" s="1843"/>
      <c r="L294" s="1835"/>
      <c r="M294" s="1842"/>
      <c r="N294" s="1842"/>
    </row>
    <row r="295" spans="1:15" ht="15.75" customHeight="1" x14ac:dyDescent="0.2">
      <c r="A295" s="11" t="s">
        <v>6594</v>
      </c>
      <c r="B295" s="11" t="s">
        <v>6595</v>
      </c>
      <c r="C295" s="925"/>
      <c r="D295" s="931">
        <v>153.45750000000001</v>
      </c>
      <c r="E295" s="20">
        <v>33</v>
      </c>
      <c r="F295" s="20">
        <v>50</v>
      </c>
      <c r="G295" s="687">
        <v>144.11249999999998</v>
      </c>
      <c r="H295" s="679">
        <v>123.2</v>
      </c>
      <c r="I295" s="680">
        <v>143.0625</v>
      </c>
      <c r="J295" s="681">
        <v>144.11249999999998</v>
      </c>
      <c r="K295" s="667">
        <f t="shared" si="23"/>
        <v>1.0499999999999829</v>
      </c>
      <c r="L295" s="475">
        <f t="shared" si="24"/>
        <v>7.3394495412842844E-3</v>
      </c>
      <c r="M295" s="629">
        <v>4.5999999999999996</v>
      </c>
      <c r="N295" s="629">
        <v>6.65</v>
      </c>
    </row>
    <row r="296" spans="1:15" s="50" customFormat="1" ht="15.75" customHeight="1" x14ac:dyDescent="0.2">
      <c r="A296" s="11" t="s">
        <v>6596</v>
      </c>
      <c r="B296" s="11" t="s">
        <v>6597</v>
      </c>
      <c r="C296" s="925"/>
      <c r="D296" s="931">
        <v>154.17500000000001</v>
      </c>
      <c r="E296" s="20">
        <v>35</v>
      </c>
      <c r="F296" s="20">
        <v>47</v>
      </c>
      <c r="G296" s="687">
        <v>144.8125</v>
      </c>
      <c r="H296" s="679">
        <v>123.62</v>
      </c>
      <c r="I296" s="680">
        <v>143.63999999999999</v>
      </c>
      <c r="J296" s="681">
        <v>144.8125</v>
      </c>
      <c r="K296" s="667">
        <f t="shared" si="23"/>
        <v>1.1725000000000136</v>
      </c>
      <c r="L296" s="475">
        <f t="shared" si="24"/>
        <v>8.1627680311891788E-3</v>
      </c>
      <c r="M296" s="629">
        <v>4.5999999999999996</v>
      </c>
      <c r="N296" s="629">
        <v>6.65</v>
      </c>
    </row>
    <row r="297" spans="1:15" ht="15.75" customHeight="1" x14ac:dyDescent="0.2">
      <c r="A297" s="11" t="s">
        <v>6598</v>
      </c>
      <c r="B297" s="11" t="s">
        <v>6599</v>
      </c>
      <c r="C297" s="925"/>
      <c r="D297" s="931">
        <v>119.875</v>
      </c>
      <c r="E297" s="20">
        <v>36</v>
      </c>
      <c r="F297" s="20">
        <v>36</v>
      </c>
      <c r="G297" s="687">
        <v>113.3125</v>
      </c>
      <c r="H297" s="679">
        <v>102.75</v>
      </c>
      <c r="I297" s="680">
        <v>112.4725</v>
      </c>
      <c r="J297" s="681">
        <v>113.3125</v>
      </c>
      <c r="K297" s="667">
        <f t="shared" si="23"/>
        <v>0.84000000000000341</v>
      </c>
      <c r="L297" s="475">
        <f t="shared" si="24"/>
        <v>7.4684922981173478E-3</v>
      </c>
      <c r="M297" s="629">
        <v>4.5999999999999996</v>
      </c>
      <c r="N297" s="629">
        <v>4.5999999999999996</v>
      </c>
    </row>
    <row r="298" spans="1:15" ht="15.75" customHeight="1" x14ac:dyDescent="0.2">
      <c r="A298" s="11" t="s">
        <v>6600</v>
      </c>
      <c r="B298" s="11" t="s">
        <v>6601</v>
      </c>
      <c r="C298" s="925"/>
      <c r="D298" s="931">
        <v>152.3725</v>
      </c>
      <c r="E298" s="20">
        <v>36</v>
      </c>
      <c r="F298" s="20">
        <v>44</v>
      </c>
      <c r="G298" s="683">
        <v>142.97499999999999</v>
      </c>
      <c r="H298" s="679">
        <v>120.84</v>
      </c>
      <c r="I298" s="680">
        <v>141.83750000000001</v>
      </c>
      <c r="J298" s="681">
        <v>142.97499999999999</v>
      </c>
      <c r="K298" s="667">
        <f t="shared" si="23"/>
        <v>1.1374999999999886</v>
      </c>
      <c r="L298" s="475">
        <f t="shared" si="24"/>
        <v>8.0197409006785136E-3</v>
      </c>
      <c r="M298" s="629">
        <v>4.5999999999999996</v>
      </c>
      <c r="N298" s="629">
        <v>6.65</v>
      </c>
    </row>
    <row r="299" spans="1:15" ht="15.75" customHeight="1" x14ac:dyDescent="0.2">
      <c r="A299" s="11" t="s">
        <v>6602</v>
      </c>
      <c r="B299" s="11" t="s">
        <v>6603</v>
      </c>
      <c r="C299" s="925"/>
      <c r="D299" s="931">
        <v>152.3725</v>
      </c>
      <c r="E299" s="20">
        <v>36</v>
      </c>
      <c r="F299" s="20">
        <v>45</v>
      </c>
      <c r="G299" s="687">
        <v>142.97499999999999</v>
      </c>
      <c r="H299" s="679">
        <v>121.75</v>
      </c>
      <c r="I299" s="680">
        <v>141.83750000000001</v>
      </c>
      <c r="J299" s="681">
        <v>142.97499999999999</v>
      </c>
      <c r="K299" s="667">
        <f t="shared" si="23"/>
        <v>1.1374999999999886</v>
      </c>
      <c r="L299" s="475">
        <f t="shared" si="24"/>
        <v>8.0197409006785136E-3</v>
      </c>
      <c r="M299" s="629">
        <v>4.5999999999999996</v>
      </c>
      <c r="N299" s="629">
        <v>6.65</v>
      </c>
    </row>
    <row r="300" spans="1:15" ht="15.75" customHeight="1" x14ac:dyDescent="0.2">
      <c r="A300" s="11" t="s">
        <v>6604</v>
      </c>
      <c r="B300" s="11" t="s">
        <v>6605</v>
      </c>
      <c r="C300" s="925"/>
      <c r="D300" s="931">
        <v>164.8</v>
      </c>
      <c r="E300" s="20">
        <v>36</v>
      </c>
      <c r="F300" s="20">
        <v>48</v>
      </c>
      <c r="G300" s="687">
        <v>145.51250000000002</v>
      </c>
      <c r="H300" s="679">
        <v>124.34</v>
      </c>
      <c r="I300" s="680">
        <v>144.32249999999999</v>
      </c>
      <c r="J300" s="681">
        <v>145.51250000000002</v>
      </c>
      <c r="K300" s="667">
        <f t="shared" si="23"/>
        <v>1.1900000000000261</v>
      </c>
      <c r="L300" s="475">
        <f t="shared" si="24"/>
        <v>8.2454225779072989E-3</v>
      </c>
      <c r="M300" s="629">
        <v>4.5999999999999996</v>
      </c>
      <c r="N300" s="629">
        <v>6.65</v>
      </c>
      <c r="O300" s="23"/>
    </row>
    <row r="301" spans="1:15" s="1836" customFormat="1" ht="15.75" customHeight="1" x14ac:dyDescent="0.2">
      <c r="A301" s="1581" t="s">
        <v>6606</v>
      </c>
      <c r="B301" s="1581" t="s">
        <v>6607</v>
      </c>
      <c r="C301" s="1829"/>
      <c r="D301" s="1348">
        <v>200</v>
      </c>
      <c r="E301" s="900"/>
      <c r="F301" s="900"/>
      <c r="G301" s="683"/>
      <c r="H301" s="679"/>
      <c r="I301" s="680"/>
      <c r="J301" s="681"/>
      <c r="K301" s="1843"/>
      <c r="L301" s="1835"/>
      <c r="M301" s="1842"/>
      <c r="N301" s="1842"/>
      <c r="O301" s="14"/>
    </row>
    <row r="302" spans="1:15" ht="15.75" customHeight="1" x14ac:dyDescent="0.2">
      <c r="A302" s="11" t="s">
        <v>6608</v>
      </c>
      <c r="B302" s="11" t="s">
        <v>6609</v>
      </c>
      <c r="C302" s="925"/>
      <c r="D302" s="931">
        <v>240.03</v>
      </c>
      <c r="E302" s="20">
        <v>36</v>
      </c>
      <c r="F302" s="20">
        <v>72</v>
      </c>
      <c r="G302" s="683">
        <v>224.26250000000002</v>
      </c>
      <c r="H302" s="679">
        <v>188.82</v>
      </c>
      <c r="I302" s="680">
        <v>222.58249999999998</v>
      </c>
      <c r="J302" s="681">
        <v>224.26250000000002</v>
      </c>
      <c r="K302" s="667">
        <f t="shared" si="23"/>
        <v>1.6800000000000352</v>
      </c>
      <c r="L302" s="475">
        <f t="shared" si="24"/>
        <v>7.5477631889301067E-3</v>
      </c>
      <c r="M302" s="629">
        <v>4.5999999999999996</v>
      </c>
      <c r="N302" s="629">
        <v>6.65</v>
      </c>
    </row>
    <row r="303" spans="1:15" ht="15.75" customHeight="1" x14ac:dyDescent="0.2">
      <c r="A303" s="11" t="s">
        <v>6610</v>
      </c>
      <c r="B303" s="11" t="s">
        <v>6611</v>
      </c>
      <c r="C303" s="925"/>
      <c r="D303" s="931">
        <v>154.96250000000001</v>
      </c>
      <c r="E303" s="20">
        <v>37.5</v>
      </c>
      <c r="F303" s="20">
        <v>49.5</v>
      </c>
      <c r="G303" s="683">
        <v>145.6</v>
      </c>
      <c r="H303" s="679">
        <v>126.05000000000001</v>
      </c>
      <c r="I303" s="680">
        <v>144.39250000000001</v>
      </c>
      <c r="J303" s="681">
        <v>145.6</v>
      </c>
      <c r="K303" s="667">
        <f t="shared" si="23"/>
        <v>1.2074999999999818</v>
      </c>
      <c r="L303" s="475">
        <f t="shared" si="24"/>
        <v>8.3626227123983713E-3</v>
      </c>
      <c r="M303" s="629">
        <v>4.5999999999999996</v>
      </c>
      <c r="N303" s="629">
        <v>6.65</v>
      </c>
    </row>
    <row r="304" spans="1:15" s="50" customFormat="1" ht="15.75" customHeight="1" x14ac:dyDescent="0.2">
      <c r="A304" s="11" t="s">
        <v>6612</v>
      </c>
      <c r="B304" s="11" t="s">
        <v>6613</v>
      </c>
      <c r="C304" s="925"/>
      <c r="D304" s="931">
        <v>154.91</v>
      </c>
      <c r="E304" s="20">
        <v>38</v>
      </c>
      <c r="F304" s="20">
        <v>48</v>
      </c>
      <c r="G304" s="683">
        <v>145.51250000000002</v>
      </c>
      <c r="H304" s="679">
        <v>125.72</v>
      </c>
      <c r="I304" s="680">
        <v>144.34</v>
      </c>
      <c r="J304" s="681">
        <v>145.51250000000002</v>
      </c>
      <c r="K304" s="667">
        <f t="shared" si="23"/>
        <v>1.1725000000000136</v>
      </c>
      <c r="L304" s="475">
        <f t="shared" si="24"/>
        <v>8.1231813773036832E-3</v>
      </c>
      <c r="M304" s="629">
        <v>4.5999999999999996</v>
      </c>
      <c r="N304" s="629">
        <v>6.65</v>
      </c>
    </row>
    <row r="305" spans="1:15" ht="15.75" customHeight="1" x14ac:dyDescent="0.2">
      <c r="A305" s="11" t="s">
        <v>6614</v>
      </c>
      <c r="B305" s="11" t="s">
        <v>6615</v>
      </c>
      <c r="C305" s="925"/>
      <c r="D305" s="931">
        <v>157.43</v>
      </c>
      <c r="E305" s="20">
        <v>38</v>
      </c>
      <c r="F305" s="20">
        <v>50</v>
      </c>
      <c r="G305" s="683">
        <v>148.04999999999998</v>
      </c>
      <c r="H305" s="679">
        <v>128.03</v>
      </c>
      <c r="I305" s="680">
        <v>146.82500000000002</v>
      </c>
      <c r="J305" s="681">
        <v>148.04999999999998</v>
      </c>
      <c r="K305" s="667">
        <f t="shared" si="23"/>
        <v>1.2249999999999659</v>
      </c>
      <c r="L305" s="475">
        <f t="shared" si="24"/>
        <v>8.3432657926100166E-3</v>
      </c>
      <c r="M305" s="629">
        <v>4.5999999999999996</v>
      </c>
      <c r="N305" s="629">
        <v>6.65</v>
      </c>
      <c r="O305" s="23"/>
    </row>
    <row r="306" spans="1:15" ht="15.75" customHeight="1" x14ac:dyDescent="0.2">
      <c r="A306" s="11" t="s">
        <v>6616</v>
      </c>
      <c r="B306" s="11" t="s">
        <v>6617</v>
      </c>
      <c r="C306" s="925"/>
      <c r="D306" s="931">
        <v>152.32</v>
      </c>
      <c r="E306" s="20">
        <v>39.5</v>
      </c>
      <c r="F306" s="20">
        <v>39.5</v>
      </c>
      <c r="G306" s="683">
        <v>142.88750000000002</v>
      </c>
      <c r="H306" s="679">
        <v>121.15</v>
      </c>
      <c r="I306" s="680">
        <v>141.785</v>
      </c>
      <c r="J306" s="681">
        <v>142.88750000000002</v>
      </c>
      <c r="K306" s="667">
        <f t="shared" si="23"/>
        <v>1.1025000000000205</v>
      </c>
      <c r="L306" s="475">
        <f t="shared" si="24"/>
        <v>7.7758578128858521E-3</v>
      </c>
      <c r="M306" s="629">
        <v>6.65</v>
      </c>
      <c r="N306" s="629">
        <v>6.65</v>
      </c>
    </row>
    <row r="307" spans="1:15" ht="15.75" customHeight="1" x14ac:dyDescent="0.2">
      <c r="A307" s="11" t="s">
        <v>6618</v>
      </c>
      <c r="B307" s="11" t="s">
        <v>6619</v>
      </c>
      <c r="C307" s="925"/>
      <c r="D307" s="931">
        <v>152.32</v>
      </c>
      <c r="E307" s="20">
        <v>39</v>
      </c>
      <c r="F307" s="20">
        <v>39</v>
      </c>
      <c r="G307" s="683">
        <v>142.88750000000002</v>
      </c>
      <c r="H307" s="679">
        <v>120.19000000000001</v>
      </c>
      <c r="I307" s="680">
        <v>141.785</v>
      </c>
      <c r="J307" s="681">
        <v>142.88750000000002</v>
      </c>
      <c r="K307" s="667">
        <f t="shared" si="23"/>
        <v>1.1025000000000205</v>
      </c>
      <c r="L307" s="475">
        <f t="shared" si="24"/>
        <v>7.7758578128858521E-3</v>
      </c>
      <c r="M307" s="629">
        <v>6.65</v>
      </c>
      <c r="N307" s="629">
        <v>6.65</v>
      </c>
      <c r="O307" s="23"/>
    </row>
    <row r="308" spans="1:15" ht="15.75" customHeight="1" x14ac:dyDescent="0.2">
      <c r="A308" s="11" t="s">
        <v>6620</v>
      </c>
      <c r="B308" s="11" t="s">
        <v>6621</v>
      </c>
      <c r="C308" s="925"/>
      <c r="D308" s="931">
        <v>154.91</v>
      </c>
      <c r="E308" s="20">
        <v>39</v>
      </c>
      <c r="F308" s="20">
        <v>47</v>
      </c>
      <c r="G308" s="683">
        <v>145.51250000000002</v>
      </c>
      <c r="H308" s="679">
        <v>125.79</v>
      </c>
      <c r="I308" s="680">
        <v>144.34</v>
      </c>
      <c r="J308" s="681">
        <v>145.51250000000002</v>
      </c>
      <c r="K308" s="667">
        <f t="shared" si="23"/>
        <v>1.1725000000000136</v>
      </c>
      <c r="L308" s="475">
        <f t="shared" si="24"/>
        <v>8.1231813773036832E-3</v>
      </c>
      <c r="M308" s="629">
        <v>6.65</v>
      </c>
      <c r="N308" s="629">
        <v>6.65</v>
      </c>
      <c r="O308" s="23"/>
    </row>
    <row r="309" spans="1:15" s="50" customFormat="1" ht="15.75" customHeight="1" x14ac:dyDescent="0.2">
      <c r="A309" s="11" t="s">
        <v>6622</v>
      </c>
      <c r="B309" s="11" t="s">
        <v>6623</v>
      </c>
      <c r="C309" s="925"/>
      <c r="D309" s="931">
        <v>157.5</v>
      </c>
      <c r="E309" s="20">
        <v>39</v>
      </c>
      <c r="F309" s="20">
        <v>52</v>
      </c>
      <c r="G309" s="687">
        <v>148.04999999999998</v>
      </c>
      <c r="H309" s="679">
        <v>129.70999999999998</v>
      </c>
      <c r="I309" s="680">
        <v>146.89499999999998</v>
      </c>
      <c r="J309" s="681">
        <v>148.04999999999998</v>
      </c>
      <c r="K309" s="667">
        <f t="shared" si="23"/>
        <v>1.1550000000000011</v>
      </c>
      <c r="L309" s="475">
        <f t="shared" si="24"/>
        <v>7.8627591136526172E-3</v>
      </c>
      <c r="M309" s="629">
        <v>6.65</v>
      </c>
      <c r="N309" s="629">
        <v>6.65</v>
      </c>
      <c r="O309" s="23"/>
    </row>
    <row r="310" spans="1:15" ht="15.75" customHeight="1" x14ac:dyDescent="0.2">
      <c r="A310" s="11" t="s">
        <v>6624</v>
      </c>
      <c r="B310" s="11" t="s">
        <v>6625</v>
      </c>
      <c r="C310" s="925"/>
      <c r="D310" s="931">
        <v>160.05500000000001</v>
      </c>
      <c r="E310" s="20">
        <v>39</v>
      </c>
      <c r="F310" s="20">
        <v>55</v>
      </c>
      <c r="G310" s="687">
        <v>150.58750000000001</v>
      </c>
      <c r="H310" s="679">
        <v>132.94999999999999</v>
      </c>
      <c r="I310" s="680">
        <v>149.41499999999999</v>
      </c>
      <c r="J310" s="681">
        <v>150.58750000000001</v>
      </c>
      <c r="K310" s="667">
        <f t="shared" si="23"/>
        <v>1.1725000000000136</v>
      </c>
      <c r="L310" s="475">
        <f t="shared" si="24"/>
        <v>7.847271023659029E-3</v>
      </c>
      <c r="M310" s="629">
        <v>6.65</v>
      </c>
      <c r="N310" s="629">
        <v>6.65</v>
      </c>
    </row>
    <row r="311" spans="1:15" ht="15.75" customHeight="1" x14ac:dyDescent="0.2">
      <c r="A311" s="11" t="s">
        <v>6626</v>
      </c>
      <c r="B311" s="11" t="s">
        <v>6627</v>
      </c>
      <c r="C311" s="925"/>
      <c r="D311" s="931">
        <v>152.6</v>
      </c>
      <c r="E311" s="20">
        <v>40</v>
      </c>
      <c r="F311" s="20">
        <v>40</v>
      </c>
      <c r="G311" s="687">
        <v>143.15</v>
      </c>
      <c r="H311" s="679">
        <v>121.5</v>
      </c>
      <c r="I311" s="680">
        <v>142.04750000000001</v>
      </c>
      <c r="J311" s="681">
        <v>143.15</v>
      </c>
      <c r="K311" s="667">
        <f t="shared" si="23"/>
        <v>1.102499999999992</v>
      </c>
      <c r="L311" s="475">
        <f t="shared" si="24"/>
        <v>7.7614882345693652E-3</v>
      </c>
      <c r="M311" s="629">
        <v>6.65</v>
      </c>
      <c r="N311" s="629">
        <v>6.65</v>
      </c>
      <c r="O311" s="23"/>
    </row>
    <row r="312" spans="1:15" s="1836" customFormat="1" ht="15.75" customHeight="1" x14ac:dyDescent="0.2">
      <c r="A312" s="1581" t="s">
        <v>6628</v>
      </c>
      <c r="B312" s="1581" t="s">
        <v>6629</v>
      </c>
      <c r="C312" s="1829"/>
      <c r="D312" s="1348">
        <v>160</v>
      </c>
      <c r="E312" s="900"/>
      <c r="F312" s="900"/>
      <c r="G312" s="687"/>
      <c r="H312" s="679"/>
      <c r="I312" s="680"/>
      <c r="J312" s="681"/>
      <c r="K312" s="1843"/>
      <c r="L312" s="1835"/>
      <c r="M312" s="1842"/>
      <c r="N312" s="1842"/>
      <c r="O312" s="14"/>
    </row>
    <row r="313" spans="1:15" s="1836" customFormat="1" ht="15.75" customHeight="1" x14ac:dyDescent="0.2">
      <c r="A313" s="1581" t="s">
        <v>6630</v>
      </c>
      <c r="B313" s="1581" t="s">
        <v>6631</v>
      </c>
      <c r="C313" s="1829"/>
      <c r="D313" s="1348">
        <v>160</v>
      </c>
      <c r="E313" s="900"/>
      <c r="F313" s="900"/>
      <c r="G313" s="687"/>
      <c r="H313" s="679"/>
      <c r="I313" s="680"/>
      <c r="J313" s="681"/>
      <c r="K313" s="1843"/>
      <c r="L313" s="1835"/>
      <c r="M313" s="1842"/>
      <c r="N313" s="1842"/>
      <c r="O313" s="14"/>
    </row>
    <row r="314" spans="1:15" s="50" customFormat="1" ht="15.75" customHeight="1" x14ac:dyDescent="0.2">
      <c r="A314" s="11" t="s">
        <v>6632</v>
      </c>
      <c r="B314" s="11" t="s">
        <v>6633</v>
      </c>
      <c r="C314" s="925"/>
      <c r="D314" s="931">
        <v>160.26499999999999</v>
      </c>
      <c r="E314" s="20">
        <v>40</v>
      </c>
      <c r="F314" s="20">
        <v>54</v>
      </c>
      <c r="G314" s="687">
        <v>150.85</v>
      </c>
      <c r="H314" s="679">
        <v>133.01999999999998</v>
      </c>
      <c r="I314" s="680">
        <v>149.60749999999999</v>
      </c>
      <c r="J314" s="681">
        <v>150.85</v>
      </c>
      <c r="K314" s="667">
        <f t="shared" si="23"/>
        <v>1.2425000000000068</v>
      </c>
      <c r="L314" s="475">
        <f t="shared" si="24"/>
        <v>8.3050649198737163E-3</v>
      </c>
      <c r="M314" s="629">
        <v>6.65</v>
      </c>
      <c r="N314" s="629">
        <v>6.65</v>
      </c>
    </row>
    <row r="315" spans="1:15" s="50" customFormat="1" ht="15.75" customHeight="1" x14ac:dyDescent="0.2">
      <c r="A315" s="11" t="s">
        <v>6634</v>
      </c>
      <c r="B315" s="11" t="s">
        <v>6635</v>
      </c>
      <c r="C315" s="925"/>
      <c r="D315" s="931">
        <v>164.9025</v>
      </c>
      <c r="E315" s="20">
        <v>40</v>
      </c>
      <c r="F315" s="20">
        <v>60</v>
      </c>
      <c r="G315" s="687">
        <v>155.48749999999998</v>
      </c>
      <c r="H315" s="679">
        <v>137.38</v>
      </c>
      <c r="I315" s="680">
        <v>154.13999999999999</v>
      </c>
      <c r="J315" s="681">
        <v>155.48749999999998</v>
      </c>
      <c r="K315" s="667">
        <f t="shared" si="23"/>
        <v>1.3474999999999966</v>
      </c>
      <c r="L315" s="475">
        <f t="shared" si="24"/>
        <v>8.7420526793823578E-3</v>
      </c>
      <c r="M315" s="629">
        <v>6.65</v>
      </c>
      <c r="N315" s="629">
        <v>6.65</v>
      </c>
    </row>
    <row r="316" spans="1:15" s="50" customFormat="1" ht="15.75" customHeight="1" x14ac:dyDescent="0.2">
      <c r="A316" s="11" t="s">
        <v>6636</v>
      </c>
      <c r="B316" s="11" t="s">
        <v>6637</v>
      </c>
      <c r="C316" s="925"/>
      <c r="D316" s="931">
        <v>238.17500000000001</v>
      </c>
      <c r="E316" s="20">
        <v>40</v>
      </c>
      <c r="F316" s="20">
        <v>65</v>
      </c>
      <c r="G316" s="687">
        <v>222.42499999999998</v>
      </c>
      <c r="H316" s="679">
        <v>188.45</v>
      </c>
      <c r="I316" s="680">
        <v>220.745</v>
      </c>
      <c r="J316" s="681">
        <v>222.42499999999998</v>
      </c>
      <c r="K316" s="667">
        <f t="shared" si="23"/>
        <v>1.6799999999999784</v>
      </c>
      <c r="L316" s="475">
        <f t="shared" si="24"/>
        <v>7.6105914063737722E-3</v>
      </c>
      <c r="M316" s="629">
        <v>6.65</v>
      </c>
      <c r="N316" s="629">
        <v>6.65</v>
      </c>
    </row>
    <row r="317" spans="1:15" ht="15.75" customHeight="1" x14ac:dyDescent="0.2">
      <c r="A317" s="11" t="s">
        <v>6638</v>
      </c>
      <c r="B317" s="11" t="s">
        <v>6639</v>
      </c>
      <c r="C317" s="925"/>
      <c r="D317" s="931">
        <v>155.155</v>
      </c>
      <c r="E317" s="20">
        <v>41.5</v>
      </c>
      <c r="F317" s="20">
        <v>42.5</v>
      </c>
      <c r="G317" s="687">
        <v>145.77500000000001</v>
      </c>
      <c r="H317" s="679">
        <v>125.13000000000001</v>
      </c>
      <c r="I317" s="680">
        <v>144.5675</v>
      </c>
      <c r="J317" s="681">
        <v>145.77500000000001</v>
      </c>
      <c r="K317" s="667">
        <f t="shared" si="23"/>
        <v>1.2075000000000102</v>
      </c>
      <c r="L317" s="475">
        <f t="shared" si="24"/>
        <v>8.3524996973732696E-3</v>
      </c>
      <c r="M317" s="629">
        <v>6.65</v>
      </c>
      <c r="N317" s="629">
        <v>6.65</v>
      </c>
    </row>
    <row r="318" spans="1:15" ht="15.75" customHeight="1" x14ac:dyDescent="0.2">
      <c r="A318" s="11" t="s">
        <v>6640</v>
      </c>
      <c r="B318" s="11" t="s">
        <v>6641</v>
      </c>
      <c r="C318" s="925"/>
      <c r="D318" s="931">
        <v>219.54</v>
      </c>
      <c r="E318" s="20">
        <v>41.25</v>
      </c>
      <c r="F318" s="20">
        <v>61.25</v>
      </c>
      <c r="G318" s="687">
        <v>219.53749999999999</v>
      </c>
      <c r="H318" s="679">
        <v>186.10999999999999</v>
      </c>
      <c r="I318" s="680">
        <v>217.98000000000002</v>
      </c>
      <c r="J318" s="681">
        <v>219.53749999999999</v>
      </c>
      <c r="K318" s="667">
        <f t="shared" si="23"/>
        <v>1.5574999999999761</v>
      </c>
      <c r="L318" s="475">
        <f t="shared" si="24"/>
        <v>7.145150931277989E-3</v>
      </c>
      <c r="M318" s="629">
        <v>6.65</v>
      </c>
      <c r="N318" s="629">
        <v>6.65</v>
      </c>
    </row>
    <row r="319" spans="1:15" ht="15.75" customHeight="1" x14ac:dyDescent="0.2">
      <c r="A319" s="11" t="s">
        <v>6642</v>
      </c>
      <c r="B319" s="11" t="s">
        <v>6643</v>
      </c>
      <c r="C319" s="925"/>
      <c r="D319" s="931">
        <v>235.5325</v>
      </c>
      <c r="E319" s="20">
        <v>41.5</v>
      </c>
      <c r="F319" s="20">
        <v>61.5</v>
      </c>
      <c r="G319" s="687">
        <v>217.78749999999999</v>
      </c>
      <c r="H319" s="679">
        <v>187.92999999999998</v>
      </c>
      <c r="I319" s="680">
        <v>217.98000000000002</v>
      </c>
      <c r="J319" s="681">
        <v>217.78749999999999</v>
      </c>
      <c r="K319" s="667">
        <f t="shared" si="23"/>
        <v>-0.19250000000002387</v>
      </c>
      <c r="L319" s="475">
        <f t="shared" si="24"/>
        <v>-8.8310854206818913E-4</v>
      </c>
      <c r="M319" s="629">
        <v>6.65</v>
      </c>
      <c r="N319" s="629">
        <v>6.65</v>
      </c>
    </row>
    <row r="320" spans="1:15" ht="15.75" customHeight="1" x14ac:dyDescent="0.2">
      <c r="A320" s="11" t="s">
        <v>6644</v>
      </c>
      <c r="B320" s="11" t="s">
        <v>6645</v>
      </c>
      <c r="C320" s="925"/>
      <c r="D320" s="931">
        <v>160.17750000000001</v>
      </c>
      <c r="E320" s="20">
        <v>42</v>
      </c>
      <c r="F320" s="20">
        <v>50</v>
      </c>
      <c r="G320" s="683">
        <v>150.76250000000002</v>
      </c>
      <c r="H320" s="679">
        <v>130.82999999999998</v>
      </c>
      <c r="I320" s="680">
        <v>149.51999999999998</v>
      </c>
      <c r="J320" s="681">
        <v>150.76250000000002</v>
      </c>
      <c r="K320" s="667">
        <f t="shared" si="23"/>
        <v>1.2425000000000352</v>
      </c>
      <c r="L320" s="475">
        <f t="shared" si="24"/>
        <v>8.3099250936331959E-3</v>
      </c>
      <c r="M320" s="629">
        <v>6.65</v>
      </c>
      <c r="N320" s="629">
        <v>6.65</v>
      </c>
    </row>
    <row r="321" spans="1:15" ht="15.75" customHeight="1" x14ac:dyDescent="0.2">
      <c r="A321" s="11" t="s">
        <v>6646</v>
      </c>
      <c r="B321" s="11" t="s">
        <v>6647</v>
      </c>
      <c r="C321" s="925"/>
      <c r="D321" s="931">
        <v>160.19499999999999</v>
      </c>
      <c r="E321" s="20">
        <v>42</v>
      </c>
      <c r="F321" s="20">
        <v>52</v>
      </c>
      <c r="G321" s="687">
        <v>150.76250000000002</v>
      </c>
      <c r="H321" s="679">
        <v>133.16</v>
      </c>
      <c r="I321" s="680">
        <v>149.51999999999998</v>
      </c>
      <c r="J321" s="681">
        <v>150.76250000000002</v>
      </c>
      <c r="K321" s="667">
        <f t="shared" si="23"/>
        <v>1.2425000000000352</v>
      </c>
      <c r="L321" s="475">
        <f t="shared" si="24"/>
        <v>8.3099250936331959E-3</v>
      </c>
      <c r="M321" s="629">
        <v>6.65</v>
      </c>
      <c r="N321" s="629">
        <v>6.65</v>
      </c>
      <c r="O321" s="23"/>
    </row>
    <row r="322" spans="1:15" ht="15.75" customHeight="1" x14ac:dyDescent="0.2">
      <c r="A322" s="11" t="s">
        <v>6648</v>
      </c>
      <c r="B322" s="11" t="s">
        <v>6649</v>
      </c>
      <c r="C322" s="925"/>
      <c r="D322" s="931">
        <v>165.69</v>
      </c>
      <c r="E322" s="20">
        <v>43</v>
      </c>
      <c r="F322" s="20">
        <v>43</v>
      </c>
      <c r="G322" s="687">
        <v>146.38750000000002</v>
      </c>
      <c r="H322" s="679">
        <v>126.44000000000001</v>
      </c>
      <c r="I322" s="680">
        <v>145.19749999999999</v>
      </c>
      <c r="J322" s="681">
        <v>146.38750000000002</v>
      </c>
      <c r="K322" s="667">
        <f t="shared" si="23"/>
        <v>1.1900000000000261</v>
      </c>
      <c r="L322" s="475">
        <f t="shared" si="24"/>
        <v>8.1957333976137754E-3</v>
      </c>
      <c r="M322" s="629">
        <v>6.65</v>
      </c>
      <c r="N322" s="629">
        <v>6.65</v>
      </c>
    </row>
    <row r="323" spans="1:15" ht="15.75" customHeight="1" x14ac:dyDescent="0.2">
      <c r="A323" s="11" t="s">
        <v>6650</v>
      </c>
      <c r="B323" s="11" t="s">
        <v>6651</v>
      </c>
      <c r="C323" s="925"/>
      <c r="D323" s="931">
        <v>240.66</v>
      </c>
      <c r="E323" s="20">
        <v>46</v>
      </c>
      <c r="F323" s="20">
        <v>62</v>
      </c>
      <c r="G323" s="683">
        <v>224.96250000000003</v>
      </c>
      <c r="H323" s="679">
        <v>191.41</v>
      </c>
      <c r="I323" s="680">
        <v>223.21250000000001</v>
      </c>
      <c r="J323" s="681">
        <v>224.96250000000003</v>
      </c>
      <c r="K323" s="667">
        <f t="shared" si="23"/>
        <v>1.7500000000000284</v>
      </c>
      <c r="L323" s="475">
        <f t="shared" si="24"/>
        <v>7.8400627205018909E-3</v>
      </c>
      <c r="M323" s="629">
        <v>6.65</v>
      </c>
      <c r="N323" s="629">
        <v>6.65</v>
      </c>
    </row>
    <row r="324" spans="1:15" ht="15.75" customHeight="1" x14ac:dyDescent="0.2">
      <c r="A324" s="11" t="s">
        <v>6652</v>
      </c>
      <c r="B324" s="11" t="s">
        <v>6653</v>
      </c>
      <c r="C324" s="925"/>
      <c r="D324" s="931">
        <v>244.02</v>
      </c>
      <c r="E324" s="20">
        <v>46</v>
      </c>
      <c r="F324" s="20">
        <v>70</v>
      </c>
      <c r="G324" s="683">
        <v>228.28749999999997</v>
      </c>
      <c r="H324" s="679">
        <v>198.29999999999998</v>
      </c>
      <c r="I324" s="680">
        <v>226.48499999999999</v>
      </c>
      <c r="J324" s="681">
        <v>228.28749999999997</v>
      </c>
      <c r="K324" s="667">
        <f t="shared" si="23"/>
        <v>1.8024999999999807</v>
      </c>
      <c r="L324" s="475">
        <f t="shared" si="24"/>
        <v>7.9585844537164961E-3</v>
      </c>
      <c r="M324" s="629">
        <v>6.65</v>
      </c>
      <c r="N324" s="629">
        <v>6.65</v>
      </c>
    </row>
    <row r="325" spans="1:15" ht="15.75" customHeight="1" x14ac:dyDescent="0.2">
      <c r="A325" s="11" t="s">
        <v>6654</v>
      </c>
      <c r="B325" s="11" t="s">
        <v>6655</v>
      </c>
      <c r="C325" s="925"/>
      <c r="D325" s="931">
        <v>160.19499999999999</v>
      </c>
      <c r="E325" s="20">
        <v>47</v>
      </c>
      <c r="F325" s="20">
        <v>47</v>
      </c>
      <c r="G325" s="683">
        <v>150.85</v>
      </c>
      <c r="H325" s="679">
        <v>133.88</v>
      </c>
      <c r="I325" s="680">
        <v>149.55499999999998</v>
      </c>
      <c r="J325" s="681">
        <v>150.85</v>
      </c>
      <c r="K325" s="667">
        <f t="shared" si="23"/>
        <v>1.2950000000000159</v>
      </c>
      <c r="L325" s="475">
        <f t="shared" si="24"/>
        <v>8.6590217645683264E-3</v>
      </c>
      <c r="M325" s="629">
        <v>6.65</v>
      </c>
      <c r="N325" s="629">
        <v>6.65</v>
      </c>
    </row>
    <row r="326" spans="1:15" ht="15.75" customHeight="1" x14ac:dyDescent="0.2">
      <c r="A326" s="11" t="s">
        <v>6656</v>
      </c>
      <c r="B326" s="11" t="s">
        <v>6657</v>
      </c>
      <c r="C326" s="925"/>
      <c r="D326" s="931">
        <v>238.80500000000001</v>
      </c>
      <c r="E326" s="20">
        <v>47</v>
      </c>
      <c r="F326" s="20">
        <v>57</v>
      </c>
      <c r="G326" s="683">
        <v>223.03749999999999</v>
      </c>
      <c r="H326" s="679">
        <v>189.32999999999998</v>
      </c>
      <c r="I326" s="680">
        <v>221.375</v>
      </c>
      <c r="J326" s="681">
        <v>223.03749999999999</v>
      </c>
      <c r="K326" s="667">
        <f t="shared" si="23"/>
        <v>1.6624999999999943</v>
      </c>
      <c r="L326" s="475">
        <f t="shared" si="24"/>
        <v>7.5098814229248752E-3</v>
      </c>
      <c r="M326" s="629">
        <v>6.65</v>
      </c>
      <c r="N326" s="629">
        <v>6.65</v>
      </c>
      <c r="O326" s="23"/>
    </row>
    <row r="327" spans="1:15" s="50" customFormat="1" ht="15.75" customHeight="1" x14ac:dyDescent="0.2">
      <c r="A327" s="11" t="s">
        <v>6658</v>
      </c>
      <c r="B327" s="11" t="s">
        <v>6659</v>
      </c>
      <c r="C327" s="925"/>
      <c r="D327" s="931">
        <v>240.625</v>
      </c>
      <c r="E327" s="20">
        <v>47</v>
      </c>
      <c r="F327" s="20">
        <v>59</v>
      </c>
      <c r="G327" s="683">
        <v>224.875</v>
      </c>
      <c r="H327" s="679">
        <v>190.13</v>
      </c>
      <c r="I327" s="680">
        <v>223.17750000000001</v>
      </c>
      <c r="J327" s="681">
        <v>224.875</v>
      </c>
      <c r="K327" s="667">
        <f t="shared" si="23"/>
        <v>1.6974999999999909</v>
      </c>
      <c r="L327" s="475">
        <f t="shared" si="24"/>
        <v>7.6060534776130695E-3</v>
      </c>
      <c r="M327" s="629">
        <v>6.65</v>
      </c>
      <c r="N327" s="629">
        <v>6.65</v>
      </c>
      <c r="O327" s="23"/>
    </row>
    <row r="328" spans="1:15" s="50" customFormat="1" ht="15.75" customHeight="1" x14ac:dyDescent="0.2">
      <c r="A328" s="11" t="s">
        <v>6660</v>
      </c>
      <c r="B328" s="11" t="s">
        <v>6661</v>
      </c>
      <c r="C328" s="925"/>
      <c r="D328" s="931">
        <v>241.41249999999999</v>
      </c>
      <c r="E328" s="20">
        <v>47</v>
      </c>
      <c r="F328" s="20">
        <v>63</v>
      </c>
      <c r="G328" s="683">
        <v>225.66249999999997</v>
      </c>
      <c r="H328" s="679">
        <v>193.85999999999999</v>
      </c>
      <c r="I328" s="680">
        <v>223.92999999999998</v>
      </c>
      <c r="J328" s="681">
        <v>225.66249999999997</v>
      </c>
      <c r="K328" s="667">
        <f t="shared" si="23"/>
        <v>1.7324999999999875</v>
      </c>
      <c r="L328" s="475">
        <f t="shared" si="24"/>
        <v>7.7367927477336113E-3</v>
      </c>
      <c r="M328" s="629">
        <v>6.65</v>
      </c>
      <c r="N328" s="629">
        <v>6.65</v>
      </c>
      <c r="O328" s="23"/>
    </row>
    <row r="329" spans="1:15" ht="15.75" customHeight="1" x14ac:dyDescent="0.2">
      <c r="A329" s="11" t="s">
        <v>6662</v>
      </c>
      <c r="B329" s="11" t="s">
        <v>6663</v>
      </c>
      <c r="C329" s="925"/>
      <c r="D329" s="931">
        <v>243.98500000000001</v>
      </c>
      <c r="E329" s="20">
        <v>47</v>
      </c>
      <c r="F329" s="20">
        <v>68</v>
      </c>
      <c r="G329" s="683">
        <v>228.20000000000002</v>
      </c>
      <c r="H329" s="679">
        <v>198.04</v>
      </c>
      <c r="I329" s="680">
        <v>226.4675</v>
      </c>
      <c r="J329" s="681">
        <v>228.20000000000002</v>
      </c>
      <c r="K329" s="667">
        <f t="shared" si="23"/>
        <v>1.7325000000000159</v>
      </c>
      <c r="L329" s="475">
        <f t="shared" si="24"/>
        <v>7.6501043196044284E-3</v>
      </c>
      <c r="M329" s="629">
        <v>6.65</v>
      </c>
      <c r="N329" s="629">
        <v>6.65</v>
      </c>
    </row>
    <row r="330" spans="1:15" ht="15.75" customHeight="1" x14ac:dyDescent="0.2">
      <c r="A330" s="11" t="s">
        <v>6664</v>
      </c>
      <c r="B330" s="11" t="s">
        <v>6665</v>
      </c>
      <c r="C330" s="925"/>
      <c r="D330" s="931">
        <v>244.0025</v>
      </c>
      <c r="E330" s="20">
        <v>47</v>
      </c>
      <c r="F330" s="20">
        <v>69</v>
      </c>
      <c r="G330" s="687">
        <v>228.20000000000002</v>
      </c>
      <c r="H330" s="679">
        <v>198.42999999999998</v>
      </c>
      <c r="I330" s="680">
        <v>226.4675</v>
      </c>
      <c r="J330" s="681">
        <v>228.20000000000002</v>
      </c>
      <c r="K330" s="667">
        <f t="shared" si="23"/>
        <v>1.7325000000000159</v>
      </c>
      <c r="L330" s="475">
        <f t="shared" si="24"/>
        <v>7.6501043196044284E-3</v>
      </c>
      <c r="M330" s="629">
        <v>6.65</v>
      </c>
      <c r="N330" s="629">
        <v>6.65</v>
      </c>
    </row>
    <row r="331" spans="1:15" ht="15.75" customHeight="1" x14ac:dyDescent="0.2">
      <c r="A331" s="11" t="s">
        <v>6666</v>
      </c>
      <c r="B331" s="11" t="s">
        <v>6667</v>
      </c>
      <c r="C331" s="925"/>
      <c r="D331" s="931">
        <v>171.26</v>
      </c>
      <c r="E331" s="20">
        <v>48</v>
      </c>
      <c r="F331" s="20">
        <v>48</v>
      </c>
      <c r="G331" s="687">
        <v>151.9</v>
      </c>
      <c r="H331" s="679">
        <v>135.26</v>
      </c>
      <c r="I331" s="680">
        <v>150.6225</v>
      </c>
      <c r="J331" s="681">
        <v>151.9</v>
      </c>
      <c r="K331" s="667">
        <f t="shared" si="23"/>
        <v>1.2775000000000034</v>
      </c>
      <c r="L331" s="475">
        <f t="shared" si="24"/>
        <v>8.481468572092506E-3</v>
      </c>
      <c r="M331" s="629">
        <v>6.65</v>
      </c>
      <c r="N331" s="629">
        <v>6.65</v>
      </c>
    </row>
    <row r="332" spans="1:15" ht="15.75" customHeight="1" x14ac:dyDescent="0.2">
      <c r="A332" s="11" t="s">
        <v>6668</v>
      </c>
      <c r="B332" s="11" t="s">
        <v>6669</v>
      </c>
      <c r="C332" s="925"/>
      <c r="D332" s="931">
        <v>236.23249999999999</v>
      </c>
      <c r="E332" s="20">
        <v>48</v>
      </c>
      <c r="F332" s="20">
        <v>54</v>
      </c>
      <c r="G332" s="687">
        <v>220.5</v>
      </c>
      <c r="H332" s="679">
        <v>186.95999999999998</v>
      </c>
      <c r="I332" s="680">
        <v>218.89</v>
      </c>
      <c r="J332" s="681">
        <v>220.5</v>
      </c>
      <c r="K332" s="667">
        <f t="shared" si="23"/>
        <v>1.6100000000000136</v>
      </c>
      <c r="L332" s="475">
        <f t="shared" si="24"/>
        <v>7.3552926127279173E-3</v>
      </c>
      <c r="M332" s="629">
        <v>6.65</v>
      </c>
      <c r="N332" s="629">
        <v>6.65</v>
      </c>
      <c r="O332" s="23"/>
    </row>
    <row r="333" spans="1:15" ht="15.75" customHeight="1" x14ac:dyDescent="0.2">
      <c r="A333" s="11" t="s">
        <v>6670</v>
      </c>
      <c r="B333" s="11" t="s">
        <v>6671</v>
      </c>
      <c r="C333" s="925"/>
      <c r="D333" s="931">
        <v>236.23249999999999</v>
      </c>
      <c r="E333" s="20">
        <v>48</v>
      </c>
      <c r="F333" s="20">
        <v>55</v>
      </c>
      <c r="G333" s="687">
        <v>220.5</v>
      </c>
      <c r="H333" s="679">
        <v>188.98</v>
      </c>
      <c r="I333" s="680">
        <v>218.89</v>
      </c>
      <c r="J333" s="681">
        <v>220.5</v>
      </c>
      <c r="K333" s="667">
        <f t="shared" si="23"/>
        <v>1.6100000000000136</v>
      </c>
      <c r="L333" s="475">
        <f t="shared" si="24"/>
        <v>7.3552926127279173E-3</v>
      </c>
      <c r="M333" s="629">
        <v>6.65</v>
      </c>
      <c r="N333" s="629">
        <v>6.65</v>
      </c>
      <c r="O333" s="23"/>
    </row>
    <row r="334" spans="1:15" s="1836" customFormat="1" ht="15.75" customHeight="1" x14ac:dyDescent="0.2">
      <c r="A334" s="1581" t="s">
        <v>6672</v>
      </c>
      <c r="B334" s="1581" t="s">
        <v>6673</v>
      </c>
      <c r="C334" s="1829"/>
      <c r="D334" s="1348">
        <v>240</v>
      </c>
      <c r="E334" s="900"/>
      <c r="F334" s="900"/>
      <c r="G334" s="687"/>
      <c r="H334" s="679"/>
      <c r="I334" s="680"/>
      <c r="J334" s="681"/>
      <c r="K334" s="1843"/>
      <c r="L334" s="1835"/>
      <c r="M334" s="1842"/>
      <c r="N334" s="1842"/>
      <c r="O334" s="14"/>
    </row>
    <row r="335" spans="1:15" ht="15.75" customHeight="1" x14ac:dyDescent="0.2">
      <c r="A335" s="11" t="s">
        <v>6674</v>
      </c>
      <c r="B335" s="11" t="s">
        <v>6675</v>
      </c>
      <c r="C335" s="925"/>
      <c r="D335" s="931">
        <v>258.27999999999997</v>
      </c>
      <c r="E335" s="20">
        <v>48</v>
      </c>
      <c r="F335" s="20">
        <v>60</v>
      </c>
      <c r="G335" s="687">
        <v>226.1875</v>
      </c>
      <c r="H335" s="679">
        <v>191.54999999999998</v>
      </c>
      <c r="I335" s="680">
        <v>224.4375</v>
      </c>
      <c r="J335" s="681">
        <v>226.1875</v>
      </c>
      <c r="K335" s="667">
        <f t="shared" si="23"/>
        <v>1.75</v>
      </c>
      <c r="L335" s="475">
        <f t="shared" si="24"/>
        <v>7.7972709551656916E-3</v>
      </c>
      <c r="M335" s="629">
        <v>6.65</v>
      </c>
      <c r="N335" s="629">
        <v>6.65</v>
      </c>
      <c r="O335" s="23"/>
    </row>
    <row r="336" spans="1:15" s="1836" customFormat="1" ht="15.75" customHeight="1" x14ac:dyDescent="0.2">
      <c r="A336" s="1581" t="s">
        <v>6676</v>
      </c>
      <c r="B336" s="1581" t="s">
        <v>6677</v>
      </c>
      <c r="C336" s="1829"/>
      <c r="D336" s="1348">
        <v>245</v>
      </c>
      <c r="E336" s="900"/>
      <c r="F336" s="900"/>
      <c r="G336" s="687"/>
      <c r="H336" s="679"/>
      <c r="I336" s="680"/>
      <c r="J336" s="681"/>
      <c r="K336" s="1843"/>
      <c r="L336" s="1835"/>
      <c r="M336" s="1842"/>
      <c r="N336" s="1842"/>
      <c r="O336" s="14"/>
    </row>
    <row r="337" spans="1:15" ht="15.75" customHeight="1" x14ac:dyDescent="0.2">
      <c r="A337" s="11" t="s">
        <v>6678</v>
      </c>
      <c r="B337" s="11" t="s">
        <v>6679</v>
      </c>
      <c r="C337" s="925"/>
      <c r="D337" s="931">
        <v>263.8</v>
      </c>
      <c r="E337" s="20">
        <v>48</v>
      </c>
      <c r="F337" s="20">
        <v>72</v>
      </c>
      <c r="G337" s="687">
        <v>231.4375</v>
      </c>
      <c r="H337" s="679">
        <v>202.32999999999998</v>
      </c>
      <c r="I337" s="680">
        <v>229.65249999999997</v>
      </c>
      <c r="J337" s="681">
        <v>231.4375</v>
      </c>
      <c r="K337" s="667">
        <f t="shared" si="23"/>
        <v>1.785000000000025</v>
      </c>
      <c r="L337" s="475">
        <f t="shared" si="24"/>
        <v>7.7726129695954767E-3</v>
      </c>
      <c r="M337" s="629">
        <v>6.65</v>
      </c>
      <c r="N337" s="629">
        <v>6.65</v>
      </c>
    </row>
    <row r="338" spans="1:15" s="1836" customFormat="1" ht="15.75" customHeight="1" x14ac:dyDescent="0.2">
      <c r="A338" s="1581" t="s">
        <v>6680</v>
      </c>
      <c r="B338" s="1581" t="s">
        <v>6681</v>
      </c>
      <c r="C338" s="1829"/>
      <c r="D338" s="1348"/>
      <c r="E338" s="900">
        <v>49</v>
      </c>
      <c r="F338" s="900">
        <v>61</v>
      </c>
      <c r="G338" s="687">
        <v>226.27500000000003</v>
      </c>
      <c r="H338" s="679">
        <v>194.03</v>
      </c>
      <c r="I338" s="680">
        <v>224.54250000000002</v>
      </c>
      <c r="J338" s="681">
        <v>226.27500000000003</v>
      </c>
      <c r="K338" s="1843">
        <f t="shared" si="23"/>
        <v>1.7325000000000159</v>
      </c>
      <c r="L338" s="1835">
        <f t="shared" si="24"/>
        <v>7.7156885667524671E-3</v>
      </c>
      <c r="M338" s="1842">
        <v>6.65</v>
      </c>
      <c r="N338" s="1842">
        <v>6.65</v>
      </c>
    </row>
    <row r="339" spans="1:15" ht="15.75" customHeight="1" x14ac:dyDescent="0.2">
      <c r="A339" s="11" t="s">
        <v>6682</v>
      </c>
      <c r="B339" s="11" t="s">
        <v>6683</v>
      </c>
      <c r="C339" s="925"/>
      <c r="D339" s="931">
        <v>241.9025</v>
      </c>
      <c r="E339" s="20">
        <v>50</v>
      </c>
      <c r="F339" s="20">
        <v>60</v>
      </c>
      <c r="G339" s="687">
        <v>226.27500000000003</v>
      </c>
      <c r="H339" s="679">
        <v>194.66</v>
      </c>
      <c r="I339" s="680">
        <v>224.4375</v>
      </c>
      <c r="J339" s="681">
        <v>226.27500000000003</v>
      </c>
      <c r="K339" s="667">
        <f t="shared" si="23"/>
        <v>1.8375000000000341</v>
      </c>
      <c r="L339" s="475">
        <f t="shared" si="24"/>
        <v>8.1871345029241281E-3</v>
      </c>
      <c r="M339" s="629">
        <v>6.65</v>
      </c>
      <c r="N339" s="629">
        <v>6.65</v>
      </c>
      <c r="O339" s="23"/>
    </row>
    <row r="340" spans="1:15" ht="16" x14ac:dyDescent="0.2">
      <c r="A340" s="11" t="s">
        <v>6684</v>
      </c>
      <c r="B340" s="11" t="s">
        <v>6685</v>
      </c>
      <c r="C340" s="925"/>
      <c r="D340" s="931">
        <v>247.17</v>
      </c>
      <c r="E340" s="20">
        <v>50</v>
      </c>
      <c r="F340" s="20">
        <v>68</v>
      </c>
      <c r="G340" s="687">
        <v>231.4375</v>
      </c>
      <c r="H340" s="679">
        <v>200.16</v>
      </c>
      <c r="I340" s="680">
        <v>229.63499999999999</v>
      </c>
      <c r="J340" s="681">
        <v>231.4375</v>
      </c>
      <c r="K340" s="667">
        <f t="shared" ref="K340:K356" si="25">J340-I340</f>
        <v>1.8025000000000091</v>
      </c>
      <c r="L340" s="475">
        <f t="shared" ref="L340:L356" si="26">K340/I340</f>
        <v>7.8494131992074782E-3</v>
      </c>
      <c r="M340" s="629">
        <v>6.65</v>
      </c>
      <c r="N340" s="629">
        <v>6.65</v>
      </c>
      <c r="O340" s="23"/>
    </row>
    <row r="341" spans="1:15" s="41" customFormat="1" ht="15.75" customHeight="1" x14ac:dyDescent="0.2">
      <c r="A341" s="25" t="s">
        <v>6686</v>
      </c>
      <c r="B341" s="25" t="s">
        <v>6687</v>
      </c>
      <c r="C341" s="1023"/>
      <c r="D341" s="1024">
        <v>250</v>
      </c>
      <c r="E341" s="144"/>
      <c r="F341" s="144"/>
      <c r="G341" s="683"/>
      <c r="H341" s="679"/>
      <c r="I341" s="680"/>
      <c r="J341" s="681"/>
      <c r="K341" s="712"/>
      <c r="L341" s="713"/>
      <c r="M341" s="711"/>
      <c r="N341" s="711"/>
      <c r="O341" s="1177"/>
    </row>
    <row r="342" spans="1:15" s="50" customFormat="1" ht="15.75" customHeight="1" x14ac:dyDescent="0.2">
      <c r="A342" s="11" t="s">
        <v>6688</v>
      </c>
      <c r="B342" s="11" t="s">
        <v>6689</v>
      </c>
      <c r="C342" s="925"/>
      <c r="D342" s="931">
        <v>244.54499999999999</v>
      </c>
      <c r="E342" s="20">
        <v>51</v>
      </c>
      <c r="F342" s="20">
        <v>64</v>
      </c>
      <c r="G342" s="683">
        <v>228.8125</v>
      </c>
      <c r="H342" s="679">
        <v>199</v>
      </c>
      <c r="I342" s="680">
        <v>226.86999999999998</v>
      </c>
      <c r="J342" s="681">
        <v>228.8125</v>
      </c>
      <c r="K342" s="667">
        <f t="shared" si="25"/>
        <v>1.9425000000000239</v>
      </c>
      <c r="L342" s="475">
        <f t="shared" si="26"/>
        <v>8.5621721690837226E-3</v>
      </c>
      <c r="M342" s="629">
        <v>6.65</v>
      </c>
      <c r="N342" s="629">
        <v>6.65</v>
      </c>
      <c r="O342" s="23"/>
    </row>
    <row r="343" spans="1:15" ht="15.75" customHeight="1" x14ac:dyDescent="0.2">
      <c r="A343" s="11" t="s">
        <v>6690</v>
      </c>
      <c r="B343" s="11" t="s">
        <v>6691</v>
      </c>
      <c r="C343" s="925"/>
      <c r="D343" s="931">
        <v>320.565</v>
      </c>
      <c r="E343" s="20">
        <v>52</v>
      </c>
      <c r="F343" s="20">
        <v>72</v>
      </c>
      <c r="G343" s="687">
        <v>295.96000000000004</v>
      </c>
      <c r="H343" s="679">
        <v>268.70999999999998</v>
      </c>
      <c r="I343" s="680">
        <v>295.96000000000004</v>
      </c>
      <c r="J343" s="681">
        <v>295.96000000000004</v>
      </c>
      <c r="K343" s="667">
        <f t="shared" si="25"/>
        <v>0</v>
      </c>
      <c r="L343" s="475">
        <f t="shared" si="26"/>
        <v>0</v>
      </c>
      <c r="M343" s="629">
        <v>6.65</v>
      </c>
      <c r="N343" s="629">
        <v>6.65</v>
      </c>
      <c r="O343" s="23"/>
    </row>
    <row r="344" spans="1:15" s="50" customFormat="1" ht="15.75" customHeight="1" x14ac:dyDescent="0.2">
      <c r="A344" s="11" t="s">
        <v>6692</v>
      </c>
      <c r="B344" s="11" t="s">
        <v>6693</v>
      </c>
      <c r="C344" s="925"/>
      <c r="D344" s="931">
        <v>326.02499999999998</v>
      </c>
      <c r="E344" s="20">
        <v>52</v>
      </c>
      <c r="F344" s="20">
        <v>84</v>
      </c>
      <c r="G344" s="687">
        <v>301.33249999999998</v>
      </c>
      <c r="H344" s="679">
        <v>278.17</v>
      </c>
      <c r="I344" s="680">
        <v>301.33249999999998</v>
      </c>
      <c r="J344" s="681">
        <v>301.33249999999998</v>
      </c>
      <c r="K344" s="667">
        <f t="shared" si="25"/>
        <v>0</v>
      </c>
      <c r="L344" s="475">
        <f t="shared" si="26"/>
        <v>0</v>
      </c>
      <c r="M344" s="629">
        <v>6.65</v>
      </c>
      <c r="N344" s="629">
        <v>6.65</v>
      </c>
      <c r="O344" s="23"/>
    </row>
    <row r="345" spans="1:15" ht="15.75" customHeight="1" x14ac:dyDescent="0.2">
      <c r="A345" s="11" t="s">
        <v>6694</v>
      </c>
      <c r="B345" s="11" t="s">
        <v>6695</v>
      </c>
      <c r="C345" s="925"/>
      <c r="D345" s="931">
        <v>320.565</v>
      </c>
      <c r="E345" s="20">
        <v>54</v>
      </c>
      <c r="F345" s="20">
        <v>72</v>
      </c>
      <c r="G345" s="683">
        <v>298.55</v>
      </c>
      <c r="H345" s="679">
        <v>269.78999999999996</v>
      </c>
      <c r="I345" s="680">
        <v>295.9425</v>
      </c>
      <c r="J345" s="681">
        <v>298.55</v>
      </c>
      <c r="K345" s="667">
        <f t="shared" si="25"/>
        <v>2.6075000000000159</v>
      </c>
      <c r="L345" s="475">
        <f t="shared" si="26"/>
        <v>8.8108331855006154E-3</v>
      </c>
      <c r="M345" s="629">
        <v>6.65</v>
      </c>
      <c r="N345" s="629">
        <v>6.65</v>
      </c>
      <c r="O345" s="23"/>
    </row>
    <row r="346" spans="1:15" s="41" customFormat="1" ht="15.75" customHeight="1" x14ac:dyDescent="0.2">
      <c r="A346" s="25" t="s">
        <v>6696</v>
      </c>
      <c r="B346" s="25" t="s">
        <v>6697</v>
      </c>
      <c r="C346" s="1023"/>
      <c r="D346" s="1024">
        <v>332.64</v>
      </c>
      <c r="E346" s="144"/>
      <c r="F346" s="144"/>
      <c r="G346" s="683"/>
      <c r="H346" s="679"/>
      <c r="I346" s="680"/>
      <c r="J346" s="681"/>
      <c r="K346" s="712"/>
      <c r="L346" s="713"/>
      <c r="M346" s="711"/>
      <c r="N346" s="711"/>
      <c r="O346" s="1177"/>
    </row>
    <row r="347" spans="1:15" s="50" customFormat="1" ht="15.75" customHeight="1" x14ac:dyDescent="0.2">
      <c r="A347" s="11" t="s">
        <v>6698</v>
      </c>
      <c r="B347" s="11" t="s">
        <v>6699</v>
      </c>
      <c r="C347" s="925"/>
      <c r="D347" s="931">
        <v>320.58249999999998</v>
      </c>
      <c r="E347" s="20">
        <v>55</v>
      </c>
      <c r="F347" s="20">
        <v>70</v>
      </c>
      <c r="G347" s="683">
        <v>298.55</v>
      </c>
      <c r="H347" s="679">
        <v>269.44</v>
      </c>
      <c r="I347" s="680">
        <v>295.96000000000004</v>
      </c>
      <c r="J347" s="681">
        <v>298.55</v>
      </c>
      <c r="K347" s="667">
        <f t="shared" si="25"/>
        <v>2.589999999999975</v>
      </c>
      <c r="L347" s="475">
        <f t="shared" si="26"/>
        <v>8.7511825922421092E-3</v>
      </c>
      <c r="M347" s="629">
        <v>6.65</v>
      </c>
      <c r="N347" s="629">
        <v>6.65</v>
      </c>
      <c r="O347" s="23"/>
    </row>
    <row r="348" spans="1:15" s="50" customFormat="1" ht="15.75" customHeight="1" x14ac:dyDescent="0.2">
      <c r="A348" s="142" t="s">
        <v>6700</v>
      </c>
      <c r="B348" s="142" t="s">
        <v>6701</v>
      </c>
      <c r="C348" s="925"/>
      <c r="D348" s="933">
        <v>320</v>
      </c>
      <c r="E348" s="20"/>
      <c r="F348" s="20"/>
      <c r="G348" s="683"/>
      <c r="H348" s="679"/>
      <c r="I348" s="680"/>
      <c r="J348" s="681"/>
      <c r="K348" s="667"/>
      <c r="L348" s="475"/>
      <c r="M348" s="629"/>
      <c r="N348" s="629"/>
      <c r="O348" s="23"/>
    </row>
    <row r="349" spans="1:15" ht="15.75" customHeight="1" x14ac:dyDescent="0.2">
      <c r="A349" s="11" t="s">
        <v>6702</v>
      </c>
      <c r="B349" s="11" t="s">
        <v>6703</v>
      </c>
      <c r="C349" s="925"/>
      <c r="D349" s="931">
        <v>349.42</v>
      </c>
      <c r="E349" s="20">
        <v>60</v>
      </c>
      <c r="F349" s="20">
        <v>60</v>
      </c>
      <c r="G349" s="683">
        <v>232.57500000000002</v>
      </c>
      <c r="H349" s="679">
        <v>204.29</v>
      </c>
      <c r="I349" s="680">
        <v>230.77250000000001</v>
      </c>
      <c r="J349" s="681">
        <v>232.57500000000002</v>
      </c>
      <c r="K349" s="667">
        <f t="shared" si="25"/>
        <v>1.8025000000000091</v>
      </c>
      <c r="L349" s="475">
        <f t="shared" si="26"/>
        <v>7.810722681428719E-3</v>
      </c>
      <c r="M349" s="629">
        <v>6.65</v>
      </c>
      <c r="N349" s="629">
        <v>6.65</v>
      </c>
      <c r="O349" s="23"/>
    </row>
    <row r="350" spans="1:15" ht="15.75" customHeight="1" x14ac:dyDescent="0.2">
      <c r="A350" s="11" t="s">
        <v>6704</v>
      </c>
      <c r="B350" s="11" t="s">
        <v>6705</v>
      </c>
      <c r="C350" s="925"/>
      <c r="D350" s="931">
        <v>324.01249999999999</v>
      </c>
      <c r="E350" s="20">
        <v>60</v>
      </c>
      <c r="F350" s="20">
        <v>72</v>
      </c>
      <c r="G350" s="683">
        <v>301.96250000000003</v>
      </c>
      <c r="H350" s="679">
        <v>276.32</v>
      </c>
      <c r="I350" s="680">
        <v>299.33750000000003</v>
      </c>
      <c r="J350" s="681">
        <v>301.96250000000003</v>
      </c>
      <c r="K350" s="667">
        <f t="shared" si="25"/>
        <v>2.625</v>
      </c>
      <c r="L350" s="475">
        <f t="shared" si="26"/>
        <v>8.7693656825489612E-3</v>
      </c>
      <c r="M350" s="629">
        <v>6.65</v>
      </c>
      <c r="N350" s="629">
        <v>6.65</v>
      </c>
    </row>
    <row r="351" spans="1:15" ht="15.75" customHeight="1" x14ac:dyDescent="0.2">
      <c r="A351" s="11" t="s">
        <v>6706</v>
      </c>
      <c r="B351" s="11" t="s">
        <v>6707</v>
      </c>
      <c r="C351" s="925"/>
      <c r="D351" s="931">
        <v>334.74</v>
      </c>
      <c r="E351" s="20">
        <v>60</v>
      </c>
      <c r="F351" s="20">
        <v>80</v>
      </c>
      <c r="G351" s="683">
        <v>305.28749999999997</v>
      </c>
      <c r="H351" s="679">
        <v>283.83999999999997</v>
      </c>
      <c r="I351" s="680">
        <v>302.59249999999997</v>
      </c>
      <c r="J351" s="681">
        <v>305.28749999999997</v>
      </c>
      <c r="K351" s="667">
        <f t="shared" si="25"/>
        <v>2.6949999999999932</v>
      </c>
      <c r="L351" s="475">
        <f t="shared" si="26"/>
        <v>8.9063674744086305E-3</v>
      </c>
      <c r="M351" s="629">
        <v>6.65</v>
      </c>
      <c r="N351" s="629">
        <v>6.65</v>
      </c>
    </row>
    <row r="352" spans="1:15" s="41" customFormat="1" ht="15.75" customHeight="1" x14ac:dyDescent="0.2">
      <c r="A352" s="25" t="s">
        <v>6708</v>
      </c>
      <c r="B352" s="25" t="s">
        <v>6709</v>
      </c>
      <c r="C352" s="1023"/>
      <c r="D352" s="1024">
        <v>375</v>
      </c>
      <c r="E352" s="144"/>
      <c r="F352" s="144"/>
      <c r="G352" s="1170"/>
      <c r="H352" s="709"/>
      <c r="I352" s="710"/>
      <c r="J352" s="711"/>
      <c r="K352" s="712"/>
      <c r="L352" s="713"/>
      <c r="M352" s="711"/>
      <c r="N352" s="711"/>
    </row>
    <row r="353" spans="1:15" s="41" customFormat="1" ht="15.75" customHeight="1" x14ac:dyDescent="0.2">
      <c r="A353" s="40" t="s">
        <v>6710</v>
      </c>
      <c r="B353" s="40" t="s">
        <v>6711</v>
      </c>
      <c r="C353" s="1023"/>
      <c r="D353" s="933">
        <v>358.12</v>
      </c>
      <c r="E353" s="144"/>
      <c r="F353" s="144"/>
      <c r="G353" s="1170"/>
      <c r="H353" s="709"/>
      <c r="I353" s="710"/>
      <c r="J353" s="711"/>
      <c r="K353" s="712"/>
      <c r="L353" s="713"/>
      <c r="M353" s="711"/>
      <c r="N353" s="711"/>
    </row>
    <row r="354" spans="1:15" s="41" customFormat="1" ht="15.75" customHeight="1" x14ac:dyDescent="0.2">
      <c r="A354" s="25" t="s">
        <v>6712</v>
      </c>
      <c r="B354" s="25" t="s">
        <v>6713</v>
      </c>
      <c r="C354" s="1023"/>
      <c r="D354" s="1024">
        <v>375</v>
      </c>
      <c r="E354" s="144"/>
      <c r="F354" s="144"/>
      <c r="G354" s="1170"/>
      <c r="H354" s="709"/>
      <c r="I354" s="710"/>
      <c r="J354" s="711"/>
      <c r="K354" s="712"/>
      <c r="L354" s="713"/>
      <c r="M354" s="711"/>
      <c r="N354" s="711"/>
    </row>
    <row r="355" spans="1:15" s="41" customFormat="1" ht="15.75" customHeight="1" x14ac:dyDescent="0.2">
      <c r="A355" s="25" t="s">
        <v>6714</v>
      </c>
      <c r="B355" s="25" t="s">
        <v>6715</v>
      </c>
      <c r="C355" s="1023"/>
      <c r="D355" s="1024">
        <v>375</v>
      </c>
      <c r="E355" s="144"/>
      <c r="F355" s="144"/>
      <c r="G355" s="1170"/>
      <c r="H355" s="709"/>
      <c r="I355" s="710"/>
      <c r="J355" s="711"/>
      <c r="K355" s="712"/>
      <c r="L355" s="713"/>
      <c r="M355" s="711"/>
      <c r="N355" s="711"/>
    </row>
    <row r="356" spans="1:15" s="50" customFormat="1" ht="15.75" customHeight="1" x14ac:dyDescent="0.2">
      <c r="A356" s="11" t="s">
        <v>6716</v>
      </c>
      <c r="B356" s="11" t="s">
        <v>6717</v>
      </c>
      <c r="C356" s="925"/>
      <c r="D356" s="931">
        <v>340.48</v>
      </c>
      <c r="E356" s="20">
        <v>72</v>
      </c>
      <c r="F356" s="20">
        <v>72</v>
      </c>
      <c r="G356" s="500">
        <v>318.41249999999997</v>
      </c>
      <c r="H356" s="460">
        <v>288.25</v>
      </c>
      <c r="I356" s="462">
        <v>315.47250000000003</v>
      </c>
      <c r="J356" s="629">
        <v>318.41249999999997</v>
      </c>
      <c r="K356" s="667">
        <f t="shared" si="25"/>
        <v>2.9399999999999409</v>
      </c>
      <c r="L356" s="475">
        <f t="shared" si="26"/>
        <v>9.3193543018803247E-3</v>
      </c>
      <c r="M356" s="629">
        <v>6.65</v>
      </c>
      <c r="N356" s="629">
        <v>6.65</v>
      </c>
    </row>
    <row r="357" spans="1:15" s="50" customFormat="1" ht="15.75" customHeight="1" x14ac:dyDescent="0.2">
      <c r="A357" s="11"/>
      <c r="B357" s="11"/>
      <c r="C357" s="925"/>
      <c r="D357" s="670"/>
      <c r="E357" s="20"/>
      <c r="F357" s="20"/>
      <c r="G357" s="500"/>
      <c r="H357" s="460"/>
      <c r="I357" s="462"/>
      <c r="J357" s="629"/>
      <c r="K357" s="667"/>
      <c r="L357" s="475"/>
      <c r="M357" s="113"/>
      <c r="N357" s="262"/>
    </row>
    <row r="358" spans="1:15" s="50" customFormat="1" ht="15.75" customHeight="1" x14ac:dyDescent="0.2">
      <c r="A358" s="11" t="s">
        <v>6718</v>
      </c>
      <c r="B358" s="11" t="s">
        <v>6719</v>
      </c>
      <c r="C358" s="925"/>
      <c r="D358" s="932">
        <v>186.83</v>
      </c>
      <c r="E358" s="20">
        <v>48</v>
      </c>
      <c r="F358" s="20">
        <v>48</v>
      </c>
      <c r="G358" s="500">
        <v>168.70000000000002</v>
      </c>
      <c r="H358" s="460"/>
      <c r="I358" s="462"/>
      <c r="J358" s="629">
        <v>168.70000000000002</v>
      </c>
      <c r="K358" s="667"/>
      <c r="L358" s="502"/>
      <c r="M358" s="629">
        <v>6.65</v>
      </c>
      <c r="N358" s="629">
        <v>6.65</v>
      </c>
      <c r="O358" s="50" t="s">
        <v>6720</v>
      </c>
    </row>
    <row r="359" spans="1:15" s="50" customFormat="1" ht="15.75" customHeight="1" x14ac:dyDescent="0.2">
      <c r="A359" s="11" t="s">
        <v>6721</v>
      </c>
      <c r="B359" s="11" t="s">
        <v>6722</v>
      </c>
      <c r="C359" s="925"/>
      <c r="D359" s="932">
        <v>270.45</v>
      </c>
      <c r="E359" s="20">
        <v>48</v>
      </c>
      <c r="F359" s="20">
        <v>60</v>
      </c>
      <c r="G359" s="500">
        <v>245</v>
      </c>
      <c r="H359" s="460"/>
      <c r="I359" s="462"/>
      <c r="J359" s="629">
        <v>245</v>
      </c>
      <c r="K359" s="667"/>
      <c r="L359" s="502"/>
      <c r="M359" s="629">
        <v>6.65</v>
      </c>
      <c r="N359" s="629">
        <v>6.65</v>
      </c>
    </row>
    <row r="360" spans="1:15" s="50" customFormat="1" ht="15.75" customHeight="1" x14ac:dyDescent="0.2">
      <c r="A360" s="11" t="s">
        <v>6723</v>
      </c>
      <c r="B360" s="11" t="s">
        <v>6724</v>
      </c>
      <c r="C360" s="925"/>
      <c r="D360" s="932">
        <v>357.77</v>
      </c>
      <c r="E360" s="20">
        <v>56</v>
      </c>
      <c r="F360" s="20">
        <v>74</v>
      </c>
      <c r="G360" s="500">
        <v>323.92500000000001</v>
      </c>
      <c r="H360" s="460"/>
      <c r="I360" s="462"/>
      <c r="J360" s="629">
        <v>323.92500000000001</v>
      </c>
      <c r="K360" s="667"/>
      <c r="L360" s="502"/>
      <c r="M360" s="629">
        <v>6.65</v>
      </c>
      <c r="N360" s="629">
        <v>6.65</v>
      </c>
    </row>
    <row r="361" spans="1:15" s="50" customFormat="1" ht="15.75" customHeight="1" x14ac:dyDescent="0.2">
      <c r="A361" s="11"/>
      <c r="B361" s="11"/>
      <c r="C361" s="925"/>
      <c r="D361" s="670"/>
      <c r="E361" s="20"/>
      <c r="F361" s="20"/>
      <c r="G361" s="500"/>
      <c r="H361" s="460"/>
      <c r="I361" s="462"/>
      <c r="J361" s="629"/>
      <c r="K361" s="667"/>
      <c r="L361" s="502"/>
      <c r="M361" s="629"/>
      <c r="N361" s="629"/>
    </row>
    <row r="362" spans="1:15" s="50" customFormat="1" ht="15.75" customHeight="1" x14ac:dyDescent="0.2">
      <c r="A362" s="11" t="s">
        <v>6725</v>
      </c>
      <c r="B362" s="11" t="s">
        <v>6726</v>
      </c>
      <c r="C362" s="925"/>
      <c r="D362" s="932">
        <v>140.05000000000001</v>
      </c>
      <c r="E362" s="20">
        <v>24</v>
      </c>
      <c r="F362" s="20">
        <v>36</v>
      </c>
      <c r="G362" s="500">
        <v>106.05</v>
      </c>
      <c r="H362" s="460"/>
      <c r="I362" s="462"/>
      <c r="J362" s="629"/>
      <c r="K362" s="667"/>
      <c r="L362" s="502"/>
      <c r="M362" s="629"/>
      <c r="N362" s="629"/>
    </row>
    <row r="363" spans="1:15" s="50" customFormat="1" ht="15.75" customHeight="1" x14ac:dyDescent="0.2">
      <c r="A363" s="11" t="s">
        <v>6727</v>
      </c>
      <c r="B363" s="11" t="s">
        <v>6728</v>
      </c>
      <c r="C363" s="925"/>
      <c r="D363" s="932">
        <v>149.41999999999999</v>
      </c>
      <c r="E363" s="20">
        <v>30</v>
      </c>
      <c r="F363" s="20">
        <v>40</v>
      </c>
      <c r="G363" s="500">
        <v>110.43</v>
      </c>
      <c r="H363" s="460"/>
      <c r="I363" s="462"/>
      <c r="J363" s="629"/>
      <c r="K363" s="667"/>
      <c r="L363" s="502"/>
      <c r="M363" s="629"/>
      <c r="N363" s="629"/>
    </row>
    <row r="364" spans="1:15" s="50" customFormat="1" ht="15.75" customHeight="1" x14ac:dyDescent="0.2">
      <c r="A364" s="11"/>
      <c r="B364" s="11"/>
      <c r="C364" s="925"/>
      <c r="D364" s="670"/>
      <c r="E364" s="20"/>
      <c r="F364" s="20"/>
      <c r="G364" s="500"/>
      <c r="H364" s="460"/>
      <c r="I364" s="462"/>
      <c r="J364" s="629"/>
      <c r="K364" s="667"/>
      <c r="L364" s="502"/>
      <c r="M364" s="629"/>
      <c r="N364" s="629"/>
    </row>
    <row r="365" spans="1:15" s="44" customFormat="1" ht="15.75" customHeight="1" x14ac:dyDescent="0.2">
      <c r="A365" s="40" t="s">
        <v>6729</v>
      </c>
      <c r="B365" s="40" t="s">
        <v>6730</v>
      </c>
      <c r="C365" s="1003"/>
      <c r="D365" s="1089">
        <v>110</v>
      </c>
      <c r="E365" s="159"/>
      <c r="F365" s="159"/>
      <c r="G365" s="683"/>
      <c r="H365" s="679"/>
      <c r="I365" s="680"/>
      <c r="J365" s="681"/>
      <c r="K365" s="682"/>
      <c r="L365" s="493"/>
      <c r="M365" s="681"/>
      <c r="N365" s="681"/>
    </row>
    <row r="366" spans="1:15" s="41" customFormat="1" ht="15.75" customHeight="1" x14ac:dyDescent="0.2">
      <c r="A366" s="25" t="s">
        <v>6731</v>
      </c>
      <c r="B366" s="25" t="s">
        <v>6732</v>
      </c>
      <c r="C366" s="1023"/>
      <c r="D366" s="1175">
        <v>115</v>
      </c>
      <c r="E366" s="144"/>
      <c r="F366" s="144"/>
      <c r="G366" s="1170"/>
      <c r="H366" s="709"/>
      <c r="I366" s="710"/>
      <c r="J366" s="711"/>
      <c r="K366" s="712"/>
      <c r="L366" s="468"/>
      <c r="M366" s="711"/>
      <c r="N366" s="711"/>
    </row>
    <row r="367" spans="1:15" s="41" customFormat="1" ht="15.75" customHeight="1" x14ac:dyDescent="0.2">
      <c r="A367" s="40" t="s">
        <v>6733</v>
      </c>
      <c r="B367" s="40" t="s">
        <v>6734</v>
      </c>
      <c r="C367" s="1023"/>
      <c r="D367" s="1089">
        <v>125</v>
      </c>
      <c r="E367" s="144"/>
      <c r="F367" s="144"/>
      <c r="G367" s="1170"/>
      <c r="H367" s="709"/>
      <c r="I367" s="710"/>
      <c r="J367" s="711"/>
      <c r="K367" s="712"/>
      <c r="L367" s="468"/>
      <c r="M367" s="711"/>
      <c r="N367" s="711"/>
    </row>
    <row r="368" spans="1:15" s="41" customFormat="1" ht="15.75" customHeight="1" x14ac:dyDescent="0.2">
      <c r="A368" s="25" t="s">
        <v>6735</v>
      </c>
      <c r="B368" s="25" t="s">
        <v>6732</v>
      </c>
      <c r="C368" s="1023"/>
      <c r="D368" s="1171">
        <v>121.50250000000001</v>
      </c>
      <c r="E368" s="144"/>
      <c r="F368" s="144"/>
      <c r="G368" s="1170">
        <v>121.63</v>
      </c>
      <c r="H368" s="709"/>
      <c r="I368" s="710"/>
      <c r="J368" s="711"/>
      <c r="K368" s="712"/>
      <c r="L368" s="468"/>
      <c r="M368" s="711"/>
      <c r="N368" s="711"/>
    </row>
    <row r="369" spans="1:14" s="41" customFormat="1" ht="15.75" customHeight="1" x14ac:dyDescent="0.2">
      <c r="A369" s="40" t="s">
        <v>6736</v>
      </c>
      <c r="B369" s="40" t="s">
        <v>6732</v>
      </c>
      <c r="C369" s="1023"/>
      <c r="D369" s="934">
        <v>125</v>
      </c>
      <c r="E369" s="144"/>
      <c r="F369" s="144"/>
      <c r="G369" s="1170"/>
      <c r="H369" s="709"/>
      <c r="I369" s="710"/>
      <c r="J369" s="711"/>
      <c r="K369" s="712"/>
      <c r="L369" s="468"/>
      <c r="M369" s="711"/>
      <c r="N369" s="711"/>
    </row>
    <row r="370" spans="1:14" s="41" customFormat="1" ht="15.75" customHeight="1" x14ac:dyDescent="0.2">
      <c r="A370" s="25" t="s">
        <v>6737</v>
      </c>
      <c r="B370" s="25" t="s">
        <v>6732</v>
      </c>
      <c r="C370" s="1023"/>
      <c r="D370" s="1171">
        <v>129.68</v>
      </c>
      <c r="E370" s="144"/>
      <c r="F370" s="144"/>
      <c r="G370" s="1170">
        <v>129.68</v>
      </c>
    </row>
    <row r="371" spans="1:14" s="44" customFormat="1" ht="15.75" customHeight="1" x14ac:dyDescent="0.2">
      <c r="A371" s="40" t="s">
        <v>6738</v>
      </c>
      <c r="B371" s="40" t="s">
        <v>6732</v>
      </c>
      <c r="C371" s="1003"/>
      <c r="D371" s="934">
        <v>160</v>
      </c>
      <c r="E371" s="159"/>
      <c r="F371" s="159"/>
      <c r="G371" s="683"/>
    </row>
    <row r="372" spans="1:14" s="44" customFormat="1" ht="15.75" customHeight="1" x14ac:dyDescent="0.2">
      <c r="A372" s="40" t="s">
        <v>6739</v>
      </c>
      <c r="B372" s="40" t="s">
        <v>6740</v>
      </c>
      <c r="C372" s="1003"/>
      <c r="D372" s="934">
        <v>200</v>
      </c>
      <c r="E372" s="159"/>
      <c r="F372" s="159"/>
      <c r="G372" s="683"/>
    </row>
    <row r="373" spans="1:14" s="41" customFormat="1" ht="15.75" customHeight="1" x14ac:dyDescent="0.2">
      <c r="A373" s="25" t="s">
        <v>6741</v>
      </c>
      <c r="B373" s="25" t="s">
        <v>6732</v>
      </c>
      <c r="C373" s="1023"/>
      <c r="D373" s="1171">
        <v>293.8075</v>
      </c>
      <c r="E373" s="144"/>
      <c r="F373" s="144"/>
      <c r="G373" s="1170">
        <v>254.1</v>
      </c>
    </row>
    <row r="374" spans="1:14" s="41" customFormat="1" ht="15.75" customHeight="1" x14ac:dyDescent="0.2">
      <c r="A374" s="40" t="s">
        <v>6742</v>
      </c>
      <c r="B374" s="40" t="s">
        <v>6743</v>
      </c>
      <c r="C374" s="1023"/>
      <c r="D374" s="934">
        <v>180</v>
      </c>
      <c r="E374" s="144"/>
      <c r="F374" s="144"/>
      <c r="G374" s="1170"/>
    </row>
    <row r="375" spans="1:14" s="41" customFormat="1" ht="15.75" customHeight="1" x14ac:dyDescent="0.2">
      <c r="A375" s="25" t="s">
        <v>6744</v>
      </c>
      <c r="B375" s="25" t="s">
        <v>6732</v>
      </c>
      <c r="C375" s="1023"/>
      <c r="D375" s="1171">
        <v>178.33</v>
      </c>
      <c r="E375" s="144"/>
      <c r="F375" s="144"/>
      <c r="G375" s="1170">
        <v>178.33</v>
      </c>
    </row>
    <row r="376" spans="1:14" s="41" customFormat="1" ht="15.75" customHeight="1" x14ac:dyDescent="0.2">
      <c r="A376" s="25" t="s">
        <v>6745</v>
      </c>
      <c r="B376" s="25" t="s">
        <v>6732</v>
      </c>
      <c r="C376" s="1023"/>
      <c r="D376" s="1171">
        <v>251.65</v>
      </c>
      <c r="E376" s="144"/>
      <c r="F376" s="144"/>
      <c r="G376" s="1176">
        <v>251.65</v>
      </c>
    </row>
    <row r="377" spans="1:14" s="41" customFormat="1" ht="15.75" customHeight="1" x14ac:dyDescent="0.2">
      <c r="A377" s="25" t="s">
        <v>6746</v>
      </c>
      <c r="B377" s="25" t="s">
        <v>6732</v>
      </c>
      <c r="C377" s="1023"/>
      <c r="D377" s="1171">
        <v>173.82749999999999</v>
      </c>
      <c r="E377" s="144"/>
      <c r="F377" s="144"/>
      <c r="G377" s="1170">
        <v>173.95</v>
      </c>
    </row>
    <row r="378" spans="1:14" s="41" customFormat="1" ht="15.75" customHeight="1" x14ac:dyDescent="0.2">
      <c r="A378" s="25" t="s">
        <v>6747</v>
      </c>
      <c r="B378" s="25" t="s">
        <v>6732</v>
      </c>
      <c r="C378" s="1023"/>
      <c r="D378" s="1171">
        <v>325</v>
      </c>
      <c r="E378" s="144"/>
      <c r="F378" s="144"/>
      <c r="G378" s="1170"/>
    </row>
    <row r="379" spans="1:14" s="41" customFormat="1" ht="15.75" customHeight="1" x14ac:dyDescent="0.2">
      <c r="A379" s="25" t="s">
        <v>6748</v>
      </c>
      <c r="B379" s="25" t="s">
        <v>6732</v>
      </c>
      <c r="C379" s="1023"/>
      <c r="D379" s="1171">
        <v>392.12</v>
      </c>
      <c r="E379" s="144"/>
      <c r="F379" s="144"/>
      <c r="G379" s="1170"/>
    </row>
    <row r="380" spans="1:14" s="41" customFormat="1" ht="15.75" customHeight="1" x14ac:dyDescent="0.2">
      <c r="A380" s="25" t="s">
        <v>6749</v>
      </c>
      <c r="B380" s="25" t="s">
        <v>6732</v>
      </c>
      <c r="C380" s="1023"/>
      <c r="D380" s="1171">
        <v>343.73499999999996</v>
      </c>
      <c r="E380" s="144"/>
      <c r="F380" s="144"/>
      <c r="G380" s="1170">
        <v>343.88</v>
      </c>
    </row>
    <row r="381" spans="1:14" s="41" customFormat="1" ht="15.75" customHeight="1" x14ac:dyDescent="0.2">
      <c r="A381" s="25" t="s">
        <v>6750</v>
      </c>
      <c r="B381" s="25" t="s">
        <v>6732</v>
      </c>
      <c r="C381" s="1023"/>
      <c r="D381" s="1171">
        <v>272.89999999999998</v>
      </c>
      <c r="E381" s="144"/>
      <c r="F381" s="144"/>
      <c r="G381" s="1170">
        <v>256.02999999999997</v>
      </c>
    </row>
    <row r="382" spans="1:14" s="41" customFormat="1" ht="15.75" customHeight="1" x14ac:dyDescent="0.2">
      <c r="A382" s="40" t="s">
        <v>6751</v>
      </c>
      <c r="B382" s="40" t="s">
        <v>6732</v>
      </c>
      <c r="C382" s="1003"/>
      <c r="D382" s="934">
        <v>260</v>
      </c>
      <c r="E382" s="159"/>
      <c r="F382" s="144"/>
      <c r="G382" s="1170"/>
    </row>
    <row r="383" spans="1:14" s="41" customFormat="1" ht="15.75" customHeight="1" x14ac:dyDescent="0.2">
      <c r="A383" s="40" t="s">
        <v>6752</v>
      </c>
      <c r="B383" s="40" t="s">
        <v>6753</v>
      </c>
      <c r="C383" s="1003"/>
      <c r="D383" s="934">
        <v>275</v>
      </c>
      <c r="E383" s="159"/>
      <c r="F383" s="144"/>
      <c r="G383" s="1170"/>
    </row>
    <row r="384" spans="1:14" s="41" customFormat="1" ht="15.75" customHeight="1" x14ac:dyDescent="0.2">
      <c r="A384" s="25" t="s">
        <v>6754</v>
      </c>
      <c r="B384" s="25" t="s">
        <v>6732</v>
      </c>
      <c r="C384" s="1023"/>
      <c r="D384" s="1171">
        <v>279.95</v>
      </c>
      <c r="E384" s="144"/>
      <c r="F384" s="144"/>
      <c r="G384" s="1170">
        <v>262.85000000000002</v>
      </c>
    </row>
    <row r="385" spans="1:14" s="41" customFormat="1" ht="15.75" customHeight="1" x14ac:dyDescent="0.2">
      <c r="A385" s="40" t="s">
        <v>6755</v>
      </c>
      <c r="B385" s="40" t="s">
        <v>6756</v>
      </c>
      <c r="C385" s="1023"/>
      <c r="D385" s="934">
        <v>380</v>
      </c>
      <c r="E385" s="144"/>
      <c r="F385" s="144"/>
      <c r="G385" s="1170"/>
    </row>
    <row r="386" spans="1:14" s="41" customFormat="1" ht="15.75" customHeight="1" x14ac:dyDescent="0.2">
      <c r="A386" s="25" t="s">
        <v>6757</v>
      </c>
      <c r="B386" s="25" t="s">
        <v>6732</v>
      </c>
      <c r="C386" s="1023"/>
      <c r="D386" s="1171">
        <v>392.1225</v>
      </c>
      <c r="E386" s="144"/>
      <c r="F386" s="144"/>
      <c r="G386" s="1170">
        <v>392.18</v>
      </c>
    </row>
    <row r="387" spans="1:14" s="41" customFormat="1" ht="15.75" customHeight="1" x14ac:dyDescent="0.2">
      <c r="A387" s="25" t="s">
        <v>6758</v>
      </c>
      <c r="B387" s="25" t="s">
        <v>6732</v>
      </c>
      <c r="C387" s="1023"/>
      <c r="D387" s="1171">
        <v>281.17</v>
      </c>
      <c r="E387" s="144"/>
      <c r="F387" s="144"/>
      <c r="G387" s="1170">
        <v>263.89999999999998</v>
      </c>
    </row>
    <row r="388" spans="1:14" s="41" customFormat="1" ht="15.75" customHeight="1" x14ac:dyDescent="0.2">
      <c r="A388" s="40" t="s">
        <v>6759</v>
      </c>
      <c r="B388" s="40" t="s">
        <v>6760</v>
      </c>
      <c r="C388" s="1023"/>
      <c r="D388" s="1171">
        <v>371.28</v>
      </c>
      <c r="E388" s="144"/>
      <c r="F388" s="144"/>
      <c r="G388" s="1170"/>
    </row>
    <row r="389" spans="1:14" s="41" customFormat="1" ht="15.75" customHeight="1" x14ac:dyDescent="0.2">
      <c r="A389" s="25" t="s">
        <v>6761</v>
      </c>
      <c r="B389" s="25" t="s">
        <v>6732</v>
      </c>
      <c r="C389" s="1023"/>
      <c r="D389" s="1171">
        <v>355.92</v>
      </c>
      <c r="E389" s="144"/>
      <c r="F389" s="144"/>
      <c r="G389" s="1170"/>
    </row>
    <row r="390" spans="1:14" s="41" customFormat="1" ht="15.75" customHeight="1" x14ac:dyDescent="0.2">
      <c r="A390" s="25" t="s">
        <v>6762</v>
      </c>
      <c r="B390" s="25" t="s">
        <v>6732</v>
      </c>
      <c r="C390" s="1023"/>
      <c r="D390" s="1171">
        <v>379.02</v>
      </c>
      <c r="E390" s="144"/>
      <c r="F390" s="144"/>
      <c r="G390" s="1170"/>
    </row>
    <row r="391" spans="1:14" s="41" customFormat="1" ht="15.75" customHeight="1" x14ac:dyDescent="0.2">
      <c r="A391" s="25" t="s">
        <v>6763</v>
      </c>
      <c r="B391" s="25" t="s">
        <v>6732</v>
      </c>
      <c r="C391" s="1023"/>
      <c r="D391" s="1171">
        <v>376.6</v>
      </c>
      <c r="E391" s="144"/>
      <c r="F391" s="144"/>
      <c r="G391" s="1170"/>
    </row>
    <row r="392" spans="1:14" s="50" customFormat="1" ht="15.75" customHeight="1" x14ac:dyDescent="0.2">
      <c r="A392" s="11"/>
      <c r="B392" s="11"/>
      <c r="C392" s="925"/>
      <c r="D392" s="670"/>
      <c r="E392" s="20"/>
      <c r="F392" s="20"/>
      <c r="G392" s="472"/>
    </row>
    <row r="393" spans="1:14" s="50" customFormat="1" ht="15.75" customHeight="1" x14ac:dyDescent="0.2">
      <c r="A393" s="11" t="s">
        <v>6764</v>
      </c>
      <c r="B393" s="11"/>
      <c r="C393" s="925"/>
      <c r="D393" s="756"/>
      <c r="E393" s="20"/>
      <c r="F393" s="20"/>
      <c r="G393" s="471"/>
      <c r="H393" s="460"/>
      <c r="I393" s="462"/>
      <c r="J393" s="629"/>
      <c r="K393" s="22"/>
      <c r="L393" s="268"/>
      <c r="M393" s="113"/>
      <c r="N393" s="262"/>
    </row>
    <row r="394" spans="1:14" s="50" customFormat="1" ht="15.75" customHeight="1" x14ac:dyDescent="0.2">
      <c r="A394" s="11" t="s">
        <v>6765</v>
      </c>
      <c r="B394" s="11" t="s">
        <v>6766</v>
      </c>
      <c r="C394" s="925"/>
      <c r="D394" s="931">
        <v>108.9375</v>
      </c>
      <c r="E394" s="20">
        <v>20</v>
      </c>
      <c r="F394" s="20">
        <v>24</v>
      </c>
      <c r="G394" s="499">
        <v>102.55</v>
      </c>
      <c r="H394" s="460">
        <v>86.92</v>
      </c>
      <c r="I394" s="462">
        <v>102.375</v>
      </c>
      <c r="J394" s="629">
        <v>102.55</v>
      </c>
      <c r="K394" s="667">
        <f>J394-I394</f>
        <v>0.17499999999999716</v>
      </c>
      <c r="L394" s="502">
        <f>K394/I394</f>
        <v>1.7094017094016816E-3</v>
      </c>
      <c r="M394" s="629">
        <v>4.5999999999999996</v>
      </c>
      <c r="N394" s="629">
        <v>4.5999999999999996</v>
      </c>
    </row>
    <row r="395" spans="1:14" s="50" customFormat="1" ht="15.75" customHeight="1" x14ac:dyDescent="0.2">
      <c r="A395" s="11" t="s">
        <v>6767</v>
      </c>
      <c r="B395" s="11" t="s">
        <v>6768</v>
      </c>
      <c r="C395" s="925"/>
      <c r="D395" s="931">
        <v>110.25</v>
      </c>
      <c r="E395" s="20">
        <v>24</v>
      </c>
      <c r="F395" s="20">
        <v>24</v>
      </c>
      <c r="G395" s="499">
        <v>103.95</v>
      </c>
      <c r="H395" s="460">
        <v>90.77</v>
      </c>
      <c r="I395" s="462">
        <v>103.705</v>
      </c>
      <c r="J395" s="629">
        <v>103.95</v>
      </c>
      <c r="K395" s="667">
        <f t="shared" ref="K395:K403" si="27">J395-I395</f>
        <v>0.24500000000000455</v>
      </c>
      <c r="L395" s="502">
        <f t="shared" ref="L395:L403" si="28">K395/I395</f>
        <v>2.3624704691191799E-3</v>
      </c>
      <c r="M395" s="629">
        <v>4.5999999999999996</v>
      </c>
      <c r="N395" s="629">
        <v>4.5999999999999996</v>
      </c>
    </row>
    <row r="396" spans="1:14" s="50" customFormat="1" ht="15.75" customHeight="1" x14ac:dyDescent="0.2">
      <c r="A396" s="11" t="s">
        <v>6769</v>
      </c>
      <c r="B396" s="11" t="s">
        <v>6770</v>
      </c>
      <c r="C396" s="925"/>
      <c r="D396" s="931">
        <v>132.5975</v>
      </c>
      <c r="E396" s="20">
        <v>30</v>
      </c>
      <c r="F396" s="20">
        <v>36</v>
      </c>
      <c r="G396" s="499">
        <v>126</v>
      </c>
      <c r="H396" s="460">
        <v>107.94</v>
      </c>
      <c r="I396" s="462">
        <v>125.895</v>
      </c>
      <c r="J396" s="629">
        <v>126</v>
      </c>
      <c r="K396" s="667">
        <f t="shared" si="27"/>
        <v>0.10500000000000398</v>
      </c>
      <c r="L396" s="502">
        <f t="shared" si="28"/>
        <v>8.3402835696416841E-4</v>
      </c>
      <c r="M396" s="629">
        <v>4.5999999999999996</v>
      </c>
      <c r="N396" s="629">
        <v>4.5999999999999996</v>
      </c>
    </row>
    <row r="397" spans="1:14" s="50" customFormat="1" ht="15.75" customHeight="1" x14ac:dyDescent="0.2">
      <c r="A397" s="11" t="s">
        <v>6771</v>
      </c>
      <c r="B397" s="11" t="s">
        <v>6772</v>
      </c>
      <c r="C397" s="925"/>
      <c r="D397" s="931">
        <v>132.5975</v>
      </c>
      <c r="E397" s="20">
        <v>32</v>
      </c>
      <c r="F397" s="20">
        <v>36</v>
      </c>
      <c r="G397" s="499">
        <v>142.065</v>
      </c>
      <c r="H397" s="460">
        <v>141.21</v>
      </c>
      <c r="I397" s="462">
        <v>142.065</v>
      </c>
      <c r="J397" s="629">
        <v>142.065</v>
      </c>
      <c r="K397" s="667">
        <f t="shared" si="27"/>
        <v>0</v>
      </c>
      <c r="L397" s="502">
        <f t="shared" si="28"/>
        <v>0</v>
      </c>
      <c r="M397" s="629">
        <v>4.5999999999999996</v>
      </c>
      <c r="N397" s="629">
        <v>4.5999999999999996</v>
      </c>
    </row>
    <row r="398" spans="1:14" s="50" customFormat="1" ht="15.75" customHeight="1" x14ac:dyDescent="0.2">
      <c r="A398" s="11" t="s">
        <v>6773</v>
      </c>
      <c r="B398" s="11" t="s">
        <v>6774</v>
      </c>
      <c r="C398" s="925"/>
      <c r="D398" s="931">
        <v>180.33750000000001</v>
      </c>
      <c r="E398" s="20">
        <v>36</v>
      </c>
      <c r="F398" s="20">
        <v>45</v>
      </c>
      <c r="G398" s="499">
        <v>170.79999999999998</v>
      </c>
      <c r="H398" s="460">
        <v>170.13</v>
      </c>
      <c r="I398" s="462">
        <v>170.27500000000001</v>
      </c>
      <c r="J398" s="629">
        <v>170.79999999999998</v>
      </c>
      <c r="K398" s="667">
        <f t="shared" si="27"/>
        <v>0.52499999999997726</v>
      </c>
      <c r="L398" s="502">
        <f t="shared" si="28"/>
        <v>3.0832476875641006E-3</v>
      </c>
      <c r="M398" s="629">
        <v>4.5999999999999996</v>
      </c>
      <c r="N398" s="629">
        <v>6.65</v>
      </c>
    </row>
    <row r="399" spans="1:14" s="50" customFormat="1" ht="15.75" customHeight="1" x14ac:dyDescent="0.2">
      <c r="A399" s="11" t="s">
        <v>6775</v>
      </c>
      <c r="B399" s="11" t="s">
        <v>6776</v>
      </c>
      <c r="C399" s="925"/>
      <c r="D399" s="931">
        <v>225.89000000000001</v>
      </c>
      <c r="E399" s="20">
        <v>36</v>
      </c>
      <c r="F399" s="20">
        <v>72</v>
      </c>
      <c r="G399" s="499">
        <v>213.67499999999998</v>
      </c>
      <c r="H399" s="460">
        <v>212.73</v>
      </c>
      <c r="I399" s="462">
        <v>212.87</v>
      </c>
      <c r="J399" s="629">
        <v>213.67499999999998</v>
      </c>
      <c r="K399" s="667">
        <f t="shared" si="27"/>
        <v>0.8049999999999784</v>
      </c>
      <c r="L399" s="502">
        <f t="shared" si="28"/>
        <v>3.7816507727720127E-3</v>
      </c>
      <c r="M399" s="629">
        <v>4.5999999999999996</v>
      </c>
      <c r="N399" s="629">
        <v>6.65</v>
      </c>
    </row>
    <row r="400" spans="1:14" s="50" customFormat="1" ht="15.75" customHeight="1" x14ac:dyDescent="0.2">
      <c r="A400" s="11" t="s">
        <v>6777</v>
      </c>
      <c r="B400" s="11" t="s">
        <v>6778</v>
      </c>
      <c r="C400" s="925"/>
      <c r="D400" s="931">
        <v>185.3775</v>
      </c>
      <c r="E400" s="20">
        <v>40</v>
      </c>
      <c r="F400" s="20">
        <v>60</v>
      </c>
      <c r="G400" s="499">
        <v>176.04999999999998</v>
      </c>
      <c r="H400" s="460">
        <v>175.32</v>
      </c>
      <c r="I400" s="462">
        <v>175.4375</v>
      </c>
      <c r="J400" s="629">
        <v>176.04999999999998</v>
      </c>
      <c r="K400" s="667">
        <f t="shared" si="27"/>
        <v>0.61249999999998295</v>
      </c>
      <c r="L400" s="502">
        <f t="shared" si="28"/>
        <v>3.4912718204487807E-3</v>
      </c>
      <c r="M400" s="629">
        <v>6.65</v>
      </c>
      <c r="N400" s="629">
        <v>6.65</v>
      </c>
    </row>
    <row r="401" spans="1:14" s="50" customFormat="1" ht="15.75" customHeight="1" x14ac:dyDescent="0.2">
      <c r="A401" s="11" t="s">
        <v>6779</v>
      </c>
      <c r="B401" s="11" t="s">
        <v>6780</v>
      </c>
      <c r="C401" s="925"/>
      <c r="D401" s="931">
        <v>224.24499999999998</v>
      </c>
      <c r="E401" s="20">
        <v>48</v>
      </c>
      <c r="F401" s="20">
        <v>72</v>
      </c>
      <c r="G401" s="499">
        <v>211.92499999999998</v>
      </c>
      <c r="H401" s="460">
        <v>210.93</v>
      </c>
      <c r="I401" s="462">
        <v>211.08500000000001</v>
      </c>
      <c r="J401" s="629">
        <v>211.92499999999998</v>
      </c>
      <c r="K401" s="667">
        <f t="shared" si="27"/>
        <v>0.83999999999997499</v>
      </c>
      <c r="L401" s="502">
        <f t="shared" si="28"/>
        <v>3.9794395622615294E-3</v>
      </c>
      <c r="M401" s="629">
        <v>6.65</v>
      </c>
      <c r="N401" s="629">
        <v>6.65</v>
      </c>
    </row>
    <row r="402" spans="1:14" s="50" customFormat="1" ht="15.75" customHeight="1" x14ac:dyDescent="0.2">
      <c r="A402" s="11" t="s">
        <v>6781</v>
      </c>
      <c r="B402" s="11" t="s">
        <v>6782</v>
      </c>
      <c r="C402" s="925"/>
      <c r="D402" s="931">
        <v>232.13750000000002</v>
      </c>
      <c r="E402" s="20">
        <v>50</v>
      </c>
      <c r="F402" s="20">
        <v>68</v>
      </c>
      <c r="G402" s="500">
        <v>219.97499999999999</v>
      </c>
      <c r="H402" s="460">
        <v>210.1</v>
      </c>
      <c r="I402" s="462">
        <v>219.17</v>
      </c>
      <c r="J402" s="629">
        <v>219.97499999999999</v>
      </c>
      <c r="K402" s="667">
        <f t="shared" si="27"/>
        <v>0.80500000000000682</v>
      </c>
      <c r="L402" s="502">
        <f t="shared" si="28"/>
        <v>3.6729479399553173E-3</v>
      </c>
      <c r="M402" s="629">
        <v>6.65</v>
      </c>
      <c r="N402" s="629">
        <v>6.65</v>
      </c>
    </row>
    <row r="403" spans="1:14" ht="15.75" customHeight="1" x14ac:dyDescent="0.2">
      <c r="A403" s="11" t="s">
        <v>6783</v>
      </c>
      <c r="B403" s="11" t="s">
        <v>6784</v>
      </c>
      <c r="C403" s="925"/>
      <c r="D403" s="931">
        <v>321.49250000000001</v>
      </c>
      <c r="E403" s="20">
        <v>60</v>
      </c>
      <c r="F403" s="20">
        <v>72</v>
      </c>
      <c r="G403" s="499">
        <v>302.05</v>
      </c>
      <c r="H403" s="460">
        <v>300.35000000000002</v>
      </c>
      <c r="I403" s="462">
        <v>300.49250000000001</v>
      </c>
      <c r="J403" s="629">
        <v>302.05</v>
      </c>
      <c r="K403" s="667">
        <f t="shared" si="27"/>
        <v>1.5575000000000045</v>
      </c>
      <c r="L403" s="502">
        <f t="shared" si="28"/>
        <v>5.1831576495253778E-3</v>
      </c>
      <c r="M403" s="629">
        <v>6.65</v>
      </c>
      <c r="N403" s="629">
        <v>6.65</v>
      </c>
    </row>
    <row r="404" spans="1:14" ht="15.75" customHeight="1" x14ac:dyDescent="0.2">
      <c r="A404" s="11"/>
      <c r="B404" s="11"/>
      <c r="C404" s="925"/>
      <c r="D404" s="22"/>
      <c r="E404" s="20"/>
      <c r="F404" s="20"/>
      <c r="G404" s="928"/>
      <c r="H404" s="460"/>
      <c r="I404" s="462"/>
      <c r="J404" s="629"/>
      <c r="K404" s="667"/>
      <c r="L404" s="502"/>
    </row>
    <row r="405" spans="1:14" ht="15.75" customHeight="1" x14ac:dyDescent="0.2">
      <c r="A405" s="926" t="s">
        <v>6785</v>
      </c>
      <c r="B405" s="926"/>
      <c r="C405" s="925"/>
      <c r="D405" s="624"/>
      <c r="E405" s="926"/>
      <c r="F405" s="926"/>
      <c r="G405" s="624"/>
      <c r="H405" s="926"/>
      <c r="I405" s="926"/>
      <c r="J405" s="668"/>
      <c r="K405" s="22"/>
      <c r="L405" s="268"/>
    </row>
    <row r="406" spans="1:14" ht="15.75" customHeight="1" x14ac:dyDescent="0.2">
      <c r="A406" s="11" t="s">
        <v>6786</v>
      </c>
      <c r="B406" s="11" t="s">
        <v>6787</v>
      </c>
      <c r="C406" s="925"/>
      <c r="D406" s="932">
        <v>71.19</v>
      </c>
      <c r="E406" s="20">
        <v>8.25</v>
      </c>
      <c r="F406" s="20">
        <v>8.25</v>
      </c>
      <c r="G406" s="500">
        <v>66.902499999999989</v>
      </c>
      <c r="H406" s="460">
        <v>57.239999999999995</v>
      </c>
      <c r="I406" s="462">
        <v>66.902499999999989</v>
      </c>
      <c r="J406" s="629">
        <v>66.902499999999989</v>
      </c>
      <c r="K406" s="667">
        <f t="shared" ref="K406:K450" si="29">J406-I406</f>
        <v>0</v>
      </c>
      <c r="L406" s="502">
        <f t="shared" ref="L406:L450" si="30">K406/I406</f>
        <v>0</v>
      </c>
      <c r="M406" s="629">
        <v>4.1500000000000004</v>
      </c>
      <c r="N406" s="629">
        <v>4.1500000000000004</v>
      </c>
    </row>
    <row r="407" spans="1:14" ht="15.75" customHeight="1" x14ac:dyDescent="0.2">
      <c r="A407" s="40" t="s">
        <v>6788</v>
      </c>
      <c r="B407" s="40" t="s">
        <v>6789</v>
      </c>
      <c r="C407" s="925"/>
      <c r="D407" s="934">
        <v>75</v>
      </c>
      <c r="E407" s="20"/>
      <c r="F407" s="20"/>
      <c r="G407" s="500"/>
      <c r="H407" s="460"/>
      <c r="I407" s="462"/>
      <c r="J407" s="629"/>
      <c r="K407" s="667"/>
      <c r="L407" s="502"/>
      <c r="M407" s="629"/>
      <c r="N407" s="629"/>
    </row>
    <row r="408" spans="1:14" s="41" customFormat="1" ht="15.75" customHeight="1" x14ac:dyDescent="0.2">
      <c r="A408" s="25" t="s">
        <v>6790</v>
      </c>
      <c r="B408" s="25" t="s">
        <v>6791</v>
      </c>
      <c r="C408" s="1023"/>
      <c r="D408" s="1171">
        <v>75</v>
      </c>
      <c r="E408" s="144"/>
      <c r="F408" s="144"/>
      <c r="G408" s="1170"/>
      <c r="H408" s="709"/>
      <c r="I408" s="710"/>
      <c r="J408" s="711"/>
      <c r="K408" s="712"/>
      <c r="L408" s="468"/>
      <c r="M408" s="711"/>
      <c r="N408" s="711"/>
    </row>
    <row r="409" spans="1:14" s="41" customFormat="1" ht="15.75" customHeight="1" x14ac:dyDescent="0.2">
      <c r="A409" s="40" t="s">
        <v>6792</v>
      </c>
      <c r="B409" s="40" t="s">
        <v>6793</v>
      </c>
      <c r="C409" s="1023"/>
      <c r="D409" s="934">
        <v>80</v>
      </c>
      <c r="E409" s="144"/>
      <c r="F409" s="144"/>
      <c r="G409" s="1170"/>
      <c r="H409" s="709"/>
      <c r="I409" s="710"/>
      <c r="J409" s="711"/>
      <c r="K409" s="712"/>
      <c r="L409" s="468"/>
      <c r="M409" s="711"/>
      <c r="N409" s="711"/>
    </row>
    <row r="410" spans="1:14" ht="15.75" customHeight="1" x14ac:dyDescent="0.2">
      <c r="A410" s="11" t="s">
        <v>6794</v>
      </c>
      <c r="B410" s="11" t="s">
        <v>6795</v>
      </c>
      <c r="C410" s="925"/>
      <c r="D410" s="932">
        <v>73.149999999999991</v>
      </c>
      <c r="E410" s="20">
        <v>11</v>
      </c>
      <c r="F410" s="20">
        <v>13</v>
      </c>
      <c r="G410" s="500">
        <v>69.02</v>
      </c>
      <c r="H410" s="460">
        <v>61.559999999999995</v>
      </c>
      <c r="I410" s="462">
        <v>69.02</v>
      </c>
      <c r="J410" s="629">
        <v>69.02</v>
      </c>
      <c r="K410" s="667">
        <f t="shared" si="29"/>
        <v>0</v>
      </c>
      <c r="L410" s="502">
        <f t="shared" si="30"/>
        <v>0</v>
      </c>
      <c r="M410" s="629">
        <v>4.1500000000000004</v>
      </c>
      <c r="N410" s="629">
        <v>4.1500000000000004</v>
      </c>
    </row>
    <row r="411" spans="1:14" ht="15.75" customHeight="1" x14ac:dyDescent="0.2">
      <c r="A411" s="11" t="s">
        <v>6796</v>
      </c>
      <c r="B411" s="11" t="s">
        <v>6797</v>
      </c>
      <c r="C411" s="925"/>
      <c r="D411" s="932">
        <v>73.954999999999998</v>
      </c>
      <c r="E411" s="20">
        <v>11</v>
      </c>
      <c r="F411" s="20">
        <v>14</v>
      </c>
      <c r="G411" s="500">
        <v>69.72</v>
      </c>
      <c r="H411" s="460">
        <v>63.47</v>
      </c>
      <c r="I411" s="462">
        <v>69.72</v>
      </c>
      <c r="J411" s="629">
        <v>69.72</v>
      </c>
      <c r="K411" s="667">
        <f t="shared" si="29"/>
        <v>0</v>
      </c>
      <c r="L411" s="502">
        <f t="shared" si="30"/>
        <v>0</v>
      </c>
      <c r="M411" s="629">
        <v>4.1500000000000004</v>
      </c>
      <c r="N411" s="629">
        <v>4.1500000000000004</v>
      </c>
    </row>
    <row r="412" spans="1:14" s="50" customFormat="1" ht="15.75" customHeight="1" x14ac:dyDescent="0.2">
      <c r="A412" s="11" t="s">
        <v>6798</v>
      </c>
      <c r="B412" s="11" t="s">
        <v>6799</v>
      </c>
      <c r="C412" s="925"/>
      <c r="D412" s="932">
        <v>75.634999999999991</v>
      </c>
      <c r="E412" s="20">
        <v>12</v>
      </c>
      <c r="F412" s="20">
        <v>16</v>
      </c>
      <c r="G412" s="500">
        <v>70</v>
      </c>
      <c r="H412" s="460"/>
      <c r="I412" s="462"/>
      <c r="J412" s="629"/>
      <c r="K412" s="667">
        <f t="shared" ref="K412" si="31">J412-I412</f>
        <v>0</v>
      </c>
      <c r="L412" s="502" t="e">
        <f t="shared" ref="L412" si="32">K412/I412</f>
        <v>#DIV/0!</v>
      </c>
      <c r="M412" s="629">
        <v>4.1500000000000004</v>
      </c>
      <c r="N412" s="629">
        <v>4.1500000000000004</v>
      </c>
    </row>
    <row r="413" spans="1:14" s="50" customFormat="1" ht="15.75" customHeight="1" x14ac:dyDescent="0.2">
      <c r="A413" s="11" t="s">
        <v>6800</v>
      </c>
      <c r="B413" s="11" t="s">
        <v>6801</v>
      </c>
      <c r="C413" s="925"/>
      <c r="D413" s="932">
        <v>76.982500000000002</v>
      </c>
      <c r="E413" s="20">
        <v>12</v>
      </c>
      <c r="F413" s="20">
        <v>24</v>
      </c>
      <c r="G413" s="500">
        <v>73.290000000000006</v>
      </c>
      <c r="H413" s="460">
        <v>70</v>
      </c>
      <c r="I413" s="462">
        <v>73.290000000000006</v>
      </c>
      <c r="J413" s="629">
        <v>73.290000000000006</v>
      </c>
      <c r="K413" s="667">
        <f t="shared" si="29"/>
        <v>0</v>
      </c>
      <c r="L413" s="502">
        <f t="shared" si="30"/>
        <v>0</v>
      </c>
      <c r="M413" s="629">
        <v>4.1500000000000004</v>
      </c>
      <c r="N413" s="629">
        <v>4.5999999999999996</v>
      </c>
    </row>
    <row r="414" spans="1:14" ht="15.75" customHeight="1" x14ac:dyDescent="0.2">
      <c r="A414" s="11" t="s">
        <v>6802</v>
      </c>
      <c r="B414" s="11" t="s">
        <v>6803</v>
      </c>
      <c r="C414" s="925"/>
      <c r="D414" s="932">
        <v>89.83</v>
      </c>
      <c r="E414" s="20">
        <v>16</v>
      </c>
      <c r="F414" s="20">
        <v>20</v>
      </c>
      <c r="G414" s="500">
        <v>73.92</v>
      </c>
      <c r="H414" s="460">
        <v>72.22</v>
      </c>
      <c r="I414" s="462">
        <v>73.92</v>
      </c>
      <c r="J414" s="629">
        <v>73.92</v>
      </c>
      <c r="K414" s="667">
        <f t="shared" si="29"/>
        <v>0</v>
      </c>
      <c r="L414" s="502">
        <f t="shared" si="30"/>
        <v>0</v>
      </c>
      <c r="M414" s="629">
        <v>4.1500000000000004</v>
      </c>
      <c r="N414" s="629">
        <v>4.5999999999999996</v>
      </c>
    </row>
    <row r="415" spans="1:14" ht="15.75" customHeight="1" x14ac:dyDescent="0.2">
      <c r="A415" s="11" t="s">
        <v>6804</v>
      </c>
      <c r="B415" s="11" t="s">
        <v>6805</v>
      </c>
      <c r="C415" s="925"/>
      <c r="D415" s="932">
        <v>77.717500000000001</v>
      </c>
      <c r="E415" s="20">
        <v>18</v>
      </c>
      <c r="F415" s="20">
        <v>20</v>
      </c>
      <c r="G415" s="500">
        <v>73.9375</v>
      </c>
      <c r="H415" s="460">
        <v>72.150000000000006</v>
      </c>
      <c r="I415" s="462">
        <v>73.9375</v>
      </c>
      <c r="J415" s="629">
        <v>73.9375</v>
      </c>
      <c r="K415" s="667">
        <f t="shared" si="29"/>
        <v>0</v>
      </c>
      <c r="L415" s="502">
        <f t="shared" si="30"/>
        <v>0</v>
      </c>
      <c r="M415" s="629">
        <v>4.1500000000000004</v>
      </c>
      <c r="N415" s="629">
        <v>4.5999999999999996</v>
      </c>
    </row>
    <row r="416" spans="1:14" ht="15.75" customHeight="1" x14ac:dyDescent="0.2">
      <c r="A416" s="11" t="s">
        <v>6806</v>
      </c>
      <c r="B416" s="11" t="s">
        <v>6807</v>
      </c>
      <c r="C416" s="925"/>
      <c r="D416" s="932">
        <v>79.642499999999998</v>
      </c>
      <c r="E416" s="20">
        <v>18</v>
      </c>
      <c r="F416" s="20">
        <v>24</v>
      </c>
      <c r="G416" s="500">
        <v>75.88</v>
      </c>
      <c r="H416" s="460">
        <v>75.400000000000006</v>
      </c>
      <c r="I416" s="462">
        <v>75.88</v>
      </c>
      <c r="J416" s="629">
        <v>75.88</v>
      </c>
      <c r="K416" s="667">
        <f t="shared" si="29"/>
        <v>0</v>
      </c>
      <c r="L416" s="502">
        <f t="shared" si="30"/>
        <v>0</v>
      </c>
      <c r="M416" s="629">
        <v>4.1500000000000004</v>
      </c>
      <c r="N416" s="629">
        <v>4.5999999999999996</v>
      </c>
    </row>
    <row r="417" spans="1:14" ht="15.75" customHeight="1" x14ac:dyDescent="0.2">
      <c r="A417" s="11" t="s">
        <v>6808</v>
      </c>
      <c r="B417" s="11" t="s">
        <v>6809</v>
      </c>
      <c r="C417" s="925"/>
      <c r="D417" s="932">
        <v>79.642499999999998</v>
      </c>
      <c r="E417" s="20">
        <v>20</v>
      </c>
      <c r="F417" s="20">
        <v>22</v>
      </c>
      <c r="G417" s="499">
        <v>76.055000000000007</v>
      </c>
      <c r="H417" s="460">
        <v>75.440000000000012</v>
      </c>
      <c r="I417" s="462">
        <v>76.055000000000007</v>
      </c>
      <c r="J417" s="629">
        <v>76.055000000000007</v>
      </c>
      <c r="K417" s="667">
        <f t="shared" si="29"/>
        <v>0</v>
      </c>
      <c r="L417" s="502">
        <f t="shared" si="30"/>
        <v>0</v>
      </c>
      <c r="M417" s="629">
        <v>4.5999999999999996</v>
      </c>
      <c r="N417" s="629">
        <v>4.5999999999999996</v>
      </c>
    </row>
    <row r="418" spans="1:14" ht="15.75" customHeight="1" x14ac:dyDescent="0.2">
      <c r="A418" s="11" t="s">
        <v>6810</v>
      </c>
      <c r="B418" s="11" t="s">
        <v>6811</v>
      </c>
      <c r="C418" s="925"/>
      <c r="D418" s="932">
        <v>79.660000000000011</v>
      </c>
      <c r="E418" s="20">
        <v>20</v>
      </c>
      <c r="F418" s="20">
        <v>24</v>
      </c>
      <c r="G418" s="499">
        <v>76.055000000000007</v>
      </c>
      <c r="H418" s="460">
        <v>77.08</v>
      </c>
      <c r="I418" s="462">
        <v>76.055000000000007</v>
      </c>
      <c r="J418" s="629">
        <v>76.055000000000007</v>
      </c>
      <c r="K418" s="667">
        <f t="shared" si="29"/>
        <v>0</v>
      </c>
      <c r="L418" s="502">
        <f t="shared" si="30"/>
        <v>0</v>
      </c>
      <c r="M418" s="629">
        <v>4.5999999999999996</v>
      </c>
      <c r="N418" s="629">
        <v>4.5999999999999996</v>
      </c>
    </row>
    <row r="419" spans="1:14" s="50" customFormat="1" ht="15.75" customHeight="1" x14ac:dyDescent="0.2">
      <c r="A419" s="11" t="s">
        <v>6812</v>
      </c>
      <c r="B419" s="11" t="s">
        <v>6813</v>
      </c>
      <c r="C419" s="925"/>
      <c r="D419" s="932">
        <v>83.685000000000002</v>
      </c>
      <c r="E419" s="20"/>
      <c r="F419" s="20"/>
      <c r="G419" s="499">
        <v>76.107500000000002</v>
      </c>
      <c r="H419" s="460"/>
      <c r="I419" s="462"/>
      <c r="J419" s="629">
        <v>76.107500000000002</v>
      </c>
      <c r="K419" s="667"/>
      <c r="L419" s="502"/>
      <c r="M419" s="629">
        <v>4.5999999999999996</v>
      </c>
      <c r="N419" s="629">
        <v>4.5999999999999996</v>
      </c>
    </row>
    <row r="420" spans="1:14" ht="15.75" customHeight="1" x14ac:dyDescent="0.2">
      <c r="A420" s="11" t="s">
        <v>6814</v>
      </c>
      <c r="B420" s="11" t="s">
        <v>6815</v>
      </c>
      <c r="C420" s="925"/>
      <c r="D420" s="932">
        <v>83.615000000000009</v>
      </c>
      <c r="E420" s="20">
        <v>22</v>
      </c>
      <c r="F420" s="20">
        <v>24</v>
      </c>
      <c r="G420" s="499">
        <v>80.027499999999989</v>
      </c>
      <c r="H420" s="460">
        <v>78.760000000000005</v>
      </c>
      <c r="I420" s="462">
        <v>80.027499999999989</v>
      </c>
      <c r="J420" s="629">
        <v>80.027499999999989</v>
      </c>
      <c r="K420" s="667">
        <f t="shared" si="29"/>
        <v>0</v>
      </c>
      <c r="L420" s="502">
        <f t="shared" si="30"/>
        <v>0</v>
      </c>
      <c r="M420" s="629">
        <v>4.5999999999999996</v>
      </c>
      <c r="N420" s="629">
        <v>4.5999999999999996</v>
      </c>
    </row>
    <row r="421" spans="1:14" ht="15.75" customHeight="1" x14ac:dyDescent="0.2">
      <c r="A421" s="11" t="s">
        <v>6816</v>
      </c>
      <c r="B421" s="11" t="s">
        <v>6817</v>
      </c>
      <c r="C421" s="925"/>
      <c r="D421" s="932">
        <v>83.685000000000002</v>
      </c>
      <c r="E421" s="20">
        <v>24</v>
      </c>
      <c r="F421" s="20">
        <v>24</v>
      </c>
      <c r="G421" s="499">
        <v>80.149999999999991</v>
      </c>
      <c r="H421" s="460">
        <v>79.900000000000006</v>
      </c>
      <c r="I421" s="462">
        <v>80.149999999999991</v>
      </c>
      <c r="J421" s="629">
        <v>80.149999999999991</v>
      </c>
      <c r="K421" s="667">
        <f t="shared" si="29"/>
        <v>0</v>
      </c>
      <c r="L421" s="502">
        <f t="shared" si="30"/>
        <v>0</v>
      </c>
      <c r="M421" s="629">
        <v>4.5999999999999996</v>
      </c>
      <c r="N421" s="629">
        <v>4.5999999999999996</v>
      </c>
    </row>
    <row r="422" spans="1:14" ht="15.75" customHeight="1" x14ac:dyDescent="0.2">
      <c r="A422" s="11" t="s">
        <v>6818</v>
      </c>
      <c r="B422" s="11" t="s">
        <v>6819</v>
      </c>
      <c r="C422" s="925"/>
      <c r="D422" s="932">
        <v>103.11</v>
      </c>
      <c r="E422" s="20">
        <v>24</v>
      </c>
      <c r="F422" s="20">
        <v>28</v>
      </c>
      <c r="G422" s="499">
        <v>98.052500000000009</v>
      </c>
      <c r="H422" s="460">
        <v>88.02000000000001</v>
      </c>
      <c r="I422" s="462">
        <v>98.052500000000009</v>
      </c>
      <c r="J422" s="629">
        <v>98.052500000000009</v>
      </c>
      <c r="K422" s="667">
        <f t="shared" si="29"/>
        <v>0</v>
      </c>
      <c r="L422" s="502">
        <f t="shared" si="30"/>
        <v>0</v>
      </c>
      <c r="M422" s="629">
        <v>4.5999999999999996</v>
      </c>
      <c r="N422" s="629">
        <v>4.5999999999999996</v>
      </c>
    </row>
    <row r="423" spans="1:14" ht="15.75" customHeight="1" x14ac:dyDescent="0.2">
      <c r="A423" s="11" t="s">
        <v>6820</v>
      </c>
      <c r="B423" s="11" t="s">
        <v>6821</v>
      </c>
      <c r="C423" s="925"/>
      <c r="D423" s="932">
        <v>103.8275</v>
      </c>
      <c r="E423" s="20">
        <v>24</v>
      </c>
      <c r="F423" s="20">
        <v>30</v>
      </c>
      <c r="G423" s="499">
        <v>98.734999999999999</v>
      </c>
      <c r="H423" s="460">
        <v>89.72</v>
      </c>
      <c r="I423" s="462">
        <v>98.734999999999999</v>
      </c>
      <c r="J423" s="629">
        <v>98.734999999999999</v>
      </c>
      <c r="K423" s="667">
        <f t="shared" si="29"/>
        <v>0</v>
      </c>
      <c r="L423" s="502">
        <f t="shared" si="30"/>
        <v>0</v>
      </c>
      <c r="M423" s="629">
        <v>4.5999999999999996</v>
      </c>
      <c r="N423" s="629">
        <v>4.5999999999999996</v>
      </c>
    </row>
    <row r="424" spans="1:14" ht="15.75" customHeight="1" x14ac:dyDescent="0.2">
      <c r="A424" s="11" t="s">
        <v>6822</v>
      </c>
      <c r="B424" s="11" t="s">
        <v>6823</v>
      </c>
      <c r="C424" s="925"/>
      <c r="D424" s="932">
        <v>105.77</v>
      </c>
      <c r="E424" s="20">
        <v>24</v>
      </c>
      <c r="F424" s="20">
        <v>36</v>
      </c>
      <c r="G424" s="499">
        <v>100.87</v>
      </c>
      <c r="H424" s="460">
        <v>92.5</v>
      </c>
      <c r="I424" s="462">
        <v>100.87</v>
      </c>
      <c r="J424" s="629">
        <v>100.87</v>
      </c>
      <c r="K424" s="667">
        <f t="shared" si="29"/>
        <v>0</v>
      </c>
      <c r="L424" s="502">
        <f t="shared" si="30"/>
        <v>0</v>
      </c>
      <c r="M424" s="629">
        <v>4.5999999999999996</v>
      </c>
      <c r="N424" s="629">
        <v>4.5999999999999996</v>
      </c>
    </row>
    <row r="425" spans="1:14" ht="15.75" customHeight="1" x14ac:dyDescent="0.2">
      <c r="A425" s="11" t="s">
        <v>6824</v>
      </c>
      <c r="B425" s="11" t="s">
        <v>6825</v>
      </c>
      <c r="C425" s="925"/>
      <c r="D425" s="932">
        <v>105.8575</v>
      </c>
      <c r="E425" s="20">
        <v>24</v>
      </c>
      <c r="F425" s="20">
        <v>39</v>
      </c>
      <c r="G425" s="499">
        <v>100.9575</v>
      </c>
      <c r="H425" s="460">
        <v>95.61</v>
      </c>
      <c r="I425" s="462">
        <v>100.9575</v>
      </c>
      <c r="J425" s="629">
        <v>100.9575</v>
      </c>
      <c r="K425" s="667">
        <f t="shared" si="29"/>
        <v>0</v>
      </c>
      <c r="L425" s="502">
        <f t="shared" si="30"/>
        <v>0</v>
      </c>
      <c r="M425" s="629">
        <v>4.5999999999999996</v>
      </c>
      <c r="N425" s="629">
        <v>6.65</v>
      </c>
    </row>
    <row r="426" spans="1:14" s="41" customFormat="1" ht="15.75" customHeight="1" x14ac:dyDescent="0.2">
      <c r="A426" s="25" t="s">
        <v>6826</v>
      </c>
      <c r="B426" s="25" t="s">
        <v>6827</v>
      </c>
      <c r="C426" s="1023"/>
      <c r="D426" s="1171">
        <v>107.7825</v>
      </c>
      <c r="E426" s="144">
        <v>24</v>
      </c>
      <c r="F426" s="144">
        <v>42</v>
      </c>
      <c r="G426" s="1169">
        <v>110</v>
      </c>
      <c r="H426" s="709"/>
      <c r="I426" s="710"/>
      <c r="J426" s="711"/>
      <c r="K426" s="712"/>
      <c r="L426" s="468"/>
      <c r="M426" s="711"/>
      <c r="N426" s="711"/>
    </row>
    <row r="427" spans="1:14" ht="15.75" customHeight="1" x14ac:dyDescent="0.2">
      <c r="A427" s="11" t="s">
        <v>6828</v>
      </c>
      <c r="B427" s="11" t="s">
        <v>6829</v>
      </c>
      <c r="C427" s="925"/>
      <c r="D427" s="932">
        <v>103.845</v>
      </c>
      <c r="E427" s="20">
        <v>27.5</v>
      </c>
      <c r="F427" s="20">
        <v>27.5</v>
      </c>
      <c r="G427" s="499">
        <v>98.752499999999998</v>
      </c>
      <c r="H427" s="460">
        <v>89.490000000000009</v>
      </c>
      <c r="I427" s="462">
        <v>98.752499999999998</v>
      </c>
      <c r="J427" s="629">
        <v>98.752499999999998</v>
      </c>
      <c r="K427" s="667">
        <f t="shared" si="29"/>
        <v>0</v>
      </c>
      <c r="L427" s="502">
        <f t="shared" si="30"/>
        <v>0</v>
      </c>
      <c r="M427" s="629">
        <v>4.5999999999999996</v>
      </c>
      <c r="N427" s="629">
        <v>4.5999999999999996</v>
      </c>
    </row>
    <row r="428" spans="1:14" ht="15.75" customHeight="1" x14ac:dyDescent="0.2">
      <c r="A428" s="11" t="s">
        <v>6830</v>
      </c>
      <c r="B428" s="11" t="s">
        <v>6831</v>
      </c>
      <c r="C428" s="925"/>
      <c r="D428" s="932">
        <v>107.7825</v>
      </c>
      <c r="E428" s="20">
        <v>27.5</v>
      </c>
      <c r="F428" s="20">
        <v>39.5</v>
      </c>
      <c r="G428" s="500">
        <v>103.0575</v>
      </c>
      <c r="H428" s="460">
        <v>99.27000000000001</v>
      </c>
      <c r="I428" s="462">
        <v>103.0575</v>
      </c>
      <c r="J428" s="629">
        <v>103.0575</v>
      </c>
      <c r="K428" s="667">
        <f t="shared" si="29"/>
        <v>0</v>
      </c>
      <c r="L428" s="502">
        <f t="shared" si="30"/>
        <v>0</v>
      </c>
      <c r="M428" s="629">
        <v>4.5999999999999996</v>
      </c>
      <c r="N428" s="629">
        <v>6.65</v>
      </c>
    </row>
    <row r="429" spans="1:14" ht="15.75" customHeight="1" x14ac:dyDescent="0.2">
      <c r="A429" s="11" t="s">
        <v>6832</v>
      </c>
      <c r="B429" s="11" t="s">
        <v>6833</v>
      </c>
      <c r="C429" s="925"/>
      <c r="D429" s="932">
        <v>105.8925</v>
      </c>
      <c r="E429" s="20">
        <v>30</v>
      </c>
      <c r="F429" s="20">
        <v>30</v>
      </c>
      <c r="G429" s="499">
        <v>100.99250000000001</v>
      </c>
      <c r="H429" s="460">
        <v>95</v>
      </c>
      <c r="I429" s="462">
        <v>100.99250000000001</v>
      </c>
      <c r="J429" s="629">
        <v>100.99250000000001</v>
      </c>
      <c r="K429" s="667">
        <f t="shared" si="29"/>
        <v>0</v>
      </c>
      <c r="L429" s="502">
        <f t="shared" si="30"/>
        <v>0</v>
      </c>
      <c r="M429" s="629">
        <v>4.5999999999999996</v>
      </c>
      <c r="N429" s="629">
        <v>4.5999999999999996</v>
      </c>
    </row>
    <row r="430" spans="1:14" ht="15.75" customHeight="1" x14ac:dyDescent="0.2">
      <c r="A430" s="11" t="s">
        <v>6834</v>
      </c>
      <c r="B430" s="11" t="s">
        <v>6835</v>
      </c>
      <c r="C430" s="925"/>
      <c r="D430" s="932">
        <v>108.955</v>
      </c>
      <c r="E430" s="20">
        <v>30</v>
      </c>
      <c r="F430" s="20">
        <v>40</v>
      </c>
      <c r="G430" s="499">
        <v>104.44</v>
      </c>
      <c r="H430" s="460">
        <v>100.9</v>
      </c>
      <c r="I430" s="462">
        <v>104.44</v>
      </c>
      <c r="J430" s="629">
        <v>104.44</v>
      </c>
      <c r="K430" s="667">
        <f t="shared" si="29"/>
        <v>0</v>
      </c>
      <c r="L430" s="502">
        <f t="shared" si="30"/>
        <v>0</v>
      </c>
      <c r="M430" s="629">
        <v>4.5999999999999996</v>
      </c>
      <c r="N430" s="629">
        <v>6.65</v>
      </c>
    </row>
    <row r="431" spans="1:14" s="50" customFormat="1" ht="15.75" customHeight="1" x14ac:dyDescent="0.2">
      <c r="A431" s="11" t="s">
        <v>6836</v>
      </c>
      <c r="B431" s="11" t="s">
        <v>6837</v>
      </c>
      <c r="C431" s="925"/>
      <c r="D431" s="932">
        <v>163.08000000000001</v>
      </c>
      <c r="E431" s="20">
        <v>32</v>
      </c>
      <c r="F431" s="20">
        <v>42</v>
      </c>
      <c r="G431" s="500">
        <v>134.0325</v>
      </c>
      <c r="H431" s="460">
        <v>117.78</v>
      </c>
      <c r="I431" s="462">
        <v>134.0325</v>
      </c>
      <c r="J431" s="629">
        <v>134.0325</v>
      </c>
      <c r="K431" s="667">
        <f t="shared" si="29"/>
        <v>0</v>
      </c>
      <c r="L431" s="502">
        <f t="shared" si="30"/>
        <v>0</v>
      </c>
      <c r="M431" s="629">
        <v>4.5999999999999996</v>
      </c>
      <c r="N431" s="629">
        <v>6.65</v>
      </c>
    </row>
    <row r="432" spans="1:14" s="50" customFormat="1" ht="15.75" customHeight="1" x14ac:dyDescent="0.2">
      <c r="A432" s="11" t="s">
        <v>6838</v>
      </c>
      <c r="B432" s="11" t="s">
        <v>6839</v>
      </c>
      <c r="C432" s="925"/>
      <c r="D432" s="932">
        <v>144.9</v>
      </c>
      <c r="E432" s="20">
        <v>33</v>
      </c>
      <c r="F432" s="20">
        <v>50</v>
      </c>
      <c r="G432" s="500">
        <v>137.58500000000001</v>
      </c>
      <c r="H432" s="460">
        <v>125.28</v>
      </c>
      <c r="I432" s="462">
        <v>137.58500000000001</v>
      </c>
      <c r="J432" s="629">
        <v>137.58500000000001</v>
      </c>
      <c r="K432" s="667">
        <f t="shared" si="29"/>
        <v>0</v>
      </c>
      <c r="L432" s="502">
        <f t="shared" si="30"/>
        <v>0</v>
      </c>
      <c r="M432" s="629">
        <v>4.5999999999999996</v>
      </c>
      <c r="N432" s="629">
        <v>6.65</v>
      </c>
    </row>
    <row r="433" spans="1:14" ht="15.75" customHeight="1" x14ac:dyDescent="0.2">
      <c r="A433" s="11" t="s">
        <v>6840</v>
      </c>
      <c r="B433" s="11" t="s">
        <v>6841</v>
      </c>
      <c r="C433" s="925"/>
      <c r="D433" s="932">
        <v>111.755</v>
      </c>
      <c r="E433" s="20">
        <v>36</v>
      </c>
      <c r="F433" s="20">
        <v>36</v>
      </c>
      <c r="G433" s="500">
        <v>107.13499999999999</v>
      </c>
      <c r="H433" s="460">
        <v>106.32000000000001</v>
      </c>
      <c r="I433" s="462">
        <v>107.13499999999999</v>
      </c>
      <c r="J433" s="629">
        <v>107.13499999999999</v>
      </c>
      <c r="K433" s="667">
        <f t="shared" si="29"/>
        <v>0</v>
      </c>
      <c r="L433" s="502">
        <f t="shared" si="30"/>
        <v>0</v>
      </c>
      <c r="M433" s="629">
        <v>4.5999999999999996</v>
      </c>
      <c r="N433" s="629">
        <v>4.5999999999999996</v>
      </c>
    </row>
    <row r="434" spans="1:14" ht="15.75" customHeight="1" x14ac:dyDescent="0.2">
      <c r="A434" s="11" t="s">
        <v>6842</v>
      </c>
      <c r="B434" s="11" t="s">
        <v>6843</v>
      </c>
      <c r="C434" s="925"/>
      <c r="D434" s="932">
        <v>143.63999999999999</v>
      </c>
      <c r="E434" s="20">
        <v>36</v>
      </c>
      <c r="F434" s="20">
        <v>44</v>
      </c>
      <c r="G434" s="500">
        <v>136.0975</v>
      </c>
      <c r="H434" s="460">
        <v>122.80000000000001</v>
      </c>
      <c r="I434" s="462">
        <v>136.0975</v>
      </c>
      <c r="J434" s="629">
        <v>136.0975</v>
      </c>
      <c r="K434" s="667">
        <f t="shared" si="29"/>
        <v>0</v>
      </c>
      <c r="L434" s="502">
        <f t="shared" si="30"/>
        <v>0</v>
      </c>
      <c r="M434" s="629">
        <v>4.5999999999999996</v>
      </c>
      <c r="N434" s="629">
        <v>6.65</v>
      </c>
    </row>
    <row r="435" spans="1:14" s="50" customFormat="1" ht="15.75" customHeight="1" x14ac:dyDescent="0.2">
      <c r="A435" s="11" t="s">
        <v>6844</v>
      </c>
      <c r="B435" s="11" t="s">
        <v>6845</v>
      </c>
      <c r="C435" s="925"/>
      <c r="D435" s="932">
        <v>143.63999999999999</v>
      </c>
      <c r="E435" s="20">
        <v>36</v>
      </c>
      <c r="F435" s="20">
        <v>45</v>
      </c>
      <c r="G435" s="500">
        <v>136.0975</v>
      </c>
      <c r="H435" s="460">
        <v>123.71000000000001</v>
      </c>
      <c r="I435" s="462">
        <v>136.0975</v>
      </c>
      <c r="J435" s="629">
        <v>136.0975</v>
      </c>
      <c r="K435" s="667">
        <f t="shared" si="29"/>
        <v>0</v>
      </c>
      <c r="L435" s="502">
        <f t="shared" si="30"/>
        <v>0</v>
      </c>
      <c r="M435" s="629">
        <v>4.5999999999999996</v>
      </c>
      <c r="N435" s="629">
        <v>6.65</v>
      </c>
    </row>
    <row r="436" spans="1:14" ht="15.75" customHeight="1" x14ac:dyDescent="0.2">
      <c r="A436" s="11" t="s">
        <v>6846</v>
      </c>
      <c r="B436" s="11" t="s">
        <v>6847</v>
      </c>
      <c r="C436" s="925"/>
      <c r="D436" s="932">
        <v>145.70500000000001</v>
      </c>
      <c r="E436" s="20">
        <v>36</v>
      </c>
      <c r="F436" s="20">
        <v>48</v>
      </c>
      <c r="G436" s="500">
        <v>138.32000000000002</v>
      </c>
      <c r="H436" s="460">
        <v>126.42</v>
      </c>
      <c r="I436" s="462">
        <v>138.32000000000002</v>
      </c>
      <c r="J436" s="629">
        <v>138.32000000000002</v>
      </c>
      <c r="K436" s="667">
        <f t="shared" si="29"/>
        <v>0</v>
      </c>
      <c r="L436" s="502">
        <f t="shared" si="30"/>
        <v>0</v>
      </c>
      <c r="M436" s="629">
        <v>4.5999999999999996</v>
      </c>
      <c r="N436" s="629">
        <v>6.65</v>
      </c>
    </row>
    <row r="437" spans="1:14" ht="15.75" customHeight="1" x14ac:dyDescent="0.2">
      <c r="A437" s="11" t="s">
        <v>6848</v>
      </c>
      <c r="B437" s="11" t="s">
        <v>6849</v>
      </c>
      <c r="C437" s="925"/>
      <c r="D437" s="932">
        <v>145.74</v>
      </c>
      <c r="E437" s="20">
        <v>36</v>
      </c>
      <c r="F437" s="20">
        <v>53</v>
      </c>
      <c r="G437" s="500">
        <v>138.70500000000001</v>
      </c>
      <c r="H437" s="460">
        <v>130.42999999999998</v>
      </c>
      <c r="I437" s="462">
        <v>138.70500000000001</v>
      </c>
      <c r="J437" s="629">
        <v>138.70500000000001</v>
      </c>
      <c r="K437" s="667">
        <f t="shared" si="29"/>
        <v>0</v>
      </c>
      <c r="L437" s="502">
        <f t="shared" si="30"/>
        <v>0</v>
      </c>
      <c r="M437" s="629">
        <v>4.5999999999999996</v>
      </c>
      <c r="N437" s="629">
        <v>6.65</v>
      </c>
    </row>
    <row r="438" spans="1:14" ht="15.75" customHeight="1" x14ac:dyDescent="0.2">
      <c r="A438" s="11" t="s">
        <v>6850</v>
      </c>
      <c r="B438" s="11" t="s">
        <v>6851</v>
      </c>
      <c r="C438" s="925"/>
      <c r="D438" s="932">
        <v>145.74</v>
      </c>
      <c r="E438" s="20">
        <v>36</v>
      </c>
      <c r="F438" s="20">
        <v>55</v>
      </c>
      <c r="G438" s="499">
        <v>138.70500000000001</v>
      </c>
      <c r="H438" s="460">
        <v>131.09</v>
      </c>
      <c r="I438" s="462">
        <v>138.70500000000001</v>
      </c>
      <c r="J438" s="629">
        <v>138.70500000000001</v>
      </c>
      <c r="K438" s="667">
        <f t="shared" si="29"/>
        <v>0</v>
      </c>
      <c r="L438" s="502">
        <f t="shared" si="30"/>
        <v>0</v>
      </c>
      <c r="M438" s="629">
        <v>4.5999999999999996</v>
      </c>
      <c r="N438" s="629">
        <v>6.65</v>
      </c>
    </row>
    <row r="439" spans="1:14" ht="15.75" customHeight="1" x14ac:dyDescent="0.2">
      <c r="A439" s="11" t="s">
        <v>6852</v>
      </c>
      <c r="B439" s="11" t="s">
        <v>6853</v>
      </c>
      <c r="C439" s="925"/>
      <c r="D439" s="932">
        <v>147.61249999999998</v>
      </c>
      <c r="E439" s="20">
        <v>36</v>
      </c>
      <c r="F439" s="20">
        <v>60</v>
      </c>
      <c r="G439" s="499">
        <v>140.7525</v>
      </c>
      <c r="H439" s="460">
        <v>135.07</v>
      </c>
      <c r="I439" s="462">
        <v>140.7525</v>
      </c>
      <c r="J439" s="629">
        <v>140.7525</v>
      </c>
      <c r="K439" s="667">
        <f t="shared" si="29"/>
        <v>0</v>
      </c>
      <c r="L439" s="502">
        <f t="shared" si="30"/>
        <v>0</v>
      </c>
      <c r="M439" s="629">
        <v>4.5999999999999996</v>
      </c>
      <c r="N439" s="629">
        <v>6.65</v>
      </c>
    </row>
    <row r="440" spans="1:14" ht="15.75" customHeight="1" x14ac:dyDescent="0.2">
      <c r="A440" s="11" t="s">
        <v>6854</v>
      </c>
      <c r="B440" s="11" t="s">
        <v>6855</v>
      </c>
      <c r="C440" s="925"/>
      <c r="D440" s="932">
        <v>228.095</v>
      </c>
      <c r="E440" s="20">
        <v>36</v>
      </c>
      <c r="F440" s="20">
        <v>72</v>
      </c>
      <c r="G440" s="499">
        <v>214.69</v>
      </c>
      <c r="H440" s="460">
        <v>191.39</v>
      </c>
      <c r="I440" s="462">
        <v>214.69</v>
      </c>
      <c r="J440" s="629">
        <v>214.69</v>
      </c>
      <c r="K440" s="667">
        <f t="shared" si="29"/>
        <v>0</v>
      </c>
      <c r="L440" s="502">
        <f t="shared" si="30"/>
        <v>0</v>
      </c>
      <c r="M440" s="629">
        <v>4.5999999999999996</v>
      </c>
      <c r="N440" s="629">
        <v>6.65</v>
      </c>
    </row>
    <row r="441" spans="1:14" ht="15.75" customHeight="1" x14ac:dyDescent="0.2">
      <c r="A441" s="11" t="s">
        <v>6856</v>
      </c>
      <c r="B441" s="11" t="s">
        <v>6857</v>
      </c>
      <c r="C441" s="925"/>
      <c r="D441" s="932">
        <v>143.51750000000001</v>
      </c>
      <c r="E441" s="20">
        <v>38</v>
      </c>
      <c r="F441" s="20">
        <v>38</v>
      </c>
      <c r="G441" s="499">
        <v>135.99249999999998</v>
      </c>
      <c r="H441" s="460">
        <v>122.05000000000001</v>
      </c>
      <c r="I441" s="462">
        <v>135.99249999999998</v>
      </c>
      <c r="J441" s="629">
        <v>135.99249999999998</v>
      </c>
      <c r="K441" s="667">
        <f t="shared" si="29"/>
        <v>0</v>
      </c>
      <c r="L441" s="502">
        <f t="shared" si="30"/>
        <v>0</v>
      </c>
      <c r="M441" s="629">
        <v>4.5999999999999996</v>
      </c>
      <c r="N441" s="629">
        <v>4.5999999999999996</v>
      </c>
    </row>
    <row r="442" spans="1:14" ht="15.75" customHeight="1" x14ac:dyDescent="0.2">
      <c r="A442" s="11" t="s">
        <v>6858</v>
      </c>
      <c r="B442" s="11" t="s">
        <v>6859</v>
      </c>
      <c r="C442" s="925"/>
      <c r="D442" s="932">
        <v>145.565</v>
      </c>
      <c r="E442" s="20">
        <v>38</v>
      </c>
      <c r="F442" s="20">
        <v>48</v>
      </c>
      <c r="G442" s="499">
        <v>138.19749999999999</v>
      </c>
      <c r="H442" s="460">
        <v>127.80000000000001</v>
      </c>
      <c r="I442" s="462">
        <v>138.19749999999999</v>
      </c>
      <c r="J442" s="629">
        <v>138.19749999999999</v>
      </c>
      <c r="K442" s="667">
        <f t="shared" si="29"/>
        <v>0</v>
      </c>
      <c r="L442" s="502">
        <f t="shared" si="30"/>
        <v>0</v>
      </c>
      <c r="M442" s="629">
        <v>4.5999999999999996</v>
      </c>
      <c r="N442" s="629">
        <v>6.65</v>
      </c>
    </row>
    <row r="443" spans="1:14" ht="15.75" customHeight="1" x14ac:dyDescent="0.2">
      <c r="A443" s="11" t="s">
        <v>6860</v>
      </c>
      <c r="B443" s="11" t="s">
        <v>6861</v>
      </c>
      <c r="C443" s="925"/>
      <c r="D443" s="932">
        <v>147.50750000000002</v>
      </c>
      <c r="E443" s="20">
        <v>38</v>
      </c>
      <c r="F443" s="20">
        <v>50</v>
      </c>
      <c r="G443" s="499">
        <v>140.315</v>
      </c>
      <c r="H443" s="460">
        <v>130.23999999999998</v>
      </c>
      <c r="I443" s="462">
        <v>140.315</v>
      </c>
      <c r="J443" s="629">
        <v>140.315</v>
      </c>
      <c r="K443" s="667">
        <f t="shared" si="29"/>
        <v>0</v>
      </c>
      <c r="L443" s="502">
        <f t="shared" si="30"/>
        <v>0</v>
      </c>
      <c r="M443" s="629">
        <v>4.5999999999999996</v>
      </c>
      <c r="N443" s="629">
        <v>6.65</v>
      </c>
    </row>
    <row r="444" spans="1:14" ht="15.75" customHeight="1" x14ac:dyDescent="0.2">
      <c r="A444" s="11" t="s">
        <v>6862</v>
      </c>
      <c r="B444" s="11" t="s">
        <v>6863</v>
      </c>
      <c r="C444" s="925"/>
      <c r="D444" s="932">
        <v>143.58750000000001</v>
      </c>
      <c r="E444" s="20">
        <v>39.5</v>
      </c>
      <c r="F444" s="20">
        <v>39.5</v>
      </c>
      <c r="G444" s="499">
        <v>136.04499999999999</v>
      </c>
      <c r="H444" s="460">
        <v>123.11</v>
      </c>
      <c r="I444" s="462">
        <v>136.04499999999999</v>
      </c>
      <c r="J444" s="629">
        <v>136.04499999999999</v>
      </c>
      <c r="K444" s="667">
        <f t="shared" si="29"/>
        <v>0</v>
      </c>
      <c r="L444" s="502">
        <f t="shared" si="30"/>
        <v>0</v>
      </c>
      <c r="M444" s="629">
        <v>6.65</v>
      </c>
      <c r="N444" s="629">
        <v>6.65</v>
      </c>
    </row>
    <row r="445" spans="1:14" s="50" customFormat="1" ht="15.75" customHeight="1" x14ac:dyDescent="0.2">
      <c r="A445" s="11" t="s">
        <v>6864</v>
      </c>
      <c r="B445" s="11" t="s">
        <v>6865</v>
      </c>
      <c r="C445" s="925"/>
      <c r="D445" s="932">
        <v>143.58750000000001</v>
      </c>
      <c r="E445" s="20">
        <v>39</v>
      </c>
      <c r="F445" s="20">
        <v>39</v>
      </c>
      <c r="G445" s="499">
        <v>136.04499999999999</v>
      </c>
      <c r="H445" s="460">
        <v>122.15</v>
      </c>
      <c r="I445" s="462">
        <v>136.04499999999999</v>
      </c>
      <c r="J445" s="629">
        <v>136.04499999999999</v>
      </c>
      <c r="K445" s="667">
        <f t="shared" si="29"/>
        <v>0</v>
      </c>
      <c r="L445" s="502">
        <f t="shared" si="30"/>
        <v>0</v>
      </c>
      <c r="M445" s="629">
        <v>6.65</v>
      </c>
      <c r="N445" s="629">
        <v>6.65</v>
      </c>
    </row>
    <row r="446" spans="1:14" ht="15.75" customHeight="1" x14ac:dyDescent="0.2">
      <c r="A446" s="11" t="s">
        <v>6866</v>
      </c>
      <c r="B446" s="11" t="s">
        <v>6867</v>
      </c>
      <c r="C446" s="925"/>
      <c r="D446" s="932">
        <v>149.45000000000002</v>
      </c>
      <c r="E446" s="20">
        <v>39</v>
      </c>
      <c r="F446" s="20">
        <v>55</v>
      </c>
      <c r="G446" s="499">
        <v>142.4325</v>
      </c>
      <c r="H446" s="460">
        <v>137.01</v>
      </c>
      <c r="I446" s="462">
        <v>142.4325</v>
      </c>
      <c r="J446" s="629">
        <v>142.4325</v>
      </c>
      <c r="K446" s="667">
        <f t="shared" si="29"/>
        <v>0</v>
      </c>
      <c r="L446" s="502">
        <f t="shared" si="30"/>
        <v>0</v>
      </c>
      <c r="M446" s="629">
        <v>6.65</v>
      </c>
      <c r="N446" s="629">
        <v>6.65</v>
      </c>
    </row>
    <row r="447" spans="1:14" ht="15.75" customHeight="1" x14ac:dyDescent="0.2">
      <c r="A447" s="11" t="s">
        <v>6868</v>
      </c>
      <c r="B447" s="11" t="s">
        <v>6869</v>
      </c>
      <c r="C447" s="925"/>
      <c r="D447" s="932">
        <v>351.27749999999997</v>
      </c>
      <c r="E447" s="20">
        <v>39</v>
      </c>
      <c r="F447" s="20">
        <v>96</v>
      </c>
      <c r="G447" s="500">
        <v>319.41000000000003</v>
      </c>
      <c r="H447" s="460">
        <v>276.18</v>
      </c>
      <c r="I447" s="462">
        <v>319.41000000000003</v>
      </c>
      <c r="J447" s="629">
        <v>319.41000000000003</v>
      </c>
      <c r="K447" s="667">
        <f t="shared" si="29"/>
        <v>0</v>
      </c>
      <c r="L447" s="502">
        <f t="shared" si="30"/>
        <v>0</v>
      </c>
      <c r="M447" s="629">
        <v>6.65</v>
      </c>
      <c r="N447" s="629">
        <v>6.65</v>
      </c>
    </row>
    <row r="448" spans="1:14" ht="15.75" customHeight="1" x14ac:dyDescent="0.2">
      <c r="A448" s="11" t="s">
        <v>6870</v>
      </c>
      <c r="B448" s="11" t="s">
        <v>6871</v>
      </c>
      <c r="C448" s="925"/>
      <c r="D448" s="932">
        <v>143.85</v>
      </c>
      <c r="E448" s="20">
        <v>40</v>
      </c>
      <c r="F448" s="20">
        <v>40</v>
      </c>
      <c r="G448" s="499">
        <v>136.29</v>
      </c>
      <c r="H448" s="460">
        <v>123.46000000000001</v>
      </c>
      <c r="I448" s="462">
        <v>136.29</v>
      </c>
      <c r="J448" s="629">
        <v>136.29</v>
      </c>
      <c r="K448" s="667">
        <f t="shared" si="29"/>
        <v>0</v>
      </c>
      <c r="L448" s="502">
        <f t="shared" si="30"/>
        <v>0</v>
      </c>
      <c r="M448" s="629">
        <v>6.65</v>
      </c>
      <c r="N448" s="629">
        <v>6.65</v>
      </c>
    </row>
    <row r="449" spans="1:14" ht="15.75" customHeight="1" x14ac:dyDescent="0.2">
      <c r="A449" s="11" t="s">
        <v>6872</v>
      </c>
      <c r="B449" s="11" t="s">
        <v>6873</v>
      </c>
      <c r="C449" s="925"/>
      <c r="D449" s="932">
        <v>149.66</v>
      </c>
      <c r="E449" s="20">
        <v>40</v>
      </c>
      <c r="F449" s="20">
        <v>54</v>
      </c>
      <c r="G449" s="499">
        <v>142.64250000000001</v>
      </c>
      <c r="H449" s="460">
        <v>135.35</v>
      </c>
      <c r="I449" s="462">
        <v>142.64250000000001</v>
      </c>
      <c r="J449" s="629">
        <v>142.64250000000001</v>
      </c>
      <c r="K449" s="667">
        <f t="shared" si="29"/>
        <v>0</v>
      </c>
      <c r="L449" s="502">
        <f t="shared" si="30"/>
        <v>0</v>
      </c>
      <c r="M449" s="629">
        <v>6.65</v>
      </c>
      <c r="N449" s="629">
        <v>6.65</v>
      </c>
    </row>
    <row r="450" spans="1:14" s="50" customFormat="1" ht="15.75" customHeight="1" x14ac:dyDescent="0.2">
      <c r="A450" s="11" t="s">
        <v>6874</v>
      </c>
      <c r="B450" s="11" t="s">
        <v>6875</v>
      </c>
      <c r="C450" s="925"/>
      <c r="D450" s="932">
        <v>224.10500000000002</v>
      </c>
      <c r="E450" s="20">
        <v>40</v>
      </c>
      <c r="F450" s="20">
        <v>60</v>
      </c>
      <c r="G450" s="500">
        <v>206.60500000000002</v>
      </c>
      <c r="H450" s="460"/>
      <c r="I450" s="462">
        <v>180</v>
      </c>
      <c r="J450" s="629">
        <v>206.60500000000002</v>
      </c>
      <c r="K450" s="667">
        <f t="shared" si="29"/>
        <v>26.605000000000018</v>
      </c>
      <c r="L450" s="502">
        <f t="shared" si="30"/>
        <v>0.14780555555555566</v>
      </c>
      <c r="M450" s="629">
        <v>6.65</v>
      </c>
      <c r="N450" s="629">
        <v>6.65</v>
      </c>
    </row>
    <row r="451" spans="1:14" ht="15.75" customHeight="1" x14ac:dyDescent="0.2">
      <c r="A451" s="11" t="s">
        <v>6876</v>
      </c>
      <c r="B451" s="11" t="s">
        <v>6877</v>
      </c>
      <c r="C451" s="925"/>
      <c r="D451" s="932">
        <v>226.94</v>
      </c>
      <c r="E451" s="20">
        <v>40</v>
      </c>
      <c r="F451" s="20">
        <v>65</v>
      </c>
      <c r="G451" s="500">
        <v>213.41249999999999</v>
      </c>
      <c r="H451" s="460">
        <v>191.01999999999998</v>
      </c>
      <c r="I451" s="462">
        <v>213.41249999999999</v>
      </c>
      <c r="J451" s="629">
        <v>213.41249999999999</v>
      </c>
      <c r="K451" s="667">
        <f t="shared" ref="K451:K488" si="33">J451-I451</f>
        <v>0</v>
      </c>
      <c r="L451" s="502">
        <f t="shared" ref="L451:L488" si="34">K451/I451</f>
        <v>0</v>
      </c>
      <c r="M451" s="629">
        <v>6.65</v>
      </c>
      <c r="N451" s="629">
        <v>6.65</v>
      </c>
    </row>
    <row r="452" spans="1:14" ht="15.75" customHeight="1" x14ac:dyDescent="0.2">
      <c r="A452" s="11" t="s">
        <v>6878</v>
      </c>
      <c r="B452" s="11" t="s">
        <v>6879</v>
      </c>
      <c r="C452" s="925"/>
      <c r="D452" s="932">
        <v>224.08750000000003</v>
      </c>
      <c r="E452" s="20">
        <v>41.25</v>
      </c>
      <c r="F452" s="20">
        <v>61.25</v>
      </c>
      <c r="G452" s="500">
        <v>210.595</v>
      </c>
      <c r="H452" s="460">
        <v>190.87</v>
      </c>
      <c r="I452" s="462">
        <v>210.595</v>
      </c>
      <c r="J452" s="629">
        <v>210.595</v>
      </c>
      <c r="K452" s="667">
        <f t="shared" si="33"/>
        <v>0</v>
      </c>
      <c r="L452" s="502">
        <f t="shared" si="34"/>
        <v>0</v>
      </c>
      <c r="M452" s="629">
        <v>6.65</v>
      </c>
      <c r="N452" s="629">
        <v>6.65</v>
      </c>
    </row>
    <row r="453" spans="1:14" ht="15.75" customHeight="1" x14ac:dyDescent="0.2">
      <c r="A453" s="11" t="s">
        <v>6880</v>
      </c>
      <c r="B453" s="11" t="s">
        <v>6881</v>
      </c>
      <c r="C453" s="925"/>
      <c r="D453" s="932">
        <v>145.79250000000002</v>
      </c>
      <c r="E453" s="20">
        <v>41.5</v>
      </c>
      <c r="F453" s="20">
        <v>41.5</v>
      </c>
      <c r="G453" s="500">
        <v>138.42499999999998</v>
      </c>
      <c r="H453" s="460">
        <v>126.84</v>
      </c>
      <c r="I453" s="462">
        <v>138.42499999999998</v>
      </c>
      <c r="J453" s="629">
        <v>138.42499999999998</v>
      </c>
      <c r="K453" s="667">
        <f t="shared" si="33"/>
        <v>0</v>
      </c>
      <c r="L453" s="502">
        <f t="shared" si="34"/>
        <v>0</v>
      </c>
      <c r="M453" s="629">
        <v>6.65</v>
      </c>
      <c r="N453" s="629">
        <v>6.65</v>
      </c>
    </row>
    <row r="454" spans="1:14" ht="15.75" customHeight="1" x14ac:dyDescent="0.2">
      <c r="A454" s="11" t="s">
        <v>6882</v>
      </c>
      <c r="B454" s="11" t="s">
        <v>6883</v>
      </c>
      <c r="C454" s="925"/>
      <c r="D454" s="932">
        <v>145.79250000000002</v>
      </c>
      <c r="E454" s="20">
        <v>41.5</v>
      </c>
      <c r="F454" s="20">
        <v>42.5</v>
      </c>
      <c r="G454" s="500">
        <v>138.42499999999998</v>
      </c>
      <c r="H454" s="460">
        <v>127.21000000000001</v>
      </c>
      <c r="I454" s="462">
        <v>138.42499999999998</v>
      </c>
      <c r="J454" s="629">
        <v>138.42499999999998</v>
      </c>
      <c r="K454" s="667">
        <f t="shared" si="33"/>
        <v>0</v>
      </c>
      <c r="L454" s="502">
        <f t="shared" si="34"/>
        <v>0</v>
      </c>
      <c r="M454" s="629">
        <v>6.65</v>
      </c>
      <c r="N454" s="629">
        <v>6.65</v>
      </c>
    </row>
    <row r="455" spans="1:14" s="50" customFormat="1" ht="15.75" customHeight="1" x14ac:dyDescent="0.2">
      <c r="A455" s="11" t="s">
        <v>6884</v>
      </c>
      <c r="B455" s="11" t="s">
        <v>6885</v>
      </c>
      <c r="C455" s="925"/>
      <c r="D455" s="932">
        <v>224.29749999999999</v>
      </c>
      <c r="E455" s="188">
        <v>41.5</v>
      </c>
      <c r="F455" s="20">
        <v>61.5</v>
      </c>
      <c r="G455" s="500">
        <v>210.595</v>
      </c>
      <c r="H455" s="460">
        <v>190.5</v>
      </c>
      <c r="I455" s="462">
        <v>210.595</v>
      </c>
      <c r="J455" s="629">
        <v>210.595</v>
      </c>
      <c r="K455" s="667">
        <f t="shared" si="33"/>
        <v>0</v>
      </c>
      <c r="L455" s="502">
        <f t="shared" si="34"/>
        <v>0</v>
      </c>
      <c r="M455" s="629">
        <v>6.65</v>
      </c>
      <c r="N455" s="629">
        <v>6.65</v>
      </c>
    </row>
    <row r="456" spans="1:14" ht="15.75" customHeight="1" x14ac:dyDescent="0.2">
      <c r="A456" s="11" t="s">
        <v>6886</v>
      </c>
      <c r="B456" s="11" t="s">
        <v>6887</v>
      </c>
      <c r="C456" s="925"/>
      <c r="D456" s="932">
        <v>148.4</v>
      </c>
      <c r="E456" s="20">
        <v>42</v>
      </c>
      <c r="F456" s="20">
        <v>50</v>
      </c>
      <c r="G456" s="500">
        <v>141.17250000000001</v>
      </c>
      <c r="H456" s="460">
        <v>133.04</v>
      </c>
      <c r="I456" s="462">
        <v>141.17250000000001</v>
      </c>
      <c r="J456" s="629">
        <v>141.17250000000001</v>
      </c>
      <c r="K456" s="667">
        <f t="shared" si="33"/>
        <v>0</v>
      </c>
      <c r="L456" s="502">
        <f t="shared" si="34"/>
        <v>0</v>
      </c>
      <c r="M456" s="629">
        <v>6.65</v>
      </c>
      <c r="N456" s="629">
        <v>6.65</v>
      </c>
    </row>
    <row r="457" spans="1:14" ht="15.75" customHeight="1" x14ac:dyDescent="0.2">
      <c r="A457" s="11" t="s">
        <v>6888</v>
      </c>
      <c r="B457" s="11" t="s">
        <v>6889</v>
      </c>
      <c r="C457" s="925"/>
      <c r="D457" s="932">
        <v>160.3175</v>
      </c>
      <c r="E457" s="20">
        <v>42</v>
      </c>
      <c r="F457" s="20">
        <v>52</v>
      </c>
      <c r="G457" s="499">
        <v>154.7525</v>
      </c>
      <c r="H457" s="460">
        <v>137.79999999999998</v>
      </c>
      <c r="I457" s="462">
        <v>154.7525</v>
      </c>
      <c r="J457" s="629">
        <v>154.7525</v>
      </c>
      <c r="K457" s="667">
        <f t="shared" si="33"/>
        <v>0</v>
      </c>
      <c r="L457" s="502">
        <f t="shared" si="34"/>
        <v>0</v>
      </c>
      <c r="M457" s="629">
        <v>6.65</v>
      </c>
      <c r="N457" s="629">
        <v>6.65</v>
      </c>
    </row>
    <row r="458" spans="1:14" ht="15.75" customHeight="1" x14ac:dyDescent="0.2">
      <c r="A458" s="11" t="s">
        <v>6890</v>
      </c>
      <c r="B458" s="11" t="s">
        <v>6891</v>
      </c>
      <c r="C458" s="925"/>
      <c r="D458" s="932">
        <v>146.44</v>
      </c>
      <c r="E458" s="20">
        <v>43</v>
      </c>
      <c r="F458" s="20">
        <v>43</v>
      </c>
      <c r="G458" s="499">
        <v>139.03749999999999</v>
      </c>
      <c r="H458" s="460">
        <v>128.51999999999998</v>
      </c>
      <c r="I458" s="462">
        <v>139.03749999999999</v>
      </c>
      <c r="J458" s="629">
        <v>139.03749999999999</v>
      </c>
      <c r="K458" s="667">
        <f t="shared" si="33"/>
        <v>0</v>
      </c>
      <c r="L458" s="502">
        <f t="shared" si="34"/>
        <v>0</v>
      </c>
      <c r="M458" s="629">
        <v>6.65</v>
      </c>
      <c r="N458" s="629">
        <v>6.65</v>
      </c>
    </row>
    <row r="459" spans="1:14" ht="15.75" customHeight="1" x14ac:dyDescent="0.2">
      <c r="A459" s="11" t="s">
        <v>6892</v>
      </c>
      <c r="B459" s="11" t="s">
        <v>6893</v>
      </c>
      <c r="C459" s="925"/>
      <c r="D459" s="932">
        <v>228.82999999999998</v>
      </c>
      <c r="E459" s="20">
        <v>46</v>
      </c>
      <c r="F459" s="20">
        <v>62</v>
      </c>
      <c r="G459" s="499">
        <v>215.42499999999998</v>
      </c>
      <c r="H459" s="460">
        <v>193.98</v>
      </c>
      <c r="I459" s="462">
        <v>215.42499999999998</v>
      </c>
      <c r="J459" s="629">
        <v>215.42499999999998</v>
      </c>
      <c r="K459" s="667">
        <f t="shared" si="33"/>
        <v>0</v>
      </c>
      <c r="L459" s="502">
        <f t="shared" si="34"/>
        <v>0</v>
      </c>
      <c r="M459" s="629">
        <v>6.65</v>
      </c>
      <c r="N459" s="629">
        <v>6.65</v>
      </c>
    </row>
    <row r="460" spans="1:14" ht="15.75" customHeight="1" x14ac:dyDescent="0.2">
      <c r="A460" s="11" t="s">
        <v>6894</v>
      </c>
      <c r="B460" s="11" t="s">
        <v>6895</v>
      </c>
      <c r="C460" s="925"/>
      <c r="D460" s="932">
        <v>231.52500000000003</v>
      </c>
      <c r="E460" s="20">
        <v>46</v>
      </c>
      <c r="F460" s="20">
        <v>70</v>
      </c>
      <c r="G460" s="499">
        <v>218.2775</v>
      </c>
      <c r="H460" s="460">
        <v>201.12</v>
      </c>
      <c r="I460" s="462">
        <v>218.2775</v>
      </c>
      <c r="J460" s="629">
        <v>218.2775</v>
      </c>
      <c r="K460" s="667">
        <f t="shared" si="33"/>
        <v>0</v>
      </c>
      <c r="L460" s="502">
        <f t="shared" si="34"/>
        <v>0</v>
      </c>
      <c r="M460" s="629">
        <v>6.65</v>
      </c>
      <c r="N460" s="629">
        <v>6.65</v>
      </c>
    </row>
    <row r="461" spans="1:14" s="50" customFormat="1" ht="15.75" customHeight="1" x14ac:dyDescent="0.2">
      <c r="A461" s="11" t="s">
        <v>6896</v>
      </c>
      <c r="B461" s="11" t="s">
        <v>6897</v>
      </c>
      <c r="C461" s="925"/>
      <c r="D461" s="932">
        <v>149.59</v>
      </c>
      <c r="E461" s="20">
        <v>47</v>
      </c>
      <c r="F461" s="20">
        <v>47</v>
      </c>
      <c r="G461" s="499">
        <v>142.57249999999999</v>
      </c>
      <c r="H461" s="460">
        <v>136.19999999999999</v>
      </c>
      <c r="I461" s="462">
        <v>142.57249999999999</v>
      </c>
      <c r="J461" s="629">
        <v>142.57249999999999</v>
      </c>
      <c r="K461" s="667">
        <f t="shared" si="33"/>
        <v>0</v>
      </c>
      <c r="L461" s="502">
        <f t="shared" si="34"/>
        <v>0</v>
      </c>
      <c r="M461" s="629">
        <v>6.65</v>
      </c>
      <c r="N461" s="629">
        <v>6.65</v>
      </c>
    </row>
    <row r="462" spans="1:14" ht="15.75" customHeight="1" x14ac:dyDescent="0.2">
      <c r="A462" s="11" t="s">
        <v>6898</v>
      </c>
      <c r="B462" s="11" t="s">
        <v>6899</v>
      </c>
      <c r="C462" s="925"/>
      <c r="D462" s="932">
        <v>224.73499999999999</v>
      </c>
      <c r="E462" s="20">
        <v>47</v>
      </c>
      <c r="F462" s="20">
        <v>57</v>
      </c>
      <c r="G462" s="499">
        <v>211.24249999999998</v>
      </c>
      <c r="H462" s="460">
        <v>194.20999999999998</v>
      </c>
      <c r="I462" s="462">
        <v>211.24249999999998</v>
      </c>
      <c r="J462" s="629">
        <v>211.24249999999998</v>
      </c>
      <c r="K462" s="667">
        <f t="shared" si="33"/>
        <v>0</v>
      </c>
      <c r="L462" s="502">
        <f t="shared" si="34"/>
        <v>0</v>
      </c>
      <c r="M462" s="629">
        <v>6.65</v>
      </c>
      <c r="N462" s="629">
        <v>6.65</v>
      </c>
    </row>
    <row r="463" spans="1:14" ht="15.75" customHeight="1" x14ac:dyDescent="0.2">
      <c r="A463" s="11" t="s">
        <v>6900</v>
      </c>
      <c r="B463" s="11" t="s">
        <v>6901</v>
      </c>
      <c r="C463" s="925"/>
      <c r="D463" s="932">
        <v>229.54749999999999</v>
      </c>
      <c r="E463" s="20">
        <v>47</v>
      </c>
      <c r="F463" s="20">
        <v>63</v>
      </c>
      <c r="G463" s="499">
        <v>216.125</v>
      </c>
      <c r="H463" s="460">
        <v>196.54999999999998</v>
      </c>
      <c r="I463" s="462">
        <v>216.125</v>
      </c>
      <c r="J463" s="629">
        <v>216.125</v>
      </c>
      <c r="K463" s="667">
        <f t="shared" si="33"/>
        <v>0</v>
      </c>
      <c r="L463" s="502">
        <f t="shared" si="34"/>
        <v>0</v>
      </c>
      <c r="M463" s="629">
        <v>6.65</v>
      </c>
      <c r="N463" s="629">
        <v>6.65</v>
      </c>
    </row>
    <row r="464" spans="1:14" ht="15.75" customHeight="1" x14ac:dyDescent="0.2">
      <c r="A464" s="11" t="s">
        <v>6902</v>
      </c>
      <c r="B464" s="11" t="s">
        <v>6903</v>
      </c>
      <c r="C464" s="925"/>
      <c r="D464" s="932">
        <v>231.50749999999999</v>
      </c>
      <c r="E464" s="20">
        <v>47</v>
      </c>
      <c r="F464" s="20">
        <v>69</v>
      </c>
      <c r="G464" s="499">
        <v>218.2775</v>
      </c>
      <c r="H464" s="460">
        <v>201.23999999999998</v>
      </c>
      <c r="I464" s="462">
        <v>218.2775</v>
      </c>
      <c r="J464" s="629">
        <v>218.2775</v>
      </c>
      <c r="K464" s="667">
        <f t="shared" si="33"/>
        <v>0</v>
      </c>
      <c r="L464" s="502">
        <f t="shared" si="34"/>
        <v>0</v>
      </c>
      <c r="M464" s="629">
        <v>6.65</v>
      </c>
      <c r="N464" s="629">
        <v>6.65</v>
      </c>
    </row>
    <row r="465" spans="1:14" ht="15.75" customHeight="1" x14ac:dyDescent="0.2">
      <c r="A465" s="11" t="s">
        <v>6904</v>
      </c>
      <c r="B465" s="11" t="s">
        <v>6905</v>
      </c>
      <c r="C465" s="925"/>
      <c r="D465" s="932">
        <v>234.0625</v>
      </c>
      <c r="E465" s="20">
        <v>75</v>
      </c>
      <c r="F465" s="20">
        <v>72</v>
      </c>
      <c r="G465" s="499">
        <v>222.4075</v>
      </c>
      <c r="H465" s="460">
        <v>295.58999999999997</v>
      </c>
      <c r="I465" s="462">
        <v>222.4075</v>
      </c>
      <c r="J465" s="629">
        <v>222.4075</v>
      </c>
      <c r="K465" s="667">
        <f t="shared" si="33"/>
        <v>0</v>
      </c>
      <c r="L465" s="502">
        <f t="shared" si="34"/>
        <v>0</v>
      </c>
      <c r="M465" s="629">
        <v>6.65</v>
      </c>
      <c r="N465" s="629">
        <v>6.65</v>
      </c>
    </row>
    <row r="466" spans="1:14" ht="15.75" customHeight="1" x14ac:dyDescent="0.2">
      <c r="A466" s="11" t="s">
        <v>6906</v>
      </c>
      <c r="B466" s="11" t="s">
        <v>6907</v>
      </c>
      <c r="C466" s="925"/>
      <c r="D466" s="932">
        <v>150.6575</v>
      </c>
      <c r="E466" s="20">
        <v>48</v>
      </c>
      <c r="F466" s="20">
        <v>48</v>
      </c>
      <c r="G466" s="500">
        <v>143.6575</v>
      </c>
      <c r="H466" s="460">
        <v>137.59</v>
      </c>
      <c r="I466" s="462">
        <v>143.6575</v>
      </c>
      <c r="J466" s="629">
        <v>143.6575</v>
      </c>
      <c r="K466" s="667">
        <f t="shared" si="33"/>
        <v>0</v>
      </c>
      <c r="L466" s="502">
        <f t="shared" si="34"/>
        <v>0</v>
      </c>
      <c r="M466" s="629">
        <v>6.65</v>
      </c>
      <c r="N466" s="629">
        <v>6.65</v>
      </c>
    </row>
    <row r="467" spans="1:14" ht="15.75" customHeight="1" x14ac:dyDescent="0.2">
      <c r="A467" s="11" t="s">
        <v>6908</v>
      </c>
      <c r="B467" s="11" t="s">
        <v>6909</v>
      </c>
      <c r="C467" s="925"/>
      <c r="D467" s="932">
        <v>224.9975</v>
      </c>
      <c r="E467" s="20">
        <v>48</v>
      </c>
      <c r="F467" s="20">
        <v>54</v>
      </c>
      <c r="G467" s="499">
        <v>211.505</v>
      </c>
      <c r="H467" s="460">
        <v>191.72</v>
      </c>
      <c r="I467" s="462">
        <v>211.505</v>
      </c>
      <c r="J467" s="629">
        <v>211.505</v>
      </c>
      <c r="K467" s="667">
        <f t="shared" si="33"/>
        <v>0</v>
      </c>
      <c r="L467" s="502">
        <f t="shared" si="34"/>
        <v>0</v>
      </c>
      <c r="M467" s="629">
        <v>6.65</v>
      </c>
      <c r="N467" s="629">
        <v>6.65</v>
      </c>
    </row>
    <row r="468" spans="1:14" ht="15.75" customHeight="1" x14ac:dyDescent="0.2">
      <c r="A468" s="11" t="s">
        <v>6910</v>
      </c>
      <c r="B468" s="11" t="s">
        <v>6911</v>
      </c>
      <c r="C468" s="925"/>
      <c r="D468" s="932">
        <v>224.9975</v>
      </c>
      <c r="E468" s="20">
        <v>48</v>
      </c>
      <c r="F468" s="20">
        <v>55</v>
      </c>
      <c r="G468" s="499">
        <v>211.505</v>
      </c>
      <c r="H468" s="460">
        <v>191.54999999999998</v>
      </c>
      <c r="I468" s="462">
        <v>211.505</v>
      </c>
      <c r="J468" s="629">
        <v>211.505</v>
      </c>
      <c r="K468" s="667">
        <f t="shared" si="33"/>
        <v>0</v>
      </c>
      <c r="L468" s="502">
        <f t="shared" si="34"/>
        <v>0</v>
      </c>
      <c r="M468" s="629">
        <v>6.65</v>
      </c>
      <c r="N468" s="629">
        <v>6.65</v>
      </c>
    </row>
    <row r="469" spans="1:14" ht="15.75" customHeight="1" x14ac:dyDescent="0.2">
      <c r="A469" s="40" t="s">
        <v>6912</v>
      </c>
      <c r="B469" s="40" t="s">
        <v>6913</v>
      </c>
      <c r="C469" s="925"/>
      <c r="D469" s="934">
        <v>230</v>
      </c>
      <c r="E469" s="20"/>
      <c r="F469" s="20"/>
      <c r="G469" s="500"/>
      <c r="H469" s="460"/>
      <c r="I469" s="462"/>
      <c r="J469" s="629"/>
      <c r="K469" s="667"/>
      <c r="L469" s="502"/>
      <c r="M469" s="629"/>
      <c r="N469" s="629"/>
    </row>
    <row r="470" spans="1:14" ht="15.75" customHeight="1" x14ac:dyDescent="0.2">
      <c r="A470" s="11" t="s">
        <v>6914</v>
      </c>
      <c r="B470" s="11" t="s">
        <v>6915</v>
      </c>
      <c r="C470" s="925"/>
      <c r="D470" s="932">
        <v>263.70999999999998</v>
      </c>
      <c r="E470" s="20">
        <v>48</v>
      </c>
      <c r="F470" s="20">
        <v>60</v>
      </c>
      <c r="G470" s="500">
        <v>216.63250000000002</v>
      </c>
      <c r="H470" s="460">
        <v>194.12</v>
      </c>
      <c r="I470" s="462">
        <v>216.63250000000002</v>
      </c>
      <c r="J470" s="629">
        <v>216.63250000000002</v>
      </c>
      <c r="K470" s="667">
        <f t="shared" si="33"/>
        <v>0</v>
      </c>
      <c r="L470" s="502">
        <f t="shared" si="34"/>
        <v>0</v>
      </c>
      <c r="M470" s="629">
        <v>6.65</v>
      </c>
      <c r="N470" s="629">
        <v>6.65</v>
      </c>
    </row>
    <row r="471" spans="1:14" ht="15.75" customHeight="1" x14ac:dyDescent="0.2">
      <c r="A471" s="40" t="s">
        <v>6916</v>
      </c>
      <c r="B471" s="40" t="s">
        <v>6917</v>
      </c>
      <c r="C471" s="1003"/>
      <c r="D471" s="934">
        <v>233</v>
      </c>
      <c r="E471" s="159"/>
      <c r="F471" s="20"/>
      <c r="G471" s="500"/>
      <c r="H471" s="460"/>
      <c r="I471" s="462"/>
      <c r="J471" s="629"/>
      <c r="K471" s="667"/>
      <c r="L471" s="502"/>
      <c r="M471" s="629"/>
      <c r="N471" s="629"/>
    </row>
    <row r="472" spans="1:14" ht="15.75" customHeight="1" x14ac:dyDescent="0.2">
      <c r="A472" s="11" t="s">
        <v>6918</v>
      </c>
      <c r="B472" s="11" t="s">
        <v>6919</v>
      </c>
      <c r="C472" s="925"/>
      <c r="D472" s="932">
        <v>269.8</v>
      </c>
      <c r="E472" s="20">
        <v>48</v>
      </c>
      <c r="F472" s="20">
        <v>72</v>
      </c>
      <c r="G472" s="500">
        <v>221.02500000000001</v>
      </c>
      <c r="H472" s="460">
        <v>205.26999999999998</v>
      </c>
      <c r="I472" s="462">
        <v>221.02500000000001</v>
      </c>
      <c r="J472" s="629">
        <v>221.02500000000001</v>
      </c>
      <c r="K472" s="667">
        <f t="shared" si="33"/>
        <v>0</v>
      </c>
      <c r="L472" s="502">
        <f t="shared" si="34"/>
        <v>0</v>
      </c>
      <c r="M472" s="629">
        <v>6.65</v>
      </c>
      <c r="N472" s="629">
        <v>6.65</v>
      </c>
    </row>
    <row r="473" spans="1:14" ht="15.75" customHeight="1" x14ac:dyDescent="0.2">
      <c r="A473" s="11" t="s">
        <v>6920</v>
      </c>
      <c r="B473" s="11" t="s">
        <v>6921</v>
      </c>
      <c r="C473" s="925"/>
      <c r="D473" s="932">
        <v>235.48000000000002</v>
      </c>
      <c r="E473" s="20">
        <v>49</v>
      </c>
      <c r="F473" s="20">
        <v>72</v>
      </c>
      <c r="G473" s="500">
        <v>222.4075</v>
      </c>
      <c r="H473" s="460">
        <v>270.19</v>
      </c>
      <c r="I473" s="462">
        <v>222.4075</v>
      </c>
      <c r="J473" s="629">
        <v>222.4075</v>
      </c>
      <c r="K473" s="667">
        <f t="shared" si="33"/>
        <v>0</v>
      </c>
      <c r="L473" s="502">
        <f t="shared" si="34"/>
        <v>0</v>
      </c>
      <c r="M473" s="629">
        <v>6.65</v>
      </c>
      <c r="N473" s="629">
        <v>6.65</v>
      </c>
    </row>
    <row r="474" spans="1:14" s="41" customFormat="1" ht="15.75" customHeight="1" x14ac:dyDescent="0.2">
      <c r="A474" s="25" t="s">
        <v>6922</v>
      </c>
      <c r="B474" s="25" t="s">
        <v>6923</v>
      </c>
      <c r="C474" s="1023"/>
      <c r="D474" s="1171">
        <v>236.81</v>
      </c>
      <c r="E474" s="144"/>
      <c r="F474" s="144"/>
      <c r="G474" s="1170"/>
      <c r="H474" s="709"/>
      <c r="I474" s="710"/>
      <c r="J474" s="711"/>
      <c r="K474" s="712"/>
      <c r="L474" s="468"/>
      <c r="M474" s="711"/>
      <c r="N474" s="711"/>
    </row>
    <row r="475" spans="1:14" ht="15.75" customHeight="1" x14ac:dyDescent="0.2">
      <c r="A475" s="11" t="s">
        <v>6924</v>
      </c>
      <c r="B475" s="11" t="s">
        <v>6925</v>
      </c>
      <c r="C475" s="925"/>
      <c r="D475" s="932">
        <v>233.97499999999997</v>
      </c>
      <c r="E475" s="20">
        <v>52</v>
      </c>
      <c r="F475" s="20">
        <v>66</v>
      </c>
      <c r="G475" s="500">
        <v>220.9375</v>
      </c>
      <c r="H475" s="460">
        <v>203.70999999999998</v>
      </c>
      <c r="I475" s="462">
        <v>220.9375</v>
      </c>
      <c r="J475" s="629">
        <v>220.9375</v>
      </c>
      <c r="K475" s="667">
        <f t="shared" si="33"/>
        <v>0</v>
      </c>
      <c r="L475" s="502">
        <f t="shared" si="34"/>
        <v>0</v>
      </c>
      <c r="M475" s="629">
        <v>6.65</v>
      </c>
      <c r="N475" s="629">
        <v>6.65</v>
      </c>
    </row>
    <row r="476" spans="1:14" ht="15.75" customHeight="1" x14ac:dyDescent="0.2">
      <c r="A476" s="11" t="s">
        <v>6926</v>
      </c>
      <c r="B476" s="11" t="s">
        <v>6927</v>
      </c>
      <c r="C476" s="925"/>
      <c r="D476" s="932">
        <v>306.84500000000003</v>
      </c>
      <c r="E476" s="20">
        <v>52</v>
      </c>
      <c r="F476" s="20">
        <v>72</v>
      </c>
      <c r="G476" s="500">
        <v>286.93</v>
      </c>
      <c r="H476" s="460">
        <v>271.77</v>
      </c>
      <c r="I476" s="462">
        <v>286.93</v>
      </c>
      <c r="J476" s="629">
        <v>286.93</v>
      </c>
      <c r="K476" s="667">
        <f t="shared" si="33"/>
        <v>0</v>
      </c>
      <c r="L476" s="502">
        <f t="shared" si="34"/>
        <v>0</v>
      </c>
      <c r="M476" s="629">
        <v>6.65</v>
      </c>
      <c r="N476" s="629">
        <v>6.65</v>
      </c>
    </row>
    <row r="477" spans="1:14" ht="15.75" customHeight="1" x14ac:dyDescent="0.2">
      <c r="A477" s="11" t="s">
        <v>6928</v>
      </c>
      <c r="B477" s="11" t="s">
        <v>6929</v>
      </c>
      <c r="C477" s="925"/>
      <c r="D477" s="932">
        <v>311.04500000000002</v>
      </c>
      <c r="E477" s="20">
        <v>52</v>
      </c>
      <c r="F477" s="20">
        <v>84</v>
      </c>
      <c r="G477" s="500">
        <v>291.48</v>
      </c>
      <c r="H477" s="460">
        <v>281.48</v>
      </c>
      <c r="I477" s="462">
        <v>291.48</v>
      </c>
      <c r="J477" s="629">
        <v>291.48</v>
      </c>
      <c r="K477" s="667">
        <f t="shared" si="33"/>
        <v>0</v>
      </c>
      <c r="L477" s="502">
        <f t="shared" si="34"/>
        <v>0</v>
      </c>
      <c r="M477" s="629">
        <v>6.65</v>
      </c>
      <c r="N477" s="629">
        <v>6.65</v>
      </c>
    </row>
    <row r="478" spans="1:14" ht="15.75" customHeight="1" x14ac:dyDescent="0.2">
      <c r="A478" s="40" t="s">
        <v>6930</v>
      </c>
      <c r="B478" s="40" t="s">
        <v>6931</v>
      </c>
      <c r="C478" s="925"/>
      <c r="D478" s="934">
        <v>307</v>
      </c>
      <c r="E478" s="20"/>
      <c r="F478" s="20"/>
      <c r="G478" s="500"/>
      <c r="H478" s="460"/>
      <c r="I478" s="462"/>
      <c r="J478" s="629"/>
      <c r="K478" s="667"/>
      <c r="L478" s="502"/>
      <c r="M478" s="629"/>
      <c r="N478" s="629"/>
    </row>
    <row r="479" spans="1:14" ht="15.75" customHeight="1" x14ac:dyDescent="0.2">
      <c r="A479" s="11" t="s">
        <v>6932</v>
      </c>
      <c r="B479" s="11" t="s">
        <v>6933</v>
      </c>
      <c r="C479" s="925"/>
      <c r="D479" s="932">
        <v>306.82750000000004</v>
      </c>
      <c r="E479" s="20">
        <v>54</v>
      </c>
      <c r="F479" s="20">
        <v>72</v>
      </c>
      <c r="G479" s="500">
        <v>281.66249999999997</v>
      </c>
      <c r="H479" s="460">
        <v>272.84999999999997</v>
      </c>
      <c r="I479" s="462">
        <v>281.66249999999997</v>
      </c>
      <c r="J479" s="629">
        <v>281.66249999999997</v>
      </c>
      <c r="K479" s="667">
        <f t="shared" si="33"/>
        <v>0</v>
      </c>
      <c r="L479" s="502">
        <f t="shared" si="34"/>
        <v>0</v>
      </c>
      <c r="M479" s="629">
        <v>6.65</v>
      </c>
      <c r="N479" s="629">
        <v>6.65</v>
      </c>
    </row>
    <row r="480" spans="1:14" ht="15.75" customHeight="1" x14ac:dyDescent="0.2">
      <c r="A480" s="40" t="s">
        <v>6934</v>
      </c>
      <c r="B480" s="40" t="s">
        <v>6935</v>
      </c>
      <c r="C480" s="925"/>
      <c r="D480" s="934">
        <v>350</v>
      </c>
      <c r="E480" s="20"/>
      <c r="F480" s="20"/>
      <c r="G480" s="500"/>
      <c r="H480" s="460"/>
      <c r="I480" s="462"/>
      <c r="J480" s="629"/>
      <c r="K480" s="667"/>
      <c r="L480" s="502"/>
      <c r="M480" s="629"/>
      <c r="N480" s="629"/>
    </row>
    <row r="481" spans="1:14" s="50" customFormat="1" ht="15.75" customHeight="1" x14ac:dyDescent="0.2">
      <c r="A481" s="11" t="s">
        <v>6936</v>
      </c>
      <c r="B481" s="11" t="s">
        <v>6937</v>
      </c>
      <c r="C481" s="925"/>
      <c r="D481" s="932">
        <v>235.28749999999997</v>
      </c>
      <c r="E481" s="20">
        <v>60</v>
      </c>
      <c r="F481" s="20">
        <v>60</v>
      </c>
      <c r="G481" s="499">
        <v>222.19749999999999</v>
      </c>
      <c r="H481" s="460">
        <v>210.69</v>
      </c>
      <c r="I481" s="462">
        <v>222.19749999999999</v>
      </c>
      <c r="J481" s="629">
        <v>222.19749999999999</v>
      </c>
      <c r="K481" s="667">
        <f t="shared" si="33"/>
        <v>0</v>
      </c>
      <c r="L481" s="502">
        <f t="shared" si="34"/>
        <v>0</v>
      </c>
      <c r="M481" s="629">
        <v>6.65</v>
      </c>
      <c r="N481" s="629">
        <v>6.65</v>
      </c>
    </row>
    <row r="482" spans="1:14" ht="4" customHeight="1" x14ac:dyDescent="0.2">
      <c r="A482" s="11" t="s">
        <v>6938</v>
      </c>
      <c r="B482" s="11" t="s">
        <v>6939</v>
      </c>
      <c r="C482" s="925"/>
      <c r="D482" s="932">
        <v>309.66249999999997</v>
      </c>
      <c r="E482" s="20">
        <v>60</v>
      </c>
      <c r="F482" s="20">
        <v>72</v>
      </c>
      <c r="G482" s="499">
        <v>289.90499999999997</v>
      </c>
      <c r="H482" s="460">
        <v>279.5</v>
      </c>
      <c r="I482" s="462">
        <v>289.90499999999997</v>
      </c>
      <c r="J482" s="629">
        <v>289.90499999999997</v>
      </c>
      <c r="K482" s="667">
        <f t="shared" si="33"/>
        <v>0</v>
      </c>
      <c r="L482" s="502">
        <f t="shared" si="34"/>
        <v>0</v>
      </c>
      <c r="M482" s="629">
        <v>6.65</v>
      </c>
      <c r="N482" s="629">
        <v>6.65</v>
      </c>
    </row>
    <row r="483" spans="1:14" ht="15.75" customHeight="1" x14ac:dyDescent="0.2">
      <c r="A483" s="11" t="s">
        <v>6940</v>
      </c>
      <c r="B483" s="11" t="s">
        <v>6941</v>
      </c>
      <c r="C483" s="925"/>
      <c r="D483" s="932">
        <v>312.48</v>
      </c>
      <c r="E483" s="20">
        <v>60</v>
      </c>
      <c r="F483" s="20">
        <v>80</v>
      </c>
      <c r="G483" s="499">
        <v>292.88</v>
      </c>
      <c r="H483" s="460">
        <v>287.27</v>
      </c>
      <c r="I483" s="462">
        <v>292.88</v>
      </c>
      <c r="J483" s="629">
        <v>292.88</v>
      </c>
      <c r="K483" s="667">
        <f t="shared" si="33"/>
        <v>0</v>
      </c>
      <c r="L483" s="502">
        <f t="shared" si="34"/>
        <v>0</v>
      </c>
      <c r="M483" s="629">
        <v>6.65</v>
      </c>
      <c r="N483" s="629">
        <v>6.65</v>
      </c>
    </row>
    <row r="484" spans="1:14" ht="15.75" customHeight="1" x14ac:dyDescent="0.2">
      <c r="A484" s="11" t="s">
        <v>6942</v>
      </c>
      <c r="B484" s="11" t="s">
        <v>6943</v>
      </c>
      <c r="C484" s="925"/>
      <c r="D484" s="932">
        <v>320.005</v>
      </c>
      <c r="E484" s="20">
        <v>60</v>
      </c>
      <c r="F484" s="20">
        <v>105</v>
      </c>
      <c r="G484" s="499">
        <v>301.1225</v>
      </c>
      <c r="H484" s="460">
        <v>308.75</v>
      </c>
      <c r="I484" s="462">
        <v>301.1225</v>
      </c>
      <c r="J484" s="629">
        <v>301.1225</v>
      </c>
      <c r="K484" s="667">
        <f t="shared" si="33"/>
        <v>0</v>
      </c>
      <c r="L484" s="502">
        <f t="shared" si="34"/>
        <v>0</v>
      </c>
      <c r="M484" s="629">
        <v>6.65</v>
      </c>
      <c r="N484" s="629">
        <v>6.65</v>
      </c>
    </row>
    <row r="485" spans="1:14" s="41" customFormat="1" ht="15.75" customHeight="1" x14ac:dyDescent="0.2">
      <c r="A485" s="25" t="s">
        <v>6944</v>
      </c>
      <c r="B485" s="25" t="s">
        <v>6945</v>
      </c>
      <c r="C485" s="1023"/>
      <c r="D485" s="1171">
        <v>380</v>
      </c>
      <c r="E485" s="144"/>
      <c r="F485" s="144"/>
      <c r="G485" s="1169"/>
      <c r="H485" s="709"/>
      <c r="I485" s="710"/>
      <c r="J485" s="711"/>
      <c r="K485" s="712"/>
      <c r="L485" s="468"/>
      <c r="M485" s="711"/>
      <c r="N485" s="711"/>
    </row>
    <row r="486" spans="1:14" s="41" customFormat="1" ht="15.75" customHeight="1" x14ac:dyDescent="0.2">
      <c r="A486" s="40" t="s">
        <v>6946</v>
      </c>
      <c r="B486" s="40" t="s">
        <v>6947</v>
      </c>
      <c r="C486" s="1023"/>
      <c r="D486" s="934">
        <v>364.93</v>
      </c>
      <c r="E486" s="144"/>
      <c r="F486" s="144"/>
      <c r="G486" s="1169"/>
      <c r="H486" s="709"/>
      <c r="I486" s="710"/>
      <c r="J486" s="711"/>
      <c r="K486" s="712"/>
      <c r="L486" s="468"/>
      <c r="M486" s="711"/>
      <c r="N486" s="711"/>
    </row>
    <row r="487" spans="1:14" s="41" customFormat="1" ht="15.75" customHeight="1" x14ac:dyDescent="0.2">
      <c r="A487" s="25" t="s">
        <v>6948</v>
      </c>
      <c r="B487" s="25" t="s">
        <v>6949</v>
      </c>
      <c r="C487" s="1023"/>
      <c r="D487" s="1171">
        <v>380</v>
      </c>
      <c r="E487" s="144"/>
      <c r="F487" s="144"/>
      <c r="G487" s="1169"/>
      <c r="H487" s="709"/>
      <c r="I487" s="710"/>
      <c r="J487" s="711"/>
      <c r="K487" s="712"/>
      <c r="L487" s="468"/>
      <c r="M487" s="711"/>
      <c r="N487" s="711"/>
    </row>
    <row r="488" spans="1:14" ht="15.75" customHeight="1" x14ac:dyDescent="0.2">
      <c r="A488" s="11" t="s">
        <v>6950</v>
      </c>
      <c r="B488" s="11" t="s">
        <v>6951</v>
      </c>
      <c r="C488" s="925"/>
      <c r="D488" s="932">
        <v>330.435</v>
      </c>
      <c r="E488" s="20">
        <v>72</v>
      </c>
      <c r="F488" s="20">
        <v>72</v>
      </c>
      <c r="G488" s="499">
        <v>305.5675</v>
      </c>
      <c r="H488" s="460">
        <v>291.68</v>
      </c>
      <c r="I488" s="462">
        <v>305.5675</v>
      </c>
      <c r="J488" s="629">
        <v>305.5675</v>
      </c>
      <c r="K488" s="667">
        <f t="shared" si="33"/>
        <v>0</v>
      </c>
      <c r="L488" s="502">
        <f t="shared" si="34"/>
        <v>0</v>
      </c>
      <c r="M488" s="629">
        <v>6.65</v>
      </c>
      <c r="N488" s="629">
        <v>6.65</v>
      </c>
    </row>
    <row r="489" spans="1:14" ht="15.75" customHeight="1" x14ac:dyDescent="0.2">
      <c r="A489" s="40" t="s">
        <v>6952</v>
      </c>
      <c r="B489" s="40" t="s">
        <v>6953</v>
      </c>
      <c r="C489" s="925"/>
      <c r="D489" s="934">
        <v>425</v>
      </c>
      <c r="E489" s="20"/>
      <c r="F489" s="20"/>
      <c r="G489" s="499"/>
      <c r="H489" s="460"/>
      <c r="I489" s="462"/>
      <c r="J489" s="629"/>
      <c r="K489" s="667"/>
      <c r="L489" s="502"/>
      <c r="M489" s="629"/>
      <c r="N489" s="629"/>
    </row>
    <row r="490" spans="1:14" ht="15.75" customHeight="1" x14ac:dyDescent="0.2">
      <c r="A490" s="11"/>
      <c r="B490" s="11"/>
      <c r="C490" s="925"/>
      <c r="D490" s="756"/>
      <c r="E490" s="20"/>
      <c r="F490" s="20"/>
      <c r="G490" s="471"/>
      <c r="H490" s="460"/>
      <c r="I490" s="462"/>
      <c r="J490" s="629"/>
      <c r="K490" s="667"/>
      <c r="L490" s="502"/>
      <c r="N490" s="262"/>
    </row>
    <row r="491" spans="1:14" ht="15.75" customHeight="1" x14ac:dyDescent="0.2">
      <c r="A491" s="40" t="s">
        <v>6954</v>
      </c>
      <c r="B491" s="40" t="s">
        <v>6955</v>
      </c>
      <c r="C491" s="925"/>
      <c r="D491" s="933">
        <v>80</v>
      </c>
      <c r="E491" s="20"/>
      <c r="F491" s="20"/>
      <c r="G491" s="471"/>
      <c r="H491" s="460"/>
      <c r="I491" s="462"/>
      <c r="J491" s="629"/>
      <c r="K491" s="667"/>
      <c r="L491" s="502"/>
      <c r="N491" s="262"/>
    </row>
    <row r="492" spans="1:14" ht="15.75" customHeight="1" x14ac:dyDescent="0.2">
      <c r="A492" s="40" t="s">
        <v>6956</v>
      </c>
      <c r="B492" s="40" t="s">
        <v>6957</v>
      </c>
      <c r="C492" s="925"/>
      <c r="D492" s="933">
        <v>80</v>
      </c>
      <c r="E492" s="20"/>
      <c r="F492" s="20"/>
      <c r="G492" s="471"/>
      <c r="H492" s="460"/>
      <c r="I492" s="462"/>
      <c r="J492" s="629"/>
      <c r="K492" s="667"/>
      <c r="L492" s="502"/>
      <c r="N492" s="262"/>
    </row>
    <row r="493" spans="1:14" ht="15.75" customHeight="1" x14ac:dyDescent="0.2">
      <c r="A493" s="40" t="s">
        <v>6958</v>
      </c>
      <c r="B493" s="40" t="s">
        <v>6959</v>
      </c>
      <c r="C493" s="925"/>
      <c r="D493" s="933">
        <v>90</v>
      </c>
      <c r="E493" s="20"/>
      <c r="F493" s="20"/>
      <c r="G493" s="471"/>
      <c r="H493" s="460"/>
      <c r="I493" s="462"/>
      <c r="J493" s="629"/>
      <c r="K493" s="667"/>
      <c r="L493" s="502"/>
      <c r="N493" s="262"/>
    </row>
    <row r="494" spans="1:14" ht="15.75" customHeight="1" x14ac:dyDescent="0.2">
      <c r="A494" s="40" t="s">
        <v>6960</v>
      </c>
      <c r="B494" s="40" t="s">
        <v>6961</v>
      </c>
      <c r="C494" s="925"/>
      <c r="D494" s="933">
        <v>80.31</v>
      </c>
      <c r="E494" s="20"/>
      <c r="F494" s="20"/>
      <c r="G494" s="471"/>
      <c r="H494" s="460"/>
      <c r="I494" s="462"/>
      <c r="J494" s="629"/>
      <c r="K494" s="667"/>
      <c r="L494" s="502"/>
      <c r="N494" s="262"/>
    </row>
    <row r="495" spans="1:14" ht="15.75" customHeight="1" x14ac:dyDescent="0.2">
      <c r="A495" s="40" t="s">
        <v>6962</v>
      </c>
      <c r="B495" s="40" t="s">
        <v>6963</v>
      </c>
      <c r="C495" s="925"/>
      <c r="D495" s="933">
        <v>90</v>
      </c>
      <c r="E495" s="20"/>
      <c r="F495" s="20"/>
      <c r="G495" s="471"/>
      <c r="H495" s="460"/>
      <c r="I495" s="462"/>
      <c r="J495" s="629"/>
      <c r="K495" s="667"/>
      <c r="L495" s="502"/>
      <c r="N495" s="262"/>
    </row>
    <row r="496" spans="1:14" ht="15.75" customHeight="1" x14ac:dyDescent="0.2">
      <c r="A496" s="40" t="s">
        <v>6964</v>
      </c>
      <c r="B496" s="40" t="s">
        <v>6965</v>
      </c>
      <c r="C496" s="925"/>
      <c r="D496" s="933">
        <v>100</v>
      </c>
      <c r="E496" s="20"/>
      <c r="F496" s="20"/>
      <c r="G496" s="471"/>
      <c r="H496" s="460"/>
      <c r="I496" s="462"/>
      <c r="J496" s="629"/>
      <c r="K496" s="667"/>
      <c r="L496" s="502"/>
      <c r="N496" s="262"/>
    </row>
    <row r="497" spans="1:14" ht="15.75" customHeight="1" x14ac:dyDescent="0.2">
      <c r="A497" s="40" t="s">
        <v>6966</v>
      </c>
      <c r="B497" s="40" t="s">
        <v>6967</v>
      </c>
      <c r="C497" s="925"/>
      <c r="D497" s="933">
        <v>82.71</v>
      </c>
      <c r="E497" s="20"/>
      <c r="F497" s="20"/>
      <c r="G497" s="471"/>
      <c r="H497" s="460"/>
      <c r="I497" s="462"/>
      <c r="J497" s="629"/>
      <c r="K497" s="667"/>
      <c r="L497" s="502"/>
      <c r="N497" s="262"/>
    </row>
    <row r="498" spans="1:14" ht="15.75" customHeight="1" x14ac:dyDescent="0.2">
      <c r="A498" s="40" t="s">
        <v>6968</v>
      </c>
      <c r="B498" s="40" t="s">
        <v>6969</v>
      </c>
      <c r="C498" s="925"/>
      <c r="D498" s="933">
        <v>80</v>
      </c>
      <c r="E498" s="20"/>
      <c r="F498" s="20"/>
      <c r="G498" s="471"/>
      <c r="H498" s="460"/>
      <c r="I498" s="462"/>
      <c r="J498" s="629"/>
      <c r="K498" s="667"/>
      <c r="L498" s="502"/>
      <c r="N498" s="262"/>
    </row>
    <row r="499" spans="1:14" s="41" customFormat="1" ht="15.75" customHeight="1" x14ac:dyDescent="0.2">
      <c r="A499" s="25" t="s">
        <v>6970</v>
      </c>
      <c r="B499" s="25" t="s">
        <v>6971</v>
      </c>
      <c r="C499" s="1023"/>
      <c r="D499" s="1024">
        <v>79</v>
      </c>
      <c r="E499" s="144">
        <v>12</v>
      </c>
      <c r="F499" s="144">
        <v>16</v>
      </c>
      <c r="G499" s="1169"/>
      <c r="H499" s="709"/>
      <c r="I499" s="710"/>
      <c r="J499" s="711"/>
      <c r="K499" s="712"/>
      <c r="L499" s="468"/>
      <c r="M499" s="95"/>
      <c r="N499" s="1174"/>
    </row>
    <row r="500" spans="1:14" s="50" customFormat="1" ht="15.75" customHeight="1" x14ac:dyDescent="0.2">
      <c r="A500" s="11" t="s">
        <v>6972</v>
      </c>
      <c r="B500" s="11" t="s">
        <v>6973</v>
      </c>
      <c r="C500" s="925"/>
      <c r="D500" s="933">
        <v>81.78</v>
      </c>
      <c r="E500" s="20">
        <v>12</v>
      </c>
      <c r="F500" s="20">
        <v>24</v>
      </c>
      <c r="G500" s="499">
        <v>127.31</v>
      </c>
      <c r="H500" s="460"/>
      <c r="I500" s="462"/>
      <c r="J500" s="629">
        <v>76.912500000000009</v>
      </c>
      <c r="K500" s="667"/>
      <c r="L500" s="502"/>
      <c r="M500" s="629">
        <v>4.1500000000000004</v>
      </c>
      <c r="N500" s="629">
        <v>4.1500000000000004</v>
      </c>
    </row>
    <row r="501" spans="1:14" s="50" customFormat="1" ht="15.75" customHeight="1" x14ac:dyDescent="0.2">
      <c r="A501" s="40" t="s">
        <v>6974</v>
      </c>
      <c r="B501" s="40" t="s">
        <v>6975</v>
      </c>
      <c r="C501" s="925"/>
      <c r="D501" s="933">
        <v>86.7</v>
      </c>
      <c r="E501" s="20"/>
      <c r="F501" s="20"/>
      <c r="G501" s="499"/>
      <c r="H501" s="460"/>
      <c r="I501" s="462"/>
      <c r="J501" s="629"/>
      <c r="K501" s="667"/>
      <c r="L501" s="502"/>
      <c r="M501" s="629"/>
      <c r="N501" s="629"/>
    </row>
    <row r="502" spans="1:14" s="50" customFormat="1" ht="15.75" customHeight="1" x14ac:dyDescent="0.2">
      <c r="A502" s="40" t="s">
        <v>6976</v>
      </c>
      <c r="B502" s="40" t="s">
        <v>6977</v>
      </c>
      <c r="C502" s="925"/>
      <c r="D502" s="933">
        <v>83.91</v>
      </c>
      <c r="E502" s="20"/>
      <c r="F502" s="20"/>
      <c r="G502" s="499"/>
      <c r="H502" s="460"/>
      <c r="I502" s="462"/>
      <c r="J502" s="629"/>
      <c r="K502" s="667"/>
      <c r="L502" s="502"/>
      <c r="M502" s="629"/>
      <c r="N502" s="629"/>
    </row>
    <row r="503" spans="1:14" s="50" customFormat="1" ht="15.75" customHeight="1" x14ac:dyDescent="0.2">
      <c r="A503" s="11" t="s">
        <v>6978</v>
      </c>
      <c r="B503" s="11" t="s">
        <v>6979</v>
      </c>
      <c r="C503" s="925"/>
      <c r="D503" s="933">
        <v>79.73</v>
      </c>
      <c r="E503" s="20">
        <v>16</v>
      </c>
      <c r="F503" s="20">
        <v>16</v>
      </c>
      <c r="G503" s="499">
        <v>125.21</v>
      </c>
      <c r="H503" s="460"/>
      <c r="I503" s="462"/>
      <c r="J503" s="629">
        <v>76.912500000000009</v>
      </c>
      <c r="K503" s="667"/>
      <c r="L503" s="502"/>
      <c r="M503" s="629">
        <v>4.1500000000000004</v>
      </c>
      <c r="N503" s="629">
        <v>4.1500000000000004</v>
      </c>
    </row>
    <row r="504" spans="1:14" s="50" customFormat="1" ht="15.75" customHeight="1" x14ac:dyDescent="0.2">
      <c r="A504" s="11" t="s">
        <v>6980</v>
      </c>
      <c r="B504" s="11" t="s">
        <v>6981</v>
      </c>
      <c r="C504" s="925"/>
      <c r="D504" s="933">
        <v>83.25</v>
      </c>
      <c r="E504" s="20">
        <v>16</v>
      </c>
      <c r="F504" s="20">
        <v>20</v>
      </c>
      <c r="G504" s="499">
        <v>128.69999999999999</v>
      </c>
      <c r="H504" s="460"/>
      <c r="I504" s="462"/>
      <c r="J504" s="629">
        <v>77.612499999999997</v>
      </c>
      <c r="K504" s="667"/>
      <c r="L504" s="502"/>
      <c r="M504" s="629">
        <v>4.1500000000000004</v>
      </c>
      <c r="N504" s="629">
        <v>4.1500000000000004</v>
      </c>
    </row>
    <row r="505" spans="1:14" s="50" customFormat="1" ht="15.75" customHeight="1" x14ac:dyDescent="0.2">
      <c r="A505" s="40" t="s">
        <v>6982</v>
      </c>
      <c r="B505" s="40" t="s">
        <v>6983</v>
      </c>
      <c r="C505" s="1003"/>
      <c r="D505" s="933">
        <v>88</v>
      </c>
      <c r="E505" s="20"/>
      <c r="F505" s="20"/>
      <c r="G505" s="499"/>
      <c r="H505" s="460"/>
      <c r="I505" s="462"/>
      <c r="J505" s="629"/>
      <c r="K505" s="667"/>
      <c r="L505" s="502"/>
      <c r="M505" s="629"/>
      <c r="N505" s="629"/>
    </row>
    <row r="506" spans="1:14" s="50" customFormat="1" ht="15.75" customHeight="1" x14ac:dyDescent="0.2">
      <c r="A506" s="40" t="s">
        <v>6984</v>
      </c>
      <c r="B506" s="40" t="s">
        <v>6985</v>
      </c>
      <c r="C506" s="1003"/>
      <c r="D506" s="933">
        <v>88.78</v>
      </c>
      <c r="E506" s="20"/>
      <c r="F506" s="20"/>
      <c r="G506" s="499"/>
      <c r="H506" s="460"/>
      <c r="I506" s="462"/>
      <c r="J506" s="629"/>
      <c r="K506" s="667"/>
      <c r="L506" s="502"/>
      <c r="M506" s="629"/>
      <c r="N506" s="629"/>
    </row>
    <row r="507" spans="1:14" s="50" customFormat="1" ht="15.75" customHeight="1" x14ac:dyDescent="0.2">
      <c r="A507" s="40" t="s">
        <v>6986</v>
      </c>
      <c r="B507" s="40" t="s">
        <v>6987</v>
      </c>
      <c r="C507" s="1003"/>
      <c r="D507" s="933">
        <v>79.73</v>
      </c>
      <c r="E507" s="20"/>
      <c r="F507" s="20"/>
      <c r="G507" s="499"/>
      <c r="H507" s="460"/>
      <c r="I507" s="462"/>
      <c r="J507" s="629"/>
      <c r="K507" s="667"/>
      <c r="L507" s="502"/>
      <c r="M507" s="629"/>
      <c r="N507" s="629"/>
    </row>
    <row r="508" spans="1:14" s="50" customFormat="1" ht="15.75" customHeight="1" x14ac:dyDescent="0.2">
      <c r="A508" s="11" t="s">
        <v>6988</v>
      </c>
      <c r="B508" s="11" t="s">
        <v>6989</v>
      </c>
      <c r="C508" s="925"/>
      <c r="D508" s="933">
        <v>84.32</v>
      </c>
      <c r="E508" s="20">
        <v>20</v>
      </c>
      <c r="F508" s="20">
        <v>30</v>
      </c>
      <c r="G508" s="499">
        <v>129.80000000000001</v>
      </c>
      <c r="H508" s="460"/>
      <c r="I508" s="462"/>
      <c r="J508" s="629"/>
      <c r="K508" s="667"/>
      <c r="L508" s="502"/>
      <c r="M508" s="629"/>
      <c r="N508" s="629"/>
    </row>
    <row r="509" spans="1:14" s="50" customFormat="1" ht="15.75" customHeight="1" x14ac:dyDescent="0.2">
      <c r="A509" s="40" t="s">
        <v>6990</v>
      </c>
      <c r="B509" s="40" t="s">
        <v>6991</v>
      </c>
      <c r="C509" s="925"/>
      <c r="D509" s="933">
        <v>110</v>
      </c>
      <c r="E509" s="20"/>
      <c r="F509" s="20"/>
      <c r="G509" s="499"/>
      <c r="H509" s="460"/>
      <c r="I509" s="462"/>
      <c r="J509" s="629"/>
      <c r="K509" s="667"/>
      <c r="L509" s="502"/>
      <c r="M509" s="629"/>
      <c r="N509" s="629"/>
    </row>
    <row r="510" spans="1:14" s="50" customFormat="1" ht="15.75" customHeight="1" x14ac:dyDescent="0.2">
      <c r="A510" s="11" t="s">
        <v>6992</v>
      </c>
      <c r="B510" s="11" t="s">
        <v>6993</v>
      </c>
      <c r="C510" s="925"/>
      <c r="D510" s="933">
        <v>111.6</v>
      </c>
      <c r="E510" s="20">
        <v>24</v>
      </c>
      <c r="F510" s="20">
        <v>36</v>
      </c>
      <c r="G510" s="499">
        <v>150.75</v>
      </c>
      <c r="H510" s="460"/>
      <c r="I510" s="462"/>
      <c r="J510" s="629"/>
      <c r="K510" s="667"/>
      <c r="L510" s="502"/>
      <c r="M510" s="629"/>
      <c r="N510" s="629"/>
    </row>
    <row r="511" spans="1:14" s="50" customFormat="1" ht="15.75" customHeight="1" x14ac:dyDescent="0.2">
      <c r="A511" s="40" t="s">
        <v>6994</v>
      </c>
      <c r="B511" s="40" t="s">
        <v>6995</v>
      </c>
      <c r="C511" s="1003"/>
      <c r="D511" s="933">
        <v>117.2</v>
      </c>
      <c r="E511" s="20"/>
      <c r="F511" s="20"/>
      <c r="G511" s="499"/>
      <c r="H511" s="460"/>
      <c r="I511" s="462"/>
      <c r="J511" s="629"/>
      <c r="K511" s="667"/>
      <c r="L511" s="502"/>
      <c r="M511" s="629"/>
      <c r="N511" s="629"/>
    </row>
    <row r="512" spans="1:14" s="50" customFormat="1" ht="15.75" customHeight="1" x14ac:dyDescent="0.2">
      <c r="A512" s="11" t="s">
        <v>6996</v>
      </c>
      <c r="B512" s="11" t="s">
        <v>6997</v>
      </c>
      <c r="C512" s="925"/>
      <c r="D512" s="933">
        <v>201.88</v>
      </c>
      <c r="E512" s="20">
        <v>30</v>
      </c>
      <c r="F512" s="20">
        <v>40</v>
      </c>
      <c r="G512" s="499">
        <v>167.74</v>
      </c>
      <c r="H512" s="460"/>
      <c r="I512" s="462"/>
      <c r="J512" s="629"/>
      <c r="K512" s="667"/>
      <c r="L512" s="502"/>
      <c r="M512" s="629"/>
      <c r="N512" s="629"/>
    </row>
    <row r="513" spans="1:14" s="50" customFormat="1" ht="15.75" customHeight="1" x14ac:dyDescent="0.2">
      <c r="A513" s="40" t="s">
        <v>6998</v>
      </c>
      <c r="B513" s="40" t="s">
        <v>6999</v>
      </c>
      <c r="C513" s="925"/>
      <c r="D513" s="933">
        <v>130</v>
      </c>
      <c r="E513" s="20"/>
      <c r="F513" s="20"/>
      <c r="G513" s="499"/>
      <c r="H513" s="460"/>
      <c r="I513" s="462"/>
      <c r="J513" s="629"/>
      <c r="K513" s="667"/>
      <c r="L513" s="502"/>
      <c r="M513" s="629"/>
      <c r="N513" s="629"/>
    </row>
    <row r="514" spans="1:14" s="50" customFormat="1" ht="15.75" customHeight="1" x14ac:dyDescent="0.2">
      <c r="A514" s="11" t="s">
        <v>7000</v>
      </c>
      <c r="B514" s="11" t="s">
        <v>7001</v>
      </c>
      <c r="C514" s="925"/>
      <c r="D514" s="933">
        <v>204.715</v>
      </c>
      <c r="E514" s="20">
        <v>36</v>
      </c>
      <c r="F514" s="20">
        <v>36</v>
      </c>
      <c r="G514" s="499">
        <v>170.57</v>
      </c>
      <c r="H514" s="460"/>
      <c r="I514" s="462"/>
      <c r="J514" s="629"/>
      <c r="K514" s="667"/>
      <c r="L514" s="502"/>
      <c r="M514" s="629"/>
      <c r="N514" s="629"/>
    </row>
    <row r="515" spans="1:14" s="50" customFormat="1" ht="15.75" customHeight="1" x14ac:dyDescent="0.2">
      <c r="A515" s="40" t="s">
        <v>7002</v>
      </c>
      <c r="B515" s="40" t="s">
        <v>7003</v>
      </c>
      <c r="C515" s="925"/>
      <c r="D515" s="933">
        <v>200</v>
      </c>
      <c r="E515" s="20"/>
      <c r="F515" s="20"/>
      <c r="G515" s="1442"/>
      <c r="H515" s="460"/>
      <c r="I515" s="462"/>
      <c r="J515" s="629"/>
      <c r="K515" s="667"/>
      <c r="L515" s="502"/>
      <c r="M515" s="629"/>
      <c r="N515" s="629"/>
    </row>
    <row r="516" spans="1:14" s="50" customFormat="1" ht="15.75" customHeight="1" x14ac:dyDescent="0.2">
      <c r="A516" s="40" t="s">
        <v>7004</v>
      </c>
      <c r="B516" s="40" t="s">
        <v>7005</v>
      </c>
      <c r="C516" s="925"/>
      <c r="D516" s="933">
        <v>250</v>
      </c>
      <c r="E516" s="20"/>
      <c r="F516" s="20"/>
      <c r="G516" s="1442"/>
      <c r="H516" s="460"/>
      <c r="I516" s="462"/>
      <c r="J516" s="629"/>
      <c r="K516" s="667"/>
      <c r="L516" s="502"/>
      <c r="M516" s="629"/>
      <c r="N516" s="629"/>
    </row>
    <row r="517" spans="1:14" s="50" customFormat="1" ht="15.75" customHeight="1" x14ac:dyDescent="0.2">
      <c r="A517" s="40" t="s">
        <v>7006</v>
      </c>
      <c r="B517" s="40" t="s">
        <v>7007</v>
      </c>
      <c r="C517" s="925"/>
      <c r="D517" s="933">
        <v>180</v>
      </c>
      <c r="E517" s="20"/>
      <c r="F517" s="20"/>
      <c r="G517" s="1442"/>
      <c r="H517" s="460"/>
      <c r="I517" s="462"/>
      <c r="J517" s="629"/>
      <c r="K517" s="667"/>
      <c r="L517" s="502"/>
      <c r="M517" s="629"/>
      <c r="N517" s="629"/>
    </row>
    <row r="518" spans="1:14" s="50" customFormat="1" ht="15.75" customHeight="1" x14ac:dyDescent="0.2">
      <c r="A518" s="11" t="s">
        <v>7008</v>
      </c>
      <c r="B518" s="11" t="s">
        <v>7009</v>
      </c>
      <c r="C518" s="925"/>
      <c r="D518" s="933">
        <v>392.07</v>
      </c>
      <c r="E518" s="20">
        <v>48</v>
      </c>
      <c r="F518" s="20">
        <v>60</v>
      </c>
      <c r="G518" s="929">
        <v>333.31</v>
      </c>
      <c r="H518" s="460"/>
      <c r="I518" s="462"/>
      <c r="J518" s="629"/>
      <c r="K518" s="667"/>
      <c r="L518" s="502"/>
      <c r="M518" s="629"/>
      <c r="N518" s="629"/>
    </row>
    <row r="519" spans="1:14" s="50" customFormat="1" ht="15.75" customHeight="1" x14ac:dyDescent="0.2">
      <c r="A519" s="40" t="s">
        <v>7010</v>
      </c>
      <c r="B519" s="40" t="s">
        <v>7011</v>
      </c>
      <c r="C519" s="1003"/>
      <c r="D519" s="933">
        <v>390</v>
      </c>
      <c r="E519" s="20"/>
      <c r="F519" s="20"/>
      <c r="G519" s="929"/>
      <c r="H519" s="460"/>
      <c r="I519" s="462"/>
      <c r="J519" s="629"/>
      <c r="K519" s="667"/>
      <c r="L519" s="502"/>
      <c r="M519" s="629"/>
      <c r="N519" s="629"/>
    </row>
    <row r="520" spans="1:14" s="50" customFormat="1" ht="15.75" customHeight="1" x14ac:dyDescent="0.2">
      <c r="A520" s="40" t="s">
        <v>7012</v>
      </c>
      <c r="B520" s="40" t="s">
        <v>7013</v>
      </c>
      <c r="C520" s="1003"/>
      <c r="D520" s="1048">
        <v>320</v>
      </c>
      <c r="E520" s="20"/>
      <c r="F520" s="20"/>
      <c r="G520" s="929"/>
      <c r="H520" s="460"/>
      <c r="I520" s="462"/>
      <c r="J520" s="629"/>
      <c r="K520" s="667"/>
      <c r="L520" s="502"/>
      <c r="M520" s="629"/>
      <c r="N520" s="629"/>
    </row>
    <row r="521" spans="1:14" s="50" customFormat="1" ht="15.75" customHeight="1" x14ac:dyDescent="0.2">
      <c r="A521" s="40" t="s">
        <v>7014</v>
      </c>
      <c r="B521" s="40" t="s">
        <v>7015</v>
      </c>
      <c r="C521" s="1003"/>
      <c r="D521" s="1048">
        <v>400</v>
      </c>
      <c r="E521" s="20"/>
      <c r="F521" s="20"/>
      <c r="G521" s="929"/>
      <c r="H521" s="460"/>
      <c r="I521" s="462"/>
      <c r="J521" s="629"/>
      <c r="K521" s="667"/>
      <c r="L521" s="502"/>
      <c r="M521" s="629"/>
      <c r="N521" s="629"/>
    </row>
    <row r="522" spans="1:14" s="50" customFormat="1" ht="15.75" customHeight="1" x14ac:dyDescent="0.2">
      <c r="A522" s="11"/>
      <c r="B522" s="11"/>
      <c r="C522" s="925"/>
      <c r="D522" s="1048"/>
      <c r="E522" s="20"/>
      <c r="F522" s="20"/>
      <c r="G522" s="929"/>
      <c r="H522" s="460"/>
      <c r="I522" s="462"/>
      <c r="J522" s="629"/>
      <c r="K522" s="667"/>
      <c r="L522" s="502"/>
      <c r="M522" s="629"/>
      <c r="N522" s="629"/>
    </row>
    <row r="523" spans="1:14" s="41" customFormat="1" ht="15.75" customHeight="1" x14ac:dyDescent="0.2">
      <c r="A523" s="25" t="s">
        <v>7016</v>
      </c>
      <c r="B523" s="25" t="s">
        <v>7017</v>
      </c>
      <c r="C523" s="1023"/>
      <c r="D523" s="1049">
        <v>96.43</v>
      </c>
      <c r="E523" s="144"/>
      <c r="F523" s="144"/>
      <c r="G523" s="1050"/>
      <c r="H523" s="709"/>
      <c r="I523" s="710"/>
      <c r="J523" s="711"/>
      <c r="K523" s="712"/>
      <c r="L523" s="468"/>
      <c r="M523" s="711"/>
      <c r="N523" s="711"/>
    </row>
    <row r="524" spans="1:14" s="50" customFormat="1" ht="15.75" customHeight="1" x14ac:dyDescent="0.2">
      <c r="A524" s="11"/>
      <c r="B524" s="11"/>
      <c r="C524" s="925"/>
      <c r="D524" s="11"/>
      <c r="E524" s="20"/>
      <c r="F524" s="20"/>
      <c r="G524" s="11"/>
      <c r="H524" s="460"/>
      <c r="I524" s="462"/>
      <c r="J524" s="629"/>
      <c r="K524" s="667"/>
      <c r="L524" s="502"/>
      <c r="M524" s="113"/>
      <c r="N524" s="669"/>
    </row>
    <row r="525" spans="1:14" ht="15.75" customHeight="1" x14ac:dyDescent="0.2">
      <c r="A525" s="11" t="s">
        <v>7018</v>
      </c>
      <c r="B525" s="11" t="s">
        <v>7019</v>
      </c>
      <c r="C525" s="925"/>
      <c r="D525" s="931">
        <v>105.4</v>
      </c>
      <c r="E525" s="20">
        <v>30</v>
      </c>
      <c r="F525" s="20">
        <v>30</v>
      </c>
      <c r="G525" s="499">
        <v>105.4</v>
      </c>
      <c r="H525" s="460">
        <v>105.4</v>
      </c>
      <c r="I525" s="462">
        <v>105.4</v>
      </c>
      <c r="J525" s="629">
        <v>105.4</v>
      </c>
      <c r="K525" s="667">
        <f t="shared" ref="K525:K531" si="35">J525-I525</f>
        <v>0</v>
      </c>
      <c r="L525" s="502">
        <f t="shared" ref="L525:L531" si="36">K525/I525</f>
        <v>0</v>
      </c>
      <c r="M525" s="629">
        <v>4.4000000000000004</v>
      </c>
      <c r="N525" s="629">
        <v>4.4000000000000004</v>
      </c>
    </row>
    <row r="526" spans="1:14" ht="15.75" customHeight="1" x14ac:dyDescent="0.2">
      <c r="A526" s="11" t="s">
        <v>7020</v>
      </c>
      <c r="B526" s="11" t="s">
        <v>7021</v>
      </c>
      <c r="C526" s="925"/>
      <c r="D526" s="931">
        <v>133.49</v>
      </c>
      <c r="E526" s="20">
        <v>36</v>
      </c>
      <c r="F526" s="20">
        <v>45</v>
      </c>
      <c r="G526" s="499">
        <v>133.49</v>
      </c>
      <c r="H526" s="460">
        <v>133.49</v>
      </c>
      <c r="I526" s="462">
        <v>133.49</v>
      </c>
      <c r="J526" s="629">
        <v>133.49</v>
      </c>
      <c r="K526" s="667">
        <f t="shared" si="35"/>
        <v>0</v>
      </c>
      <c r="L526" s="502">
        <f t="shared" si="36"/>
        <v>0</v>
      </c>
      <c r="M526" s="629">
        <v>4.4000000000000004</v>
      </c>
      <c r="N526" s="629">
        <v>6.65</v>
      </c>
    </row>
    <row r="527" spans="1:14" ht="15.75" customHeight="1" x14ac:dyDescent="0.2">
      <c r="A527" s="11" t="s">
        <v>7022</v>
      </c>
      <c r="B527" s="11" t="s">
        <v>7023</v>
      </c>
      <c r="C527" s="925"/>
      <c r="D527" s="931">
        <v>136.82</v>
      </c>
      <c r="E527" s="20">
        <v>36</v>
      </c>
      <c r="F527" s="20">
        <v>48</v>
      </c>
      <c r="G527" s="499">
        <v>136.82</v>
      </c>
      <c r="H527" s="460">
        <v>136.82</v>
      </c>
      <c r="I527" s="462">
        <v>136.82</v>
      </c>
      <c r="J527" s="629">
        <v>136.82</v>
      </c>
      <c r="K527" s="667">
        <f t="shared" si="35"/>
        <v>0</v>
      </c>
      <c r="L527" s="502">
        <f t="shared" si="36"/>
        <v>0</v>
      </c>
      <c r="M527" s="629">
        <v>4.4000000000000004</v>
      </c>
      <c r="N527" s="629">
        <v>6.65</v>
      </c>
    </row>
    <row r="528" spans="1:14" ht="15.75" customHeight="1" x14ac:dyDescent="0.2">
      <c r="A528" s="11" t="s">
        <v>7024</v>
      </c>
      <c r="B528" s="11" t="s">
        <v>7025</v>
      </c>
      <c r="C528" s="925"/>
      <c r="D528" s="931">
        <v>130.12</v>
      </c>
      <c r="E528" s="20">
        <v>38</v>
      </c>
      <c r="F528" s="20">
        <v>38</v>
      </c>
      <c r="G528" s="499">
        <v>130.12</v>
      </c>
      <c r="H528" s="460">
        <v>130.12</v>
      </c>
      <c r="I528" s="462">
        <v>130.12</v>
      </c>
      <c r="J528" s="629">
        <v>130.12</v>
      </c>
      <c r="K528" s="667">
        <f t="shared" si="35"/>
        <v>0</v>
      </c>
      <c r="L528" s="502">
        <f t="shared" si="36"/>
        <v>0</v>
      </c>
      <c r="M528" s="629">
        <v>4.4000000000000004</v>
      </c>
      <c r="N528" s="629">
        <v>6.65</v>
      </c>
    </row>
    <row r="529" spans="1:14" ht="15.75" customHeight="1" x14ac:dyDescent="0.2">
      <c r="A529" s="11" t="s">
        <v>7026</v>
      </c>
      <c r="B529" s="11" t="s">
        <v>7027</v>
      </c>
      <c r="C529" s="925"/>
      <c r="D529" s="931">
        <v>185.62</v>
      </c>
      <c r="E529" s="20">
        <v>48</v>
      </c>
      <c r="F529" s="20">
        <v>60</v>
      </c>
      <c r="G529" s="499">
        <v>185.62</v>
      </c>
      <c r="H529" s="460">
        <v>185.62</v>
      </c>
      <c r="I529" s="462">
        <v>185.62</v>
      </c>
      <c r="J529" s="629">
        <v>185.62</v>
      </c>
      <c r="K529" s="667">
        <f t="shared" si="35"/>
        <v>0</v>
      </c>
      <c r="L529" s="502">
        <f t="shared" si="36"/>
        <v>0</v>
      </c>
      <c r="M529" s="629">
        <v>6.65</v>
      </c>
      <c r="N529" s="629">
        <v>6.65</v>
      </c>
    </row>
    <row r="530" spans="1:14" ht="15.75" customHeight="1" x14ac:dyDescent="0.2">
      <c r="A530" s="11" t="s">
        <v>7028</v>
      </c>
      <c r="B530" s="11" t="s">
        <v>7029</v>
      </c>
      <c r="C530" s="925"/>
      <c r="D530" s="931">
        <v>238.21</v>
      </c>
      <c r="E530" s="20">
        <v>49</v>
      </c>
      <c r="F530" s="20">
        <v>72</v>
      </c>
      <c r="G530" s="499">
        <v>238.21</v>
      </c>
      <c r="H530" s="460">
        <v>238.21</v>
      </c>
      <c r="I530" s="462">
        <v>238.21</v>
      </c>
      <c r="J530" s="629">
        <v>238.21</v>
      </c>
      <c r="K530" s="667">
        <f t="shared" si="35"/>
        <v>0</v>
      </c>
      <c r="L530" s="502">
        <f t="shared" si="36"/>
        <v>0</v>
      </c>
      <c r="M530" s="629">
        <v>6.65</v>
      </c>
      <c r="N530" s="629">
        <v>6.65</v>
      </c>
    </row>
    <row r="531" spans="1:14" ht="15.75" customHeight="1" x14ac:dyDescent="0.2">
      <c r="A531" s="11" t="s">
        <v>7030</v>
      </c>
      <c r="B531" s="11" t="s">
        <v>7031</v>
      </c>
      <c r="C531" s="925"/>
      <c r="D531" s="931">
        <v>252.42</v>
      </c>
      <c r="E531" s="20">
        <v>52</v>
      </c>
      <c r="F531" s="20">
        <v>84</v>
      </c>
      <c r="G531" s="499">
        <v>252.42</v>
      </c>
      <c r="H531" s="460">
        <v>252.42</v>
      </c>
      <c r="I531" s="462">
        <v>252.42</v>
      </c>
      <c r="J531" s="629">
        <v>252.42</v>
      </c>
      <c r="K531" s="667">
        <f t="shared" si="35"/>
        <v>0</v>
      </c>
      <c r="L531" s="502">
        <f t="shared" si="36"/>
        <v>0</v>
      </c>
      <c r="M531" s="629">
        <v>6.65</v>
      </c>
      <c r="N531" s="629">
        <v>6.65</v>
      </c>
    </row>
    <row r="532" spans="1:14" ht="15.75" customHeight="1" x14ac:dyDescent="0.2">
      <c r="A532" s="11"/>
      <c r="B532" s="11"/>
      <c r="C532" s="925"/>
      <c r="D532" s="670"/>
      <c r="E532" s="20"/>
      <c r="F532" s="20"/>
      <c r="G532" s="670"/>
      <c r="H532" s="460"/>
      <c r="I532" s="462"/>
      <c r="J532" s="629"/>
      <c r="K532" s="667"/>
      <c r="L532" s="502"/>
      <c r="N532" s="262"/>
    </row>
    <row r="533" spans="1:14" ht="15.75" customHeight="1" x14ac:dyDescent="0.2">
      <c r="A533" s="11" t="s">
        <v>7032</v>
      </c>
      <c r="B533" s="11" t="s">
        <v>7033</v>
      </c>
      <c r="C533" s="925"/>
      <c r="D533" s="932">
        <v>86.204999999999998</v>
      </c>
      <c r="E533" s="20">
        <v>14</v>
      </c>
      <c r="F533" s="20">
        <v>20</v>
      </c>
      <c r="G533" s="500">
        <v>79.975000000000009</v>
      </c>
      <c r="H533" s="460">
        <v>88.32</v>
      </c>
      <c r="I533" s="462">
        <v>79.064999999999998</v>
      </c>
      <c r="J533" s="629">
        <v>79.975000000000009</v>
      </c>
      <c r="K533" s="667">
        <f>J533-I533</f>
        <v>0.9100000000000108</v>
      </c>
      <c r="L533" s="502">
        <f>K533/I533</f>
        <v>1.1509517485613239E-2</v>
      </c>
      <c r="M533" s="629">
        <v>4.1500000000000004</v>
      </c>
      <c r="N533" s="629">
        <v>4.5999999999999996</v>
      </c>
    </row>
    <row r="534" spans="1:14" ht="15.75" customHeight="1" x14ac:dyDescent="0.2">
      <c r="A534" s="11" t="s">
        <v>7034</v>
      </c>
      <c r="B534" s="11" t="s">
        <v>7035</v>
      </c>
      <c r="C534" s="925"/>
      <c r="D534" s="932">
        <v>87.64</v>
      </c>
      <c r="E534" s="20">
        <v>15</v>
      </c>
      <c r="F534" s="20">
        <v>21</v>
      </c>
      <c r="G534" s="500">
        <v>81.462499999999991</v>
      </c>
      <c r="H534" s="460">
        <v>88.78</v>
      </c>
      <c r="I534" s="462">
        <v>80.535000000000011</v>
      </c>
      <c r="J534" s="629">
        <v>81.462499999999991</v>
      </c>
      <c r="K534" s="667">
        <f t="shared" ref="K534:K555" si="37">J534-I534</f>
        <v>0.92749999999998067</v>
      </c>
      <c r="L534" s="502">
        <f t="shared" ref="L534:L555" si="38">K534/I534</f>
        <v>1.1516731855714665E-2</v>
      </c>
      <c r="M534" s="629">
        <v>4.1500000000000004</v>
      </c>
      <c r="N534" s="629">
        <v>4.5999999999999996</v>
      </c>
    </row>
    <row r="535" spans="1:14" ht="15.75" customHeight="1" x14ac:dyDescent="0.2">
      <c r="A535" s="11" t="s">
        <v>7036</v>
      </c>
      <c r="B535" s="11" t="s">
        <v>7037</v>
      </c>
      <c r="C535" s="925"/>
      <c r="D535" s="932">
        <v>87.64</v>
      </c>
      <c r="E535" s="20">
        <v>16</v>
      </c>
      <c r="F535" s="20">
        <v>20</v>
      </c>
      <c r="G535" s="500">
        <v>81.462499999999991</v>
      </c>
      <c r="H535" s="460">
        <v>88.81</v>
      </c>
      <c r="I535" s="462">
        <v>80.535000000000011</v>
      </c>
      <c r="J535" s="629">
        <v>81.462499999999991</v>
      </c>
      <c r="K535" s="667">
        <f t="shared" si="37"/>
        <v>0.92749999999998067</v>
      </c>
      <c r="L535" s="502">
        <f t="shared" si="38"/>
        <v>1.1516731855714665E-2</v>
      </c>
      <c r="M535" s="629">
        <v>4.1500000000000004</v>
      </c>
      <c r="N535" s="629">
        <v>4.5999999999999996</v>
      </c>
    </row>
    <row r="536" spans="1:14" ht="15.75" customHeight="1" x14ac:dyDescent="0.2">
      <c r="A536" s="11" t="s">
        <v>7038</v>
      </c>
      <c r="B536" s="11" t="s">
        <v>7039</v>
      </c>
      <c r="C536" s="925"/>
      <c r="D536" s="932">
        <v>87.535000000000011</v>
      </c>
      <c r="E536" s="20">
        <v>18</v>
      </c>
      <c r="F536" s="20">
        <v>18</v>
      </c>
      <c r="G536" s="500">
        <v>81.287500000000009</v>
      </c>
      <c r="H536" s="460">
        <v>89.62</v>
      </c>
      <c r="I536" s="462">
        <v>80.430000000000007</v>
      </c>
      <c r="J536" s="629">
        <v>81.287500000000009</v>
      </c>
      <c r="K536" s="667">
        <f t="shared" si="37"/>
        <v>0.85750000000000171</v>
      </c>
      <c r="L536" s="502">
        <f t="shared" si="38"/>
        <v>1.0661444734551804E-2</v>
      </c>
      <c r="M536" s="629">
        <v>4.1500000000000004</v>
      </c>
      <c r="N536" s="629">
        <v>4.1500000000000004</v>
      </c>
    </row>
    <row r="537" spans="1:14" ht="15.75" customHeight="1" x14ac:dyDescent="0.2">
      <c r="A537" s="11" t="s">
        <v>7040</v>
      </c>
      <c r="B537" s="11" t="s">
        <v>7041</v>
      </c>
      <c r="C537" s="925"/>
      <c r="D537" s="932">
        <v>89.057500000000005</v>
      </c>
      <c r="E537" s="20">
        <v>20</v>
      </c>
      <c r="F537" s="20">
        <v>24</v>
      </c>
      <c r="G537" s="500">
        <v>82.862499999999997</v>
      </c>
      <c r="H537" s="460">
        <v>93.15</v>
      </c>
      <c r="I537" s="462">
        <v>81.97</v>
      </c>
      <c r="J537" s="629">
        <v>82.862499999999997</v>
      </c>
      <c r="K537" s="667">
        <f t="shared" si="37"/>
        <v>0.89249999999999829</v>
      </c>
      <c r="L537" s="502">
        <f t="shared" si="38"/>
        <v>1.0888129803586657E-2</v>
      </c>
      <c r="M537" s="629">
        <v>4.5999999999999996</v>
      </c>
      <c r="N537" s="629">
        <v>4.5999999999999996</v>
      </c>
    </row>
    <row r="538" spans="1:14" ht="15.75" customHeight="1" x14ac:dyDescent="0.2">
      <c r="A538" s="11" t="s">
        <v>7042</v>
      </c>
      <c r="B538" s="11" t="s">
        <v>7043</v>
      </c>
      <c r="C538" s="925"/>
      <c r="D538" s="932">
        <v>90.37</v>
      </c>
      <c r="E538" s="20">
        <v>24</v>
      </c>
      <c r="F538" s="20">
        <v>24</v>
      </c>
      <c r="G538" s="499">
        <v>84.262500000000003</v>
      </c>
      <c r="H538" s="460">
        <v>95.01</v>
      </c>
      <c r="I538" s="462">
        <v>83.317499999999995</v>
      </c>
      <c r="J538" s="629">
        <v>84.262500000000003</v>
      </c>
      <c r="K538" s="667">
        <f t="shared" si="37"/>
        <v>0.94500000000000739</v>
      </c>
      <c r="L538" s="502">
        <f t="shared" si="38"/>
        <v>1.1342155009451885E-2</v>
      </c>
      <c r="M538" s="629">
        <v>4.5999999999999996</v>
      </c>
      <c r="N538" s="629">
        <v>4.5999999999999996</v>
      </c>
    </row>
    <row r="539" spans="1:14" s="50" customFormat="1" ht="15.75" customHeight="1" x14ac:dyDescent="0.2">
      <c r="A539" s="11" t="s">
        <v>7044</v>
      </c>
      <c r="B539" s="11" t="s">
        <v>7045</v>
      </c>
      <c r="C539" s="925"/>
      <c r="D539" s="932">
        <v>101.955</v>
      </c>
      <c r="E539" s="20">
        <v>24</v>
      </c>
      <c r="F539" s="20">
        <v>30</v>
      </c>
      <c r="G539" s="499">
        <v>94.850000000000009</v>
      </c>
      <c r="H539" s="460">
        <v>99.79</v>
      </c>
      <c r="I539" s="462">
        <v>93.765000000000001</v>
      </c>
      <c r="J539" s="629">
        <v>94.850000000000009</v>
      </c>
      <c r="K539" s="667">
        <f t="shared" si="37"/>
        <v>1.085000000000008</v>
      </c>
      <c r="L539" s="502">
        <f t="shared" si="38"/>
        <v>1.1571481896230021E-2</v>
      </c>
      <c r="M539" s="629">
        <v>4.5999999999999996</v>
      </c>
      <c r="N539" s="629">
        <v>4.5999999999999996</v>
      </c>
    </row>
    <row r="540" spans="1:14" s="50" customFormat="1" ht="15.75" customHeight="1" x14ac:dyDescent="0.2">
      <c r="A540" s="11" t="s">
        <v>7046</v>
      </c>
      <c r="B540" s="11" t="s">
        <v>7047</v>
      </c>
      <c r="C540" s="925"/>
      <c r="D540" s="932">
        <v>104.7375</v>
      </c>
      <c r="E540" s="20">
        <v>28</v>
      </c>
      <c r="F540" s="20">
        <v>36</v>
      </c>
      <c r="G540" s="499">
        <v>97.737499999999997</v>
      </c>
      <c r="H540" s="460">
        <v>105.11</v>
      </c>
      <c r="I540" s="462">
        <v>96.617500000000007</v>
      </c>
      <c r="J540" s="629">
        <v>97.737499999999997</v>
      </c>
      <c r="K540" s="667">
        <f t="shared" si="37"/>
        <v>1.1199999999999903</v>
      </c>
      <c r="L540" s="502">
        <f t="shared" si="38"/>
        <v>1.1592102879912958E-2</v>
      </c>
      <c r="M540" s="629">
        <v>4.5999999999999996</v>
      </c>
      <c r="N540" s="629">
        <v>4.5999999999999996</v>
      </c>
    </row>
    <row r="541" spans="1:14" ht="15.75" customHeight="1" x14ac:dyDescent="0.2">
      <c r="A541" s="11" t="s">
        <v>7048</v>
      </c>
      <c r="B541" s="11" t="s">
        <v>7049</v>
      </c>
      <c r="C541" s="925"/>
      <c r="D541" s="932">
        <v>126.02</v>
      </c>
      <c r="E541" s="20">
        <v>30</v>
      </c>
      <c r="F541" s="20">
        <v>40</v>
      </c>
      <c r="G541" s="499">
        <v>106.1375</v>
      </c>
      <c r="H541" s="460">
        <v>111.45</v>
      </c>
      <c r="I541" s="462">
        <v>105</v>
      </c>
      <c r="J541" s="629">
        <v>106.1375</v>
      </c>
      <c r="K541" s="667">
        <f t="shared" si="37"/>
        <v>1.1375000000000028</v>
      </c>
      <c r="L541" s="502">
        <f t="shared" si="38"/>
        <v>1.083333333333336E-2</v>
      </c>
      <c r="M541" s="629">
        <v>4.5999999999999996</v>
      </c>
      <c r="N541" s="629">
        <v>6.65</v>
      </c>
    </row>
    <row r="542" spans="1:14" ht="15.75" customHeight="1" x14ac:dyDescent="0.2">
      <c r="A542" s="11" t="s">
        <v>7050</v>
      </c>
      <c r="B542" s="11" t="s">
        <v>7051</v>
      </c>
      <c r="C542" s="925"/>
      <c r="D542" s="932">
        <v>139.35249999999999</v>
      </c>
      <c r="E542" s="20">
        <v>32</v>
      </c>
      <c r="F542" s="20">
        <v>42</v>
      </c>
      <c r="G542" s="499">
        <v>130.02500000000001</v>
      </c>
      <c r="H542" s="460">
        <v>119.96</v>
      </c>
      <c r="I542" s="462">
        <v>128.625</v>
      </c>
      <c r="J542" s="629">
        <v>130.02500000000001</v>
      </c>
      <c r="K542" s="667">
        <f t="shared" si="37"/>
        <v>1.4000000000000057</v>
      </c>
      <c r="L542" s="502">
        <f t="shared" si="38"/>
        <v>1.0884353741496643E-2</v>
      </c>
      <c r="M542" s="629">
        <v>4.5999999999999996</v>
      </c>
      <c r="N542" s="629">
        <v>6.65</v>
      </c>
    </row>
    <row r="543" spans="1:14" s="50" customFormat="1" ht="15.75" customHeight="1" x14ac:dyDescent="0.2">
      <c r="A543" s="11" t="s">
        <v>7052</v>
      </c>
      <c r="B543" s="11" t="s">
        <v>7053</v>
      </c>
      <c r="C543" s="925"/>
      <c r="D543" s="932">
        <v>140.61249999999998</v>
      </c>
      <c r="E543" s="20">
        <v>33</v>
      </c>
      <c r="F543" s="20">
        <v>42</v>
      </c>
      <c r="G543" s="499">
        <v>131.33750000000001</v>
      </c>
      <c r="H543" s="460">
        <v>121.12</v>
      </c>
      <c r="I543" s="462">
        <v>129.91999999999999</v>
      </c>
      <c r="J543" s="629">
        <v>131.33750000000001</v>
      </c>
      <c r="K543" s="667">
        <f t="shared" si="37"/>
        <v>1.4175000000000182</v>
      </c>
      <c r="L543" s="502">
        <f t="shared" si="38"/>
        <v>1.0910560344827727E-2</v>
      </c>
      <c r="M543" s="629">
        <v>4.5999999999999996</v>
      </c>
      <c r="N543" s="629">
        <v>6.65</v>
      </c>
    </row>
    <row r="544" spans="1:14" ht="15.75" customHeight="1" x14ac:dyDescent="0.2">
      <c r="A544" s="11" t="s">
        <v>7054</v>
      </c>
      <c r="B544" s="11" t="s">
        <v>7055</v>
      </c>
      <c r="C544" s="925"/>
      <c r="D544" s="932">
        <v>140.76999999999998</v>
      </c>
      <c r="E544" s="20">
        <v>34</v>
      </c>
      <c r="F544" s="20">
        <v>45</v>
      </c>
      <c r="G544" s="499">
        <v>131.51250000000002</v>
      </c>
      <c r="H544" s="460">
        <v>123.23</v>
      </c>
      <c r="I544" s="462">
        <v>130.07749999999999</v>
      </c>
      <c r="J544" s="629">
        <v>131.51250000000002</v>
      </c>
      <c r="K544" s="667">
        <f t="shared" si="37"/>
        <v>1.4350000000000307</v>
      </c>
      <c r="L544" s="502">
        <f t="shared" si="38"/>
        <v>1.1031884837885345E-2</v>
      </c>
      <c r="M544" s="629">
        <v>4.5999999999999996</v>
      </c>
      <c r="N544" s="629">
        <v>6.65</v>
      </c>
    </row>
    <row r="545" spans="1:14" ht="15.75" customHeight="1" x14ac:dyDescent="0.2">
      <c r="A545" s="11" t="s">
        <v>7056</v>
      </c>
      <c r="B545" s="11" t="s">
        <v>7057</v>
      </c>
      <c r="C545" s="925"/>
      <c r="D545" s="932">
        <v>139.2475</v>
      </c>
      <c r="E545" s="20">
        <v>36</v>
      </c>
      <c r="F545" s="20">
        <v>36</v>
      </c>
      <c r="G545" s="499">
        <v>129.9375</v>
      </c>
      <c r="H545" s="460">
        <v>110.15</v>
      </c>
      <c r="I545" s="462">
        <v>128.53749999999999</v>
      </c>
      <c r="J545" s="629">
        <v>129.9375</v>
      </c>
      <c r="K545" s="667">
        <f t="shared" si="37"/>
        <v>1.4000000000000057</v>
      </c>
      <c r="L545" s="502">
        <f t="shared" si="38"/>
        <v>1.0891763104152529E-2</v>
      </c>
      <c r="M545" s="629">
        <v>4.5999999999999996</v>
      </c>
      <c r="N545" s="629">
        <v>4.5999999999999996</v>
      </c>
    </row>
    <row r="546" spans="1:14" ht="15.75" customHeight="1" x14ac:dyDescent="0.2">
      <c r="A546" s="11" t="s">
        <v>7058</v>
      </c>
      <c r="B546" s="11" t="s">
        <v>7059</v>
      </c>
      <c r="C546" s="925"/>
      <c r="D546" s="932">
        <v>142.065</v>
      </c>
      <c r="E546" s="20">
        <v>36</v>
      </c>
      <c r="F546" s="20">
        <v>45</v>
      </c>
      <c r="G546" s="499">
        <v>132.82500000000002</v>
      </c>
      <c r="H546" s="460">
        <v>128.61000000000001</v>
      </c>
      <c r="I546" s="462">
        <v>131.3725</v>
      </c>
      <c r="J546" s="629">
        <v>132.82500000000002</v>
      </c>
      <c r="K546" s="667">
        <f t="shared" si="37"/>
        <v>1.4525000000000148</v>
      </c>
      <c r="L546" s="502">
        <f t="shared" si="38"/>
        <v>1.1056347409084967E-2</v>
      </c>
      <c r="M546" s="629">
        <v>4.5999999999999996</v>
      </c>
      <c r="N546" s="629">
        <v>6.65</v>
      </c>
    </row>
    <row r="547" spans="1:14" ht="15.75" customHeight="1" x14ac:dyDescent="0.2">
      <c r="A547" s="11" t="s">
        <v>7060</v>
      </c>
      <c r="B547" s="11" t="s">
        <v>7061</v>
      </c>
      <c r="C547" s="925"/>
      <c r="D547" s="932">
        <v>142.13499999999999</v>
      </c>
      <c r="E547" s="20">
        <v>36</v>
      </c>
      <c r="F547" s="20">
        <v>48</v>
      </c>
      <c r="G547" s="500">
        <v>132.91249999999999</v>
      </c>
      <c r="H547" s="460">
        <v>125.79</v>
      </c>
      <c r="I547" s="462">
        <v>132.82500000000002</v>
      </c>
      <c r="J547" s="629">
        <v>132.91249999999999</v>
      </c>
      <c r="K547" s="667">
        <f t="shared" si="37"/>
        <v>8.7499999999977263E-2</v>
      </c>
      <c r="L547" s="502">
        <f t="shared" si="38"/>
        <v>6.5876152832657444E-4</v>
      </c>
      <c r="M547" s="629">
        <v>4.5999999999999996</v>
      </c>
      <c r="N547" s="629">
        <v>6.65</v>
      </c>
    </row>
    <row r="548" spans="1:14" ht="15.75" customHeight="1" x14ac:dyDescent="0.2">
      <c r="A548" s="11" t="s">
        <v>7062</v>
      </c>
      <c r="B548" s="11" t="s">
        <v>7063</v>
      </c>
      <c r="C548" s="925"/>
      <c r="D548" s="932">
        <v>143.535</v>
      </c>
      <c r="E548" s="20">
        <v>37.5</v>
      </c>
      <c r="F548" s="20">
        <v>49.5</v>
      </c>
      <c r="G548" s="499">
        <v>134.3125</v>
      </c>
      <c r="H548" s="460">
        <v>128.08000000000001</v>
      </c>
      <c r="I548" s="462">
        <v>132.86000000000001</v>
      </c>
      <c r="J548" s="629">
        <v>134.3125</v>
      </c>
      <c r="K548" s="667">
        <f t="shared" si="37"/>
        <v>1.4524999999999864</v>
      </c>
      <c r="L548" s="502">
        <f t="shared" si="38"/>
        <v>1.0932560590094733E-2</v>
      </c>
      <c r="M548" s="629">
        <v>4.5999999999999996</v>
      </c>
      <c r="N548" s="629">
        <v>6.65</v>
      </c>
    </row>
    <row r="549" spans="1:14" ht="15.75" customHeight="1" x14ac:dyDescent="0.2">
      <c r="A549" s="11" t="s">
        <v>7064</v>
      </c>
      <c r="B549" s="11" t="s">
        <v>7065</v>
      </c>
      <c r="C549" s="925"/>
      <c r="D549" s="932">
        <v>143.48249999999999</v>
      </c>
      <c r="E549" s="20">
        <v>38</v>
      </c>
      <c r="F549" s="20">
        <v>48</v>
      </c>
      <c r="G549" s="499">
        <v>134.3125</v>
      </c>
      <c r="H549" s="460">
        <v>135.56</v>
      </c>
      <c r="I549" s="462">
        <v>132.86000000000001</v>
      </c>
      <c r="J549" s="629">
        <v>134.3125</v>
      </c>
      <c r="K549" s="667">
        <f t="shared" si="37"/>
        <v>1.4524999999999864</v>
      </c>
      <c r="L549" s="502">
        <f t="shared" si="38"/>
        <v>1.0932560590094733E-2</v>
      </c>
      <c r="M549" s="629">
        <v>4.5999999999999996</v>
      </c>
      <c r="N549" s="629">
        <v>6.65</v>
      </c>
    </row>
    <row r="550" spans="1:14" ht="15.75" customHeight="1" x14ac:dyDescent="0.2">
      <c r="A550" s="11" t="s">
        <v>7066</v>
      </c>
      <c r="B550" s="11" t="s">
        <v>7067</v>
      </c>
      <c r="C550" s="925"/>
      <c r="D550" s="932">
        <v>145.0575</v>
      </c>
      <c r="E550" s="20">
        <v>40</v>
      </c>
      <c r="F550" s="20">
        <v>54</v>
      </c>
      <c r="G550" s="500">
        <v>135.88750000000002</v>
      </c>
      <c r="H550" s="460">
        <v>131.9</v>
      </c>
      <c r="I550" s="462">
        <v>134.4</v>
      </c>
      <c r="J550" s="629">
        <v>135.88750000000002</v>
      </c>
      <c r="K550" s="667">
        <f t="shared" si="37"/>
        <v>1.4875000000000114</v>
      </c>
      <c r="L550" s="502">
        <f t="shared" si="38"/>
        <v>1.1067708333333417E-2</v>
      </c>
      <c r="M550" s="629">
        <v>6.65</v>
      </c>
      <c r="N550" s="629">
        <v>6.65</v>
      </c>
    </row>
    <row r="551" spans="1:14" ht="15.75" customHeight="1" x14ac:dyDescent="0.2">
      <c r="A551" s="11" t="s">
        <v>7068</v>
      </c>
      <c r="B551" s="11" t="s">
        <v>7069</v>
      </c>
      <c r="C551" s="925"/>
      <c r="D551" s="932">
        <v>146.21250000000001</v>
      </c>
      <c r="E551" s="20">
        <v>48</v>
      </c>
      <c r="F551" s="20">
        <v>48</v>
      </c>
      <c r="G551" s="500">
        <v>137.11249999999998</v>
      </c>
      <c r="H551" s="460">
        <v>134.54</v>
      </c>
      <c r="I551" s="462">
        <v>135.60749999999999</v>
      </c>
      <c r="J551" s="629">
        <v>137.11249999999998</v>
      </c>
      <c r="K551" s="667">
        <f t="shared" si="37"/>
        <v>1.5049999999999955</v>
      </c>
      <c r="L551" s="502">
        <f t="shared" si="38"/>
        <v>1.1098206220157407E-2</v>
      </c>
      <c r="M551" s="629">
        <v>6.65</v>
      </c>
      <c r="N551" s="629">
        <v>6.65</v>
      </c>
    </row>
    <row r="552" spans="1:14" ht="15.75" customHeight="1" x14ac:dyDescent="0.2">
      <c r="A552" s="11" t="s">
        <v>7070</v>
      </c>
      <c r="B552" s="11" t="s">
        <v>7071</v>
      </c>
      <c r="C552" s="925"/>
      <c r="D552" s="932">
        <v>182.89</v>
      </c>
      <c r="E552" s="20">
        <v>48</v>
      </c>
      <c r="F552" s="20">
        <v>60</v>
      </c>
      <c r="G552" s="500">
        <v>153.91249999999999</v>
      </c>
      <c r="H552" s="460">
        <v>158.47999999999999</v>
      </c>
      <c r="I552" s="462">
        <v>152.4425</v>
      </c>
      <c r="J552" s="629">
        <v>153.91249999999999</v>
      </c>
      <c r="K552" s="667">
        <f t="shared" si="37"/>
        <v>1.4699999999999989</v>
      </c>
      <c r="L552" s="502">
        <f t="shared" si="38"/>
        <v>9.6429801400527999E-3</v>
      </c>
      <c r="M552" s="629">
        <v>6.65</v>
      </c>
      <c r="N552" s="629">
        <v>6.65</v>
      </c>
    </row>
    <row r="553" spans="1:14" ht="15.75" customHeight="1" x14ac:dyDescent="0.2">
      <c r="A553" s="11" t="s">
        <v>7072</v>
      </c>
      <c r="B553" s="11" t="s">
        <v>7073</v>
      </c>
      <c r="C553" s="925"/>
      <c r="D553" s="932">
        <v>186.04250000000002</v>
      </c>
      <c r="E553" s="20">
        <v>48</v>
      </c>
      <c r="F553" s="20">
        <v>72</v>
      </c>
      <c r="G553" s="500">
        <v>174.65</v>
      </c>
      <c r="H553" s="460">
        <v>164.88</v>
      </c>
      <c r="I553" s="462">
        <v>172.83</v>
      </c>
      <c r="J553" s="629">
        <v>174.65</v>
      </c>
      <c r="K553" s="667">
        <f t="shared" si="37"/>
        <v>1.8199999999999932</v>
      </c>
      <c r="L553" s="502">
        <f t="shared" si="38"/>
        <v>1.0530579181854962E-2</v>
      </c>
      <c r="M553" s="629">
        <v>6.65</v>
      </c>
      <c r="N553" s="629">
        <v>6.65</v>
      </c>
    </row>
    <row r="554" spans="1:14" ht="15.75" customHeight="1" x14ac:dyDescent="0.2">
      <c r="A554" s="11" t="s">
        <v>7074</v>
      </c>
      <c r="B554" s="11" t="s">
        <v>7075</v>
      </c>
      <c r="C554" s="925"/>
      <c r="D554" s="932">
        <v>178.11500000000001</v>
      </c>
      <c r="E554" s="20">
        <v>48</v>
      </c>
      <c r="F554" s="20">
        <v>72</v>
      </c>
      <c r="G554" s="500">
        <v>177.1875</v>
      </c>
      <c r="H554" s="460">
        <v>164.29</v>
      </c>
      <c r="I554" s="462">
        <v>175.4375</v>
      </c>
      <c r="J554" s="629">
        <v>177.1875</v>
      </c>
      <c r="K554" s="667">
        <f t="shared" si="37"/>
        <v>1.75</v>
      </c>
      <c r="L554" s="502">
        <f t="shared" si="38"/>
        <v>9.9750623441396506E-3</v>
      </c>
      <c r="M554" s="629">
        <v>6.65</v>
      </c>
      <c r="N554" s="629">
        <v>6.65</v>
      </c>
    </row>
    <row r="555" spans="1:14" ht="15.75" customHeight="1" x14ac:dyDescent="0.2">
      <c r="A555" s="11" t="s">
        <v>7076</v>
      </c>
      <c r="B555" s="11" t="s">
        <v>7077</v>
      </c>
      <c r="C555" s="925"/>
      <c r="D555" s="932">
        <v>291.8125</v>
      </c>
      <c r="E555" s="20">
        <v>60</v>
      </c>
      <c r="F555" s="20">
        <v>72</v>
      </c>
      <c r="G555" s="500">
        <v>270.98750000000001</v>
      </c>
      <c r="H555" s="460">
        <v>250.82</v>
      </c>
      <c r="I555" s="462">
        <v>266.245</v>
      </c>
      <c r="J555" s="629">
        <v>270.98750000000001</v>
      </c>
      <c r="K555" s="667">
        <f t="shared" si="37"/>
        <v>4.7425000000000068</v>
      </c>
      <c r="L555" s="502">
        <f t="shared" si="38"/>
        <v>1.7812541080583697E-2</v>
      </c>
      <c r="M555" s="629">
        <v>6.65</v>
      </c>
      <c r="N555" s="629">
        <v>6.65</v>
      </c>
    </row>
    <row r="556" spans="1:14" ht="15.75" customHeight="1" x14ac:dyDescent="0.2">
      <c r="A556" s="11"/>
      <c r="B556" s="11"/>
      <c r="C556" s="925"/>
      <c r="D556" s="670"/>
      <c r="E556" s="20"/>
      <c r="F556" s="20"/>
      <c r="G556" s="500"/>
      <c r="H556" s="460"/>
      <c r="I556" s="462"/>
      <c r="J556" s="629"/>
      <c r="K556" s="667"/>
      <c r="L556" s="502"/>
    </row>
    <row r="557" spans="1:14" ht="15.75" customHeight="1" x14ac:dyDescent="0.2">
      <c r="A557" s="624" t="s">
        <v>7078</v>
      </c>
      <c r="C557" s="925"/>
      <c r="D557" s="756"/>
      <c r="G557" s="471"/>
      <c r="H557" s="461"/>
      <c r="I557" s="464"/>
      <c r="J557" s="629"/>
      <c r="K557" s="22"/>
    </row>
    <row r="558" spans="1:14" ht="15.75" customHeight="1" x14ac:dyDescent="0.2">
      <c r="A558" s="171" t="s">
        <v>7079</v>
      </c>
      <c r="B558" s="171" t="s">
        <v>7080</v>
      </c>
      <c r="C558" s="1225"/>
      <c r="D558" s="1226">
        <v>130</v>
      </c>
      <c r="G558" s="471"/>
      <c r="H558" s="461"/>
      <c r="I558" s="464"/>
      <c r="J558" s="629"/>
      <c r="K558" s="22"/>
    </row>
    <row r="559" spans="1:14" ht="15.75" customHeight="1" x14ac:dyDescent="0.2">
      <c r="A559" s="171" t="s">
        <v>7081</v>
      </c>
      <c r="B559" s="171" t="s">
        <v>7082</v>
      </c>
      <c r="C559" s="1225"/>
      <c r="D559" s="1226">
        <v>140</v>
      </c>
      <c r="G559" s="471"/>
      <c r="H559" s="461"/>
      <c r="I559" s="464"/>
      <c r="J559" s="629"/>
      <c r="K559" s="22"/>
    </row>
    <row r="560" spans="1:14" ht="15.75" customHeight="1" x14ac:dyDescent="0.2">
      <c r="A560" s="171" t="s">
        <v>7083</v>
      </c>
      <c r="B560" s="171" t="s">
        <v>7084</v>
      </c>
      <c r="C560" s="1225"/>
      <c r="D560" s="1226">
        <v>150</v>
      </c>
      <c r="G560" s="471"/>
      <c r="H560" s="461"/>
      <c r="I560" s="464"/>
      <c r="J560" s="629"/>
      <c r="K560" s="22"/>
    </row>
    <row r="561" spans="1:12" ht="15.75" customHeight="1" x14ac:dyDescent="0.2">
      <c r="A561" s="113" t="s">
        <v>7085</v>
      </c>
      <c r="B561" s="113" t="s">
        <v>7086</v>
      </c>
      <c r="C561" s="925"/>
      <c r="D561" s="931">
        <v>151.91750000000002</v>
      </c>
      <c r="E561" s="20">
        <v>20</v>
      </c>
      <c r="F561" s="20">
        <v>30</v>
      </c>
      <c r="G561" s="499">
        <v>141.92499999999998</v>
      </c>
      <c r="H561" s="538"/>
      <c r="I561" s="539"/>
      <c r="J561" s="629">
        <v>141.92499999999998</v>
      </c>
      <c r="K561" s="39"/>
      <c r="L561" s="39"/>
    </row>
    <row r="562" spans="1:12" ht="15.75" customHeight="1" x14ac:dyDescent="0.2">
      <c r="A562" s="113" t="s">
        <v>7087</v>
      </c>
      <c r="B562" s="113" t="s">
        <v>7088</v>
      </c>
      <c r="C562" s="925"/>
      <c r="D562" s="931">
        <v>155.505</v>
      </c>
      <c r="E562" s="20">
        <v>22</v>
      </c>
      <c r="F562" s="20">
        <v>30</v>
      </c>
      <c r="G562" s="499">
        <v>145.16249999999999</v>
      </c>
      <c r="H562" s="538"/>
      <c r="I562" s="539"/>
      <c r="J562" s="629">
        <v>145.16249999999999</v>
      </c>
      <c r="K562" s="39"/>
      <c r="L562" s="39"/>
    </row>
    <row r="563" spans="1:12" ht="15.75" customHeight="1" x14ac:dyDescent="0.2">
      <c r="A563" s="113" t="s">
        <v>7089</v>
      </c>
      <c r="B563" s="113" t="s">
        <v>7090</v>
      </c>
      <c r="C563" s="925"/>
      <c r="D563" s="931">
        <v>162.995</v>
      </c>
      <c r="E563" s="20">
        <v>24</v>
      </c>
      <c r="F563" s="20">
        <v>36</v>
      </c>
      <c r="G563" s="499">
        <v>152.51250000000002</v>
      </c>
      <c r="H563" s="538"/>
      <c r="I563" s="539"/>
      <c r="J563" s="629">
        <v>152.51250000000002</v>
      </c>
      <c r="K563" s="39"/>
      <c r="L563" s="39"/>
    </row>
    <row r="564" spans="1:12" ht="15.75" customHeight="1" x14ac:dyDescent="0.2">
      <c r="A564" s="113" t="s">
        <v>7091</v>
      </c>
      <c r="B564" s="113" t="s">
        <v>7092</v>
      </c>
      <c r="C564" s="925"/>
      <c r="D564" s="931">
        <v>175.4375</v>
      </c>
      <c r="E564" s="20">
        <v>32</v>
      </c>
      <c r="F564" s="20">
        <v>32</v>
      </c>
      <c r="G564" s="499">
        <v>164.41249999999999</v>
      </c>
      <c r="H564" s="538"/>
      <c r="I564" s="539"/>
      <c r="J564" s="629">
        <v>164.41249999999999</v>
      </c>
      <c r="K564" s="39"/>
      <c r="L564" s="39"/>
    </row>
    <row r="565" spans="1:12" ht="15.75" customHeight="1" x14ac:dyDescent="0.2">
      <c r="A565" s="113" t="s">
        <v>7093</v>
      </c>
      <c r="B565" s="113" t="s">
        <v>7094</v>
      </c>
      <c r="C565" s="925"/>
      <c r="D565" s="931">
        <v>222.51250000000002</v>
      </c>
      <c r="E565" s="20">
        <v>36</v>
      </c>
      <c r="F565" s="20">
        <v>45</v>
      </c>
      <c r="G565" s="499">
        <v>330.57499999999999</v>
      </c>
      <c r="H565" s="538"/>
      <c r="I565" s="539"/>
      <c r="J565" s="629">
        <v>330.57499999999999</v>
      </c>
      <c r="K565" s="39"/>
      <c r="L565" s="39"/>
    </row>
    <row r="566" spans="1:12" ht="15.75" customHeight="1" x14ac:dyDescent="0.2">
      <c r="A566" s="113" t="s">
        <v>7095</v>
      </c>
      <c r="B566" s="113" t="s">
        <v>7096</v>
      </c>
      <c r="C566" s="925"/>
      <c r="D566" s="931">
        <v>249.02500000000003</v>
      </c>
      <c r="E566" s="20">
        <v>40</v>
      </c>
      <c r="F566" s="20">
        <v>56</v>
      </c>
      <c r="G566" s="499">
        <v>233.53749999999997</v>
      </c>
      <c r="H566" s="538"/>
      <c r="I566" s="539"/>
      <c r="J566" s="629">
        <v>233.53749999999997</v>
      </c>
      <c r="K566" s="39"/>
      <c r="L566" s="39"/>
    </row>
    <row r="567" spans="1:12" ht="15.75" customHeight="1" x14ac:dyDescent="0.2">
      <c r="A567" s="113" t="s">
        <v>7097</v>
      </c>
      <c r="B567" s="113" t="s">
        <v>7098</v>
      </c>
      <c r="C567" s="925"/>
      <c r="D567" s="931">
        <v>356.28250000000003</v>
      </c>
      <c r="E567" s="20">
        <v>44</v>
      </c>
      <c r="F567" s="20">
        <v>60</v>
      </c>
      <c r="G567" s="499">
        <v>332.32499999999999</v>
      </c>
      <c r="H567" s="538"/>
      <c r="I567" s="539"/>
      <c r="J567" s="629">
        <v>332.32499999999999</v>
      </c>
      <c r="K567" s="39"/>
      <c r="L567" s="39"/>
    </row>
    <row r="568" spans="1:12" ht="15.75" customHeight="1" x14ac:dyDescent="0.2">
      <c r="A568" s="113"/>
      <c r="B568" s="113"/>
      <c r="C568" s="925"/>
      <c r="D568" s="670"/>
      <c r="E568" s="20"/>
      <c r="F568" s="20"/>
      <c r="G568" s="500"/>
      <c r="H568" s="538"/>
      <c r="I568" s="539"/>
      <c r="J568" s="629"/>
      <c r="K568" s="39"/>
      <c r="L568" s="39"/>
    </row>
    <row r="569" spans="1:12" ht="15.75" customHeight="1" x14ac:dyDescent="0.2">
      <c r="A569" s="113" t="s">
        <v>7099</v>
      </c>
      <c r="B569" s="113" t="s">
        <v>7100</v>
      </c>
      <c r="C569" s="925"/>
      <c r="D569" s="934">
        <v>340</v>
      </c>
      <c r="E569" s="640" t="s">
        <v>6072</v>
      </c>
      <c r="F569" s="20"/>
      <c r="G569" s="683">
        <v>340</v>
      </c>
      <c r="H569" s="538"/>
      <c r="I569" s="539"/>
      <c r="J569" s="629"/>
      <c r="K569" s="39"/>
      <c r="L569" s="39"/>
    </row>
    <row r="572" spans="1:12" ht="15.75" customHeight="1" x14ac:dyDescent="0.2">
      <c r="A572" s="402" t="s">
        <v>7101</v>
      </c>
      <c r="B572" s="402" t="s">
        <v>7102</v>
      </c>
      <c r="C572" s="925"/>
      <c r="D572" s="931">
        <v>163.31</v>
      </c>
      <c r="E572" s="20" t="s">
        <v>7103</v>
      </c>
      <c r="F572" s="20" t="s">
        <v>7104</v>
      </c>
      <c r="G572" s="499">
        <v>153.91249999999999</v>
      </c>
      <c r="H572" s="538"/>
      <c r="I572" s="539"/>
      <c r="J572" s="629">
        <v>153.91249999999999</v>
      </c>
    </row>
    <row r="573" spans="1:12" ht="15.75" customHeight="1" x14ac:dyDescent="0.2">
      <c r="A573" s="402" t="s">
        <v>7105</v>
      </c>
      <c r="B573" s="402" t="s">
        <v>7106</v>
      </c>
      <c r="C573" s="925"/>
      <c r="D573" s="931">
        <v>179.87</v>
      </c>
      <c r="E573" s="20" t="s">
        <v>7104</v>
      </c>
      <c r="F573" s="20" t="s">
        <v>7104</v>
      </c>
      <c r="G573" s="499">
        <v>168.35</v>
      </c>
      <c r="H573" s="461"/>
      <c r="I573" s="464"/>
      <c r="J573" s="629">
        <v>168.35</v>
      </c>
    </row>
    <row r="574" spans="1:12" ht="15.75" customHeight="1" x14ac:dyDescent="0.2">
      <c r="A574" s="402" t="s">
        <v>7107</v>
      </c>
      <c r="B574" s="402" t="s">
        <v>7108</v>
      </c>
      <c r="C574" s="925"/>
      <c r="D574" s="931">
        <v>256.32</v>
      </c>
      <c r="E574" s="20">
        <v>40</v>
      </c>
      <c r="F574" s="20">
        <v>56</v>
      </c>
      <c r="G574" s="499">
        <v>241.23749999999998</v>
      </c>
      <c r="H574" s="461"/>
      <c r="J574" s="629">
        <v>241.23749999999998</v>
      </c>
    </row>
    <row r="575" spans="1:12" ht="15.75" customHeight="1" x14ac:dyDescent="0.2">
      <c r="A575" s="402" t="s">
        <v>7109</v>
      </c>
      <c r="B575" s="402" t="s">
        <v>7110</v>
      </c>
      <c r="C575" s="925"/>
      <c r="D575" s="931">
        <v>248.61</v>
      </c>
      <c r="E575" s="20">
        <v>48</v>
      </c>
      <c r="F575" s="20">
        <v>48</v>
      </c>
      <c r="G575" s="499">
        <v>238.26250000000002</v>
      </c>
      <c r="H575" s="461"/>
      <c r="J575" s="629">
        <v>238.26250000000002</v>
      </c>
    </row>
    <row r="576" spans="1:12" ht="15.75" customHeight="1" x14ac:dyDescent="0.2">
      <c r="A576" s="402" t="s">
        <v>7111</v>
      </c>
      <c r="B576" s="402" t="s">
        <v>7112</v>
      </c>
      <c r="C576" s="925"/>
      <c r="D576" s="931">
        <v>479.41</v>
      </c>
      <c r="E576" s="20">
        <v>48</v>
      </c>
      <c r="F576" s="20">
        <v>80</v>
      </c>
      <c r="G576" s="499">
        <v>463.75</v>
      </c>
      <c r="H576" s="461"/>
      <c r="J576" s="629">
        <v>463.75</v>
      </c>
    </row>
    <row r="577" spans="1:12" ht="15.75" customHeight="1" x14ac:dyDescent="0.2">
      <c r="A577" s="402" t="s">
        <v>7113</v>
      </c>
      <c r="B577" s="402" t="s">
        <v>7114</v>
      </c>
      <c r="C577" s="925"/>
      <c r="D577" s="931">
        <v>897.94</v>
      </c>
      <c r="E577" s="20">
        <v>56</v>
      </c>
      <c r="F577" s="20">
        <v>96</v>
      </c>
      <c r="G577" s="499">
        <v>782.25</v>
      </c>
      <c r="H577" s="461"/>
      <c r="J577" s="629">
        <v>782.25</v>
      </c>
    </row>
    <row r="578" spans="1:12" ht="15.75" customHeight="1" x14ac:dyDescent="0.2">
      <c r="A578" s="402"/>
      <c r="B578" s="402"/>
      <c r="C578" s="925"/>
      <c r="D578" s="756"/>
      <c r="E578" s="20"/>
      <c r="F578" s="20"/>
      <c r="G578" s="499"/>
      <c r="H578" s="461"/>
      <c r="J578" s="629"/>
    </row>
    <row r="579" spans="1:12" ht="15.75" customHeight="1" x14ac:dyDescent="0.2">
      <c r="A579" s="402" t="s">
        <v>7115</v>
      </c>
      <c r="B579" s="29" t="s">
        <v>7116</v>
      </c>
      <c r="C579" s="925"/>
      <c r="D579" s="931">
        <v>260.51</v>
      </c>
      <c r="E579" s="20"/>
      <c r="F579" s="20"/>
      <c r="G579" s="499">
        <v>260.51</v>
      </c>
      <c r="H579" s="461"/>
      <c r="J579" s="629"/>
    </row>
    <row r="580" spans="1:12" ht="15.75" customHeight="1" x14ac:dyDescent="0.2">
      <c r="A580" s="402"/>
      <c r="B580" s="29"/>
      <c r="C580" s="925"/>
      <c r="D580" s="756"/>
      <c r="E580" s="20"/>
      <c r="F580" s="20"/>
      <c r="G580" s="756"/>
      <c r="H580" s="461"/>
      <c r="J580" s="629"/>
    </row>
    <row r="581" spans="1:12" s="41" customFormat="1" ht="15.75" customHeight="1" x14ac:dyDescent="0.2">
      <c r="A581" s="286" t="s">
        <v>7117</v>
      </c>
      <c r="B581" s="286" t="s">
        <v>7118</v>
      </c>
      <c r="C581" s="925"/>
      <c r="D581" s="936">
        <v>395.94</v>
      </c>
      <c r="E581" s="144"/>
      <c r="F581" s="144"/>
      <c r="G581" s="930">
        <v>369.25</v>
      </c>
      <c r="H581" s="757"/>
      <c r="I581" s="758"/>
      <c r="J581" s="711"/>
    </row>
    <row r="582" spans="1:12" s="44" customFormat="1" ht="15.75" customHeight="1" x14ac:dyDescent="0.2">
      <c r="A582" s="171" t="s">
        <v>7119</v>
      </c>
      <c r="B582" s="171" t="s">
        <v>7120</v>
      </c>
      <c r="C582" s="1003"/>
      <c r="D582" s="1004">
        <v>300</v>
      </c>
      <c r="E582" s="159"/>
      <c r="F582" s="159"/>
      <c r="G582" s="1005"/>
      <c r="H582" s="1006"/>
      <c r="I582" s="1007"/>
      <c r="J582" s="681"/>
    </row>
    <row r="583" spans="1:12" s="41" customFormat="1" ht="15.75" customHeight="1" x14ac:dyDescent="0.2">
      <c r="A583" s="286" t="s">
        <v>7121</v>
      </c>
      <c r="B583" s="286" t="s">
        <v>7122</v>
      </c>
      <c r="C583" s="925"/>
      <c r="D583" s="936">
        <v>502.74</v>
      </c>
      <c r="E583" s="144"/>
      <c r="F583" s="144"/>
      <c r="G583" s="930">
        <v>474.25</v>
      </c>
      <c r="H583" s="757"/>
      <c r="I583" s="758"/>
      <c r="J583" s="711"/>
    </row>
    <row r="584" spans="1:12" s="41" customFormat="1" ht="15.75" customHeight="1" x14ac:dyDescent="0.2">
      <c r="A584" s="286" t="s">
        <v>7123</v>
      </c>
      <c r="B584" s="286" t="s">
        <v>7124</v>
      </c>
      <c r="C584" s="925"/>
      <c r="D584" s="936">
        <v>616</v>
      </c>
      <c r="E584" s="144"/>
      <c r="F584" s="144"/>
      <c r="G584" s="930">
        <v>595</v>
      </c>
      <c r="H584" s="757"/>
      <c r="I584" s="758"/>
      <c r="J584" s="711"/>
    </row>
    <row r="585" spans="1:12" s="41" customFormat="1" ht="15.75" customHeight="1" x14ac:dyDescent="0.2">
      <c r="A585" s="286" t="s">
        <v>7125</v>
      </c>
      <c r="B585" s="286" t="s">
        <v>7126</v>
      </c>
      <c r="C585" s="925"/>
      <c r="D585" s="936">
        <v>621.41</v>
      </c>
      <c r="E585" s="144"/>
      <c r="F585" s="144"/>
      <c r="G585" s="930">
        <v>616</v>
      </c>
      <c r="H585" s="757"/>
      <c r="I585" s="758"/>
      <c r="J585" s="711"/>
    </row>
    <row r="586" spans="1:12" s="44" customFormat="1" ht="15.75" customHeight="1" x14ac:dyDescent="0.2">
      <c r="A586" s="171" t="s">
        <v>7127</v>
      </c>
      <c r="B586" s="171" t="s">
        <v>7128</v>
      </c>
      <c r="C586" s="1003"/>
      <c r="D586" s="1004">
        <v>630</v>
      </c>
      <c r="E586" s="159"/>
      <c r="F586" s="159"/>
      <c r="G586" s="1005"/>
      <c r="H586" s="1006"/>
      <c r="I586" s="1007"/>
      <c r="J586" s="681"/>
    </row>
    <row r="587" spans="1:12" ht="15.75" customHeight="1" x14ac:dyDescent="0.2">
      <c r="C587" s="925"/>
      <c r="D587" s="931"/>
      <c r="G587" s="471"/>
      <c r="H587" s="461"/>
    </row>
    <row r="588" spans="1:12" ht="15.75" customHeight="1" x14ac:dyDescent="0.2">
      <c r="A588" s="938" t="s">
        <v>7129</v>
      </c>
      <c r="B588" s="29"/>
      <c r="C588" s="925"/>
      <c r="D588" s="931"/>
      <c r="E588" s="20"/>
      <c r="F588" s="20"/>
      <c r="G588" s="471"/>
      <c r="H588" s="460"/>
      <c r="I588" s="462"/>
      <c r="J588" s="629"/>
      <c r="K588" s="22"/>
      <c r="L588" s="268"/>
    </row>
    <row r="589" spans="1:12" ht="15.75" customHeight="1" x14ac:dyDescent="0.2">
      <c r="A589" s="113" t="s">
        <v>7130</v>
      </c>
      <c r="B589" s="11" t="s">
        <v>7131</v>
      </c>
      <c r="C589" s="925"/>
      <c r="D589" s="931">
        <v>130</v>
      </c>
      <c r="E589" s="20">
        <v>20</v>
      </c>
      <c r="F589" s="20">
        <v>30</v>
      </c>
      <c r="G589" s="471">
        <v>130</v>
      </c>
      <c r="H589" s="460"/>
      <c r="I589" s="462">
        <v>130</v>
      </c>
      <c r="J589" s="629"/>
      <c r="K589" s="667">
        <f t="shared" ref="K589:K595" si="39">I589-H589</f>
        <v>130</v>
      </c>
      <c r="L589" s="502" t="str">
        <f t="shared" ref="L589:L595" si="40">IF(H589="","NA",K589/H589)</f>
        <v>NA</v>
      </c>
    </row>
    <row r="590" spans="1:12" ht="15.75" customHeight="1" x14ac:dyDescent="0.2">
      <c r="A590" s="113" t="s">
        <v>7132</v>
      </c>
      <c r="B590" s="11" t="s">
        <v>7133</v>
      </c>
      <c r="C590" s="925"/>
      <c r="D590" s="935">
        <v>136.85</v>
      </c>
      <c r="E590" s="20">
        <v>22</v>
      </c>
      <c r="F590" s="20">
        <v>30</v>
      </c>
      <c r="G590" s="939">
        <v>136.85</v>
      </c>
      <c r="H590" s="460">
        <v>121.64</v>
      </c>
      <c r="I590" s="462">
        <v>136.85</v>
      </c>
      <c r="J590" s="629"/>
      <c r="K590" s="667">
        <f t="shared" si="39"/>
        <v>15.209999999999994</v>
      </c>
      <c r="L590" s="502">
        <f t="shared" si="40"/>
        <v>0.12504110489970399</v>
      </c>
    </row>
    <row r="591" spans="1:12" ht="15.75" customHeight="1" x14ac:dyDescent="0.2">
      <c r="A591" s="113" t="s">
        <v>7134</v>
      </c>
      <c r="B591" s="113" t="s">
        <v>7135</v>
      </c>
      <c r="C591" s="925"/>
      <c r="D591" s="935">
        <v>143.3425</v>
      </c>
      <c r="E591" s="20">
        <v>24</v>
      </c>
      <c r="F591" s="20">
        <v>36</v>
      </c>
      <c r="G591" s="939">
        <v>143.3425</v>
      </c>
      <c r="H591" s="460">
        <v>134.04</v>
      </c>
      <c r="I591" s="462">
        <v>143.3425</v>
      </c>
      <c r="J591" s="629"/>
      <c r="K591" s="667">
        <f t="shared" si="39"/>
        <v>9.3025000000000091</v>
      </c>
      <c r="L591" s="502">
        <f t="shared" si="40"/>
        <v>6.9400925096986046E-2</v>
      </c>
    </row>
    <row r="592" spans="1:12" ht="15.75" customHeight="1" x14ac:dyDescent="0.2">
      <c r="A592" s="113" t="s">
        <v>7136</v>
      </c>
      <c r="B592" s="113" t="s">
        <v>7137</v>
      </c>
      <c r="C592" s="925"/>
      <c r="D592" s="935">
        <v>153.82500000000002</v>
      </c>
      <c r="E592" s="20">
        <v>32</v>
      </c>
      <c r="F592" s="20">
        <v>32</v>
      </c>
      <c r="G592" s="939">
        <v>153.82500000000002</v>
      </c>
      <c r="H592" s="460">
        <v>143.83000000000001</v>
      </c>
      <c r="I592" s="462">
        <v>153.82500000000002</v>
      </c>
      <c r="J592" s="629"/>
      <c r="K592" s="667">
        <f t="shared" si="39"/>
        <v>9.9950000000000045</v>
      </c>
      <c r="L592" s="502">
        <f t="shared" si="40"/>
        <v>6.9491761106862296E-2</v>
      </c>
    </row>
    <row r="593" spans="1:12" ht="15.75" customHeight="1" x14ac:dyDescent="0.2">
      <c r="A593" s="113" t="s">
        <v>7138</v>
      </c>
      <c r="B593" s="11" t="s">
        <v>7139</v>
      </c>
      <c r="C593" s="925"/>
      <c r="D593" s="935">
        <v>237.42249999999999</v>
      </c>
      <c r="E593" s="20">
        <v>36</v>
      </c>
      <c r="F593" s="20">
        <v>45</v>
      </c>
      <c r="G593" s="939">
        <v>237.42249999999999</v>
      </c>
      <c r="H593" s="460">
        <v>217.51</v>
      </c>
      <c r="I593" s="462">
        <v>237.42249999999999</v>
      </c>
      <c r="J593" s="629"/>
      <c r="K593" s="667">
        <f t="shared" si="39"/>
        <v>19.912499999999994</v>
      </c>
      <c r="L593" s="502">
        <f t="shared" si="40"/>
        <v>9.154751505677898E-2</v>
      </c>
    </row>
    <row r="594" spans="1:12" ht="15.75" customHeight="1" x14ac:dyDescent="0.2">
      <c r="A594" s="113" t="s">
        <v>7140</v>
      </c>
      <c r="B594" s="113" t="s">
        <v>7141</v>
      </c>
      <c r="C594" s="925"/>
      <c r="D594" s="935">
        <v>266.36750000000001</v>
      </c>
      <c r="E594" s="20">
        <v>40</v>
      </c>
      <c r="F594" s="20">
        <v>56</v>
      </c>
      <c r="G594" s="939">
        <v>266.36750000000001</v>
      </c>
      <c r="H594" s="460">
        <v>252.74</v>
      </c>
      <c r="I594" s="462">
        <v>266.36750000000001</v>
      </c>
      <c r="J594" s="629"/>
      <c r="K594" s="667">
        <f t="shared" si="39"/>
        <v>13.627499999999998</v>
      </c>
      <c r="L594" s="502">
        <f t="shared" si="40"/>
        <v>5.3919047242225203E-2</v>
      </c>
    </row>
    <row r="595" spans="1:12" ht="15.75" customHeight="1" x14ac:dyDescent="0.2">
      <c r="A595" s="113" t="s">
        <v>7142</v>
      </c>
      <c r="B595" s="11" t="s">
        <v>7143</v>
      </c>
      <c r="C595" s="925"/>
      <c r="D595" s="935">
        <v>335.14249999999998</v>
      </c>
      <c r="E595" s="20">
        <v>44</v>
      </c>
      <c r="F595" s="20">
        <v>60</v>
      </c>
      <c r="G595" s="939">
        <v>335.14249999999998</v>
      </c>
      <c r="H595" s="460">
        <v>296.07</v>
      </c>
      <c r="I595" s="462">
        <v>335.14249999999998</v>
      </c>
      <c r="J595" s="629"/>
      <c r="K595" s="667">
        <f t="shared" si="39"/>
        <v>39.072499999999991</v>
      </c>
      <c r="L595" s="502">
        <f t="shared" si="40"/>
        <v>0.13197047995406488</v>
      </c>
    </row>
    <row r="596" spans="1:12" ht="15.75" customHeight="1" x14ac:dyDescent="0.2">
      <c r="A596" s="113"/>
      <c r="B596" s="11"/>
      <c r="C596" s="925"/>
      <c r="D596" s="931"/>
      <c r="E596" s="20"/>
      <c r="F596" s="20"/>
      <c r="G596" s="471"/>
      <c r="H596" s="460"/>
      <c r="I596" s="462"/>
      <c r="J596" s="629"/>
      <c r="K596" s="22"/>
      <c r="L596" s="268"/>
    </row>
    <row r="597" spans="1:12" ht="15.75" customHeight="1" x14ac:dyDescent="0.2">
      <c r="A597" s="113" t="s">
        <v>7144</v>
      </c>
      <c r="B597" s="11" t="s">
        <v>7145</v>
      </c>
      <c r="C597" s="925"/>
      <c r="D597" s="932"/>
      <c r="E597" s="20">
        <v>20</v>
      </c>
      <c r="F597" s="20">
        <v>30</v>
      </c>
      <c r="G597" s="472"/>
      <c r="H597" s="460"/>
      <c r="I597" s="462"/>
      <c r="J597" s="629"/>
      <c r="K597" s="667">
        <f t="shared" ref="K597" si="41">I597-H597</f>
        <v>0</v>
      </c>
      <c r="L597" s="502" t="str">
        <f>IF(H597="","NA",K597/H597)</f>
        <v>NA</v>
      </c>
    </row>
    <row r="598" spans="1:12" ht="15.75" customHeight="1" x14ac:dyDescent="0.2">
      <c r="A598" s="113"/>
      <c r="B598" s="11"/>
      <c r="C598" s="925"/>
      <c r="D598" s="931"/>
      <c r="E598" s="20"/>
      <c r="F598" s="20"/>
      <c r="G598" s="471"/>
      <c r="H598" s="460"/>
      <c r="I598" s="462"/>
      <c r="J598" s="629"/>
      <c r="K598" s="22"/>
      <c r="L598" s="268"/>
    </row>
    <row r="599" spans="1:12" ht="15.75" customHeight="1" x14ac:dyDescent="0.2">
      <c r="A599" s="938" t="s">
        <v>7146</v>
      </c>
      <c r="B599" s="940"/>
      <c r="C599" s="925"/>
      <c r="D599" s="932"/>
      <c r="E599" s="20"/>
      <c r="F599" s="20" t="s">
        <v>6155</v>
      </c>
      <c r="G599" s="472"/>
      <c r="H599" s="460"/>
      <c r="I599" s="462"/>
      <c r="J599" s="629"/>
      <c r="K599" s="22"/>
      <c r="L599" s="268"/>
    </row>
    <row r="600" spans="1:12" ht="15.75" customHeight="1" x14ac:dyDescent="0.2">
      <c r="A600" s="113" t="s">
        <v>7147</v>
      </c>
      <c r="B600" s="11" t="s">
        <v>7148</v>
      </c>
      <c r="C600" s="925"/>
      <c r="D600" s="932">
        <v>151.91999999999999</v>
      </c>
      <c r="E600" s="20"/>
      <c r="F600" s="20"/>
      <c r="G600" s="472"/>
      <c r="H600" s="460"/>
      <c r="I600" s="462"/>
      <c r="J600" s="629"/>
      <c r="K600" s="22"/>
      <c r="L600" s="268"/>
    </row>
    <row r="601" spans="1:12" ht="15.75" customHeight="1" x14ac:dyDescent="0.2">
      <c r="A601" s="11" t="s">
        <v>7149</v>
      </c>
      <c r="B601" s="11" t="s">
        <v>7150</v>
      </c>
      <c r="C601" s="925"/>
      <c r="D601" s="932">
        <v>148.26</v>
      </c>
      <c r="E601" s="20" t="s">
        <v>7103</v>
      </c>
      <c r="F601" s="20" t="s">
        <v>7104</v>
      </c>
      <c r="G601" s="500">
        <v>148.26</v>
      </c>
      <c r="H601" s="460">
        <v>154.39999999999998</v>
      </c>
      <c r="I601" s="462">
        <v>148.26</v>
      </c>
      <c r="J601" s="629"/>
      <c r="K601" s="667">
        <f t="shared" ref="K601:K611" si="42">I601-H601</f>
        <v>-6.1399999999999864</v>
      </c>
      <c r="L601" s="502">
        <f t="shared" ref="L601:L606" si="43">IF(H601="","NA",K601/H601)</f>
        <v>-3.9766839378238258E-2</v>
      </c>
    </row>
    <row r="602" spans="1:12" ht="15.75" customHeight="1" x14ac:dyDescent="0.2">
      <c r="A602" s="11" t="s">
        <v>7151</v>
      </c>
      <c r="B602" s="11" t="s">
        <v>7152</v>
      </c>
      <c r="C602" s="925"/>
      <c r="D602" s="932">
        <v>161.4025</v>
      </c>
      <c r="E602" s="20" t="s">
        <v>7104</v>
      </c>
      <c r="F602" s="20" t="s">
        <v>7104</v>
      </c>
      <c r="G602" s="500">
        <v>161.4025</v>
      </c>
      <c r="H602" s="460">
        <v>179.84</v>
      </c>
      <c r="I602" s="462">
        <v>161.4025</v>
      </c>
      <c r="J602" s="629"/>
      <c r="K602" s="667">
        <f t="shared" si="42"/>
        <v>-18.4375</v>
      </c>
      <c r="L602" s="502">
        <f t="shared" si="43"/>
        <v>-0.10252168594306049</v>
      </c>
    </row>
    <row r="603" spans="1:12" ht="15.75" customHeight="1" x14ac:dyDescent="0.2">
      <c r="A603" s="11" t="s">
        <v>7153</v>
      </c>
      <c r="B603" s="11" t="s">
        <v>7154</v>
      </c>
      <c r="C603" s="925"/>
      <c r="D603" s="932">
        <v>300.17750000000001</v>
      </c>
      <c r="E603" s="20">
        <v>40</v>
      </c>
      <c r="F603" s="20">
        <v>56</v>
      </c>
      <c r="G603" s="500">
        <v>300.17750000000001</v>
      </c>
      <c r="H603" s="460">
        <v>297.82</v>
      </c>
      <c r="I603" s="462">
        <v>300.17750000000001</v>
      </c>
      <c r="J603" s="629"/>
      <c r="K603" s="667">
        <f t="shared" si="42"/>
        <v>2.3575000000000159</v>
      </c>
      <c r="L603" s="502">
        <f t="shared" si="43"/>
        <v>7.9158552145591841E-3</v>
      </c>
    </row>
    <row r="604" spans="1:12" ht="15.75" customHeight="1" x14ac:dyDescent="0.2">
      <c r="A604" s="11" t="s">
        <v>7155</v>
      </c>
      <c r="B604" s="11" t="s">
        <v>7156</v>
      </c>
      <c r="C604" s="925"/>
      <c r="D604" s="932">
        <v>266.42</v>
      </c>
      <c r="E604" s="20">
        <v>48</v>
      </c>
      <c r="F604" s="20">
        <v>48</v>
      </c>
      <c r="G604" s="500">
        <v>266.42</v>
      </c>
      <c r="H604" s="460">
        <v>250</v>
      </c>
      <c r="I604" s="462">
        <v>266.42</v>
      </c>
      <c r="J604" s="629"/>
      <c r="K604" s="667">
        <f t="shared" si="42"/>
        <v>16.420000000000016</v>
      </c>
      <c r="L604" s="502">
        <f t="shared" si="43"/>
        <v>6.5680000000000058E-2</v>
      </c>
    </row>
    <row r="605" spans="1:12" ht="15.75" customHeight="1" x14ac:dyDescent="0.2">
      <c r="A605" s="11" t="s">
        <v>7157</v>
      </c>
      <c r="B605" s="11" t="s">
        <v>7158</v>
      </c>
      <c r="C605" s="925"/>
      <c r="D605" s="932">
        <v>545.87750000000005</v>
      </c>
      <c r="E605" s="20">
        <v>48</v>
      </c>
      <c r="F605" s="20">
        <v>80</v>
      </c>
      <c r="G605" s="500">
        <v>545.87750000000005</v>
      </c>
      <c r="H605" s="460">
        <v>672.54</v>
      </c>
      <c r="I605" s="462">
        <v>545.87750000000005</v>
      </c>
      <c r="J605" s="629"/>
      <c r="K605" s="667">
        <f t="shared" si="42"/>
        <v>-126.66249999999991</v>
      </c>
      <c r="L605" s="502">
        <f t="shared" si="43"/>
        <v>-0.18833452285365915</v>
      </c>
    </row>
    <row r="606" spans="1:12" ht="15.75" customHeight="1" x14ac:dyDescent="0.2">
      <c r="A606" s="11" t="s">
        <v>7159</v>
      </c>
      <c r="B606" s="11" t="s">
        <v>7160</v>
      </c>
      <c r="C606" s="925"/>
      <c r="D606" s="931">
        <v>758.44999999999993</v>
      </c>
      <c r="E606" s="941">
        <v>56</v>
      </c>
      <c r="F606" s="941">
        <v>96</v>
      </c>
      <c r="G606" s="499">
        <v>758.44999999999993</v>
      </c>
      <c r="H606" s="460">
        <v>998.77</v>
      </c>
      <c r="I606" s="462">
        <v>758.44999999999993</v>
      </c>
      <c r="J606" s="629"/>
      <c r="K606" s="667">
        <f t="shared" si="42"/>
        <v>-240.32000000000005</v>
      </c>
      <c r="L606" s="502">
        <f t="shared" si="43"/>
        <v>-0.24061595762788235</v>
      </c>
    </row>
    <row r="607" spans="1:12" ht="15.75" customHeight="1" x14ac:dyDescent="0.2">
      <c r="A607" s="11"/>
      <c r="B607" s="11"/>
      <c r="C607" s="925"/>
      <c r="D607" s="931"/>
      <c r="E607" s="188"/>
      <c r="F607" s="188"/>
      <c r="G607" s="499"/>
      <c r="H607" s="460"/>
      <c r="I607" s="462"/>
      <c r="J607" s="629"/>
      <c r="K607" s="667"/>
      <c r="L607" s="502"/>
    </row>
    <row r="608" spans="1:12" ht="15.75" customHeight="1" x14ac:dyDescent="0.2">
      <c r="A608" s="624" t="s">
        <v>7161</v>
      </c>
      <c r="B608" s="11"/>
      <c r="C608" s="925"/>
      <c r="D608" s="931"/>
      <c r="E608" s="188"/>
      <c r="F608" s="188"/>
      <c r="G608" s="499"/>
      <c r="H608" s="460"/>
      <c r="I608" s="462"/>
      <c r="J608" s="629"/>
      <c r="K608" s="667"/>
      <c r="L608" s="502"/>
    </row>
    <row r="609" spans="1:12" s="50" customFormat="1" ht="15.75" customHeight="1" x14ac:dyDescent="0.2">
      <c r="A609" s="11" t="s">
        <v>7162</v>
      </c>
      <c r="B609" s="11" t="s">
        <v>7163</v>
      </c>
      <c r="C609" s="925"/>
      <c r="D609" s="931">
        <v>340</v>
      </c>
      <c r="E609" s="188"/>
      <c r="F609" s="188"/>
      <c r="G609" s="499">
        <v>340</v>
      </c>
      <c r="H609" s="460"/>
      <c r="I609" s="462"/>
      <c r="J609" s="629"/>
      <c r="K609" s="667" t="s">
        <v>7164</v>
      </c>
      <c r="L609" s="502"/>
    </row>
    <row r="610" spans="1:12" ht="15.75" customHeight="1" x14ac:dyDescent="0.2">
      <c r="A610" s="11"/>
      <c r="B610" s="11"/>
      <c r="C610" s="925"/>
      <c r="D610" s="931"/>
      <c r="E610" s="188"/>
      <c r="F610" s="188"/>
      <c r="G610" s="471"/>
      <c r="H610" s="460"/>
      <c r="I610" s="462"/>
      <c r="J610" s="629"/>
      <c r="K610" s="667"/>
      <c r="L610" s="502"/>
    </row>
    <row r="611" spans="1:12" ht="15.75" customHeight="1" x14ac:dyDescent="0.2">
      <c r="A611" s="11" t="s">
        <v>7165</v>
      </c>
      <c r="B611" s="11" t="s">
        <v>7166</v>
      </c>
      <c r="C611" s="925"/>
      <c r="D611" s="931">
        <v>260.51</v>
      </c>
      <c r="E611" s="20">
        <v>48</v>
      </c>
      <c r="F611" s="20">
        <v>48</v>
      </c>
      <c r="G611" s="499">
        <v>260.51</v>
      </c>
      <c r="H611" s="460"/>
      <c r="I611" s="462">
        <v>260.51</v>
      </c>
      <c r="J611" s="629"/>
      <c r="K611" s="667">
        <f t="shared" si="42"/>
        <v>260.51</v>
      </c>
      <c r="L611" s="502" t="str">
        <f>IF(H611="","NA",K611/H611)</f>
        <v>NA</v>
      </c>
    </row>
  </sheetData>
  <autoFilter ref="A1:O1" xr:uid="{00000000-0001-0000-0200-000000000000}"/>
  <sortState xmlns:xlrd2="http://schemas.microsoft.com/office/spreadsheetml/2017/richdata2" ref="A403:E488">
    <sortCondition ref="A403:A488"/>
  </sortState>
  <phoneticPr fontId="18" type="noConversion"/>
  <printOptions headings="1" gridLines="1"/>
  <pageMargins left="0.45" right="0.45" top="0.5" bottom="0.5" header="0" footer="0"/>
  <pageSetup scale="77" fitToHeight="6"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192"/>
  <sheetViews>
    <sheetView zoomScale="120" zoomScaleNormal="120" workbookViewId="0">
      <pane ySplit="1" topLeftCell="A21" activePane="bottomLeft" state="frozen"/>
      <selection pane="bottomLeft" activeCell="D46" sqref="D46"/>
    </sheetView>
  </sheetViews>
  <sheetFormatPr baseColWidth="10" defaultColWidth="11.28515625" defaultRowHeight="15" customHeight="1" x14ac:dyDescent="0.2"/>
  <cols>
    <col min="1" max="1" width="12.42578125" style="11" bestFit="1" customWidth="1"/>
    <col min="2" max="2" width="37.7109375" style="11" customWidth="1"/>
    <col min="3" max="3" width="10.42578125" style="11" bestFit="1" customWidth="1"/>
    <col min="4" max="4" width="9.140625" style="20" customWidth="1"/>
    <col min="5" max="5" width="6.5703125" style="20" customWidth="1"/>
    <col min="6" max="6" width="7" style="20" customWidth="1"/>
    <col min="7" max="7" width="9" style="11" customWidth="1"/>
    <col min="8" max="10" width="8.5703125" style="11" customWidth="1"/>
    <col min="11" max="11" width="9.28515625" style="11" customWidth="1"/>
    <col min="12" max="12" width="7.140625" style="11" customWidth="1"/>
    <col min="13" max="13" width="10.5703125" style="476" customWidth="1"/>
    <col min="14" max="18" width="10.5703125" style="11" customWidth="1"/>
    <col min="19" max="16384" width="11.28515625" style="11"/>
  </cols>
  <sheetData>
    <row r="1" spans="1:14" ht="32" x14ac:dyDescent="0.2">
      <c r="A1" s="267" t="s">
        <v>6047</v>
      </c>
      <c r="B1" s="267" t="s">
        <v>4</v>
      </c>
      <c r="C1" s="944" t="s">
        <v>7167</v>
      </c>
      <c r="D1" s="264" t="s">
        <v>7168</v>
      </c>
      <c r="E1" s="264" t="s">
        <v>6048</v>
      </c>
      <c r="F1" s="264" t="s">
        <v>6049</v>
      </c>
      <c r="G1" s="459">
        <v>44197</v>
      </c>
      <c r="H1" s="459">
        <v>44433</v>
      </c>
      <c r="I1" s="459">
        <v>44579</v>
      </c>
      <c r="J1" s="459">
        <v>44666</v>
      </c>
      <c r="K1" s="18" t="s">
        <v>6050</v>
      </c>
      <c r="L1" s="265" t="s">
        <v>6051</v>
      </c>
      <c r="M1" s="265" t="s">
        <v>6052</v>
      </c>
      <c r="N1" s="265" t="s">
        <v>6053</v>
      </c>
    </row>
    <row r="2" spans="1:14" x14ac:dyDescent="0.2">
      <c r="A2" s="503" t="s">
        <v>7169</v>
      </c>
      <c r="B2" s="503"/>
      <c r="C2" s="504"/>
      <c r="D2" s="505"/>
      <c r="E2" s="505"/>
      <c r="F2" s="505"/>
      <c r="G2" s="504"/>
      <c r="H2" s="504"/>
      <c r="I2" s="768"/>
      <c r="J2" s="504"/>
      <c r="K2" s="506"/>
      <c r="L2" s="505"/>
      <c r="M2" s="505" t="s">
        <v>7170</v>
      </c>
      <c r="N2" s="505" t="s">
        <v>7170</v>
      </c>
    </row>
    <row r="3" spans="1:14" x14ac:dyDescent="0.2">
      <c r="A3" s="6"/>
      <c r="C3" s="501"/>
      <c r="G3" s="270"/>
      <c r="H3" s="478"/>
      <c r="I3" s="769"/>
      <c r="J3" s="477"/>
      <c r="K3" s="479"/>
      <c r="L3" s="468"/>
      <c r="N3" s="476"/>
    </row>
    <row r="4" spans="1:14" x14ac:dyDescent="0.2">
      <c r="A4" s="43" t="s">
        <v>7171</v>
      </c>
      <c r="B4" s="40" t="s">
        <v>7172</v>
      </c>
      <c r="C4" s="990">
        <v>55</v>
      </c>
      <c r="G4" s="270"/>
      <c r="H4" s="478"/>
      <c r="I4" s="769"/>
      <c r="J4" s="477"/>
      <c r="K4" s="479"/>
      <c r="L4" s="468"/>
      <c r="N4" s="476"/>
    </row>
    <row r="5" spans="1:14" x14ac:dyDescent="0.2">
      <c r="A5" s="6" t="s">
        <v>7173</v>
      </c>
      <c r="B5" s="11" t="s">
        <v>7174</v>
      </c>
      <c r="C5" s="501">
        <v>55.300000000000004</v>
      </c>
      <c r="D5" s="20" t="s">
        <v>118</v>
      </c>
      <c r="E5" s="20">
        <v>9</v>
      </c>
      <c r="F5" s="20">
        <v>12</v>
      </c>
      <c r="G5" s="270">
        <v>41.980000000000004</v>
      </c>
      <c r="H5" s="478">
        <v>43.739999999999995</v>
      </c>
      <c r="I5" s="769">
        <v>51.1</v>
      </c>
      <c r="J5" s="477">
        <v>51.1</v>
      </c>
      <c r="K5" s="479">
        <f>J5-I5</f>
        <v>0</v>
      </c>
      <c r="L5" s="468">
        <f>K5/I5</f>
        <v>0</v>
      </c>
      <c r="M5" s="476">
        <v>4.1500000000000004</v>
      </c>
      <c r="N5" s="476">
        <v>4.1500000000000004</v>
      </c>
    </row>
    <row r="6" spans="1:14" s="25" customFormat="1" x14ac:dyDescent="0.2">
      <c r="A6" s="1095" t="s">
        <v>7175</v>
      </c>
      <c r="B6" s="25" t="s">
        <v>7176</v>
      </c>
      <c r="C6" s="664">
        <v>58.73</v>
      </c>
      <c r="D6" s="144"/>
      <c r="E6" s="144"/>
      <c r="F6" s="144"/>
      <c r="G6" s="270"/>
      <c r="H6" s="478"/>
      <c r="I6" s="1100"/>
      <c r="J6" s="1101"/>
      <c r="K6" s="479"/>
      <c r="L6" s="468"/>
      <c r="M6" s="1102"/>
      <c r="N6" s="1102"/>
    </row>
    <row r="7" spans="1:14" s="40" customFormat="1" x14ac:dyDescent="0.2">
      <c r="A7" s="43" t="s">
        <v>7177</v>
      </c>
      <c r="B7" s="40" t="s">
        <v>7178</v>
      </c>
      <c r="C7" s="990">
        <v>56</v>
      </c>
      <c r="D7" s="159"/>
      <c r="E7" s="159"/>
      <c r="F7" s="159"/>
      <c r="G7" s="271"/>
      <c r="H7" s="480"/>
      <c r="I7" s="770"/>
      <c r="J7" s="481"/>
      <c r="K7" s="637"/>
      <c r="L7" s="493"/>
      <c r="M7" s="638"/>
      <c r="N7" s="638"/>
    </row>
    <row r="8" spans="1:14" x14ac:dyDescent="0.2">
      <c r="A8" s="6" t="s">
        <v>7179</v>
      </c>
      <c r="B8" s="11" t="s">
        <v>7180</v>
      </c>
      <c r="C8" s="501">
        <v>56.175000000000004</v>
      </c>
      <c r="D8" s="20" t="s">
        <v>3668</v>
      </c>
      <c r="E8" s="20">
        <v>11</v>
      </c>
      <c r="F8" s="20">
        <v>14</v>
      </c>
      <c r="G8" s="270"/>
      <c r="H8" s="478"/>
      <c r="I8" s="769">
        <v>51.905000000000001</v>
      </c>
      <c r="J8" s="477">
        <v>51.905000000000001</v>
      </c>
      <c r="K8" s="479">
        <f>J8-I8</f>
        <v>0</v>
      </c>
      <c r="L8" s="468">
        <f>K8/I8</f>
        <v>0</v>
      </c>
      <c r="M8" s="476">
        <v>4.1500000000000004</v>
      </c>
      <c r="N8" s="476">
        <v>4.1500000000000004</v>
      </c>
    </row>
    <row r="9" spans="1:14" x14ac:dyDescent="0.2">
      <c r="A9" s="43" t="s">
        <v>7181</v>
      </c>
      <c r="B9" s="40" t="s">
        <v>7182</v>
      </c>
      <c r="C9" s="990">
        <v>56</v>
      </c>
      <c r="G9" s="270"/>
      <c r="H9" s="478"/>
      <c r="I9" s="769"/>
      <c r="J9" s="477"/>
      <c r="K9" s="479"/>
      <c r="L9" s="468"/>
      <c r="N9" s="476"/>
    </row>
    <row r="10" spans="1:14" x14ac:dyDescent="0.2">
      <c r="A10" s="43" t="s">
        <v>7183</v>
      </c>
      <c r="B10" s="40" t="s">
        <v>7184</v>
      </c>
      <c r="C10" s="990">
        <v>58.77</v>
      </c>
      <c r="G10" s="270"/>
      <c r="H10" s="478"/>
      <c r="I10" s="769"/>
      <c r="J10" s="477"/>
      <c r="K10" s="479"/>
      <c r="L10" s="468"/>
      <c r="N10" s="476"/>
    </row>
    <row r="11" spans="1:14" x14ac:dyDescent="0.2">
      <c r="A11" s="6" t="s">
        <v>7185</v>
      </c>
      <c r="B11" s="11" t="s">
        <v>7186</v>
      </c>
      <c r="C11" s="501">
        <v>55.475000000000001</v>
      </c>
      <c r="D11" s="20" t="s">
        <v>505</v>
      </c>
      <c r="E11" s="20">
        <v>12</v>
      </c>
      <c r="F11" s="20">
        <v>14</v>
      </c>
      <c r="G11" s="270">
        <v>46.18</v>
      </c>
      <c r="H11" s="478">
        <v>45.809999999999995</v>
      </c>
      <c r="I11" s="769">
        <v>51.292499999999997</v>
      </c>
      <c r="J11" s="477">
        <v>51.292499999999997</v>
      </c>
      <c r="K11" s="479">
        <f>J11-I11</f>
        <v>0</v>
      </c>
      <c r="L11" s="468">
        <f>K11/I11</f>
        <v>0</v>
      </c>
      <c r="M11" s="476">
        <v>4.1500000000000004</v>
      </c>
      <c r="N11" s="476">
        <v>4.1500000000000004</v>
      </c>
    </row>
    <row r="12" spans="1:14" x14ac:dyDescent="0.2">
      <c r="A12" s="43" t="s">
        <v>7187</v>
      </c>
      <c r="B12" s="40" t="s">
        <v>7188</v>
      </c>
      <c r="C12" s="1419">
        <v>59</v>
      </c>
      <c r="G12" s="270"/>
      <c r="H12" s="478"/>
      <c r="I12" s="769"/>
      <c r="J12" s="477"/>
      <c r="K12" s="479"/>
      <c r="L12" s="468"/>
      <c r="N12" s="476"/>
    </row>
    <row r="13" spans="1:14" x14ac:dyDescent="0.2">
      <c r="A13" s="6" t="s">
        <v>7189</v>
      </c>
      <c r="B13" s="11" t="s">
        <v>7190</v>
      </c>
      <c r="C13" s="501">
        <v>58.152499999999996</v>
      </c>
      <c r="D13" s="20" t="s">
        <v>2086</v>
      </c>
      <c r="E13" s="20">
        <v>12</v>
      </c>
      <c r="F13" s="20">
        <v>35</v>
      </c>
      <c r="G13" s="270">
        <v>46.18</v>
      </c>
      <c r="H13" s="478">
        <v>51.919999999999995</v>
      </c>
      <c r="I13" s="769">
        <v>53.847499999999997</v>
      </c>
      <c r="J13" s="477">
        <v>53.847499999999997</v>
      </c>
      <c r="K13" s="479">
        <f t="shared" ref="K13:K54" si="0">J13-I13</f>
        <v>0</v>
      </c>
      <c r="L13" s="468">
        <f t="shared" ref="L13:L54" si="1">K13/I13</f>
        <v>0</v>
      </c>
      <c r="M13" s="476">
        <v>4.1500000000000004</v>
      </c>
      <c r="N13" s="476">
        <v>4.5999999999999996</v>
      </c>
    </row>
    <row r="14" spans="1:14" x14ac:dyDescent="0.2">
      <c r="A14" s="6" t="s">
        <v>7191</v>
      </c>
      <c r="B14" s="11" t="s">
        <v>7192</v>
      </c>
      <c r="C14" s="501">
        <v>57.050000000000004</v>
      </c>
      <c r="D14" s="20" t="s">
        <v>3982</v>
      </c>
      <c r="E14" s="20">
        <v>15</v>
      </c>
      <c r="F14" s="20">
        <v>20</v>
      </c>
      <c r="G14" s="270">
        <v>46.18</v>
      </c>
      <c r="H14" s="478">
        <v>48.73</v>
      </c>
      <c r="I14" s="769">
        <v>52.78</v>
      </c>
      <c r="J14" s="477">
        <v>52.78</v>
      </c>
      <c r="K14" s="479">
        <f t="shared" si="0"/>
        <v>0</v>
      </c>
      <c r="L14" s="468">
        <f t="shared" si="1"/>
        <v>0</v>
      </c>
      <c r="M14" s="476">
        <v>4.1500000000000004</v>
      </c>
      <c r="N14" s="476">
        <v>4.5999999999999996</v>
      </c>
    </row>
    <row r="15" spans="1:14" x14ac:dyDescent="0.2">
      <c r="A15" s="43" t="s">
        <v>7193</v>
      </c>
      <c r="B15" s="40" t="s">
        <v>7194</v>
      </c>
      <c r="C15" s="990">
        <v>58</v>
      </c>
      <c r="G15" s="270"/>
      <c r="H15" s="478"/>
      <c r="I15" s="769"/>
      <c r="J15" s="477"/>
      <c r="K15" s="479"/>
      <c r="L15" s="468"/>
      <c r="N15" s="476"/>
    </row>
    <row r="16" spans="1:14" x14ac:dyDescent="0.2">
      <c r="A16" s="6" t="s">
        <v>7195</v>
      </c>
      <c r="B16" s="11" t="s">
        <v>7196</v>
      </c>
      <c r="C16" s="501">
        <v>56.350000000000009</v>
      </c>
      <c r="D16" s="20" t="s">
        <v>1937</v>
      </c>
      <c r="E16" s="20">
        <v>16</v>
      </c>
      <c r="F16" s="20">
        <v>16</v>
      </c>
      <c r="G16" s="270">
        <v>46.18</v>
      </c>
      <c r="H16" s="478">
        <v>48.15</v>
      </c>
      <c r="I16" s="769">
        <v>52.080000000000005</v>
      </c>
      <c r="J16" s="477">
        <v>52.080000000000005</v>
      </c>
      <c r="K16" s="479">
        <f t="shared" si="0"/>
        <v>0</v>
      </c>
      <c r="L16" s="468">
        <f t="shared" si="1"/>
        <v>0</v>
      </c>
      <c r="M16" s="476">
        <v>4.1500000000000004</v>
      </c>
      <c r="N16" s="476">
        <v>4.1500000000000004</v>
      </c>
    </row>
    <row r="17" spans="1:14" x14ac:dyDescent="0.2">
      <c r="A17" s="43" t="s">
        <v>7197</v>
      </c>
      <c r="B17" s="40" t="s">
        <v>7198</v>
      </c>
      <c r="C17" s="990">
        <v>57</v>
      </c>
      <c r="G17" s="270"/>
      <c r="H17" s="478"/>
      <c r="I17" s="769"/>
      <c r="J17" s="477"/>
      <c r="K17" s="479"/>
      <c r="L17" s="468"/>
      <c r="N17" s="476"/>
    </row>
    <row r="18" spans="1:14" x14ac:dyDescent="0.2">
      <c r="A18" s="6" t="s">
        <v>7199</v>
      </c>
      <c r="B18" s="11" t="s">
        <v>7200</v>
      </c>
      <c r="C18" s="501">
        <v>61.15</v>
      </c>
      <c r="D18" s="20" t="s">
        <v>519</v>
      </c>
      <c r="E18" s="20">
        <v>16</v>
      </c>
      <c r="F18" s="20">
        <v>20</v>
      </c>
      <c r="G18" s="270">
        <v>46.18</v>
      </c>
      <c r="H18" s="478">
        <v>48.96</v>
      </c>
      <c r="I18" s="769">
        <v>51.73</v>
      </c>
      <c r="J18" s="477">
        <v>52.762499999999996</v>
      </c>
      <c r="K18" s="479">
        <f t="shared" si="0"/>
        <v>1.0324999999999989</v>
      </c>
      <c r="L18" s="468">
        <f t="shared" si="1"/>
        <v>1.9959404600811886E-2</v>
      </c>
      <c r="M18" s="476">
        <v>4.1500000000000004</v>
      </c>
      <c r="N18" s="476">
        <v>4.5999999999999996</v>
      </c>
    </row>
    <row r="19" spans="1:14" x14ac:dyDescent="0.2">
      <c r="A19" s="43" t="s">
        <v>7201</v>
      </c>
      <c r="B19" s="40" t="s">
        <v>7202</v>
      </c>
      <c r="C19" s="990">
        <v>65</v>
      </c>
      <c r="G19" s="270"/>
      <c r="H19" s="478"/>
      <c r="I19" s="769"/>
      <c r="J19" s="477"/>
      <c r="K19" s="479"/>
      <c r="L19" s="468"/>
      <c r="N19" s="476"/>
    </row>
    <row r="20" spans="1:14" x14ac:dyDescent="0.2">
      <c r="A20" s="6" t="s">
        <v>7203</v>
      </c>
      <c r="B20" s="11" t="s">
        <v>7204</v>
      </c>
      <c r="C20" s="501">
        <v>74.55</v>
      </c>
      <c r="D20" s="20" t="s">
        <v>7205</v>
      </c>
      <c r="E20" s="20">
        <v>16</v>
      </c>
      <c r="F20" s="20">
        <v>48</v>
      </c>
      <c r="G20" s="270">
        <v>68</v>
      </c>
      <c r="H20" s="478">
        <v>61.51</v>
      </c>
      <c r="I20" s="769">
        <v>69.02</v>
      </c>
      <c r="J20" s="477">
        <v>69.772499999999994</v>
      </c>
      <c r="K20" s="479">
        <f t="shared" si="0"/>
        <v>0.75249999999999773</v>
      </c>
      <c r="L20" s="468">
        <f t="shared" si="1"/>
        <v>1.0902636916835667E-2</v>
      </c>
      <c r="M20" s="476">
        <v>4.1500000000000004</v>
      </c>
      <c r="N20" s="476">
        <v>6.65</v>
      </c>
    </row>
    <row r="21" spans="1:14" x14ac:dyDescent="0.2">
      <c r="A21" s="43" t="s">
        <v>7206</v>
      </c>
      <c r="B21" s="40" t="s">
        <v>7207</v>
      </c>
      <c r="C21" s="990">
        <v>75</v>
      </c>
      <c r="G21" s="270"/>
      <c r="H21" s="478"/>
      <c r="I21" s="769"/>
      <c r="J21" s="477"/>
      <c r="K21" s="479"/>
      <c r="L21" s="468"/>
      <c r="N21" s="476"/>
    </row>
    <row r="22" spans="1:14" s="40" customFormat="1" x14ac:dyDescent="0.2">
      <c r="A22" s="6" t="s">
        <v>7208</v>
      </c>
      <c r="B22" s="11" t="s">
        <v>7209</v>
      </c>
      <c r="C22" s="501">
        <v>57.050000000000004</v>
      </c>
      <c r="D22" s="20" t="s">
        <v>1938</v>
      </c>
      <c r="E22" s="20">
        <v>18</v>
      </c>
      <c r="F22" s="20">
        <v>18</v>
      </c>
      <c r="G22" s="271"/>
      <c r="H22" s="480"/>
      <c r="I22" s="769">
        <v>52.78</v>
      </c>
      <c r="J22" s="477">
        <v>52.78</v>
      </c>
      <c r="K22" s="479">
        <f t="shared" si="0"/>
        <v>0</v>
      </c>
      <c r="L22" s="468">
        <f t="shared" si="1"/>
        <v>0</v>
      </c>
      <c r="M22" s="476">
        <v>4.1500000000000004</v>
      </c>
      <c r="N22" s="476">
        <v>4.1500000000000004</v>
      </c>
    </row>
    <row r="23" spans="1:14" s="40" customFormat="1" x14ac:dyDescent="0.2">
      <c r="A23" s="43" t="s">
        <v>7210</v>
      </c>
      <c r="B23" s="40" t="s">
        <v>7211</v>
      </c>
      <c r="C23" s="990">
        <v>70</v>
      </c>
      <c r="D23" s="20"/>
      <c r="E23" s="20"/>
      <c r="F23" s="20"/>
      <c r="G23" s="271"/>
      <c r="H23" s="480"/>
      <c r="I23" s="769"/>
      <c r="J23" s="477"/>
      <c r="K23" s="479"/>
      <c r="L23" s="468"/>
      <c r="M23" s="476"/>
      <c r="N23" s="476"/>
    </row>
    <row r="24" spans="1:14" x14ac:dyDescent="0.2">
      <c r="A24" s="6" t="s">
        <v>7212</v>
      </c>
      <c r="B24" s="11" t="s">
        <v>7213</v>
      </c>
      <c r="C24" s="501">
        <v>74.287500000000009</v>
      </c>
      <c r="D24" s="20" t="s">
        <v>7214</v>
      </c>
      <c r="E24" s="20">
        <v>18</v>
      </c>
      <c r="F24" s="20">
        <v>38</v>
      </c>
      <c r="G24" s="270">
        <v>53</v>
      </c>
      <c r="H24" s="478">
        <v>58.97</v>
      </c>
      <c r="I24" s="769">
        <v>68.477500000000006</v>
      </c>
      <c r="J24" s="477">
        <v>68.844999999999999</v>
      </c>
      <c r="K24" s="479">
        <f t="shared" si="0"/>
        <v>0.36749999999999261</v>
      </c>
      <c r="L24" s="468">
        <f t="shared" si="1"/>
        <v>5.3667262969587463E-3</v>
      </c>
      <c r="M24" s="476">
        <v>4.1500000000000004</v>
      </c>
      <c r="N24" s="476">
        <v>4.5999999999999996</v>
      </c>
    </row>
    <row r="25" spans="1:14" x14ac:dyDescent="0.2">
      <c r="A25" s="6" t="s">
        <v>7215</v>
      </c>
      <c r="B25" s="11" t="s">
        <v>7216</v>
      </c>
      <c r="C25" s="501">
        <v>58.012499999999996</v>
      </c>
      <c r="D25" s="20" t="s">
        <v>1566</v>
      </c>
      <c r="E25" s="20">
        <v>19</v>
      </c>
      <c r="F25" s="20">
        <v>24</v>
      </c>
      <c r="G25" s="270">
        <v>48.1</v>
      </c>
      <c r="H25" s="478">
        <v>51.669999999999995</v>
      </c>
      <c r="I25" s="769">
        <v>53.69</v>
      </c>
      <c r="J25" s="477">
        <v>53.69</v>
      </c>
      <c r="K25" s="479">
        <f t="shared" si="0"/>
        <v>0</v>
      </c>
      <c r="L25" s="468">
        <f t="shared" si="1"/>
        <v>0</v>
      </c>
      <c r="M25" s="476">
        <v>4.1500000000000004</v>
      </c>
      <c r="N25" s="476">
        <v>6.65</v>
      </c>
    </row>
    <row r="26" spans="1:14" x14ac:dyDescent="0.2">
      <c r="A26" s="6" t="s">
        <v>7217</v>
      </c>
      <c r="B26" s="11" t="s">
        <v>7218</v>
      </c>
      <c r="C26" s="501">
        <v>62.16</v>
      </c>
      <c r="D26" s="20" t="s">
        <v>647</v>
      </c>
      <c r="E26" s="20">
        <v>20</v>
      </c>
      <c r="F26" s="20">
        <v>24</v>
      </c>
      <c r="G26" s="270">
        <v>48.1</v>
      </c>
      <c r="H26" s="478">
        <v>52.489999999999995</v>
      </c>
      <c r="I26" s="769">
        <v>53.69</v>
      </c>
      <c r="J26" s="477">
        <v>53.725000000000001</v>
      </c>
      <c r="K26" s="479">
        <f t="shared" si="0"/>
        <v>3.5000000000003695E-2</v>
      </c>
      <c r="L26" s="468">
        <f t="shared" si="1"/>
        <v>6.518904823990258E-4</v>
      </c>
      <c r="M26" s="476">
        <v>4.5999999999999996</v>
      </c>
      <c r="N26" s="476">
        <v>4.5999999999999996</v>
      </c>
    </row>
    <row r="27" spans="1:14" s="40" customFormat="1" x14ac:dyDescent="0.2">
      <c r="A27" s="6" t="s">
        <v>7219</v>
      </c>
      <c r="B27" s="11" t="s">
        <v>7220</v>
      </c>
      <c r="C27" s="501">
        <v>58.800000000000004</v>
      </c>
      <c r="D27" s="20" t="s">
        <v>4636</v>
      </c>
      <c r="E27" s="20">
        <v>20</v>
      </c>
      <c r="F27" s="20">
        <v>26</v>
      </c>
      <c r="G27" s="270">
        <v>49</v>
      </c>
      <c r="H27" s="478">
        <v>52.949999999999996</v>
      </c>
      <c r="I27" s="769">
        <v>54.407499999999999</v>
      </c>
      <c r="J27" s="477">
        <v>54.46</v>
      </c>
      <c r="K27" s="479">
        <f t="shared" si="0"/>
        <v>5.250000000000199E-2</v>
      </c>
      <c r="L27" s="468">
        <f t="shared" si="1"/>
        <v>9.6494049533615758E-4</v>
      </c>
      <c r="M27" s="476">
        <v>4.5999999999999996</v>
      </c>
      <c r="N27" s="476">
        <v>4.5999999999999996</v>
      </c>
    </row>
    <row r="28" spans="1:14" x14ac:dyDescent="0.2">
      <c r="A28" s="6" t="s">
        <v>7221</v>
      </c>
      <c r="B28" s="6" t="s">
        <v>7222</v>
      </c>
      <c r="C28" s="501">
        <v>62.93</v>
      </c>
      <c r="D28" s="20" t="s">
        <v>4636</v>
      </c>
      <c r="E28" s="20">
        <v>20</v>
      </c>
      <c r="F28" s="20">
        <v>30</v>
      </c>
      <c r="G28" s="490"/>
      <c r="H28" s="491"/>
      <c r="I28" s="769">
        <v>54.41</v>
      </c>
      <c r="J28" s="477">
        <v>54.7575</v>
      </c>
      <c r="K28" s="479">
        <f t="shared" si="0"/>
        <v>0.34750000000000369</v>
      </c>
      <c r="L28" s="468">
        <f t="shared" si="1"/>
        <v>6.386693622495933E-3</v>
      </c>
      <c r="M28" s="476">
        <v>4.5999999999999996</v>
      </c>
      <c r="N28" s="476">
        <v>4.5999999999999996</v>
      </c>
    </row>
    <row r="29" spans="1:14" x14ac:dyDescent="0.2">
      <c r="A29" s="11" t="s">
        <v>7223</v>
      </c>
      <c r="B29" s="11" t="s">
        <v>7224</v>
      </c>
      <c r="C29" s="501">
        <v>73.412500000000009</v>
      </c>
      <c r="D29" s="20" t="s">
        <v>2194</v>
      </c>
      <c r="E29" s="20">
        <v>22</v>
      </c>
      <c r="F29" s="20">
        <v>30</v>
      </c>
      <c r="G29" s="270">
        <v>51</v>
      </c>
      <c r="H29" s="478">
        <v>58.37</v>
      </c>
      <c r="I29" s="769">
        <v>67.637500000000003</v>
      </c>
      <c r="J29" s="477">
        <v>67.97</v>
      </c>
      <c r="K29" s="479">
        <f t="shared" si="0"/>
        <v>0.33249999999999602</v>
      </c>
      <c r="L29" s="468">
        <f t="shared" si="1"/>
        <v>4.9159120310478064E-3</v>
      </c>
      <c r="M29" s="476">
        <v>4.5999999999999996</v>
      </c>
      <c r="N29" s="476">
        <v>4.5999999999999996</v>
      </c>
    </row>
    <row r="30" spans="1:14" x14ac:dyDescent="0.2">
      <c r="A30" s="40" t="s">
        <v>7225</v>
      </c>
      <c r="B30" s="40" t="s">
        <v>7226</v>
      </c>
      <c r="C30" s="990">
        <v>75</v>
      </c>
      <c r="G30" s="270"/>
      <c r="H30" s="478"/>
      <c r="I30" s="769"/>
      <c r="J30" s="477"/>
      <c r="K30" s="479"/>
      <c r="L30" s="468"/>
      <c r="N30" s="476"/>
    </row>
    <row r="31" spans="1:14" s="40" customFormat="1" x14ac:dyDescent="0.2">
      <c r="A31" s="11" t="s">
        <v>7227</v>
      </c>
      <c r="B31" s="11" t="s">
        <v>7228</v>
      </c>
      <c r="C31" s="501">
        <v>75.25</v>
      </c>
      <c r="D31" s="20" t="s">
        <v>7229</v>
      </c>
      <c r="E31" s="20">
        <v>23</v>
      </c>
      <c r="F31" s="20">
        <v>38</v>
      </c>
      <c r="G31" s="270">
        <v>57</v>
      </c>
      <c r="H31" s="478">
        <v>61.75</v>
      </c>
      <c r="I31" s="769">
        <v>69.387500000000003</v>
      </c>
      <c r="J31" s="477">
        <v>69.790000000000006</v>
      </c>
      <c r="K31" s="479">
        <f t="shared" si="0"/>
        <v>0.40250000000000341</v>
      </c>
      <c r="L31" s="468">
        <f t="shared" si="1"/>
        <v>5.8007566204288001E-3</v>
      </c>
      <c r="M31" s="476">
        <v>4.5999999999999996</v>
      </c>
      <c r="N31" s="476">
        <v>4.5999999999999996</v>
      </c>
    </row>
    <row r="32" spans="1:14" ht="15" customHeight="1" x14ac:dyDescent="0.2">
      <c r="A32" s="11" t="s">
        <v>7230</v>
      </c>
      <c r="B32" s="11" t="s">
        <v>7231</v>
      </c>
      <c r="C32" s="501">
        <v>63.47</v>
      </c>
      <c r="D32" s="20" t="s">
        <v>139</v>
      </c>
      <c r="E32" s="20">
        <v>24</v>
      </c>
      <c r="F32" s="20">
        <v>24</v>
      </c>
      <c r="G32" s="270">
        <v>48.1</v>
      </c>
      <c r="H32" s="478">
        <v>54.07</v>
      </c>
      <c r="I32" s="769">
        <v>54.39</v>
      </c>
      <c r="J32" s="477">
        <v>54.442499999999995</v>
      </c>
      <c r="K32" s="479">
        <f t="shared" si="0"/>
        <v>5.2499999999994884E-2</v>
      </c>
      <c r="L32" s="468">
        <f t="shared" si="1"/>
        <v>9.6525096525087116E-4</v>
      </c>
      <c r="M32" s="476">
        <v>4.5999999999999996</v>
      </c>
      <c r="N32" s="476">
        <v>4.5999999999999996</v>
      </c>
    </row>
    <row r="33" spans="1:14" s="40" customFormat="1" ht="15" customHeight="1" x14ac:dyDescent="0.2">
      <c r="A33" s="11" t="s">
        <v>7232</v>
      </c>
      <c r="B33" s="11" t="s">
        <v>7233</v>
      </c>
      <c r="C33" s="501">
        <v>73.5</v>
      </c>
      <c r="D33" s="20" t="s">
        <v>7234</v>
      </c>
      <c r="E33" s="20">
        <v>24</v>
      </c>
      <c r="F33" s="20">
        <v>28</v>
      </c>
      <c r="G33" s="271"/>
      <c r="H33" s="480"/>
      <c r="I33" s="769">
        <v>68.372500000000002</v>
      </c>
      <c r="J33" s="477">
        <v>68.740000000000009</v>
      </c>
      <c r="K33" s="479">
        <f t="shared" si="0"/>
        <v>0.36750000000000682</v>
      </c>
      <c r="L33" s="468">
        <f t="shared" si="1"/>
        <v>5.3749680061429203E-3</v>
      </c>
      <c r="M33" s="476">
        <v>4.5999999999999996</v>
      </c>
      <c r="N33" s="476">
        <v>4.5999999999999996</v>
      </c>
    </row>
    <row r="34" spans="1:14" s="40" customFormat="1" ht="15" customHeight="1" x14ac:dyDescent="0.2">
      <c r="A34" s="11" t="s">
        <v>7235</v>
      </c>
      <c r="B34" s="11" t="s">
        <v>7236</v>
      </c>
      <c r="C34" s="501">
        <v>74.13</v>
      </c>
      <c r="D34" s="20" t="s">
        <v>7237</v>
      </c>
      <c r="E34" s="20">
        <v>24</v>
      </c>
      <c r="F34" s="20">
        <v>28.5</v>
      </c>
      <c r="G34" s="270">
        <v>53</v>
      </c>
      <c r="H34" s="478">
        <v>59.129999999999995</v>
      </c>
      <c r="I34" s="769">
        <v>68.372500000000002</v>
      </c>
      <c r="J34" s="477">
        <v>68.740000000000009</v>
      </c>
      <c r="K34" s="479">
        <f t="shared" si="0"/>
        <v>0.36750000000000682</v>
      </c>
      <c r="L34" s="468">
        <f t="shared" si="1"/>
        <v>5.3749680061429203E-3</v>
      </c>
      <c r="M34" s="476">
        <v>4.5999999999999996</v>
      </c>
      <c r="N34" s="476">
        <v>4.5999999999999996</v>
      </c>
    </row>
    <row r="35" spans="1:14" x14ac:dyDescent="0.2">
      <c r="A35" s="11" t="s">
        <v>7238</v>
      </c>
      <c r="B35" s="11" t="s">
        <v>7239</v>
      </c>
      <c r="C35" s="501">
        <v>74.2</v>
      </c>
      <c r="D35" s="20" t="s">
        <v>354</v>
      </c>
      <c r="E35" s="20">
        <v>24</v>
      </c>
      <c r="F35" s="20">
        <v>30</v>
      </c>
      <c r="G35" s="270">
        <v>53.09</v>
      </c>
      <c r="H35" s="478">
        <v>59.489999999999995</v>
      </c>
      <c r="I35" s="769">
        <v>68.372500000000002</v>
      </c>
      <c r="J35" s="477">
        <v>68.915000000000006</v>
      </c>
      <c r="K35" s="479">
        <f t="shared" si="0"/>
        <v>0.54250000000000398</v>
      </c>
      <c r="L35" s="468">
        <f t="shared" si="1"/>
        <v>7.9344765804966032E-3</v>
      </c>
      <c r="M35" s="476">
        <v>4.5999999999999996</v>
      </c>
      <c r="N35" s="476">
        <v>4.5999999999999996</v>
      </c>
    </row>
    <row r="36" spans="1:14" s="40" customFormat="1" x14ac:dyDescent="0.2">
      <c r="A36" s="11" t="s">
        <v>7240</v>
      </c>
      <c r="B36" s="11" t="s">
        <v>7241</v>
      </c>
      <c r="C36" s="501">
        <v>79.239999999999995</v>
      </c>
      <c r="D36" s="20" t="s">
        <v>5350</v>
      </c>
      <c r="E36" s="20">
        <v>24</v>
      </c>
      <c r="F36" s="159">
        <v>32</v>
      </c>
      <c r="G36" s="271"/>
      <c r="H36" s="480"/>
      <c r="I36" s="769">
        <v>68.477500000000006</v>
      </c>
      <c r="J36" s="477">
        <v>68.915000000000006</v>
      </c>
      <c r="K36" s="479">
        <f t="shared" si="0"/>
        <v>0.4375</v>
      </c>
      <c r="L36" s="468">
        <f t="shared" si="1"/>
        <v>6.3889598773319697E-3</v>
      </c>
      <c r="M36" s="476">
        <v>4.5999999999999996</v>
      </c>
      <c r="N36" s="476">
        <v>4.5999999999999996</v>
      </c>
    </row>
    <row r="37" spans="1:14" s="40" customFormat="1" x14ac:dyDescent="0.2">
      <c r="A37" s="11" t="s">
        <v>7242</v>
      </c>
      <c r="B37" s="11" t="s">
        <v>7243</v>
      </c>
      <c r="C37" s="501">
        <v>75.162500000000009</v>
      </c>
      <c r="D37" s="20" t="s">
        <v>100</v>
      </c>
      <c r="E37" s="20">
        <v>24</v>
      </c>
      <c r="F37" s="20">
        <v>36</v>
      </c>
      <c r="G37" s="270">
        <v>56.33</v>
      </c>
      <c r="H37" s="478">
        <v>61.559999999999995</v>
      </c>
      <c r="I37" s="769">
        <v>69.334999999999994</v>
      </c>
      <c r="J37" s="477">
        <v>69.737499999999997</v>
      </c>
      <c r="K37" s="479">
        <f t="shared" si="0"/>
        <v>0.40250000000000341</v>
      </c>
      <c r="L37" s="468">
        <f t="shared" si="1"/>
        <v>5.8051489146896005E-3</v>
      </c>
      <c r="M37" s="476">
        <v>4.5999999999999996</v>
      </c>
      <c r="N37" s="476">
        <v>4.5999999999999996</v>
      </c>
    </row>
    <row r="38" spans="1:14" x14ac:dyDescent="0.2">
      <c r="A38" s="11" t="s">
        <v>7244</v>
      </c>
      <c r="B38" s="11" t="s">
        <v>7245</v>
      </c>
      <c r="C38" s="501">
        <v>78.137500000000003</v>
      </c>
      <c r="D38" s="20" t="s">
        <v>7246</v>
      </c>
      <c r="E38" s="20">
        <v>24</v>
      </c>
      <c r="F38" s="20">
        <v>48</v>
      </c>
      <c r="G38" s="270">
        <v>72</v>
      </c>
      <c r="H38" s="478">
        <v>66.28</v>
      </c>
      <c r="I38" s="769">
        <v>72.240000000000009</v>
      </c>
      <c r="J38" s="477">
        <v>72.73</v>
      </c>
      <c r="K38" s="479">
        <f t="shared" si="0"/>
        <v>0.48999999999999488</v>
      </c>
      <c r="L38" s="468">
        <f t="shared" si="1"/>
        <v>6.7829457364340364E-3</v>
      </c>
      <c r="M38" s="476">
        <v>4.5999999999999996</v>
      </c>
      <c r="N38" s="476">
        <v>6.65</v>
      </c>
    </row>
    <row r="39" spans="1:14" x14ac:dyDescent="0.2">
      <c r="A39" s="11" t="s">
        <v>7247</v>
      </c>
      <c r="B39" s="11" t="s">
        <v>7248</v>
      </c>
      <c r="C39" s="501">
        <v>106.75</v>
      </c>
      <c r="D39" s="20" t="s">
        <v>7249</v>
      </c>
      <c r="E39" s="20">
        <v>24</v>
      </c>
      <c r="F39" s="20">
        <v>60</v>
      </c>
      <c r="G39" s="270">
        <v>93.259999999999991</v>
      </c>
      <c r="H39" s="478">
        <v>82.990000000000009</v>
      </c>
      <c r="I39" s="769">
        <v>97.894999999999996</v>
      </c>
      <c r="J39" s="477">
        <v>98.752499999999998</v>
      </c>
      <c r="K39" s="479">
        <f t="shared" si="0"/>
        <v>0.85750000000000171</v>
      </c>
      <c r="L39" s="468">
        <f t="shared" si="1"/>
        <v>8.7593850554165357E-3</v>
      </c>
      <c r="M39" s="476">
        <v>4.5999999999999996</v>
      </c>
      <c r="N39" s="476">
        <v>6.65</v>
      </c>
    </row>
    <row r="40" spans="1:14" s="25" customFormat="1" x14ac:dyDescent="0.2">
      <c r="A40" s="25" t="s">
        <v>7250</v>
      </c>
      <c r="B40" s="25" t="s">
        <v>7251</v>
      </c>
      <c r="C40" s="664">
        <v>79.239999999999995</v>
      </c>
      <c r="D40" s="144"/>
      <c r="E40" s="144"/>
      <c r="F40" s="144"/>
      <c r="G40" s="270"/>
      <c r="H40" s="478"/>
      <c r="I40" s="1100"/>
      <c r="J40" s="1101"/>
      <c r="K40" s="479"/>
      <c r="L40" s="468"/>
      <c r="M40" s="1102"/>
      <c r="N40" s="1102"/>
    </row>
    <row r="41" spans="1:14" s="40" customFormat="1" x14ac:dyDescent="0.2">
      <c r="A41" s="40" t="s">
        <v>7252</v>
      </c>
      <c r="B41" s="40" t="s">
        <v>7253</v>
      </c>
      <c r="C41" s="990">
        <v>79</v>
      </c>
      <c r="D41" s="159"/>
      <c r="E41" s="159"/>
      <c r="F41" s="159"/>
      <c r="G41" s="271"/>
      <c r="H41" s="480"/>
      <c r="I41" s="770"/>
      <c r="J41" s="481"/>
      <c r="K41" s="637"/>
      <c r="L41" s="493"/>
      <c r="M41" s="638"/>
      <c r="N41" s="638"/>
    </row>
    <row r="42" spans="1:14" x14ac:dyDescent="0.2">
      <c r="A42" s="40" t="s">
        <v>7254</v>
      </c>
      <c r="B42" s="40" t="s">
        <v>7255</v>
      </c>
      <c r="C42" s="990">
        <v>74</v>
      </c>
      <c r="G42" s="270"/>
      <c r="H42" s="478"/>
      <c r="I42" s="769"/>
      <c r="J42" s="477"/>
      <c r="K42" s="479"/>
      <c r="L42" s="468"/>
      <c r="N42" s="476"/>
    </row>
    <row r="43" spans="1:14" x14ac:dyDescent="0.2">
      <c r="A43" s="11" t="s">
        <v>7256</v>
      </c>
      <c r="B43" s="11" t="s">
        <v>7257</v>
      </c>
      <c r="C43" s="501">
        <v>106.75</v>
      </c>
      <c r="D43" s="20" t="s">
        <v>7258</v>
      </c>
      <c r="E43" s="20">
        <v>26</v>
      </c>
      <c r="F43" s="20">
        <v>56</v>
      </c>
      <c r="G43" s="270">
        <v>93.259999999999991</v>
      </c>
      <c r="H43" s="478">
        <v>82.86</v>
      </c>
      <c r="I43" s="769">
        <v>97.894999999999996</v>
      </c>
      <c r="J43" s="477">
        <v>98.752499999999998</v>
      </c>
      <c r="K43" s="479">
        <f t="shared" si="0"/>
        <v>0.85750000000000171</v>
      </c>
      <c r="L43" s="468">
        <f t="shared" si="1"/>
        <v>8.7593850554165357E-3</v>
      </c>
      <c r="M43" s="476">
        <v>4.5999999999999996</v>
      </c>
      <c r="N43" s="476">
        <v>6.6</v>
      </c>
    </row>
    <row r="44" spans="1:14" x14ac:dyDescent="0.2">
      <c r="A44" s="11" t="s">
        <v>7259</v>
      </c>
      <c r="B44" s="11" t="s">
        <v>7260</v>
      </c>
      <c r="C44" s="501">
        <v>75.337499999999991</v>
      </c>
      <c r="D44" s="20" t="s">
        <v>1298</v>
      </c>
      <c r="E44" s="20">
        <v>28</v>
      </c>
      <c r="F44" s="20">
        <v>35</v>
      </c>
      <c r="G44" s="270">
        <v>56.33</v>
      </c>
      <c r="H44" s="478">
        <v>63.69</v>
      </c>
      <c r="I44" s="769">
        <v>69.492500000000007</v>
      </c>
      <c r="J44" s="477">
        <v>69.912500000000009</v>
      </c>
      <c r="K44" s="479">
        <f t="shared" si="0"/>
        <v>0.42000000000000171</v>
      </c>
      <c r="L44" s="468">
        <f t="shared" si="1"/>
        <v>6.0438176781667328E-3</v>
      </c>
      <c r="M44" s="476">
        <v>4.5999999999999996</v>
      </c>
      <c r="N44" s="476">
        <v>4.5999999999999996</v>
      </c>
    </row>
    <row r="45" spans="1:14" s="40" customFormat="1" x14ac:dyDescent="0.2">
      <c r="A45" s="11" t="s">
        <v>7261</v>
      </c>
      <c r="B45" s="11" t="s">
        <v>7262</v>
      </c>
      <c r="C45" s="501">
        <v>107.53750000000001</v>
      </c>
      <c r="D45" s="20" t="s">
        <v>7263</v>
      </c>
      <c r="E45" s="20">
        <v>28.5</v>
      </c>
      <c r="F45" s="20">
        <v>56</v>
      </c>
      <c r="G45" s="270"/>
      <c r="H45" s="478"/>
      <c r="I45" s="769">
        <v>98.7</v>
      </c>
      <c r="J45" s="477">
        <v>99.592500000000001</v>
      </c>
      <c r="K45" s="479">
        <f t="shared" si="0"/>
        <v>0.89249999999999829</v>
      </c>
      <c r="L45" s="468">
        <f t="shared" si="1"/>
        <v>9.0425531914893435E-3</v>
      </c>
      <c r="M45" s="476">
        <v>4.5999999999999996</v>
      </c>
      <c r="N45" s="476">
        <v>6.65</v>
      </c>
    </row>
    <row r="46" spans="1:14" s="25" customFormat="1" x14ac:dyDescent="0.2">
      <c r="A46" s="25" t="s">
        <v>7264</v>
      </c>
      <c r="B46" s="25" t="s">
        <v>7265</v>
      </c>
      <c r="C46" s="664">
        <v>80.27</v>
      </c>
      <c r="D46" s="144"/>
      <c r="E46" s="144"/>
      <c r="F46" s="144"/>
      <c r="G46" s="270"/>
      <c r="H46" s="478"/>
      <c r="I46" s="1100"/>
      <c r="J46" s="1101"/>
      <c r="K46" s="479"/>
      <c r="L46" s="468"/>
      <c r="M46" s="1102"/>
      <c r="N46" s="1102"/>
    </row>
    <row r="47" spans="1:14" s="40" customFormat="1" x14ac:dyDescent="0.2">
      <c r="A47" s="29" t="s">
        <v>7266</v>
      </c>
      <c r="B47" s="11" t="s">
        <v>7267</v>
      </c>
      <c r="C47" s="501">
        <v>76.125</v>
      </c>
      <c r="D47" s="20" t="s">
        <v>4560</v>
      </c>
      <c r="E47" s="20">
        <v>30</v>
      </c>
      <c r="F47" s="159">
        <v>36</v>
      </c>
      <c r="G47" s="270"/>
      <c r="H47" s="478"/>
      <c r="I47" s="769">
        <v>70.3</v>
      </c>
      <c r="J47" s="477">
        <v>70.734999999999999</v>
      </c>
      <c r="K47" s="479">
        <f t="shared" si="0"/>
        <v>0.43500000000000227</v>
      </c>
      <c r="L47" s="468">
        <f t="shared" si="1"/>
        <v>6.1877667140825361E-3</v>
      </c>
      <c r="M47" s="476">
        <v>4.5999999999999996</v>
      </c>
      <c r="N47" s="476">
        <v>4.5999999999999996</v>
      </c>
    </row>
    <row r="48" spans="1:14" x14ac:dyDescent="0.2">
      <c r="A48" s="11" t="s">
        <v>7268</v>
      </c>
      <c r="B48" s="11" t="s">
        <v>7269</v>
      </c>
      <c r="C48" s="501">
        <v>76.3</v>
      </c>
      <c r="D48" s="20" t="s">
        <v>51</v>
      </c>
      <c r="E48" s="20">
        <v>30</v>
      </c>
      <c r="F48" s="144">
        <v>40</v>
      </c>
      <c r="G48" s="270">
        <v>57.95</v>
      </c>
      <c r="H48" s="478">
        <v>66.300000000000011</v>
      </c>
      <c r="I48" s="769">
        <v>70.297499999999999</v>
      </c>
      <c r="J48" s="477">
        <v>70.839999999999989</v>
      </c>
      <c r="K48" s="479">
        <f t="shared" si="0"/>
        <v>0.54249999999998977</v>
      </c>
      <c r="L48" s="468">
        <f t="shared" si="1"/>
        <v>7.7172018919590283E-3</v>
      </c>
      <c r="M48" s="476">
        <v>4.5999999999999996</v>
      </c>
      <c r="N48" s="476">
        <v>6.65</v>
      </c>
    </row>
    <row r="49" spans="1:14" x14ac:dyDescent="0.2">
      <c r="A49" s="11" t="s">
        <v>7270</v>
      </c>
      <c r="B49" s="11" t="s">
        <v>7271</v>
      </c>
      <c r="C49" s="501">
        <v>78.259999999999991</v>
      </c>
      <c r="D49" s="20" t="s">
        <v>7272</v>
      </c>
      <c r="E49" s="20">
        <v>30</v>
      </c>
      <c r="F49" s="144">
        <v>42</v>
      </c>
      <c r="G49" s="270">
        <v>61</v>
      </c>
      <c r="H49" s="478">
        <v>67.460000000000008</v>
      </c>
      <c r="I49" s="769">
        <v>72.38</v>
      </c>
      <c r="J49" s="477">
        <v>72.887500000000003</v>
      </c>
      <c r="K49" s="479">
        <f t="shared" si="0"/>
        <v>0.50750000000000739</v>
      </c>
      <c r="L49" s="468">
        <f t="shared" si="1"/>
        <v>7.0116054158608377E-3</v>
      </c>
      <c r="M49" s="476">
        <v>4.5999999999999996</v>
      </c>
      <c r="N49" s="476">
        <v>6.65</v>
      </c>
    </row>
    <row r="50" spans="1:14" s="40" customFormat="1" x14ac:dyDescent="0.2">
      <c r="A50" s="11" t="s">
        <v>7273</v>
      </c>
      <c r="B50" s="11" t="s">
        <v>7274</v>
      </c>
      <c r="C50" s="501">
        <v>105.875</v>
      </c>
      <c r="D50" s="20" t="s">
        <v>2977</v>
      </c>
      <c r="E50" s="20">
        <v>30</v>
      </c>
      <c r="F50" s="144">
        <v>48</v>
      </c>
      <c r="G50" s="270">
        <v>80</v>
      </c>
      <c r="H50" s="478">
        <v>82.29</v>
      </c>
      <c r="I50" s="769">
        <v>97.002499999999998</v>
      </c>
      <c r="J50" s="477">
        <v>97.842500000000001</v>
      </c>
      <c r="K50" s="479">
        <f t="shared" si="0"/>
        <v>0.84000000000000341</v>
      </c>
      <c r="L50" s="468">
        <f t="shared" si="1"/>
        <v>8.6595706296229841E-3</v>
      </c>
      <c r="M50" s="476">
        <v>4.5999999999999996</v>
      </c>
      <c r="N50" s="476">
        <v>6.65</v>
      </c>
    </row>
    <row r="51" spans="1:14" x14ac:dyDescent="0.2">
      <c r="A51" s="11" t="s">
        <v>7275</v>
      </c>
      <c r="B51" s="11" t="s">
        <v>7276</v>
      </c>
      <c r="C51" s="501">
        <v>107.625</v>
      </c>
      <c r="D51" s="20" t="s">
        <v>7277</v>
      </c>
      <c r="E51" s="20">
        <v>30</v>
      </c>
      <c r="F51" s="144">
        <v>60</v>
      </c>
      <c r="G51" s="270">
        <v>96.35</v>
      </c>
      <c r="H51" s="478">
        <v>86.820000000000007</v>
      </c>
      <c r="I51" s="769">
        <v>98.7</v>
      </c>
      <c r="J51" s="477">
        <v>99.61</v>
      </c>
      <c r="K51" s="479">
        <f t="shared" si="0"/>
        <v>0.90999999999999659</v>
      </c>
      <c r="L51" s="468">
        <f t="shared" si="1"/>
        <v>9.2198581560283335E-3</v>
      </c>
      <c r="M51" s="476">
        <v>4.5999999999999996</v>
      </c>
      <c r="N51" s="476">
        <v>6.65</v>
      </c>
    </row>
    <row r="52" spans="1:14" x14ac:dyDescent="0.2">
      <c r="A52" s="11" t="s">
        <v>7278</v>
      </c>
      <c r="B52" s="11" t="s">
        <v>7279</v>
      </c>
      <c r="C52" s="501">
        <v>75.25</v>
      </c>
      <c r="D52" s="20" t="s">
        <v>1608</v>
      </c>
      <c r="E52" s="20">
        <v>31</v>
      </c>
      <c r="F52" s="144">
        <v>31</v>
      </c>
      <c r="G52" s="270">
        <v>55.55</v>
      </c>
      <c r="H52" s="478">
        <v>63.48</v>
      </c>
      <c r="I52" s="769">
        <v>69.44</v>
      </c>
      <c r="J52" s="477">
        <v>69.86</v>
      </c>
      <c r="K52" s="479">
        <f t="shared" si="0"/>
        <v>0.42000000000000171</v>
      </c>
      <c r="L52" s="468">
        <f t="shared" si="1"/>
        <v>6.0483870967742185E-3</v>
      </c>
      <c r="M52" s="476">
        <v>4.5999999999999996</v>
      </c>
      <c r="N52" s="476">
        <v>4.5999999999999996</v>
      </c>
    </row>
    <row r="53" spans="1:14" x14ac:dyDescent="0.2">
      <c r="A53" s="11" t="s">
        <v>7280</v>
      </c>
      <c r="B53" s="11" t="s">
        <v>7281</v>
      </c>
      <c r="C53" s="501">
        <v>76.825000000000003</v>
      </c>
      <c r="D53" s="20" t="s">
        <v>7282</v>
      </c>
      <c r="E53" s="20">
        <v>31</v>
      </c>
      <c r="F53" s="144">
        <v>40</v>
      </c>
      <c r="G53" s="270">
        <v>59.45</v>
      </c>
      <c r="H53" s="478">
        <v>67.210000000000008</v>
      </c>
      <c r="I53" s="769">
        <v>70.98</v>
      </c>
      <c r="J53" s="477">
        <v>71.452500000000001</v>
      </c>
      <c r="K53" s="479">
        <f t="shared" si="0"/>
        <v>0.47249999999999659</v>
      </c>
      <c r="L53" s="468">
        <f t="shared" si="1"/>
        <v>6.6568047337277622E-3</v>
      </c>
      <c r="M53" s="476">
        <v>4.5999999999999996</v>
      </c>
      <c r="N53" s="476">
        <v>6.65</v>
      </c>
    </row>
    <row r="54" spans="1:14" x14ac:dyDescent="0.2">
      <c r="A54" s="11" t="s">
        <v>7283</v>
      </c>
      <c r="B54" s="11" t="s">
        <v>7284</v>
      </c>
      <c r="C54" s="501">
        <v>105.78750000000001</v>
      </c>
      <c r="D54" s="20" t="s">
        <v>5605</v>
      </c>
      <c r="E54" s="20">
        <v>31</v>
      </c>
      <c r="F54" s="144">
        <v>47</v>
      </c>
      <c r="G54" s="270">
        <v>67</v>
      </c>
      <c r="H54" s="478">
        <v>82.39</v>
      </c>
      <c r="I54" s="769">
        <v>97.002499999999998</v>
      </c>
      <c r="J54" s="477">
        <v>97.842500000000001</v>
      </c>
      <c r="K54" s="479">
        <f t="shared" si="0"/>
        <v>0.84000000000000341</v>
      </c>
      <c r="L54" s="468">
        <f t="shared" si="1"/>
        <v>8.6595706296229841E-3</v>
      </c>
      <c r="M54" s="476">
        <v>4.5999999999999996</v>
      </c>
      <c r="N54" s="476">
        <v>6.65</v>
      </c>
    </row>
    <row r="55" spans="1:14" x14ac:dyDescent="0.2">
      <c r="A55" s="11" t="s">
        <v>7285</v>
      </c>
      <c r="B55" s="11" t="s">
        <v>7286</v>
      </c>
      <c r="C55" s="501">
        <v>75.25</v>
      </c>
      <c r="D55" s="20" t="s">
        <v>4812</v>
      </c>
      <c r="E55" s="20">
        <v>32</v>
      </c>
      <c r="F55" s="144">
        <v>32</v>
      </c>
      <c r="G55" s="270">
        <v>56.33</v>
      </c>
      <c r="H55" s="478">
        <v>64.660000000000011</v>
      </c>
      <c r="I55" s="769">
        <v>69.44</v>
      </c>
      <c r="J55" s="477">
        <v>69.86</v>
      </c>
      <c r="K55" s="479">
        <f t="shared" ref="K55:K88" si="2">J55-I55</f>
        <v>0.42000000000000171</v>
      </c>
      <c r="L55" s="468">
        <f t="shared" ref="L55:L88" si="3">K55/I55</f>
        <v>6.0483870967742185E-3</v>
      </c>
      <c r="M55" s="476">
        <v>4.5999999999999996</v>
      </c>
      <c r="N55" s="476">
        <v>4.5999999999999996</v>
      </c>
    </row>
    <row r="56" spans="1:14" x14ac:dyDescent="0.2">
      <c r="A56" s="40" t="s">
        <v>7287</v>
      </c>
      <c r="B56" s="40" t="s">
        <v>7288</v>
      </c>
      <c r="C56" s="990">
        <v>77.37</v>
      </c>
      <c r="F56" s="144"/>
      <c r="G56" s="270"/>
      <c r="H56" s="478"/>
      <c r="I56" s="769"/>
      <c r="J56" s="477"/>
      <c r="K56" s="479"/>
      <c r="L56" s="468"/>
      <c r="N56" s="476"/>
    </row>
    <row r="57" spans="1:14" x14ac:dyDescent="0.2">
      <c r="A57" s="11" t="s">
        <v>7289</v>
      </c>
      <c r="B57" s="11" t="s">
        <v>7290</v>
      </c>
      <c r="C57" s="501">
        <v>76.125</v>
      </c>
      <c r="D57" s="20" t="s">
        <v>7291</v>
      </c>
      <c r="E57" s="20">
        <v>32</v>
      </c>
      <c r="F57" s="144">
        <v>38</v>
      </c>
      <c r="G57" s="270">
        <v>59.45</v>
      </c>
      <c r="H57" s="478">
        <v>66.97</v>
      </c>
      <c r="I57" s="769">
        <v>70.297499999999999</v>
      </c>
      <c r="J57" s="477">
        <v>70.734999999999999</v>
      </c>
      <c r="K57" s="479">
        <f t="shared" si="2"/>
        <v>0.4375</v>
      </c>
      <c r="L57" s="468">
        <f t="shared" si="3"/>
        <v>6.2235499128703011E-3</v>
      </c>
      <c r="M57" s="476">
        <v>4.5999999999999996</v>
      </c>
      <c r="N57" s="476">
        <v>4.5999999999999996</v>
      </c>
    </row>
    <row r="58" spans="1:14" x14ac:dyDescent="0.2">
      <c r="A58" s="11" t="s">
        <v>7292</v>
      </c>
      <c r="B58" s="11" t="s">
        <v>7293</v>
      </c>
      <c r="C58" s="501">
        <v>83.3</v>
      </c>
      <c r="D58" s="20" t="s">
        <v>819</v>
      </c>
      <c r="E58" s="20">
        <v>32</v>
      </c>
      <c r="F58" s="144">
        <v>40</v>
      </c>
      <c r="G58" s="270">
        <v>59.45</v>
      </c>
      <c r="H58" s="478">
        <v>67.56</v>
      </c>
      <c r="I58" s="769">
        <v>69.685000000000002</v>
      </c>
      <c r="J58" s="477">
        <v>72.887500000000003</v>
      </c>
      <c r="K58" s="479">
        <f t="shared" si="2"/>
        <v>3.2025000000000006</v>
      </c>
      <c r="L58" s="468">
        <f t="shared" si="3"/>
        <v>4.5956805625313922E-2</v>
      </c>
      <c r="M58" s="476">
        <v>4.5999999999999996</v>
      </c>
      <c r="N58" s="476">
        <v>6.65</v>
      </c>
    </row>
    <row r="59" spans="1:14" s="40" customFormat="1" x14ac:dyDescent="0.2">
      <c r="A59" s="11" t="s">
        <v>7294</v>
      </c>
      <c r="B59" s="11" t="s">
        <v>7295</v>
      </c>
      <c r="C59" s="501">
        <v>105.78750000000001</v>
      </c>
      <c r="D59" s="20" t="s">
        <v>3418</v>
      </c>
      <c r="E59" s="20">
        <v>33</v>
      </c>
      <c r="F59" s="144">
        <v>42</v>
      </c>
      <c r="G59" s="270">
        <v>67</v>
      </c>
      <c r="H59" s="478">
        <v>81.660000000000011</v>
      </c>
      <c r="I59" s="769">
        <v>97.002499999999998</v>
      </c>
      <c r="J59" s="477">
        <v>97.842500000000001</v>
      </c>
      <c r="K59" s="479">
        <f t="shared" si="2"/>
        <v>0.84000000000000341</v>
      </c>
      <c r="L59" s="468">
        <f t="shared" si="3"/>
        <v>8.6595706296229841E-3</v>
      </c>
      <c r="M59" s="476">
        <v>4.5999999999999996</v>
      </c>
      <c r="N59" s="476">
        <v>6.65</v>
      </c>
    </row>
    <row r="60" spans="1:14" s="40" customFormat="1" x14ac:dyDescent="0.2">
      <c r="A60" s="11" t="s">
        <v>7296</v>
      </c>
      <c r="B60" s="11" t="s">
        <v>7297</v>
      </c>
      <c r="C60" s="501">
        <v>106.61</v>
      </c>
      <c r="D60" s="20" t="s">
        <v>7298</v>
      </c>
      <c r="E60" s="20">
        <v>33</v>
      </c>
      <c r="F60" s="144">
        <v>48</v>
      </c>
      <c r="G60" s="270">
        <v>80</v>
      </c>
      <c r="H60" s="478">
        <v>84.02000000000001</v>
      </c>
      <c r="I60" s="769">
        <v>97.79</v>
      </c>
      <c r="J60" s="477">
        <v>98.734999999999999</v>
      </c>
      <c r="K60" s="479">
        <f t="shared" si="2"/>
        <v>0.94499999999999318</v>
      </c>
      <c r="L60" s="468">
        <f t="shared" si="3"/>
        <v>9.6635647816749482E-3</v>
      </c>
      <c r="M60" s="476">
        <v>4.5999999999999996</v>
      </c>
      <c r="N60" s="476">
        <v>6.65</v>
      </c>
    </row>
    <row r="61" spans="1:14" x14ac:dyDescent="0.2">
      <c r="A61" s="11" t="s">
        <v>7299</v>
      </c>
      <c r="B61" s="11" t="s">
        <v>7300</v>
      </c>
      <c r="C61" s="501">
        <v>106.66250000000001</v>
      </c>
      <c r="D61" s="20" t="s">
        <v>7301</v>
      </c>
      <c r="E61" s="20">
        <v>33</v>
      </c>
      <c r="F61" s="144">
        <v>50</v>
      </c>
      <c r="G61" s="270">
        <v>90</v>
      </c>
      <c r="H61" s="478">
        <v>84.600000000000009</v>
      </c>
      <c r="I61" s="769">
        <v>97.842500000000001</v>
      </c>
      <c r="J61" s="477">
        <v>98.734999999999999</v>
      </c>
      <c r="K61" s="479">
        <f t="shared" si="2"/>
        <v>0.89249999999999829</v>
      </c>
      <c r="L61" s="468">
        <f t="shared" si="3"/>
        <v>9.1218028975138445E-3</v>
      </c>
      <c r="M61" s="476">
        <v>4.5999999999999996</v>
      </c>
      <c r="N61" s="476">
        <v>6.65</v>
      </c>
    </row>
    <row r="62" spans="1:14" s="40" customFormat="1" x14ac:dyDescent="0.2">
      <c r="A62" s="11" t="s">
        <v>7302</v>
      </c>
      <c r="B62" s="11" t="s">
        <v>7303</v>
      </c>
      <c r="C62" s="501">
        <v>108.41250000000001</v>
      </c>
      <c r="D62" s="20" t="s">
        <v>7304</v>
      </c>
      <c r="E62" s="20">
        <v>33</v>
      </c>
      <c r="F62" s="144">
        <v>60</v>
      </c>
      <c r="G62" s="270">
        <v>99</v>
      </c>
      <c r="H62" s="478">
        <v>88.73</v>
      </c>
      <c r="I62" s="769">
        <v>99.487499999999997</v>
      </c>
      <c r="J62" s="477">
        <v>100.41500000000001</v>
      </c>
      <c r="K62" s="479">
        <f t="shared" si="2"/>
        <v>0.92750000000000909</v>
      </c>
      <c r="L62" s="468">
        <f t="shared" si="3"/>
        <v>9.3227792436236627E-3</v>
      </c>
      <c r="M62" s="476">
        <v>4.5999999999999996</v>
      </c>
      <c r="N62" s="476">
        <v>6.65</v>
      </c>
    </row>
    <row r="63" spans="1:14" s="40" customFormat="1" x14ac:dyDescent="0.2">
      <c r="A63" s="11" t="s">
        <v>7305</v>
      </c>
      <c r="B63" s="11" t="s">
        <v>7306</v>
      </c>
      <c r="C63" s="501">
        <v>105.78750000000001</v>
      </c>
      <c r="D63" s="20" t="s">
        <v>7307</v>
      </c>
      <c r="E63" s="20">
        <v>34</v>
      </c>
      <c r="F63" s="144">
        <v>42</v>
      </c>
      <c r="G63" s="270">
        <v>82</v>
      </c>
      <c r="H63" s="478">
        <v>81.990000000000009</v>
      </c>
      <c r="I63" s="769">
        <v>97.002499999999998</v>
      </c>
      <c r="J63" s="477">
        <v>99.61</v>
      </c>
      <c r="K63" s="479">
        <f t="shared" si="2"/>
        <v>2.6075000000000017</v>
      </c>
      <c r="L63" s="468">
        <f t="shared" si="3"/>
        <v>2.6880750496121254E-2</v>
      </c>
      <c r="M63" s="476">
        <v>4.5999999999999996</v>
      </c>
      <c r="N63" s="476">
        <v>6.65</v>
      </c>
    </row>
    <row r="64" spans="1:14" s="40" customFormat="1" x14ac:dyDescent="0.2">
      <c r="A64" s="11" t="s">
        <v>7308</v>
      </c>
      <c r="B64" s="6" t="s">
        <v>7309</v>
      </c>
      <c r="C64" s="501">
        <v>108.255</v>
      </c>
      <c r="D64" s="20" t="s">
        <v>7310</v>
      </c>
      <c r="E64" s="20">
        <v>34</v>
      </c>
      <c r="F64" s="159">
        <v>56</v>
      </c>
      <c r="G64" s="271"/>
      <c r="H64" s="480"/>
      <c r="I64" s="769">
        <v>99.56</v>
      </c>
      <c r="J64" s="477">
        <v>100.3275</v>
      </c>
      <c r="K64" s="479">
        <f t="shared" si="2"/>
        <v>0.76749999999999829</v>
      </c>
      <c r="L64" s="468">
        <f t="shared" si="3"/>
        <v>7.7089192446765592E-3</v>
      </c>
      <c r="M64" s="476">
        <v>4.5999999999999996</v>
      </c>
      <c r="N64" s="476">
        <v>6.65</v>
      </c>
    </row>
    <row r="65" spans="1:14" s="40" customFormat="1" x14ac:dyDescent="0.2">
      <c r="A65" s="11" t="s">
        <v>7311</v>
      </c>
      <c r="B65" s="11" t="s">
        <v>7312</v>
      </c>
      <c r="C65" s="501">
        <v>106.61</v>
      </c>
      <c r="D65" s="20" t="s">
        <v>7313</v>
      </c>
      <c r="E65" s="20">
        <v>35</v>
      </c>
      <c r="F65" s="144">
        <v>48</v>
      </c>
      <c r="G65" s="270">
        <v>95</v>
      </c>
      <c r="H65" s="478">
        <v>85.350000000000009</v>
      </c>
      <c r="I65" s="769">
        <v>97.79</v>
      </c>
      <c r="J65" s="477">
        <v>98.682500000000005</v>
      </c>
      <c r="K65" s="479">
        <f t="shared" si="2"/>
        <v>0.89249999999999829</v>
      </c>
      <c r="L65" s="468">
        <f t="shared" si="3"/>
        <v>9.1267000715819432E-3</v>
      </c>
      <c r="M65" s="476">
        <v>4.5999999999999996</v>
      </c>
      <c r="N65" s="476">
        <v>6.65</v>
      </c>
    </row>
    <row r="66" spans="1:14" s="40" customFormat="1" x14ac:dyDescent="0.2">
      <c r="A66" s="11" t="s">
        <v>7314</v>
      </c>
      <c r="B66" s="11" t="s">
        <v>7315</v>
      </c>
      <c r="C66" s="501">
        <v>107.55500000000001</v>
      </c>
      <c r="D66" s="20" t="s">
        <v>7316</v>
      </c>
      <c r="E66" s="20">
        <v>35</v>
      </c>
      <c r="F66" s="159">
        <v>53</v>
      </c>
      <c r="G66" s="271"/>
      <c r="H66" s="480"/>
      <c r="I66" s="769">
        <v>98.88</v>
      </c>
      <c r="J66" s="477">
        <v>98.875</v>
      </c>
      <c r="K66" s="479">
        <f t="shared" si="2"/>
        <v>-4.9999999999954525E-3</v>
      </c>
      <c r="L66" s="468">
        <f t="shared" si="3"/>
        <v>-5.0566343042025209E-5</v>
      </c>
      <c r="M66" s="476">
        <v>4.5999999999999996</v>
      </c>
      <c r="N66" s="476">
        <v>6.65</v>
      </c>
    </row>
    <row r="67" spans="1:14" s="40" customFormat="1" x14ac:dyDescent="0.2">
      <c r="A67" s="11" t="s">
        <v>7317</v>
      </c>
      <c r="B67" s="11" t="s">
        <v>7318</v>
      </c>
      <c r="C67" s="501">
        <v>83.46</v>
      </c>
      <c r="D67" s="20" t="s">
        <v>449</v>
      </c>
      <c r="E67" s="20">
        <v>36</v>
      </c>
      <c r="F67" s="159">
        <v>36</v>
      </c>
      <c r="G67" s="271"/>
      <c r="H67" s="480"/>
      <c r="I67" s="769">
        <v>72.292500000000004</v>
      </c>
      <c r="J67" s="477">
        <v>72.852500000000006</v>
      </c>
      <c r="K67" s="479">
        <f t="shared" si="2"/>
        <v>0.56000000000000227</v>
      </c>
      <c r="L67" s="468">
        <f t="shared" si="3"/>
        <v>7.7463083999032021E-3</v>
      </c>
      <c r="M67" s="476">
        <v>4.5999999999999996</v>
      </c>
      <c r="N67" s="476">
        <v>4.5999999999999996</v>
      </c>
    </row>
    <row r="68" spans="1:14" s="40" customFormat="1" x14ac:dyDescent="0.2">
      <c r="A68" s="11" t="s">
        <v>7319</v>
      </c>
      <c r="B68" s="11" t="s">
        <v>7320</v>
      </c>
      <c r="C68" s="501">
        <v>106.575</v>
      </c>
      <c r="D68" s="20" t="s">
        <v>1639</v>
      </c>
      <c r="E68" s="20">
        <v>36</v>
      </c>
      <c r="F68" s="144">
        <v>44</v>
      </c>
      <c r="G68" s="270">
        <v>81</v>
      </c>
      <c r="H68" s="478">
        <v>83.9</v>
      </c>
      <c r="I68" s="769">
        <v>97.737499999999997</v>
      </c>
      <c r="J68" s="477">
        <v>98.665000000000006</v>
      </c>
      <c r="K68" s="479">
        <f t="shared" si="2"/>
        <v>0.92750000000000909</v>
      </c>
      <c r="L68" s="468">
        <f t="shared" si="3"/>
        <v>9.4897045658013466E-3</v>
      </c>
      <c r="M68" s="476">
        <v>4.5999999999999996</v>
      </c>
      <c r="N68" s="476">
        <v>6.65</v>
      </c>
    </row>
    <row r="69" spans="1:14" s="40" customFormat="1" x14ac:dyDescent="0.2">
      <c r="A69" s="11" t="s">
        <v>7321</v>
      </c>
      <c r="B69" s="11" t="s">
        <v>7322</v>
      </c>
      <c r="C69" s="501">
        <v>106.575</v>
      </c>
      <c r="D69" s="20" t="s">
        <v>1324</v>
      </c>
      <c r="E69" s="20">
        <v>36</v>
      </c>
      <c r="F69" s="144">
        <v>45</v>
      </c>
      <c r="G69" s="270">
        <v>81</v>
      </c>
      <c r="H69" s="478">
        <v>84.79</v>
      </c>
      <c r="I69" s="769">
        <v>97.737499999999997</v>
      </c>
      <c r="J69" s="477">
        <v>98.665000000000006</v>
      </c>
      <c r="K69" s="479">
        <f t="shared" si="2"/>
        <v>0.92750000000000909</v>
      </c>
      <c r="L69" s="468">
        <f t="shared" si="3"/>
        <v>9.4897045658013466E-3</v>
      </c>
      <c r="M69" s="476">
        <v>4.5999999999999996</v>
      </c>
      <c r="N69" s="476">
        <v>6.65</v>
      </c>
    </row>
    <row r="70" spans="1:14" s="40" customFormat="1" x14ac:dyDescent="0.2">
      <c r="A70" s="11" t="s">
        <v>7323</v>
      </c>
      <c r="B70" s="11" t="s">
        <v>7324</v>
      </c>
      <c r="C70" s="501">
        <v>107.2925</v>
      </c>
      <c r="D70" s="20" t="s">
        <v>1133</v>
      </c>
      <c r="E70" s="20">
        <v>36</v>
      </c>
      <c r="F70" s="159">
        <v>47</v>
      </c>
      <c r="G70" s="271"/>
      <c r="H70" s="480"/>
      <c r="I70" s="769">
        <v>98.44</v>
      </c>
      <c r="J70" s="477">
        <v>99.382499999999993</v>
      </c>
      <c r="K70" s="479">
        <f t="shared" si="2"/>
        <v>0.94249999999999545</v>
      </c>
      <c r="L70" s="468">
        <f t="shared" si="3"/>
        <v>9.5743600162535095E-3</v>
      </c>
      <c r="M70" s="476">
        <v>4.5999999999999996</v>
      </c>
      <c r="N70" s="476">
        <v>6.65</v>
      </c>
    </row>
    <row r="71" spans="1:14" x14ac:dyDescent="0.2">
      <c r="A71" s="11" t="s">
        <v>7325</v>
      </c>
      <c r="B71" s="11" t="s">
        <v>7326</v>
      </c>
      <c r="C71" s="501">
        <v>114.31</v>
      </c>
      <c r="D71" s="20" t="s">
        <v>132</v>
      </c>
      <c r="E71" s="20">
        <v>36</v>
      </c>
      <c r="F71" s="144">
        <v>48</v>
      </c>
      <c r="G71" s="270">
        <v>94.27</v>
      </c>
      <c r="H71" s="478">
        <v>85.72</v>
      </c>
      <c r="I71" s="769">
        <v>98.4375</v>
      </c>
      <c r="J71" s="477">
        <v>99.382499999999993</v>
      </c>
      <c r="K71" s="479">
        <f t="shared" si="2"/>
        <v>0.94499999999999318</v>
      </c>
      <c r="L71" s="468">
        <f t="shared" si="3"/>
        <v>9.5999999999999315E-3</v>
      </c>
      <c r="M71" s="476">
        <v>4.5999999999999996</v>
      </c>
      <c r="N71" s="476">
        <v>4.5999999999999996</v>
      </c>
    </row>
    <row r="72" spans="1:14" x14ac:dyDescent="0.2">
      <c r="A72" s="11" t="s">
        <v>7327</v>
      </c>
      <c r="B72" s="11" t="s">
        <v>7328</v>
      </c>
      <c r="C72" s="501">
        <v>107.4675</v>
      </c>
      <c r="D72" s="20" t="s">
        <v>7329</v>
      </c>
      <c r="E72" s="20">
        <v>36</v>
      </c>
      <c r="F72" s="144">
        <v>53</v>
      </c>
      <c r="G72" s="270">
        <v>95</v>
      </c>
      <c r="H72" s="478">
        <v>87.89</v>
      </c>
      <c r="I72" s="769">
        <v>98.594999999999999</v>
      </c>
      <c r="J72" s="477">
        <v>99.557500000000005</v>
      </c>
      <c r="K72" s="479">
        <f t="shared" si="2"/>
        <v>0.96250000000000568</v>
      </c>
      <c r="L72" s="468">
        <f t="shared" si="3"/>
        <v>9.7621583244587012E-3</v>
      </c>
      <c r="M72" s="476">
        <v>4.5999999999999996</v>
      </c>
      <c r="N72" s="476">
        <v>6.65</v>
      </c>
    </row>
    <row r="73" spans="1:14" x14ac:dyDescent="0.2">
      <c r="A73" s="11" t="s">
        <v>7330</v>
      </c>
      <c r="B73" s="11" t="s">
        <v>7331</v>
      </c>
      <c r="C73" s="501">
        <v>107.485</v>
      </c>
      <c r="D73" s="20" t="s">
        <v>7332</v>
      </c>
      <c r="E73" s="20">
        <v>36</v>
      </c>
      <c r="F73" s="144">
        <v>54</v>
      </c>
      <c r="G73" s="270"/>
      <c r="H73" s="478"/>
      <c r="I73" s="769">
        <v>98.594999999999999</v>
      </c>
      <c r="J73" s="477">
        <v>99.557500000000005</v>
      </c>
      <c r="K73" s="479">
        <f t="shared" si="2"/>
        <v>0.96250000000000568</v>
      </c>
      <c r="L73" s="468">
        <f t="shared" si="3"/>
        <v>9.7621583244587012E-3</v>
      </c>
      <c r="M73" s="476">
        <v>4.5999999999999996</v>
      </c>
      <c r="N73" s="476">
        <v>6.65</v>
      </c>
    </row>
    <row r="74" spans="1:14" x14ac:dyDescent="0.2">
      <c r="A74" s="11" t="s">
        <v>7333</v>
      </c>
      <c r="B74" s="11" t="s">
        <v>7334</v>
      </c>
      <c r="C74" s="501">
        <v>108.325</v>
      </c>
      <c r="D74" s="20" t="s">
        <v>7335</v>
      </c>
      <c r="E74" s="20">
        <v>36</v>
      </c>
      <c r="F74" s="144">
        <v>55</v>
      </c>
      <c r="G74" s="270">
        <v>95</v>
      </c>
      <c r="H74" s="478">
        <v>88.5</v>
      </c>
      <c r="I74" s="769">
        <v>99.382499999999993</v>
      </c>
      <c r="J74" s="477">
        <v>100.38</v>
      </c>
      <c r="K74" s="479">
        <f t="shared" si="2"/>
        <v>0.99750000000000227</v>
      </c>
      <c r="L74" s="468">
        <f t="shared" si="3"/>
        <v>1.0036978341257287E-2</v>
      </c>
      <c r="M74" s="476">
        <v>4.5999999999999996</v>
      </c>
      <c r="N74" s="476">
        <v>6.65</v>
      </c>
    </row>
    <row r="75" spans="1:14" x14ac:dyDescent="0.2">
      <c r="A75" s="11" t="s">
        <v>7336</v>
      </c>
      <c r="B75" s="11" t="s">
        <v>7337</v>
      </c>
      <c r="C75" s="501">
        <v>116.11</v>
      </c>
      <c r="D75" s="20" t="s">
        <v>3248</v>
      </c>
      <c r="E75" s="20">
        <v>36</v>
      </c>
      <c r="F75" s="144">
        <v>60</v>
      </c>
      <c r="G75" s="270">
        <v>99.47</v>
      </c>
      <c r="H75" s="478">
        <v>90.65</v>
      </c>
      <c r="I75" s="769">
        <v>100.0825</v>
      </c>
      <c r="J75" s="477">
        <v>101.09750000000001</v>
      </c>
      <c r="K75" s="479">
        <f t="shared" si="2"/>
        <v>1.0150000000000148</v>
      </c>
      <c r="L75" s="468">
        <f t="shared" si="3"/>
        <v>1.0141633152649213E-2</v>
      </c>
      <c r="M75" s="476">
        <v>4.5999999999999996</v>
      </c>
      <c r="N75" s="476">
        <v>6.65</v>
      </c>
    </row>
    <row r="76" spans="1:14" x14ac:dyDescent="0.2">
      <c r="A76" s="11" t="s">
        <v>7338</v>
      </c>
      <c r="B76" s="11" t="s">
        <v>7339</v>
      </c>
      <c r="C76" s="501">
        <v>175.17499999999998</v>
      </c>
      <c r="D76" s="20" t="s">
        <v>7340</v>
      </c>
      <c r="E76" s="20">
        <v>36</v>
      </c>
      <c r="F76" s="144">
        <v>72</v>
      </c>
      <c r="G76" s="270">
        <v>124.22</v>
      </c>
      <c r="H76" s="478">
        <v>137.26</v>
      </c>
      <c r="I76" s="769">
        <v>160.33500000000001</v>
      </c>
      <c r="J76" s="477">
        <v>161.84</v>
      </c>
      <c r="K76" s="479">
        <f t="shared" si="2"/>
        <v>1.5049999999999955</v>
      </c>
      <c r="L76" s="468">
        <f t="shared" si="3"/>
        <v>9.3865968129229135E-3</v>
      </c>
      <c r="M76" s="476">
        <v>4.5999999999999996</v>
      </c>
      <c r="N76" s="476">
        <v>6.65</v>
      </c>
    </row>
    <row r="77" spans="1:14" x14ac:dyDescent="0.2">
      <c r="A77" s="11" t="s">
        <v>7341</v>
      </c>
      <c r="B77" s="11" t="s">
        <v>7342</v>
      </c>
      <c r="C77" s="501">
        <v>105.7</v>
      </c>
      <c r="D77" s="20" t="s">
        <v>5482</v>
      </c>
      <c r="E77" s="20">
        <v>38</v>
      </c>
      <c r="F77" s="144">
        <v>38</v>
      </c>
      <c r="G77" s="270">
        <v>79.25</v>
      </c>
      <c r="H77" s="478">
        <v>82.67</v>
      </c>
      <c r="I77" s="769">
        <v>96.897499999999994</v>
      </c>
      <c r="J77" s="477">
        <v>97.79</v>
      </c>
      <c r="K77" s="479">
        <f t="shared" si="2"/>
        <v>0.89250000000001251</v>
      </c>
      <c r="L77" s="468">
        <f t="shared" si="3"/>
        <v>9.2107639515984687E-3</v>
      </c>
      <c r="M77" s="476">
        <v>4.5999999999999996</v>
      </c>
      <c r="N77" s="476">
        <v>4.5999999999999996</v>
      </c>
    </row>
    <row r="78" spans="1:14" s="40" customFormat="1" x14ac:dyDescent="0.2">
      <c r="A78" s="11" t="s">
        <v>7343</v>
      </c>
      <c r="B78" s="11" t="s">
        <v>7344</v>
      </c>
      <c r="C78" s="501">
        <v>114.31</v>
      </c>
      <c r="D78" s="20" t="s">
        <v>3434</v>
      </c>
      <c r="E78" s="20">
        <v>38</v>
      </c>
      <c r="F78" s="144">
        <v>48</v>
      </c>
      <c r="G78" s="270">
        <v>95</v>
      </c>
      <c r="H78" s="478">
        <v>87.06</v>
      </c>
      <c r="I78" s="769">
        <v>98.542500000000004</v>
      </c>
      <c r="J78" s="477">
        <v>103.04</v>
      </c>
      <c r="K78" s="479">
        <f t="shared" si="2"/>
        <v>4.4975000000000023</v>
      </c>
      <c r="L78" s="468">
        <f t="shared" si="3"/>
        <v>4.5640206002486257E-2</v>
      </c>
      <c r="M78" s="476">
        <v>4.5999999999999996</v>
      </c>
      <c r="N78" s="476">
        <v>6.65</v>
      </c>
    </row>
    <row r="79" spans="1:14" s="40" customFormat="1" x14ac:dyDescent="0.2">
      <c r="A79" s="11" t="s">
        <v>7345</v>
      </c>
      <c r="B79" s="11" t="s">
        <v>7346</v>
      </c>
      <c r="C79" s="501">
        <v>107.45</v>
      </c>
      <c r="D79" s="20" t="s">
        <v>264</v>
      </c>
      <c r="E79" s="20">
        <v>38</v>
      </c>
      <c r="F79" s="144">
        <v>50</v>
      </c>
      <c r="G79" s="270"/>
      <c r="H79" s="478"/>
      <c r="I79" s="769">
        <v>98.542500000000004</v>
      </c>
      <c r="J79" s="477">
        <v>99.504999999999995</v>
      </c>
      <c r="K79" s="479">
        <f t="shared" si="2"/>
        <v>0.96249999999999147</v>
      </c>
      <c r="L79" s="468">
        <f t="shared" si="3"/>
        <v>9.7673592612323758E-3</v>
      </c>
      <c r="M79" s="476">
        <v>4.5999999999999996</v>
      </c>
      <c r="N79" s="476">
        <v>6.65</v>
      </c>
    </row>
    <row r="80" spans="1:14" s="40" customFormat="1" x14ac:dyDescent="0.2">
      <c r="A80" s="11" t="s">
        <v>7347</v>
      </c>
      <c r="B80" s="11" t="s">
        <v>7348</v>
      </c>
      <c r="C80" s="501">
        <v>108.29</v>
      </c>
      <c r="D80" s="20" t="s">
        <v>7349</v>
      </c>
      <c r="E80" s="20">
        <v>38</v>
      </c>
      <c r="F80" s="144">
        <v>54</v>
      </c>
      <c r="G80" s="270">
        <v>97</v>
      </c>
      <c r="H80" s="478">
        <v>89.600000000000009</v>
      </c>
      <c r="I80" s="769">
        <v>99.382499999999993</v>
      </c>
      <c r="J80" s="477">
        <v>100.38</v>
      </c>
      <c r="K80" s="479">
        <f t="shared" si="2"/>
        <v>0.99750000000000227</v>
      </c>
      <c r="L80" s="468">
        <f t="shared" si="3"/>
        <v>1.0036978341257287E-2</v>
      </c>
      <c r="M80" s="476">
        <v>4.5999999999999996</v>
      </c>
      <c r="N80" s="476">
        <v>6.65</v>
      </c>
    </row>
    <row r="81" spans="1:14" s="40" customFormat="1" x14ac:dyDescent="0.2">
      <c r="A81" s="11" t="s">
        <v>7350</v>
      </c>
      <c r="B81" s="11" t="s">
        <v>7351</v>
      </c>
      <c r="C81" s="501">
        <v>107.41500000000001</v>
      </c>
      <c r="D81" s="20" t="s">
        <v>849</v>
      </c>
      <c r="E81" s="20">
        <v>39</v>
      </c>
      <c r="F81" s="159">
        <v>47</v>
      </c>
      <c r="G81" s="271"/>
      <c r="H81" s="480"/>
      <c r="I81" s="769">
        <v>98.72</v>
      </c>
      <c r="J81" s="477">
        <v>99.487499999999997</v>
      </c>
      <c r="K81" s="479">
        <f t="shared" si="2"/>
        <v>0.76749999999999829</v>
      </c>
      <c r="L81" s="468">
        <f t="shared" si="3"/>
        <v>7.7745137763370982E-3</v>
      </c>
      <c r="M81" s="476">
        <v>4.5999999999999996</v>
      </c>
      <c r="N81" s="476">
        <v>6.65</v>
      </c>
    </row>
    <row r="82" spans="1:14" x14ac:dyDescent="0.2">
      <c r="A82" s="11" t="s">
        <v>7352</v>
      </c>
      <c r="B82" s="11" t="s">
        <v>7353</v>
      </c>
      <c r="C82" s="501">
        <v>108.3425</v>
      </c>
      <c r="D82" s="20" t="s">
        <v>246</v>
      </c>
      <c r="E82" s="20">
        <v>39</v>
      </c>
      <c r="F82" s="144">
        <v>55</v>
      </c>
      <c r="G82" s="270">
        <v>101.56</v>
      </c>
      <c r="H82" s="478">
        <v>90.9</v>
      </c>
      <c r="I82" s="769">
        <v>99.435000000000002</v>
      </c>
      <c r="J82" s="477">
        <v>100.4325</v>
      </c>
      <c r="K82" s="479">
        <f t="shared" si="2"/>
        <v>0.99750000000000227</v>
      </c>
      <c r="L82" s="468">
        <f t="shared" si="3"/>
        <v>1.0031678986272462E-2</v>
      </c>
      <c r="M82" s="476">
        <v>4.5999999999999996</v>
      </c>
      <c r="N82" s="476">
        <v>6.65</v>
      </c>
    </row>
    <row r="83" spans="1:14" x14ac:dyDescent="0.2">
      <c r="A83" s="40" t="s">
        <v>7354</v>
      </c>
      <c r="B83" s="40" t="s">
        <v>7355</v>
      </c>
      <c r="C83" s="990">
        <v>107.45</v>
      </c>
      <c r="D83" s="159" t="s">
        <v>7356</v>
      </c>
      <c r="E83" s="159">
        <v>40</v>
      </c>
      <c r="F83" s="159">
        <v>40</v>
      </c>
      <c r="G83" s="271">
        <v>98.09</v>
      </c>
      <c r="H83" s="478"/>
      <c r="I83" s="769"/>
      <c r="J83" s="477"/>
      <c r="K83" s="479"/>
      <c r="L83" s="468"/>
      <c r="N83" s="476"/>
    </row>
    <row r="84" spans="1:14" x14ac:dyDescent="0.2">
      <c r="A84" s="11" t="s">
        <v>7357</v>
      </c>
      <c r="B84" s="11" t="s">
        <v>7358</v>
      </c>
      <c r="C84" s="501">
        <v>107.45</v>
      </c>
      <c r="D84" s="20" t="s">
        <v>850</v>
      </c>
      <c r="E84" s="20">
        <v>40</v>
      </c>
      <c r="F84" s="144">
        <v>48</v>
      </c>
      <c r="G84" s="270">
        <v>98.09</v>
      </c>
      <c r="H84" s="478">
        <v>88.410000000000011</v>
      </c>
      <c r="I84" s="769">
        <v>98.542500000000004</v>
      </c>
      <c r="J84" s="477">
        <v>99.54</v>
      </c>
      <c r="K84" s="479">
        <f t="shared" si="2"/>
        <v>0.99750000000000227</v>
      </c>
      <c r="L84" s="468">
        <f t="shared" si="3"/>
        <v>1.0122535961640939E-2</v>
      </c>
      <c r="M84" s="476">
        <v>6.65</v>
      </c>
      <c r="N84" s="476">
        <v>6.65</v>
      </c>
    </row>
    <row r="85" spans="1:14" x14ac:dyDescent="0.2">
      <c r="A85" s="11" t="s">
        <v>7359</v>
      </c>
      <c r="B85" s="11" t="s">
        <v>7360</v>
      </c>
      <c r="C85" s="501">
        <v>107.4325</v>
      </c>
      <c r="D85" s="20" t="s">
        <v>2310</v>
      </c>
      <c r="E85" s="20">
        <v>40</v>
      </c>
      <c r="F85" s="144">
        <v>50</v>
      </c>
      <c r="G85" s="270">
        <v>98.09</v>
      </c>
      <c r="H85" s="478">
        <v>89.08</v>
      </c>
      <c r="I85" s="769">
        <v>98.56</v>
      </c>
      <c r="J85" s="477">
        <v>99.54</v>
      </c>
      <c r="K85" s="479">
        <f t="shared" si="2"/>
        <v>0.98000000000000398</v>
      </c>
      <c r="L85" s="468">
        <f t="shared" si="3"/>
        <v>9.9431818181818579E-3</v>
      </c>
      <c r="M85" s="476">
        <v>6.65</v>
      </c>
      <c r="N85" s="476">
        <v>6.65</v>
      </c>
    </row>
    <row r="86" spans="1:14" s="40" customFormat="1" x14ac:dyDescent="0.2">
      <c r="A86" s="11" t="s">
        <v>7361</v>
      </c>
      <c r="B86" s="11" t="s">
        <v>7362</v>
      </c>
      <c r="C86" s="501">
        <v>107.53750000000001</v>
      </c>
      <c r="D86" s="20" t="s">
        <v>545</v>
      </c>
      <c r="E86" s="20">
        <v>40</v>
      </c>
      <c r="F86" s="144">
        <v>52</v>
      </c>
      <c r="G86" s="270">
        <v>98.09</v>
      </c>
      <c r="H86" s="478">
        <v>89.740000000000009</v>
      </c>
      <c r="I86" s="769">
        <v>98.647499999999994</v>
      </c>
      <c r="J86" s="477">
        <v>99.627499999999998</v>
      </c>
      <c r="K86" s="479">
        <f t="shared" si="2"/>
        <v>0.98000000000000398</v>
      </c>
      <c r="L86" s="468">
        <f t="shared" si="3"/>
        <v>9.9343622494234927E-3</v>
      </c>
      <c r="M86" s="476">
        <v>6.65</v>
      </c>
      <c r="N86" s="476">
        <v>6.65</v>
      </c>
    </row>
    <row r="87" spans="1:14" s="40" customFormat="1" x14ac:dyDescent="0.2">
      <c r="A87" s="11" t="s">
        <v>7363</v>
      </c>
      <c r="B87" s="11" t="s">
        <v>7364</v>
      </c>
      <c r="C87" s="501">
        <v>108.955</v>
      </c>
      <c r="D87" s="20" t="s">
        <v>7365</v>
      </c>
      <c r="E87" s="20">
        <v>40</v>
      </c>
      <c r="F87" s="159">
        <v>53</v>
      </c>
      <c r="G87" s="270"/>
      <c r="H87" s="478"/>
      <c r="I87" s="770">
        <v>100.21</v>
      </c>
      <c r="J87" s="477">
        <v>99.627499999999998</v>
      </c>
      <c r="K87" s="479">
        <f t="shared" si="2"/>
        <v>-0.58249999999999602</v>
      </c>
      <c r="L87" s="468">
        <f t="shared" si="3"/>
        <v>-5.8127931344176837E-3</v>
      </c>
      <c r="M87" s="476">
        <v>6.65</v>
      </c>
      <c r="N87" s="476">
        <v>6.65</v>
      </c>
    </row>
    <row r="88" spans="1:14" x14ac:dyDescent="0.2">
      <c r="A88" s="11" t="s">
        <v>7366</v>
      </c>
      <c r="B88" s="11" t="s">
        <v>7367</v>
      </c>
      <c r="C88" s="501">
        <v>108.325</v>
      </c>
      <c r="D88" s="20" t="s">
        <v>545</v>
      </c>
      <c r="E88" s="20">
        <v>40</v>
      </c>
      <c r="F88" s="144">
        <v>54</v>
      </c>
      <c r="G88" s="270">
        <v>98.09</v>
      </c>
      <c r="H88" s="478">
        <v>90.98</v>
      </c>
      <c r="I88" s="769">
        <v>99.399999999999991</v>
      </c>
      <c r="J88" s="477">
        <v>100.38</v>
      </c>
      <c r="K88" s="479">
        <f t="shared" si="2"/>
        <v>0.98000000000000398</v>
      </c>
      <c r="L88" s="468">
        <f t="shared" si="3"/>
        <v>9.8591549295775054E-3</v>
      </c>
      <c r="M88" s="476">
        <v>6.65</v>
      </c>
      <c r="N88" s="476">
        <v>6.65</v>
      </c>
    </row>
    <row r="89" spans="1:14" x14ac:dyDescent="0.2">
      <c r="A89" s="11" t="s">
        <v>7368</v>
      </c>
      <c r="B89" s="11" t="s">
        <v>7369</v>
      </c>
      <c r="C89" s="501">
        <v>112.01750000000001</v>
      </c>
      <c r="D89" s="20" t="s">
        <v>482</v>
      </c>
      <c r="E89" s="20">
        <v>40</v>
      </c>
      <c r="F89" s="144">
        <v>60</v>
      </c>
      <c r="G89" s="270">
        <v>101.56</v>
      </c>
      <c r="H89" s="478">
        <v>93.59</v>
      </c>
      <c r="I89" s="769">
        <v>102.97</v>
      </c>
      <c r="J89" s="477">
        <v>104.08999999999999</v>
      </c>
      <c r="K89" s="479">
        <f t="shared" ref="K89:K122" si="4">J89-I89</f>
        <v>1.1199999999999903</v>
      </c>
      <c r="L89" s="468">
        <f t="shared" ref="L89:L122" si="5">K89/I89</f>
        <v>1.0876954452753135E-2</v>
      </c>
      <c r="M89" s="476">
        <v>6.65</v>
      </c>
      <c r="N89" s="476">
        <v>6.65</v>
      </c>
    </row>
    <row r="90" spans="1:14" x14ac:dyDescent="0.2">
      <c r="A90" s="11" t="s">
        <v>7370</v>
      </c>
      <c r="B90" s="11" t="s">
        <v>7371</v>
      </c>
      <c r="C90" s="501">
        <v>174.42250000000001</v>
      </c>
      <c r="D90" s="20" t="s">
        <v>5414</v>
      </c>
      <c r="E90" s="20">
        <v>40</v>
      </c>
      <c r="F90" s="144">
        <v>65</v>
      </c>
      <c r="G90" s="270">
        <v>103.5</v>
      </c>
      <c r="H90" s="478">
        <v>136.97</v>
      </c>
      <c r="I90" s="769">
        <v>159.63499999999999</v>
      </c>
      <c r="J90" s="477">
        <v>161.1225</v>
      </c>
      <c r="K90" s="479">
        <f t="shared" si="4"/>
        <v>1.4875000000000114</v>
      </c>
      <c r="L90" s="468">
        <f t="shared" si="5"/>
        <v>9.3181319885990641E-3</v>
      </c>
      <c r="M90" s="476">
        <v>6.65</v>
      </c>
      <c r="N90" s="476">
        <v>6.65</v>
      </c>
    </row>
    <row r="91" spans="1:14" x14ac:dyDescent="0.2">
      <c r="A91" s="11" t="s">
        <v>7372</v>
      </c>
      <c r="B91" s="11" t="s">
        <v>7373</v>
      </c>
      <c r="C91" s="501">
        <v>173.845</v>
      </c>
      <c r="D91" s="20" t="s">
        <v>7374</v>
      </c>
      <c r="E91" s="20">
        <v>40</v>
      </c>
      <c r="F91" s="144">
        <v>72</v>
      </c>
      <c r="G91" s="270">
        <v>124</v>
      </c>
      <c r="H91" s="478">
        <v>139.88999999999999</v>
      </c>
      <c r="I91" s="769">
        <v>159.07500000000002</v>
      </c>
      <c r="J91" s="477">
        <v>160.5625</v>
      </c>
      <c r="K91" s="479">
        <f t="shared" si="4"/>
        <v>1.4874999999999829</v>
      </c>
      <c r="L91" s="468">
        <f t="shared" si="5"/>
        <v>9.3509350935092432E-3</v>
      </c>
      <c r="M91" s="476">
        <v>6.65</v>
      </c>
      <c r="N91" s="476">
        <v>6.65</v>
      </c>
    </row>
    <row r="92" spans="1:14" x14ac:dyDescent="0.2">
      <c r="A92" s="11" t="s">
        <v>7375</v>
      </c>
      <c r="B92" s="11" t="s">
        <v>7376</v>
      </c>
      <c r="C92" s="501">
        <v>171.36</v>
      </c>
      <c r="D92" s="20" t="s">
        <v>7377</v>
      </c>
      <c r="E92" s="20">
        <v>41</v>
      </c>
      <c r="F92" s="144">
        <v>60</v>
      </c>
      <c r="G92" s="270">
        <v>124</v>
      </c>
      <c r="H92" s="478">
        <v>135.14999999999998</v>
      </c>
      <c r="I92" s="769">
        <v>156.69500000000002</v>
      </c>
      <c r="J92" s="477">
        <v>158.07749999999999</v>
      </c>
      <c r="K92" s="479">
        <f t="shared" si="4"/>
        <v>1.3824999999999648</v>
      </c>
      <c r="L92" s="468">
        <f t="shared" si="5"/>
        <v>8.8228724592358688E-3</v>
      </c>
      <c r="M92" s="476">
        <v>6.65</v>
      </c>
      <c r="N92" s="476">
        <v>6.65</v>
      </c>
    </row>
    <row r="93" spans="1:14" s="25" customFormat="1" x14ac:dyDescent="0.2">
      <c r="A93" s="11" t="s">
        <v>7378</v>
      </c>
      <c r="B93" s="11" t="s">
        <v>7379</v>
      </c>
      <c r="C93" s="501">
        <v>107.31</v>
      </c>
      <c r="D93" s="20" t="s">
        <v>876</v>
      </c>
      <c r="E93" s="20">
        <v>42</v>
      </c>
      <c r="F93" s="144">
        <v>42</v>
      </c>
      <c r="G93" s="270">
        <v>85.09</v>
      </c>
      <c r="H93" s="478">
        <v>86.5</v>
      </c>
      <c r="I93" s="769">
        <v>98.454999999999998</v>
      </c>
      <c r="J93" s="477">
        <v>99.399999999999991</v>
      </c>
      <c r="K93" s="479">
        <f t="shared" si="4"/>
        <v>0.94499999999999318</v>
      </c>
      <c r="L93" s="468">
        <f t="shared" si="5"/>
        <v>9.5982936366867423E-3</v>
      </c>
      <c r="M93" s="476">
        <v>6.65</v>
      </c>
      <c r="N93" s="476">
        <v>6.65</v>
      </c>
    </row>
    <row r="94" spans="1:14" s="25" customFormat="1" x14ac:dyDescent="0.2">
      <c r="A94" s="11" t="s">
        <v>7380</v>
      </c>
      <c r="B94" s="11" t="s">
        <v>7381</v>
      </c>
      <c r="C94" s="501">
        <v>109.00749999999999</v>
      </c>
      <c r="D94" s="20" t="s">
        <v>7382</v>
      </c>
      <c r="E94" s="20">
        <v>42</v>
      </c>
      <c r="F94" s="144">
        <v>51</v>
      </c>
      <c r="G94" s="270">
        <v>98.09</v>
      </c>
      <c r="H94" s="478">
        <v>90.77000000000001</v>
      </c>
      <c r="I94" s="769">
        <v>100.065</v>
      </c>
      <c r="J94" s="477">
        <v>101.08</v>
      </c>
      <c r="K94" s="479">
        <f t="shared" si="4"/>
        <v>1.0150000000000006</v>
      </c>
      <c r="L94" s="468">
        <f t="shared" si="5"/>
        <v>1.0143406785589372E-2</v>
      </c>
      <c r="M94" s="476">
        <v>6.65</v>
      </c>
      <c r="N94" s="476">
        <v>6.65</v>
      </c>
    </row>
    <row r="95" spans="1:14" s="40" customFormat="1" x14ac:dyDescent="0.2">
      <c r="A95" s="40" t="s">
        <v>7383</v>
      </c>
      <c r="B95" s="40" t="s">
        <v>7384</v>
      </c>
      <c r="C95" s="990">
        <v>110.51</v>
      </c>
      <c r="D95" s="159" t="s">
        <v>125</v>
      </c>
      <c r="E95" s="159">
        <v>42</v>
      </c>
      <c r="F95" s="159">
        <v>52</v>
      </c>
      <c r="G95" s="271"/>
      <c r="H95" s="480"/>
      <c r="I95" s="770"/>
      <c r="J95" s="481"/>
      <c r="K95" s="637"/>
      <c r="L95" s="493"/>
      <c r="M95" s="638"/>
      <c r="N95" s="638"/>
    </row>
    <row r="96" spans="1:14" s="40" customFormat="1" x14ac:dyDescent="0.2">
      <c r="A96" s="29" t="s">
        <v>7385</v>
      </c>
      <c r="B96" s="11" t="s">
        <v>7386</v>
      </c>
      <c r="C96" s="501">
        <v>109.00749999999999</v>
      </c>
      <c r="D96" s="20" t="s">
        <v>7387</v>
      </c>
      <c r="E96" s="20">
        <v>42</v>
      </c>
      <c r="F96" s="159">
        <v>53</v>
      </c>
      <c r="G96" s="270"/>
      <c r="H96" s="478"/>
      <c r="I96" s="769">
        <v>100.26</v>
      </c>
      <c r="J96" s="477">
        <v>101.08</v>
      </c>
      <c r="K96" s="479">
        <f t="shared" si="4"/>
        <v>0.81999999999999318</v>
      </c>
      <c r="L96" s="468">
        <f t="shared" si="5"/>
        <v>8.1787352882504803E-3</v>
      </c>
      <c r="M96" s="476">
        <v>6.65</v>
      </c>
      <c r="N96" s="476">
        <v>6.65</v>
      </c>
    </row>
    <row r="97" spans="1:14" s="40" customFormat="1" x14ac:dyDescent="0.2">
      <c r="A97" s="11" t="s">
        <v>7388</v>
      </c>
      <c r="B97" s="11" t="s">
        <v>7389</v>
      </c>
      <c r="C97" s="501">
        <v>109.88249999999999</v>
      </c>
      <c r="D97" s="20" t="s">
        <v>5293</v>
      </c>
      <c r="E97" s="20">
        <v>42</v>
      </c>
      <c r="F97" s="144">
        <v>56</v>
      </c>
      <c r="G97" s="270">
        <v>98.09</v>
      </c>
      <c r="H97" s="478">
        <v>93.100000000000009</v>
      </c>
      <c r="I97" s="769">
        <v>100.905</v>
      </c>
      <c r="J97" s="477">
        <v>101.955</v>
      </c>
      <c r="K97" s="479">
        <f t="shared" si="4"/>
        <v>1.0499999999999972</v>
      </c>
      <c r="L97" s="468">
        <f t="shared" si="5"/>
        <v>1.0405827263267402E-2</v>
      </c>
      <c r="M97" s="476">
        <v>6.65</v>
      </c>
      <c r="N97" s="476">
        <v>6.65</v>
      </c>
    </row>
    <row r="98" spans="1:14" s="40" customFormat="1" x14ac:dyDescent="0.2">
      <c r="A98" s="11" t="s">
        <v>7390</v>
      </c>
      <c r="B98" s="11" t="s">
        <v>7391</v>
      </c>
      <c r="C98" s="501">
        <v>174.37</v>
      </c>
      <c r="D98" s="20" t="s">
        <v>7392</v>
      </c>
      <c r="E98" s="20">
        <v>42</v>
      </c>
      <c r="F98" s="144">
        <v>63</v>
      </c>
      <c r="G98" s="270"/>
      <c r="H98" s="478"/>
      <c r="I98" s="769">
        <v>159.6</v>
      </c>
      <c r="J98" s="477">
        <v>161.08750000000001</v>
      </c>
      <c r="K98" s="479">
        <f t="shared" si="4"/>
        <v>1.4875000000000114</v>
      </c>
      <c r="L98" s="468">
        <f t="shared" si="5"/>
        <v>9.3201754385965636E-3</v>
      </c>
      <c r="M98" s="476">
        <v>6.65</v>
      </c>
      <c r="N98" s="476">
        <v>6.65</v>
      </c>
    </row>
    <row r="99" spans="1:14" s="25" customFormat="1" x14ac:dyDescent="0.2">
      <c r="A99" s="11" t="s">
        <v>7393</v>
      </c>
      <c r="B99" s="11" t="s">
        <v>7394</v>
      </c>
      <c r="C99" s="501">
        <v>175.96250000000001</v>
      </c>
      <c r="D99" s="20" t="s">
        <v>7395</v>
      </c>
      <c r="E99" s="20">
        <v>42</v>
      </c>
      <c r="F99" s="144">
        <v>72</v>
      </c>
      <c r="G99" s="270">
        <v>124</v>
      </c>
      <c r="H99" s="478">
        <v>141.47999999999999</v>
      </c>
      <c r="I99" s="769">
        <v>161.13999999999999</v>
      </c>
      <c r="J99" s="477">
        <v>162.67999999999998</v>
      </c>
      <c r="K99" s="479">
        <f t="shared" si="4"/>
        <v>1.539999999999992</v>
      </c>
      <c r="L99" s="468">
        <f t="shared" si="5"/>
        <v>9.5569070373587705E-3</v>
      </c>
      <c r="M99" s="476">
        <v>6.65</v>
      </c>
      <c r="N99" s="476">
        <v>6.65</v>
      </c>
    </row>
    <row r="100" spans="1:14" s="40" customFormat="1" x14ac:dyDescent="0.2">
      <c r="A100" s="11" t="s">
        <v>7396</v>
      </c>
      <c r="B100" s="11" t="s">
        <v>7397</v>
      </c>
      <c r="C100" s="501">
        <v>175.96250000000001</v>
      </c>
      <c r="D100" s="20" t="s">
        <v>7398</v>
      </c>
      <c r="E100" s="20">
        <v>43</v>
      </c>
      <c r="F100" s="144">
        <v>70</v>
      </c>
      <c r="G100" s="270">
        <v>124</v>
      </c>
      <c r="H100" s="478">
        <v>141.29</v>
      </c>
      <c r="I100" s="769">
        <v>161.13999999999999</v>
      </c>
      <c r="J100" s="477">
        <v>161.13999999999999</v>
      </c>
      <c r="K100" s="479">
        <f t="shared" si="4"/>
        <v>0</v>
      </c>
      <c r="L100" s="468">
        <f t="shared" si="5"/>
        <v>0</v>
      </c>
      <c r="M100" s="476">
        <v>6.65</v>
      </c>
      <c r="N100" s="476">
        <v>6.65</v>
      </c>
    </row>
    <row r="101" spans="1:14" x14ac:dyDescent="0.2">
      <c r="A101" s="11" t="s">
        <v>7399</v>
      </c>
      <c r="B101" s="11" t="s">
        <v>7400</v>
      </c>
      <c r="C101" s="501">
        <v>174.29999999999998</v>
      </c>
      <c r="D101" s="20" t="s">
        <v>3167</v>
      </c>
      <c r="E101" s="20">
        <v>44</v>
      </c>
      <c r="F101" s="144">
        <v>60</v>
      </c>
      <c r="G101" s="270">
        <v>124</v>
      </c>
      <c r="H101" s="478">
        <v>137.07</v>
      </c>
      <c r="I101" s="769">
        <v>159.53</v>
      </c>
      <c r="J101" s="477">
        <v>161.13999999999999</v>
      </c>
      <c r="K101" s="479">
        <f t="shared" si="4"/>
        <v>1.6099999999999852</v>
      </c>
      <c r="L101" s="468">
        <f t="shared" si="5"/>
        <v>1.0092145677928823E-2</v>
      </c>
      <c r="M101" s="476">
        <v>6.65</v>
      </c>
      <c r="N101" s="476">
        <v>6.65</v>
      </c>
    </row>
    <row r="102" spans="1:14" x14ac:dyDescent="0.2">
      <c r="A102" s="11" t="s">
        <v>7401</v>
      </c>
      <c r="B102" s="11" t="s">
        <v>7402</v>
      </c>
      <c r="C102" s="501">
        <v>176.83750000000001</v>
      </c>
      <c r="D102" s="20" t="s">
        <v>3817</v>
      </c>
      <c r="E102" s="20">
        <v>44</v>
      </c>
      <c r="F102" s="144">
        <v>74</v>
      </c>
      <c r="G102" s="270">
        <v>129.82999999999998</v>
      </c>
      <c r="H102" s="478">
        <v>143.81</v>
      </c>
      <c r="I102" s="769">
        <v>161.98000000000002</v>
      </c>
      <c r="J102" s="477">
        <v>163.55499999999998</v>
      </c>
      <c r="K102" s="479">
        <f t="shared" si="4"/>
        <v>1.5749999999999602</v>
      </c>
      <c r="L102" s="468">
        <f t="shared" si="5"/>
        <v>9.7234226447707132E-3</v>
      </c>
      <c r="M102" s="476">
        <v>6.65</v>
      </c>
      <c r="N102" s="476">
        <v>6.65</v>
      </c>
    </row>
    <row r="103" spans="1:14" x14ac:dyDescent="0.2">
      <c r="A103" s="11" t="s">
        <v>7403</v>
      </c>
      <c r="B103" s="11" t="s">
        <v>7404</v>
      </c>
      <c r="C103" s="501">
        <v>111.7375</v>
      </c>
      <c r="D103" s="20" t="s">
        <v>7405</v>
      </c>
      <c r="E103" s="20">
        <v>45</v>
      </c>
      <c r="F103" s="144">
        <v>48</v>
      </c>
      <c r="G103" s="270">
        <v>98</v>
      </c>
      <c r="H103" s="478">
        <v>90.86</v>
      </c>
      <c r="I103" s="769">
        <v>102.8125</v>
      </c>
      <c r="J103" s="477">
        <v>103.8625</v>
      </c>
      <c r="K103" s="479">
        <f t="shared" si="4"/>
        <v>1.0499999999999972</v>
      </c>
      <c r="L103" s="468">
        <f t="shared" si="5"/>
        <v>1.021276595744678E-2</v>
      </c>
      <c r="M103" s="476">
        <v>6.65</v>
      </c>
      <c r="N103" s="476">
        <v>6.65</v>
      </c>
    </row>
    <row r="104" spans="1:14" x14ac:dyDescent="0.2">
      <c r="A104" s="11" t="s">
        <v>7406</v>
      </c>
      <c r="B104" s="11" t="s">
        <v>7407</v>
      </c>
      <c r="C104" s="501">
        <v>172.06</v>
      </c>
      <c r="D104" s="20" t="s">
        <v>7408</v>
      </c>
      <c r="E104" s="20">
        <v>45</v>
      </c>
      <c r="F104" s="144">
        <v>57</v>
      </c>
      <c r="G104" s="270"/>
      <c r="H104" s="478"/>
      <c r="I104" s="769">
        <v>157.3775</v>
      </c>
      <c r="J104" s="477">
        <v>158.86500000000001</v>
      </c>
      <c r="K104" s="479">
        <f t="shared" si="4"/>
        <v>1.4875000000000114</v>
      </c>
      <c r="L104" s="468">
        <f t="shared" si="5"/>
        <v>9.4517958412099028E-3</v>
      </c>
      <c r="M104" s="476">
        <v>6.65</v>
      </c>
      <c r="N104" s="476">
        <v>6.65</v>
      </c>
    </row>
    <row r="105" spans="1:14" s="40" customFormat="1" x14ac:dyDescent="0.2">
      <c r="A105" s="11" t="s">
        <v>7409</v>
      </c>
      <c r="B105" s="11" t="s">
        <v>7410</v>
      </c>
      <c r="C105" s="501">
        <v>172.20000000000002</v>
      </c>
      <c r="D105" s="20" t="s">
        <v>7411</v>
      </c>
      <c r="E105" s="20">
        <v>45</v>
      </c>
      <c r="F105" s="144">
        <v>58</v>
      </c>
      <c r="G105" s="270">
        <v>105</v>
      </c>
      <c r="H105" s="478">
        <v>136.76999999999998</v>
      </c>
      <c r="I105" s="769">
        <v>157.48249999999999</v>
      </c>
      <c r="J105" s="477">
        <v>158.86500000000001</v>
      </c>
      <c r="K105" s="479">
        <f t="shared" si="4"/>
        <v>1.3825000000000216</v>
      </c>
      <c r="L105" s="468">
        <f t="shared" si="5"/>
        <v>8.7787531947995604E-3</v>
      </c>
      <c r="M105" s="476">
        <v>6.65</v>
      </c>
      <c r="N105" s="476">
        <v>6.65</v>
      </c>
    </row>
    <row r="106" spans="1:14" x14ac:dyDescent="0.2">
      <c r="A106" s="11" t="s">
        <v>7412</v>
      </c>
      <c r="B106" s="11" t="s">
        <v>7413</v>
      </c>
      <c r="C106" s="501">
        <v>175</v>
      </c>
      <c r="D106" s="20" t="s">
        <v>7414</v>
      </c>
      <c r="E106" s="20">
        <v>45</v>
      </c>
      <c r="F106" s="144">
        <v>60</v>
      </c>
      <c r="G106" s="270">
        <v>124</v>
      </c>
      <c r="H106" s="478">
        <v>138.09</v>
      </c>
      <c r="I106" s="769">
        <v>160.21250000000001</v>
      </c>
      <c r="J106" s="477">
        <v>161.70000000000002</v>
      </c>
      <c r="K106" s="479">
        <f t="shared" si="4"/>
        <v>1.4875000000000114</v>
      </c>
      <c r="L106" s="468">
        <f t="shared" si="5"/>
        <v>9.2845439650464934E-3</v>
      </c>
      <c r="M106" s="476">
        <v>6.65</v>
      </c>
      <c r="N106" s="476">
        <v>6.65</v>
      </c>
    </row>
    <row r="107" spans="1:14" s="40" customFormat="1" ht="15" customHeight="1" x14ac:dyDescent="0.2">
      <c r="A107" s="11" t="s">
        <v>7415</v>
      </c>
      <c r="B107" s="11" t="s">
        <v>7416</v>
      </c>
      <c r="C107" s="501">
        <v>230.05500000000001</v>
      </c>
      <c r="D107" s="20" t="s">
        <v>7417</v>
      </c>
      <c r="E107" s="20">
        <v>45</v>
      </c>
      <c r="F107" s="144">
        <v>90</v>
      </c>
      <c r="G107" s="270">
        <v>175</v>
      </c>
      <c r="H107" s="478">
        <v>197.01</v>
      </c>
      <c r="I107" s="769">
        <v>209.58</v>
      </c>
      <c r="J107" s="477">
        <v>212.01250000000002</v>
      </c>
      <c r="K107" s="479">
        <f t="shared" si="4"/>
        <v>2.4325000000000045</v>
      </c>
      <c r="L107" s="468">
        <f t="shared" si="5"/>
        <v>1.1606546426185726E-2</v>
      </c>
      <c r="M107" s="476">
        <v>6.65</v>
      </c>
      <c r="N107" s="476">
        <v>6.65</v>
      </c>
    </row>
    <row r="108" spans="1:14" s="40" customFormat="1" x14ac:dyDescent="0.2">
      <c r="A108" s="11" t="s">
        <v>7418</v>
      </c>
      <c r="B108" s="11" t="s">
        <v>7419</v>
      </c>
      <c r="C108" s="501">
        <v>175.1925</v>
      </c>
      <c r="D108" s="20" t="s">
        <v>7420</v>
      </c>
      <c r="E108" s="20">
        <v>46</v>
      </c>
      <c r="F108" s="144">
        <v>64</v>
      </c>
      <c r="G108" s="270">
        <v>125</v>
      </c>
      <c r="H108" s="478">
        <v>140.57</v>
      </c>
      <c r="I108" s="769">
        <v>160.38750000000002</v>
      </c>
      <c r="J108" s="477">
        <v>161.92750000000001</v>
      </c>
      <c r="K108" s="479">
        <f t="shared" si="4"/>
        <v>1.539999999999992</v>
      </c>
      <c r="L108" s="468">
        <f t="shared" si="5"/>
        <v>9.6017457719584868E-3</v>
      </c>
      <c r="M108" s="476">
        <v>6.65</v>
      </c>
      <c r="N108" s="476">
        <v>6.65</v>
      </c>
    </row>
    <row r="109" spans="1:14" x14ac:dyDescent="0.2">
      <c r="A109" s="11" t="s">
        <v>7421</v>
      </c>
      <c r="B109" s="11" t="s">
        <v>7422</v>
      </c>
      <c r="C109" s="501">
        <v>176.785</v>
      </c>
      <c r="D109" s="20" t="s">
        <v>7423</v>
      </c>
      <c r="E109" s="20">
        <v>46</v>
      </c>
      <c r="F109" s="144">
        <v>70</v>
      </c>
      <c r="G109" s="270">
        <v>127.19</v>
      </c>
      <c r="H109" s="478">
        <v>143.37</v>
      </c>
      <c r="I109" s="769">
        <v>161.92750000000001</v>
      </c>
      <c r="J109" s="477">
        <v>163.5025</v>
      </c>
      <c r="K109" s="479">
        <f t="shared" si="4"/>
        <v>1.5749999999999886</v>
      </c>
      <c r="L109" s="468">
        <f t="shared" si="5"/>
        <v>9.7265751648113411E-3</v>
      </c>
      <c r="M109" s="476">
        <v>6.65</v>
      </c>
      <c r="N109" s="476">
        <v>6.65</v>
      </c>
    </row>
    <row r="110" spans="1:14" s="40" customFormat="1" x14ac:dyDescent="0.2">
      <c r="A110" s="11" t="s">
        <v>7424</v>
      </c>
      <c r="B110" s="11" t="s">
        <v>7425</v>
      </c>
      <c r="C110" s="501">
        <v>109.00749999999999</v>
      </c>
      <c r="D110" s="20" t="s">
        <v>1136</v>
      </c>
      <c r="E110" s="20">
        <v>47</v>
      </c>
      <c r="F110" s="159">
        <v>47</v>
      </c>
      <c r="G110" s="271"/>
      <c r="H110" s="480"/>
      <c r="I110" s="769">
        <v>100.71</v>
      </c>
      <c r="J110" s="477">
        <v>101.14999999999999</v>
      </c>
      <c r="K110" s="479">
        <f t="shared" si="4"/>
        <v>0.43999999999999773</v>
      </c>
      <c r="L110" s="468">
        <f t="shared" si="5"/>
        <v>4.3689802402938913E-3</v>
      </c>
      <c r="M110" s="476">
        <v>6.65</v>
      </c>
      <c r="N110" s="476">
        <v>6.65</v>
      </c>
    </row>
    <row r="111" spans="1:14" x14ac:dyDescent="0.2">
      <c r="A111" s="11" t="s">
        <v>7426</v>
      </c>
      <c r="B111" s="11" t="s">
        <v>7427</v>
      </c>
      <c r="C111" s="501">
        <v>109.6725</v>
      </c>
      <c r="D111" s="20" t="s">
        <v>7428</v>
      </c>
      <c r="E111" s="20">
        <v>47</v>
      </c>
      <c r="F111" s="144">
        <v>48</v>
      </c>
      <c r="G111" s="270"/>
      <c r="H111" s="478"/>
      <c r="I111" s="769">
        <v>100.71249999999999</v>
      </c>
      <c r="J111" s="477">
        <v>100.71249999999999</v>
      </c>
      <c r="K111" s="479">
        <f t="shared" si="4"/>
        <v>0</v>
      </c>
      <c r="L111" s="468">
        <f t="shared" si="5"/>
        <v>0</v>
      </c>
      <c r="M111" s="476">
        <v>6.65</v>
      </c>
      <c r="N111" s="476">
        <v>6.65</v>
      </c>
    </row>
    <row r="112" spans="1:14" x14ac:dyDescent="0.2">
      <c r="A112" s="11" t="s">
        <v>7429</v>
      </c>
      <c r="B112" s="11" t="s">
        <v>7430</v>
      </c>
      <c r="C112" s="501">
        <v>175.035</v>
      </c>
      <c r="D112" s="20" t="s">
        <v>7431</v>
      </c>
      <c r="E112" s="20">
        <v>47</v>
      </c>
      <c r="F112" s="144">
        <v>60</v>
      </c>
      <c r="G112" s="270">
        <v>125.57</v>
      </c>
      <c r="H112" s="478">
        <v>139.56</v>
      </c>
      <c r="I112" s="769">
        <v>160.2475</v>
      </c>
      <c r="J112" s="477">
        <v>161.875</v>
      </c>
      <c r="K112" s="479">
        <f t="shared" si="4"/>
        <v>1.6274999999999977</v>
      </c>
      <c r="L112" s="468">
        <f t="shared" si="5"/>
        <v>1.0156164682756347E-2</v>
      </c>
      <c r="M112" s="476">
        <v>6.65</v>
      </c>
      <c r="N112" s="476">
        <v>6.65</v>
      </c>
    </row>
    <row r="113" spans="1:14" x14ac:dyDescent="0.2">
      <c r="A113" s="11" t="s">
        <v>7432</v>
      </c>
      <c r="B113" s="11" t="s">
        <v>7433</v>
      </c>
      <c r="C113" s="501">
        <v>175.875</v>
      </c>
      <c r="D113" s="20" t="s">
        <v>7434</v>
      </c>
      <c r="E113" s="20">
        <v>47</v>
      </c>
      <c r="F113" s="144">
        <v>62</v>
      </c>
      <c r="G113" s="270">
        <v>126</v>
      </c>
      <c r="H113" s="478">
        <v>140.31</v>
      </c>
      <c r="I113" s="769">
        <v>161.035</v>
      </c>
      <c r="J113" s="477">
        <v>162.57500000000002</v>
      </c>
      <c r="K113" s="479">
        <f t="shared" si="4"/>
        <v>1.5400000000000205</v>
      </c>
      <c r="L113" s="468">
        <f t="shared" si="5"/>
        <v>9.5631384481635693E-3</v>
      </c>
      <c r="M113" s="476">
        <v>6.65</v>
      </c>
      <c r="N113" s="476">
        <v>6.65</v>
      </c>
    </row>
    <row r="114" spans="1:14" x14ac:dyDescent="0.2">
      <c r="A114" s="11" t="s">
        <v>7435</v>
      </c>
      <c r="B114" s="11" t="s">
        <v>7436</v>
      </c>
      <c r="C114" s="501">
        <v>176.785</v>
      </c>
      <c r="D114" s="20" t="s">
        <v>2578</v>
      </c>
      <c r="E114" s="20">
        <v>47</v>
      </c>
      <c r="F114" s="144">
        <v>68</v>
      </c>
      <c r="G114" s="270"/>
      <c r="H114" s="478"/>
      <c r="I114" s="769">
        <v>161.92750000000001</v>
      </c>
      <c r="J114" s="477">
        <v>163.53749999999999</v>
      </c>
      <c r="K114" s="479">
        <f t="shared" si="4"/>
        <v>1.6099999999999852</v>
      </c>
      <c r="L114" s="468">
        <f t="shared" si="5"/>
        <v>9.9427212795849072E-3</v>
      </c>
      <c r="M114" s="476">
        <v>6.65</v>
      </c>
      <c r="N114" s="476">
        <v>6.65</v>
      </c>
    </row>
    <row r="115" spans="1:14" x14ac:dyDescent="0.2">
      <c r="A115" s="11" t="s">
        <v>7437</v>
      </c>
      <c r="B115" s="11" t="s">
        <v>7438</v>
      </c>
      <c r="C115" s="501">
        <v>176.785</v>
      </c>
      <c r="D115" s="20" t="s">
        <v>168</v>
      </c>
      <c r="E115" s="20">
        <v>47</v>
      </c>
      <c r="F115" s="144">
        <v>69</v>
      </c>
      <c r="G115" s="270">
        <v>127.33</v>
      </c>
      <c r="H115" s="478">
        <v>143.51</v>
      </c>
      <c r="I115" s="769">
        <v>161.92750000000001</v>
      </c>
      <c r="J115" s="477">
        <v>163.53749999999999</v>
      </c>
      <c r="K115" s="479">
        <f t="shared" si="4"/>
        <v>1.6099999999999852</v>
      </c>
      <c r="L115" s="468">
        <f t="shared" si="5"/>
        <v>9.9427212795849072E-3</v>
      </c>
      <c r="M115" s="476">
        <v>6.65</v>
      </c>
      <c r="N115" s="476">
        <v>6.65</v>
      </c>
    </row>
    <row r="116" spans="1:14" x14ac:dyDescent="0.2">
      <c r="A116" s="11" t="s">
        <v>7439</v>
      </c>
      <c r="B116" s="11" t="s">
        <v>7440</v>
      </c>
      <c r="C116" s="501">
        <v>109.84750000000001</v>
      </c>
      <c r="D116" s="20" t="s">
        <v>779</v>
      </c>
      <c r="E116" s="20">
        <v>48</v>
      </c>
      <c r="F116" s="144">
        <v>33</v>
      </c>
      <c r="G116" s="270">
        <v>99.17</v>
      </c>
      <c r="H116" s="478">
        <v>84.02000000000001</v>
      </c>
      <c r="I116" s="769">
        <v>100.7475</v>
      </c>
      <c r="J116" s="477">
        <v>101.675</v>
      </c>
      <c r="K116" s="479">
        <f t="shared" si="4"/>
        <v>0.92749999999999488</v>
      </c>
      <c r="L116" s="468">
        <f t="shared" si="5"/>
        <v>9.2061837762723135E-3</v>
      </c>
      <c r="M116" s="476">
        <v>6.65</v>
      </c>
      <c r="N116" s="476">
        <v>4.5999999999999996</v>
      </c>
    </row>
    <row r="117" spans="1:14" x14ac:dyDescent="0.2">
      <c r="A117" s="11" t="s">
        <v>7441</v>
      </c>
      <c r="B117" s="11" t="s">
        <v>7442</v>
      </c>
      <c r="C117" s="501">
        <v>119.7</v>
      </c>
      <c r="D117" s="20" t="s">
        <v>115</v>
      </c>
      <c r="E117" s="20">
        <v>48</v>
      </c>
      <c r="F117" s="144">
        <v>48</v>
      </c>
      <c r="G117" s="270">
        <v>99.17</v>
      </c>
      <c r="H117" s="478">
        <v>93.17</v>
      </c>
      <c r="I117" s="769">
        <v>103.1275</v>
      </c>
      <c r="J117" s="477">
        <v>104.16000000000001</v>
      </c>
      <c r="K117" s="479">
        <f t="shared" si="4"/>
        <v>1.0325000000000131</v>
      </c>
      <c r="L117" s="468">
        <f t="shared" si="5"/>
        <v>1.0011878499915281E-2</v>
      </c>
      <c r="M117" s="476">
        <v>6.65</v>
      </c>
      <c r="N117" s="476">
        <v>6.65</v>
      </c>
    </row>
    <row r="118" spans="1:14" x14ac:dyDescent="0.2">
      <c r="A118" s="40" t="s">
        <v>7443</v>
      </c>
      <c r="B118" s="40" t="s">
        <v>7444</v>
      </c>
      <c r="C118" s="990">
        <v>172</v>
      </c>
      <c r="F118" s="144"/>
      <c r="G118" s="270"/>
      <c r="H118" s="478"/>
      <c r="I118" s="769"/>
      <c r="J118" s="477"/>
      <c r="K118" s="479"/>
      <c r="L118" s="468"/>
      <c r="N118" s="476"/>
    </row>
    <row r="119" spans="1:14" x14ac:dyDescent="0.2">
      <c r="A119" s="11" t="s">
        <v>7445</v>
      </c>
      <c r="B119" s="11" t="s">
        <v>7446</v>
      </c>
      <c r="C119" s="501">
        <v>172.1825</v>
      </c>
      <c r="D119" s="20" t="s">
        <v>7447</v>
      </c>
      <c r="E119" s="20">
        <v>48</v>
      </c>
      <c r="F119" s="144">
        <v>55</v>
      </c>
      <c r="G119" s="270">
        <v>125.81</v>
      </c>
      <c r="H119" s="478">
        <v>137.51</v>
      </c>
      <c r="I119" s="769">
        <v>157.48249999999999</v>
      </c>
      <c r="J119" s="477">
        <v>158.9</v>
      </c>
      <c r="K119" s="479">
        <f t="shared" si="4"/>
        <v>1.4175000000000182</v>
      </c>
      <c r="L119" s="468">
        <f t="shared" si="5"/>
        <v>9.0010001111235742E-3</v>
      </c>
      <c r="M119" s="476">
        <v>6.65</v>
      </c>
      <c r="N119" s="476">
        <v>6.65</v>
      </c>
    </row>
    <row r="120" spans="1:14" s="40" customFormat="1" x14ac:dyDescent="0.2">
      <c r="A120" s="11" t="s">
        <v>7448</v>
      </c>
      <c r="B120" s="11" t="s">
        <v>7449</v>
      </c>
      <c r="C120" s="501">
        <v>175</v>
      </c>
      <c r="D120" s="20" t="s">
        <v>3813</v>
      </c>
      <c r="E120" s="20">
        <v>48</v>
      </c>
      <c r="F120" s="144">
        <v>56</v>
      </c>
      <c r="G120" s="270">
        <v>125.81</v>
      </c>
      <c r="H120" s="478">
        <v>137.91</v>
      </c>
      <c r="I120" s="769">
        <v>160.21250000000001</v>
      </c>
      <c r="J120" s="477">
        <v>161.70000000000002</v>
      </c>
      <c r="K120" s="479">
        <f t="shared" si="4"/>
        <v>1.4875000000000114</v>
      </c>
      <c r="L120" s="468">
        <f t="shared" si="5"/>
        <v>9.2845439650464934E-3</v>
      </c>
      <c r="M120" s="476">
        <v>6.65</v>
      </c>
      <c r="N120" s="476">
        <v>6.65</v>
      </c>
    </row>
    <row r="121" spans="1:14" x14ac:dyDescent="0.2">
      <c r="A121" s="11" t="s">
        <v>7450</v>
      </c>
      <c r="B121" s="11" t="s">
        <v>7451</v>
      </c>
      <c r="C121" s="501">
        <v>188.18</v>
      </c>
      <c r="D121" s="20" t="s">
        <v>191</v>
      </c>
      <c r="E121" s="20">
        <v>48</v>
      </c>
      <c r="F121" s="144">
        <v>60</v>
      </c>
      <c r="G121" s="270">
        <v>125.81</v>
      </c>
      <c r="H121" s="478">
        <v>139.98999999999998</v>
      </c>
      <c r="I121" s="769">
        <v>160.92999999999998</v>
      </c>
      <c r="J121" s="477">
        <v>144.98749999999998</v>
      </c>
      <c r="K121" s="479">
        <f t="shared" si="4"/>
        <v>-15.942499999999995</v>
      </c>
      <c r="L121" s="468">
        <f t="shared" si="5"/>
        <v>-9.9064810787298813E-2</v>
      </c>
      <c r="M121" s="476">
        <v>6.65</v>
      </c>
      <c r="N121" s="476">
        <v>6.65</v>
      </c>
    </row>
    <row r="122" spans="1:14" x14ac:dyDescent="0.2">
      <c r="A122" s="11" t="s">
        <v>7452</v>
      </c>
      <c r="B122" s="11" t="s">
        <v>7453</v>
      </c>
      <c r="C122" s="501">
        <v>175.91</v>
      </c>
      <c r="D122" s="20" t="s">
        <v>235</v>
      </c>
      <c r="E122" s="20">
        <v>48</v>
      </c>
      <c r="F122" s="144">
        <v>62</v>
      </c>
      <c r="G122" s="270">
        <v>99.17</v>
      </c>
      <c r="H122" s="478">
        <v>140.76</v>
      </c>
      <c r="I122" s="769">
        <v>161.08750000000001</v>
      </c>
      <c r="J122" s="477">
        <v>162.66249999999999</v>
      </c>
      <c r="K122" s="479">
        <f t="shared" si="4"/>
        <v>1.5749999999999886</v>
      </c>
      <c r="L122" s="468">
        <f t="shared" si="5"/>
        <v>9.7772949483975399E-3</v>
      </c>
      <c r="M122" s="476">
        <v>6.65</v>
      </c>
      <c r="N122" s="476">
        <v>6.65</v>
      </c>
    </row>
    <row r="123" spans="1:14" s="40" customFormat="1" x14ac:dyDescent="0.2">
      <c r="A123" s="40" t="s">
        <v>7454</v>
      </c>
      <c r="B123" s="40" t="s">
        <v>7455</v>
      </c>
      <c r="C123" s="942" t="e">
        <v>#N/A</v>
      </c>
      <c r="D123" s="159" t="s">
        <v>948</v>
      </c>
      <c r="E123" s="159">
        <v>48</v>
      </c>
      <c r="F123" s="159">
        <v>64</v>
      </c>
      <c r="G123" s="271"/>
      <c r="H123" s="480"/>
      <c r="I123" s="481"/>
      <c r="J123" s="481"/>
      <c r="K123" s="637">
        <f t="shared" ref="K123:K161" si="6">J123-I123</f>
        <v>0</v>
      </c>
      <c r="L123" s="493" t="e">
        <f t="shared" ref="L123:L161" si="7">K123/I123</f>
        <v>#DIV/0!</v>
      </c>
      <c r="M123" s="638">
        <v>6.65</v>
      </c>
      <c r="N123" s="638">
        <v>6.65</v>
      </c>
    </row>
    <row r="124" spans="1:14" x14ac:dyDescent="0.2">
      <c r="A124" s="11" t="s">
        <v>7456</v>
      </c>
      <c r="B124" s="11" t="s">
        <v>7457</v>
      </c>
      <c r="C124" s="501">
        <v>176.785</v>
      </c>
      <c r="D124" s="20" t="s">
        <v>7458</v>
      </c>
      <c r="E124" s="20">
        <v>48</v>
      </c>
      <c r="F124" s="144">
        <v>68</v>
      </c>
      <c r="G124" s="270">
        <v>128.25</v>
      </c>
      <c r="H124" s="478">
        <v>143.62</v>
      </c>
      <c r="I124" s="477">
        <v>161.92750000000001</v>
      </c>
      <c r="J124" s="477">
        <v>163.51999999999998</v>
      </c>
      <c r="K124" s="479">
        <f t="shared" si="6"/>
        <v>1.5924999999999727</v>
      </c>
      <c r="L124" s="468">
        <f t="shared" si="7"/>
        <v>9.8346482221980374E-3</v>
      </c>
      <c r="M124" s="476">
        <v>6.65</v>
      </c>
      <c r="N124" s="476">
        <v>6.65</v>
      </c>
    </row>
    <row r="125" spans="1:14" x14ac:dyDescent="0.2">
      <c r="A125" s="11" t="s">
        <v>7459</v>
      </c>
      <c r="B125" s="11" t="s">
        <v>7460</v>
      </c>
      <c r="C125" s="501">
        <v>176.80250000000001</v>
      </c>
      <c r="D125" s="20" t="s">
        <v>164</v>
      </c>
      <c r="E125" s="20">
        <v>48</v>
      </c>
      <c r="F125" s="144">
        <v>70</v>
      </c>
      <c r="G125" s="270">
        <v>128.25</v>
      </c>
      <c r="H125" s="478">
        <v>144.94999999999999</v>
      </c>
      <c r="I125" s="477">
        <v>161.94500000000002</v>
      </c>
      <c r="J125" s="477">
        <v>163.51999999999998</v>
      </c>
      <c r="K125" s="479">
        <f t="shared" si="6"/>
        <v>1.5749999999999602</v>
      </c>
      <c r="L125" s="468">
        <f t="shared" si="7"/>
        <v>9.7255240976872395E-3</v>
      </c>
      <c r="M125" s="476">
        <v>6.65</v>
      </c>
      <c r="N125" s="476">
        <v>6.65</v>
      </c>
    </row>
    <row r="126" spans="1:14" x14ac:dyDescent="0.2">
      <c r="A126" s="11" t="s">
        <v>7461</v>
      </c>
      <c r="B126" s="11" t="s">
        <v>7462</v>
      </c>
      <c r="C126" s="501">
        <v>189.88</v>
      </c>
      <c r="D126" s="20" t="s">
        <v>379</v>
      </c>
      <c r="E126" s="20">
        <v>48</v>
      </c>
      <c r="F126" s="144">
        <v>72</v>
      </c>
      <c r="G126" s="270">
        <v>129.05000000000001</v>
      </c>
      <c r="H126" s="478">
        <v>145.72</v>
      </c>
      <c r="I126" s="477">
        <v>162.6275</v>
      </c>
      <c r="J126" s="477">
        <v>164.23749999999998</v>
      </c>
      <c r="K126" s="479">
        <f t="shared" si="6"/>
        <v>1.6099999999999852</v>
      </c>
      <c r="L126" s="468">
        <f t="shared" si="7"/>
        <v>9.8999246744860825E-3</v>
      </c>
      <c r="M126" s="476">
        <v>6.65</v>
      </c>
      <c r="N126" s="476">
        <v>6.65</v>
      </c>
    </row>
    <row r="127" spans="1:14" x14ac:dyDescent="0.2">
      <c r="A127" s="11" t="s">
        <v>7463</v>
      </c>
      <c r="B127" s="11" t="s">
        <v>7464</v>
      </c>
      <c r="C127" s="501">
        <v>212.24</v>
      </c>
      <c r="D127" s="20" t="s">
        <v>7465</v>
      </c>
      <c r="E127" s="20">
        <v>48</v>
      </c>
      <c r="F127" s="144">
        <v>74</v>
      </c>
      <c r="G127" s="270"/>
      <c r="H127" s="478"/>
      <c r="I127" s="477">
        <v>193.34</v>
      </c>
      <c r="J127" s="477">
        <v>195.73749999999998</v>
      </c>
      <c r="K127" s="479">
        <f t="shared" si="6"/>
        <v>2.3974999999999795</v>
      </c>
      <c r="L127" s="468">
        <f t="shared" si="7"/>
        <v>1.2400434467776868E-2</v>
      </c>
      <c r="M127" s="476">
        <v>6.65</v>
      </c>
      <c r="N127" s="476">
        <v>6.65</v>
      </c>
    </row>
    <row r="128" spans="1:14" s="40" customFormat="1" x14ac:dyDescent="0.2">
      <c r="A128" s="11" t="s">
        <v>7466</v>
      </c>
      <c r="B128" s="11" t="s">
        <v>7467</v>
      </c>
      <c r="C128" s="501">
        <v>229.88000000000002</v>
      </c>
      <c r="D128" s="20" t="s">
        <v>7468</v>
      </c>
      <c r="E128" s="20">
        <v>48</v>
      </c>
      <c r="F128" s="144">
        <v>80</v>
      </c>
      <c r="G128" s="270">
        <v>175.84</v>
      </c>
      <c r="H128" s="478">
        <v>196.78</v>
      </c>
      <c r="I128" s="477">
        <v>204.17250000000001</v>
      </c>
      <c r="J128" s="477">
        <v>211.83750000000001</v>
      </c>
      <c r="K128" s="479">
        <f t="shared" si="6"/>
        <v>7.664999999999992</v>
      </c>
      <c r="L128" s="468">
        <f t="shared" si="7"/>
        <v>3.7541784520442233E-2</v>
      </c>
      <c r="M128" s="476">
        <v>6.65</v>
      </c>
      <c r="N128" s="476">
        <v>6.65</v>
      </c>
    </row>
    <row r="129" spans="1:14" x14ac:dyDescent="0.2">
      <c r="A129" s="11" t="s">
        <v>7469</v>
      </c>
      <c r="B129" s="11" t="s">
        <v>7470</v>
      </c>
      <c r="C129" s="501">
        <v>231.64750000000001</v>
      </c>
      <c r="D129" s="20" t="s">
        <v>7471</v>
      </c>
      <c r="E129" s="20">
        <v>48</v>
      </c>
      <c r="F129" s="144">
        <v>96</v>
      </c>
      <c r="G129" s="270">
        <v>175.84</v>
      </c>
      <c r="H129" s="478">
        <v>202.26</v>
      </c>
      <c r="I129" s="477">
        <v>211.12</v>
      </c>
      <c r="J129" s="477">
        <v>213.64</v>
      </c>
      <c r="K129" s="479">
        <f t="shared" si="6"/>
        <v>2.5199999999999818</v>
      </c>
      <c r="L129" s="468">
        <f t="shared" si="7"/>
        <v>1.1936339522546333E-2</v>
      </c>
      <c r="M129" s="476">
        <v>6.65</v>
      </c>
      <c r="N129" s="476">
        <v>6.65</v>
      </c>
    </row>
    <row r="130" spans="1:14" x14ac:dyDescent="0.2">
      <c r="A130" s="11" t="s">
        <v>7472</v>
      </c>
      <c r="B130" s="11" t="s">
        <v>7473</v>
      </c>
      <c r="C130" s="501">
        <v>178.92</v>
      </c>
      <c r="D130" s="20" t="s">
        <v>381</v>
      </c>
      <c r="E130" s="20">
        <v>49</v>
      </c>
      <c r="F130" s="144">
        <v>72</v>
      </c>
      <c r="G130" s="270"/>
      <c r="H130" s="478"/>
      <c r="I130" s="477">
        <v>164.01</v>
      </c>
      <c r="J130" s="477">
        <v>165.63750000000002</v>
      </c>
      <c r="K130" s="479">
        <f t="shared" si="6"/>
        <v>1.6275000000000261</v>
      </c>
      <c r="L130" s="468">
        <f t="shared" si="7"/>
        <v>9.9231754161333233E-3</v>
      </c>
      <c r="M130" s="476">
        <v>6.65</v>
      </c>
      <c r="N130" s="476">
        <v>6.65</v>
      </c>
    </row>
    <row r="131" spans="1:14" x14ac:dyDescent="0.2">
      <c r="A131" s="11" t="s">
        <v>7474</v>
      </c>
      <c r="B131" s="11" t="s">
        <v>7475</v>
      </c>
      <c r="C131" s="501">
        <v>176.4</v>
      </c>
      <c r="D131" s="20" t="s">
        <v>2838</v>
      </c>
      <c r="E131" s="20">
        <v>50</v>
      </c>
      <c r="F131" s="144">
        <v>60</v>
      </c>
      <c r="G131" s="270">
        <v>126.77</v>
      </c>
      <c r="H131" s="478">
        <v>141.45999999999998</v>
      </c>
      <c r="I131" s="477">
        <v>161.595</v>
      </c>
      <c r="J131" s="477">
        <v>163.065</v>
      </c>
      <c r="K131" s="479">
        <f t="shared" si="6"/>
        <v>1.4699999999999989</v>
      </c>
      <c r="L131" s="468">
        <f t="shared" si="7"/>
        <v>9.0968161143599666E-3</v>
      </c>
      <c r="M131" s="476">
        <v>6.65</v>
      </c>
      <c r="N131" s="476">
        <v>6.65</v>
      </c>
    </row>
    <row r="132" spans="1:14" x14ac:dyDescent="0.2">
      <c r="A132" s="11" t="s">
        <v>7476</v>
      </c>
      <c r="B132" s="11" t="s">
        <v>7477</v>
      </c>
      <c r="C132" s="501">
        <v>178.13250000000002</v>
      </c>
      <c r="D132" s="20" t="s">
        <v>2838</v>
      </c>
      <c r="E132" s="20">
        <v>50</v>
      </c>
      <c r="F132" s="144">
        <v>60</v>
      </c>
      <c r="G132" s="270">
        <v>126.77</v>
      </c>
      <c r="H132" s="478">
        <v>141.45999999999998</v>
      </c>
      <c r="I132" s="477">
        <v>163.29250000000002</v>
      </c>
      <c r="J132" s="477">
        <v>164.815</v>
      </c>
      <c r="K132" s="479">
        <f t="shared" si="6"/>
        <v>1.5224999999999795</v>
      </c>
      <c r="L132" s="468">
        <f t="shared" si="7"/>
        <v>9.3237595113062725E-3</v>
      </c>
      <c r="M132" s="476">
        <v>6.65</v>
      </c>
      <c r="N132" s="476">
        <v>6.65</v>
      </c>
    </row>
    <row r="133" spans="1:14" s="40" customFormat="1" x14ac:dyDescent="0.2">
      <c r="A133" s="40" t="s">
        <v>7478</v>
      </c>
      <c r="B133" s="40" t="s">
        <v>7479</v>
      </c>
      <c r="C133" s="990">
        <v>178.13250000000002</v>
      </c>
      <c r="D133" s="159" t="s">
        <v>4008</v>
      </c>
      <c r="E133" s="159">
        <v>50</v>
      </c>
      <c r="F133" s="159">
        <v>70</v>
      </c>
      <c r="G133" s="271"/>
      <c r="H133" s="480"/>
      <c r="I133" s="481"/>
      <c r="J133" s="481"/>
      <c r="K133" s="637"/>
      <c r="L133" s="493"/>
      <c r="M133" s="638"/>
      <c r="N133" s="638"/>
    </row>
    <row r="134" spans="1:14" s="40" customFormat="1" x14ac:dyDescent="0.2">
      <c r="A134" s="40" t="s">
        <v>7480</v>
      </c>
      <c r="B134" s="40" t="s">
        <v>7481</v>
      </c>
      <c r="C134" s="990">
        <v>210</v>
      </c>
      <c r="D134" s="159" t="s">
        <v>2970</v>
      </c>
      <c r="E134" s="159"/>
      <c r="F134" s="159"/>
      <c r="G134" s="271"/>
      <c r="H134" s="480"/>
      <c r="I134" s="481"/>
      <c r="J134" s="481"/>
      <c r="K134" s="637"/>
      <c r="L134" s="493"/>
      <c r="M134" s="638"/>
      <c r="N134" s="638"/>
    </row>
    <row r="135" spans="1:14" x14ac:dyDescent="0.2">
      <c r="A135" s="11" t="s">
        <v>7482</v>
      </c>
      <c r="B135" s="11" t="s">
        <v>7483</v>
      </c>
      <c r="C135" s="501">
        <v>177.32749999999999</v>
      </c>
      <c r="D135" s="20" t="s">
        <v>3592</v>
      </c>
      <c r="E135" s="20">
        <v>51</v>
      </c>
      <c r="F135" s="144">
        <v>64</v>
      </c>
      <c r="G135" s="270">
        <v>129.45999999999998</v>
      </c>
      <c r="H135" s="478">
        <v>144.09</v>
      </c>
      <c r="I135" s="477">
        <v>162.48749999999998</v>
      </c>
      <c r="J135" s="477">
        <v>164.01</v>
      </c>
      <c r="K135" s="479">
        <f t="shared" si="6"/>
        <v>1.522500000000008</v>
      </c>
      <c r="L135" s="468">
        <f t="shared" si="7"/>
        <v>9.3699515347334915E-3</v>
      </c>
      <c r="M135" s="476">
        <v>6.65</v>
      </c>
      <c r="N135" s="476">
        <v>6.65</v>
      </c>
    </row>
    <row r="136" spans="1:14" x14ac:dyDescent="0.2">
      <c r="A136" s="11" t="s">
        <v>7484</v>
      </c>
      <c r="B136" s="11" t="s">
        <v>7485</v>
      </c>
      <c r="C136" s="501">
        <v>177.27500000000001</v>
      </c>
      <c r="D136" s="20" t="s">
        <v>2461</v>
      </c>
      <c r="E136" s="20">
        <v>52</v>
      </c>
      <c r="F136" s="144">
        <v>52</v>
      </c>
      <c r="G136" s="270">
        <v>122.61</v>
      </c>
      <c r="H136" s="478">
        <v>138.57999999999998</v>
      </c>
      <c r="I136" s="477">
        <v>162.45249999999999</v>
      </c>
      <c r="J136" s="477">
        <v>164.01</v>
      </c>
      <c r="K136" s="479">
        <f t="shared" si="6"/>
        <v>1.5575000000000045</v>
      </c>
      <c r="L136" s="468">
        <f t="shared" si="7"/>
        <v>9.5874178606054367E-3</v>
      </c>
      <c r="M136" s="476">
        <v>6.65</v>
      </c>
      <c r="N136" s="476">
        <v>6.65</v>
      </c>
    </row>
    <row r="137" spans="1:14" x14ac:dyDescent="0.2">
      <c r="A137" s="11" t="s">
        <v>7486</v>
      </c>
      <c r="B137" s="11" t="s">
        <v>7487</v>
      </c>
      <c r="C137" s="501">
        <v>177.1</v>
      </c>
      <c r="D137" s="20" t="s">
        <v>7488</v>
      </c>
      <c r="E137" s="20">
        <v>52</v>
      </c>
      <c r="F137" s="144">
        <v>58</v>
      </c>
      <c r="G137" s="270">
        <v>127.21</v>
      </c>
      <c r="H137" s="478">
        <v>141.54999999999998</v>
      </c>
      <c r="I137" s="477">
        <v>162.2775</v>
      </c>
      <c r="J137" s="477">
        <v>163.79999999999998</v>
      </c>
      <c r="K137" s="479">
        <f t="shared" si="6"/>
        <v>1.5224999999999795</v>
      </c>
      <c r="L137" s="468">
        <f t="shared" si="7"/>
        <v>9.3820769977352343E-3</v>
      </c>
      <c r="M137" s="476">
        <v>6.65</v>
      </c>
      <c r="N137" s="476">
        <v>6.65</v>
      </c>
    </row>
    <row r="138" spans="1:14" x14ac:dyDescent="0.2">
      <c r="A138" s="11" t="s">
        <v>7489</v>
      </c>
      <c r="B138" s="11" t="s">
        <v>7490</v>
      </c>
      <c r="C138" s="501">
        <v>178.04499999999999</v>
      </c>
      <c r="D138" s="20" t="s">
        <v>7491</v>
      </c>
      <c r="E138" s="20">
        <v>52</v>
      </c>
      <c r="F138" s="144">
        <v>66</v>
      </c>
      <c r="G138" s="270">
        <v>130.32999999999998</v>
      </c>
      <c r="H138" s="478">
        <v>145.92999999999998</v>
      </c>
      <c r="I138" s="477">
        <v>161.4375</v>
      </c>
      <c r="J138" s="477">
        <v>164.72749999999999</v>
      </c>
      <c r="K138" s="479">
        <f t="shared" si="6"/>
        <v>3.289999999999992</v>
      </c>
      <c r="L138" s="468">
        <f t="shared" si="7"/>
        <v>2.0379403794037892E-2</v>
      </c>
      <c r="M138" s="476">
        <v>6.65</v>
      </c>
      <c r="N138" s="476">
        <v>6.65</v>
      </c>
    </row>
    <row r="139" spans="1:14" x14ac:dyDescent="0.2">
      <c r="A139" s="40" t="s">
        <v>7492</v>
      </c>
      <c r="B139" s="40" t="s">
        <v>7493</v>
      </c>
      <c r="C139" s="990">
        <v>200</v>
      </c>
      <c r="F139" s="144"/>
      <c r="G139" s="270"/>
      <c r="H139" s="478"/>
      <c r="I139" s="477"/>
      <c r="J139" s="477"/>
      <c r="K139" s="479"/>
      <c r="L139" s="468"/>
      <c r="N139" s="476"/>
    </row>
    <row r="140" spans="1:14" x14ac:dyDescent="0.2">
      <c r="A140" s="40" t="s">
        <v>7494</v>
      </c>
      <c r="B140" s="40" t="s">
        <v>7495</v>
      </c>
      <c r="C140" s="990">
        <v>220</v>
      </c>
      <c r="F140" s="144"/>
      <c r="G140" s="270"/>
      <c r="H140" s="478"/>
      <c r="I140" s="477"/>
      <c r="J140" s="477"/>
      <c r="K140" s="479"/>
      <c r="L140" s="468"/>
      <c r="N140" s="476"/>
    </row>
    <row r="141" spans="1:14" x14ac:dyDescent="0.2">
      <c r="A141" s="11" t="s">
        <v>7496</v>
      </c>
      <c r="B141" s="11" t="s">
        <v>7497</v>
      </c>
      <c r="C141" s="501">
        <v>232.10249999999999</v>
      </c>
      <c r="D141" s="20" t="s">
        <v>5423</v>
      </c>
      <c r="E141" s="20">
        <v>52</v>
      </c>
      <c r="F141" s="144">
        <v>84</v>
      </c>
      <c r="G141" s="270">
        <v>170</v>
      </c>
      <c r="H141" s="478">
        <v>199.44</v>
      </c>
      <c r="I141" s="477">
        <v>211.505</v>
      </c>
      <c r="J141" s="477">
        <v>214.06</v>
      </c>
      <c r="K141" s="479">
        <f t="shared" si="6"/>
        <v>2.5550000000000068</v>
      </c>
      <c r="L141" s="468">
        <f t="shared" si="7"/>
        <v>1.208009266920407E-2</v>
      </c>
      <c r="M141" s="476">
        <v>6.65</v>
      </c>
      <c r="N141" s="476">
        <v>6.65</v>
      </c>
    </row>
    <row r="142" spans="1:14" x14ac:dyDescent="0.2">
      <c r="A142" s="11" t="s">
        <v>7498</v>
      </c>
      <c r="B142" s="11" t="s">
        <v>7499</v>
      </c>
      <c r="C142" s="501">
        <v>178.465</v>
      </c>
      <c r="D142" s="20" t="s">
        <v>2235</v>
      </c>
      <c r="E142" s="20">
        <v>54</v>
      </c>
      <c r="F142" s="144">
        <v>54</v>
      </c>
      <c r="G142" s="270">
        <v>127.21</v>
      </c>
      <c r="H142" s="478">
        <v>140.78</v>
      </c>
      <c r="I142" s="477">
        <v>162.08500000000001</v>
      </c>
      <c r="J142" s="477">
        <v>163.57249999999999</v>
      </c>
      <c r="K142" s="479">
        <f t="shared" si="6"/>
        <v>1.4874999999999829</v>
      </c>
      <c r="L142" s="468">
        <f t="shared" si="7"/>
        <v>9.1772835240767677E-3</v>
      </c>
      <c r="M142" s="476">
        <v>6.65</v>
      </c>
      <c r="N142" s="476">
        <v>6.65</v>
      </c>
    </row>
    <row r="143" spans="1:14" x14ac:dyDescent="0.2">
      <c r="A143" s="11" t="s">
        <v>7500</v>
      </c>
      <c r="B143" s="11" t="s">
        <v>7501</v>
      </c>
      <c r="C143" s="501">
        <v>178.15</v>
      </c>
      <c r="D143" s="20" t="s">
        <v>1057</v>
      </c>
      <c r="E143" s="20">
        <v>54</v>
      </c>
      <c r="F143" s="144">
        <v>63</v>
      </c>
      <c r="G143" s="270">
        <v>130</v>
      </c>
      <c r="H143" s="478">
        <v>145.64999999999998</v>
      </c>
      <c r="I143" s="477">
        <v>163.29250000000002</v>
      </c>
      <c r="J143" s="477">
        <v>164.85</v>
      </c>
      <c r="K143" s="479">
        <f t="shared" si="6"/>
        <v>1.5574999999999761</v>
      </c>
      <c r="L143" s="468">
        <f t="shared" si="7"/>
        <v>9.5380988104167425E-3</v>
      </c>
      <c r="M143" s="476">
        <v>6.65</v>
      </c>
      <c r="N143" s="476">
        <v>6.65</v>
      </c>
    </row>
    <row r="144" spans="1:14" x14ac:dyDescent="0.2">
      <c r="A144" s="11" t="s">
        <v>7502</v>
      </c>
      <c r="B144" s="11" t="s">
        <v>7503</v>
      </c>
      <c r="C144" s="501">
        <v>177.92250000000001</v>
      </c>
      <c r="D144" s="20" t="s">
        <v>410</v>
      </c>
      <c r="E144" s="20">
        <v>54</v>
      </c>
      <c r="F144" s="144">
        <v>72</v>
      </c>
      <c r="G144" s="270">
        <v>165.28</v>
      </c>
      <c r="H144" s="478">
        <v>194.47</v>
      </c>
      <c r="I144" s="477">
        <v>210.01750000000001</v>
      </c>
      <c r="J144" s="477">
        <v>212.36249999999998</v>
      </c>
      <c r="K144" s="479">
        <f t="shared" si="6"/>
        <v>2.3449999999999704</v>
      </c>
      <c r="L144" s="468">
        <f t="shared" si="7"/>
        <v>1.1165736188650804E-2</v>
      </c>
      <c r="M144" s="476">
        <v>6.65</v>
      </c>
      <c r="N144" s="476">
        <v>6.65</v>
      </c>
    </row>
    <row r="145" spans="1:14" x14ac:dyDescent="0.2">
      <c r="A145" s="11" t="s">
        <v>7504</v>
      </c>
      <c r="B145" s="11" t="s">
        <v>7505</v>
      </c>
      <c r="C145" s="501">
        <v>232.06750000000002</v>
      </c>
      <c r="D145" s="20" t="s">
        <v>7506</v>
      </c>
      <c r="E145" s="20">
        <v>54</v>
      </c>
      <c r="F145" s="144">
        <v>76</v>
      </c>
      <c r="G145" s="270">
        <v>170.77</v>
      </c>
      <c r="H145" s="478">
        <v>196.70999999999998</v>
      </c>
      <c r="I145" s="477">
        <v>211.61</v>
      </c>
      <c r="J145" s="477">
        <v>213.99</v>
      </c>
      <c r="K145" s="479">
        <f t="shared" si="6"/>
        <v>2.3799999999999955</v>
      </c>
      <c r="L145" s="468">
        <f t="shared" si="7"/>
        <v>1.1247105524313574E-2</v>
      </c>
      <c r="M145" s="476">
        <v>6.65</v>
      </c>
      <c r="N145" s="476">
        <v>6.65</v>
      </c>
    </row>
    <row r="146" spans="1:14" x14ac:dyDescent="0.2">
      <c r="A146" s="11" t="s">
        <v>7507</v>
      </c>
      <c r="B146" s="11" t="s">
        <v>7508</v>
      </c>
      <c r="C146" s="501">
        <v>232.27749999999997</v>
      </c>
      <c r="D146" s="20" t="s">
        <v>7509</v>
      </c>
      <c r="E146" s="20">
        <v>55</v>
      </c>
      <c r="F146" s="144">
        <v>78</v>
      </c>
      <c r="G146" s="270">
        <v>175</v>
      </c>
      <c r="H146" s="478">
        <v>198.64999999999998</v>
      </c>
      <c r="I146" s="477">
        <v>211.785</v>
      </c>
      <c r="J146" s="477">
        <v>214.20000000000002</v>
      </c>
      <c r="K146" s="479">
        <f t="shared" si="6"/>
        <v>2.4150000000000205</v>
      </c>
      <c r="L146" s="468">
        <f t="shared" si="7"/>
        <v>1.1403073872087355E-2</v>
      </c>
      <c r="M146" s="476">
        <v>6.65</v>
      </c>
      <c r="N146" s="476">
        <v>6.65</v>
      </c>
    </row>
    <row r="147" spans="1:14" s="40" customFormat="1" x14ac:dyDescent="0.2">
      <c r="A147" s="40" t="s">
        <v>7510</v>
      </c>
      <c r="B147" s="40" t="s">
        <v>7511</v>
      </c>
      <c r="C147" s="990">
        <v>180</v>
      </c>
      <c r="D147" s="159"/>
      <c r="E147" s="159"/>
      <c r="F147" s="159"/>
      <c r="G147" s="271"/>
      <c r="H147" s="480"/>
      <c r="I147" s="481"/>
      <c r="J147" s="481"/>
      <c r="K147" s="637"/>
      <c r="L147" s="493"/>
      <c r="M147" s="638"/>
      <c r="N147" s="638"/>
    </row>
    <row r="148" spans="1:14" s="40" customFormat="1" x14ac:dyDescent="0.2">
      <c r="A148" s="11" t="s">
        <v>7512</v>
      </c>
      <c r="B148" s="11" t="s">
        <v>7513</v>
      </c>
      <c r="C148" s="501">
        <v>230.42249999999999</v>
      </c>
      <c r="D148" s="20" t="s">
        <v>7514</v>
      </c>
      <c r="E148" s="20">
        <v>56</v>
      </c>
      <c r="F148" s="144">
        <v>68</v>
      </c>
      <c r="G148" s="270">
        <v>170.77</v>
      </c>
      <c r="H148" s="478">
        <v>193.81</v>
      </c>
      <c r="I148" s="477">
        <v>210</v>
      </c>
      <c r="J148" s="477">
        <v>212.36249999999998</v>
      </c>
      <c r="K148" s="479">
        <f t="shared" si="6"/>
        <v>2.3624999999999829</v>
      </c>
      <c r="L148" s="468">
        <f t="shared" si="7"/>
        <v>1.1249999999999918E-2</v>
      </c>
      <c r="M148" s="476">
        <v>6.65</v>
      </c>
      <c r="N148" s="476">
        <v>6.65</v>
      </c>
    </row>
    <row r="149" spans="1:14" x14ac:dyDescent="0.2">
      <c r="A149" s="11" t="s">
        <v>7515</v>
      </c>
      <c r="B149" s="11" t="s">
        <v>7516</v>
      </c>
      <c r="C149" s="501">
        <v>231.14000000000001</v>
      </c>
      <c r="D149" s="20" t="s">
        <v>1082</v>
      </c>
      <c r="E149" s="20">
        <v>56</v>
      </c>
      <c r="F149" s="144">
        <v>70</v>
      </c>
      <c r="G149" s="270">
        <v>170.77</v>
      </c>
      <c r="H149" s="478">
        <v>195.23999999999998</v>
      </c>
      <c r="I149" s="477">
        <v>210.70000000000002</v>
      </c>
      <c r="J149" s="477">
        <v>213.0625</v>
      </c>
      <c r="K149" s="479">
        <f t="shared" si="6"/>
        <v>2.3624999999999829</v>
      </c>
      <c r="L149" s="468">
        <f t="shared" si="7"/>
        <v>1.1212624584717525E-2</v>
      </c>
      <c r="M149" s="476">
        <v>6.65</v>
      </c>
      <c r="N149" s="476">
        <v>6.65</v>
      </c>
    </row>
    <row r="150" spans="1:14" x14ac:dyDescent="0.2">
      <c r="A150" s="40" t="s">
        <v>7517</v>
      </c>
      <c r="B150" s="40" t="s">
        <v>7518</v>
      </c>
      <c r="C150" s="990">
        <v>232</v>
      </c>
      <c r="F150" s="144"/>
      <c r="G150" s="270"/>
      <c r="H150" s="478"/>
      <c r="I150" s="477"/>
      <c r="J150" s="477"/>
      <c r="K150" s="479"/>
      <c r="L150" s="468"/>
      <c r="N150" s="476"/>
    </row>
    <row r="151" spans="1:14" x14ac:dyDescent="0.2">
      <c r="A151" s="11" t="s">
        <v>7519</v>
      </c>
      <c r="B151" s="11" t="s">
        <v>7520</v>
      </c>
      <c r="C151" s="501">
        <v>231.26250000000002</v>
      </c>
      <c r="D151" s="20" t="s">
        <v>413</v>
      </c>
      <c r="E151" s="20">
        <v>56</v>
      </c>
      <c r="F151" s="144">
        <v>74</v>
      </c>
      <c r="G151" s="270">
        <v>172</v>
      </c>
      <c r="H151" s="478">
        <v>197.51999999999998</v>
      </c>
      <c r="I151" s="477">
        <v>210.82249999999999</v>
      </c>
      <c r="J151" s="477">
        <v>213.20249999999999</v>
      </c>
      <c r="K151" s="479">
        <f t="shared" si="6"/>
        <v>2.3799999999999955</v>
      </c>
      <c r="L151" s="468">
        <f t="shared" si="7"/>
        <v>1.1289117622644621E-2</v>
      </c>
      <c r="M151" s="476">
        <v>6.65</v>
      </c>
      <c r="N151" s="476">
        <v>6.65</v>
      </c>
    </row>
    <row r="152" spans="1:14" x14ac:dyDescent="0.2">
      <c r="A152" s="11" t="s">
        <v>7521</v>
      </c>
      <c r="B152" s="11" t="s">
        <v>7522</v>
      </c>
      <c r="C152" s="501">
        <v>234.0625</v>
      </c>
      <c r="D152" s="20" t="s">
        <v>7523</v>
      </c>
      <c r="E152" s="20">
        <v>56</v>
      </c>
      <c r="F152" s="144">
        <v>90</v>
      </c>
      <c r="G152" s="270">
        <v>175</v>
      </c>
      <c r="H152" s="478">
        <v>206.01999999999998</v>
      </c>
      <c r="I152" s="477">
        <v>213.51750000000001</v>
      </c>
      <c r="J152" s="477">
        <v>216.01999999999998</v>
      </c>
      <c r="K152" s="479">
        <f t="shared" si="6"/>
        <v>2.5024999999999693</v>
      </c>
      <c r="L152" s="468">
        <f t="shared" si="7"/>
        <v>1.1720350790918632E-2</v>
      </c>
      <c r="M152" s="476">
        <v>6.65</v>
      </c>
      <c r="N152" s="476">
        <v>6.65</v>
      </c>
    </row>
    <row r="153" spans="1:14" s="40" customFormat="1" x14ac:dyDescent="0.2">
      <c r="A153" s="11" t="s">
        <v>7524</v>
      </c>
      <c r="B153" s="11" t="s">
        <v>7525</v>
      </c>
      <c r="C153" s="501">
        <v>235.00749999999999</v>
      </c>
      <c r="D153" s="20" t="s">
        <v>7526</v>
      </c>
      <c r="E153" s="20">
        <v>56</v>
      </c>
      <c r="F153" s="144">
        <v>96</v>
      </c>
      <c r="G153" s="270">
        <v>175</v>
      </c>
      <c r="H153" s="478">
        <v>209.14999999999998</v>
      </c>
      <c r="I153" s="477">
        <v>214.42750000000001</v>
      </c>
      <c r="J153" s="477">
        <v>216.92999999999998</v>
      </c>
      <c r="K153" s="479">
        <f t="shared" si="6"/>
        <v>2.5024999999999693</v>
      </c>
      <c r="L153" s="468">
        <f t="shared" si="7"/>
        <v>1.1670611278870337E-2</v>
      </c>
      <c r="M153" s="476">
        <v>6.65</v>
      </c>
      <c r="N153" s="476">
        <v>6.65</v>
      </c>
    </row>
    <row r="154" spans="1:14" x14ac:dyDescent="0.2">
      <c r="A154" s="6" t="s">
        <v>7527</v>
      </c>
      <c r="B154" s="6" t="s">
        <v>7528</v>
      </c>
      <c r="C154" s="501">
        <v>178.76250000000002</v>
      </c>
      <c r="D154" s="20" t="s">
        <v>7529</v>
      </c>
      <c r="E154" s="20">
        <v>57</v>
      </c>
      <c r="F154" s="144">
        <v>60</v>
      </c>
      <c r="G154" s="270">
        <v>130.73000000000002</v>
      </c>
      <c r="H154" s="478">
        <v>213.44</v>
      </c>
      <c r="I154" s="477">
        <v>163.88750000000002</v>
      </c>
      <c r="J154" s="477">
        <v>167.19500000000002</v>
      </c>
      <c r="K154" s="479">
        <f t="shared" si="6"/>
        <v>3.3075000000000045</v>
      </c>
      <c r="L154" s="468">
        <f t="shared" si="7"/>
        <v>2.0181526962092924E-2</v>
      </c>
      <c r="M154" s="476">
        <v>6.65</v>
      </c>
      <c r="N154" s="476">
        <v>6.65</v>
      </c>
    </row>
    <row r="155" spans="1:14" s="25" customFormat="1" x14ac:dyDescent="0.2">
      <c r="A155" s="1095" t="s">
        <v>7530</v>
      </c>
      <c r="B155" s="1095" t="s">
        <v>7531</v>
      </c>
      <c r="C155" s="664">
        <v>234.24</v>
      </c>
      <c r="D155" s="144"/>
      <c r="E155" s="144"/>
      <c r="F155" s="144"/>
      <c r="G155" s="270"/>
      <c r="H155" s="478"/>
      <c r="I155" s="1101"/>
      <c r="J155" s="1101"/>
      <c r="K155" s="479"/>
      <c r="L155" s="468"/>
      <c r="M155" s="1102"/>
      <c r="N155" s="1102"/>
    </row>
    <row r="156" spans="1:14" x14ac:dyDescent="0.2">
      <c r="A156" s="11" t="s">
        <v>7532</v>
      </c>
      <c r="B156" s="11" t="s">
        <v>7533</v>
      </c>
      <c r="C156" s="501">
        <v>250.58249999999998</v>
      </c>
      <c r="D156" s="20" t="s">
        <v>885</v>
      </c>
      <c r="E156" s="20">
        <v>58</v>
      </c>
      <c r="F156" s="144">
        <v>72</v>
      </c>
      <c r="G156" s="270"/>
      <c r="H156" s="478"/>
      <c r="I156" s="477">
        <v>227.72749999999999</v>
      </c>
      <c r="J156" s="477">
        <v>232.54</v>
      </c>
      <c r="K156" s="479">
        <f t="shared" si="6"/>
        <v>4.8125</v>
      </c>
      <c r="L156" s="468">
        <f t="shared" si="7"/>
        <v>2.1132713440405747E-2</v>
      </c>
      <c r="M156" s="476">
        <v>6.65</v>
      </c>
      <c r="N156" s="476">
        <v>6.65</v>
      </c>
    </row>
    <row r="157" spans="1:14" x14ac:dyDescent="0.2">
      <c r="A157" s="11" t="s">
        <v>7534</v>
      </c>
      <c r="B157" s="11" t="s">
        <v>7535</v>
      </c>
      <c r="C157" s="501">
        <v>252.07</v>
      </c>
      <c r="D157" s="20" t="s">
        <v>885</v>
      </c>
      <c r="E157" s="20">
        <v>58</v>
      </c>
      <c r="F157" s="144">
        <v>72</v>
      </c>
      <c r="G157" s="270">
        <v>170.77</v>
      </c>
      <c r="H157" s="478">
        <v>217.94</v>
      </c>
      <c r="I157" s="477">
        <v>229.1275</v>
      </c>
      <c r="J157" s="477">
        <v>234.02749999999997</v>
      </c>
      <c r="K157" s="479">
        <f t="shared" si="6"/>
        <v>4.8999999999999773</v>
      </c>
      <c r="L157" s="468">
        <f t="shared" si="7"/>
        <v>2.1385473153593425E-2</v>
      </c>
      <c r="M157" s="476">
        <v>6.65</v>
      </c>
      <c r="N157" s="476">
        <v>6.65</v>
      </c>
    </row>
    <row r="158" spans="1:14" x14ac:dyDescent="0.2">
      <c r="A158" s="11" t="s">
        <v>7536</v>
      </c>
      <c r="B158" s="11" t="s">
        <v>7537</v>
      </c>
      <c r="C158" s="501">
        <v>196.875</v>
      </c>
      <c r="D158" s="20" t="s">
        <v>7538</v>
      </c>
      <c r="E158" s="20">
        <v>58</v>
      </c>
      <c r="F158" s="144">
        <v>80</v>
      </c>
      <c r="G158" s="270">
        <v>170.26</v>
      </c>
      <c r="H158" s="478">
        <v>162.53</v>
      </c>
      <c r="I158" s="477">
        <v>179.74249999999998</v>
      </c>
      <c r="J158" s="477">
        <v>183.5575</v>
      </c>
      <c r="K158" s="479">
        <f t="shared" si="6"/>
        <v>3.8150000000000261</v>
      </c>
      <c r="L158" s="468">
        <f t="shared" si="7"/>
        <v>2.1224807711031208E-2</v>
      </c>
      <c r="M158" s="476">
        <v>6.65</v>
      </c>
      <c r="N158" s="476">
        <v>6.65</v>
      </c>
    </row>
    <row r="159" spans="1:14" x14ac:dyDescent="0.2">
      <c r="A159" s="11" t="s">
        <v>7539</v>
      </c>
      <c r="B159" s="11" t="s">
        <v>7540</v>
      </c>
      <c r="C159" s="501">
        <v>251.8775</v>
      </c>
      <c r="D159" s="20" t="s">
        <v>395</v>
      </c>
      <c r="E159" s="20">
        <v>60</v>
      </c>
      <c r="F159" s="144">
        <v>60</v>
      </c>
      <c r="G159" s="270">
        <v>132.26</v>
      </c>
      <c r="H159" s="478">
        <v>215.47</v>
      </c>
      <c r="I159" s="477">
        <v>228.95250000000001</v>
      </c>
      <c r="J159" s="477">
        <v>233.85249999999999</v>
      </c>
      <c r="K159" s="479">
        <f t="shared" si="6"/>
        <v>4.8999999999999773</v>
      </c>
      <c r="L159" s="468">
        <f t="shared" si="7"/>
        <v>2.1401819154628042E-2</v>
      </c>
      <c r="M159" s="476">
        <v>6.65</v>
      </c>
      <c r="N159" s="476">
        <v>6.65</v>
      </c>
    </row>
    <row r="160" spans="1:14" ht="15.75" customHeight="1" x14ac:dyDescent="0.2">
      <c r="A160" s="11" t="s">
        <v>7541</v>
      </c>
      <c r="B160" s="11" t="s">
        <v>7542</v>
      </c>
      <c r="C160" s="501">
        <v>253.32999999999998</v>
      </c>
      <c r="D160" s="20" t="s">
        <v>623</v>
      </c>
      <c r="E160" s="20">
        <v>60</v>
      </c>
      <c r="F160" s="144">
        <v>72</v>
      </c>
      <c r="G160" s="270">
        <v>170.26</v>
      </c>
      <c r="H160" s="478">
        <v>220.06</v>
      </c>
      <c r="I160" s="477">
        <v>230.29999999999998</v>
      </c>
      <c r="J160" s="477">
        <v>235.26999999999998</v>
      </c>
      <c r="K160" s="479">
        <f t="shared" si="6"/>
        <v>4.9699999999999989</v>
      </c>
      <c r="L160" s="468">
        <f t="shared" si="7"/>
        <v>2.1580547112462004E-2</v>
      </c>
      <c r="M160" s="476">
        <v>6.65</v>
      </c>
      <c r="N160" s="476">
        <v>6.65</v>
      </c>
    </row>
    <row r="161" spans="1:14" s="25" customFormat="1" ht="15.75" customHeight="1" x14ac:dyDescent="0.2">
      <c r="A161" s="11" t="s">
        <v>7543</v>
      </c>
      <c r="B161" s="11" t="s">
        <v>7544</v>
      </c>
      <c r="C161" s="501">
        <v>253.22499999999997</v>
      </c>
      <c r="D161" s="20" t="s">
        <v>5299</v>
      </c>
      <c r="E161" s="20">
        <v>60</v>
      </c>
      <c r="F161" s="144">
        <v>80</v>
      </c>
      <c r="G161" s="270">
        <v>176.54</v>
      </c>
      <c r="H161" s="478">
        <v>222.85999999999999</v>
      </c>
      <c r="I161" s="477">
        <v>230.19499999999999</v>
      </c>
      <c r="J161" s="477">
        <v>235.375</v>
      </c>
      <c r="K161" s="479">
        <f t="shared" si="6"/>
        <v>5.1800000000000068</v>
      </c>
      <c r="L161" s="468">
        <f t="shared" si="7"/>
        <v>2.2502660787593158E-2</v>
      </c>
      <c r="M161" s="476">
        <v>6.65</v>
      </c>
      <c r="N161" s="476">
        <v>6.65</v>
      </c>
    </row>
    <row r="162" spans="1:14" ht="15.75" customHeight="1" x14ac:dyDescent="0.2">
      <c r="A162" s="11" t="s">
        <v>7545</v>
      </c>
      <c r="B162" s="11" t="s">
        <v>7546</v>
      </c>
      <c r="C162" s="501">
        <v>259.96250000000003</v>
      </c>
      <c r="D162" s="20" t="s">
        <v>7547</v>
      </c>
      <c r="E162" s="20">
        <v>60</v>
      </c>
      <c r="F162" s="144">
        <v>84</v>
      </c>
      <c r="G162" s="270">
        <v>176.54</v>
      </c>
      <c r="H162" s="478">
        <v>236.26</v>
      </c>
      <c r="I162" s="477">
        <v>238.24499999999998</v>
      </c>
      <c r="J162" s="477">
        <v>241.9375</v>
      </c>
      <c r="K162" s="479">
        <f t="shared" ref="K162:K170" si="8">J162-I162</f>
        <v>3.6925000000000239</v>
      </c>
      <c r="L162" s="468">
        <f t="shared" ref="L162:L170" si="9">K162/I162</f>
        <v>1.5498751285441559E-2</v>
      </c>
      <c r="M162" s="476">
        <v>6.65</v>
      </c>
      <c r="N162" s="476">
        <v>6.65</v>
      </c>
    </row>
    <row r="163" spans="1:14" x14ac:dyDescent="0.2">
      <c r="A163" s="11" t="s">
        <v>7548</v>
      </c>
      <c r="B163" s="11" t="s">
        <v>7549</v>
      </c>
      <c r="C163" s="501">
        <v>253.34750000000003</v>
      </c>
      <c r="D163" s="20" t="s">
        <v>7550</v>
      </c>
      <c r="E163" s="20">
        <v>69</v>
      </c>
      <c r="F163" s="144">
        <v>89</v>
      </c>
      <c r="G163" s="270">
        <v>180</v>
      </c>
      <c r="H163" s="478">
        <v>222.17</v>
      </c>
      <c r="I163" s="477">
        <v>230.29999999999998</v>
      </c>
      <c r="J163" s="477">
        <v>235.28749999999997</v>
      </c>
      <c r="K163" s="479">
        <f t="shared" si="8"/>
        <v>4.9874999999999829</v>
      </c>
      <c r="L163" s="468">
        <f t="shared" si="9"/>
        <v>2.1656534954407222E-2</v>
      </c>
      <c r="M163" s="476">
        <v>6.65</v>
      </c>
      <c r="N163" s="476">
        <v>6.65</v>
      </c>
    </row>
    <row r="164" spans="1:14" x14ac:dyDescent="0.2">
      <c r="A164" s="11" t="s">
        <v>7551</v>
      </c>
      <c r="B164" s="11" t="s">
        <v>7552</v>
      </c>
      <c r="C164" s="501">
        <v>254.5025</v>
      </c>
      <c r="D164" s="20" t="s">
        <v>7553</v>
      </c>
      <c r="E164" s="20">
        <v>62</v>
      </c>
      <c r="F164" s="144">
        <v>80</v>
      </c>
      <c r="G164" s="270">
        <v>170</v>
      </c>
      <c r="H164" s="478">
        <v>224.32999999999998</v>
      </c>
      <c r="I164" s="477">
        <v>231.38499999999999</v>
      </c>
      <c r="J164" s="477">
        <v>236.49499999999998</v>
      </c>
      <c r="K164" s="479">
        <f t="shared" si="8"/>
        <v>5.1099999999999852</v>
      </c>
      <c r="L164" s="468">
        <f t="shared" si="9"/>
        <v>2.2084404779912203E-2</v>
      </c>
      <c r="M164" s="476">
        <v>6.65</v>
      </c>
      <c r="N164" s="476">
        <v>6.65</v>
      </c>
    </row>
    <row r="165" spans="1:14" s="25" customFormat="1" ht="15.75" customHeight="1" x14ac:dyDescent="0.2">
      <c r="A165" s="11" t="s">
        <v>7554</v>
      </c>
      <c r="B165" s="6" t="s">
        <v>7555</v>
      </c>
      <c r="C165" s="501">
        <v>258.52749999999997</v>
      </c>
      <c r="D165" s="20" t="s">
        <v>5628</v>
      </c>
      <c r="E165" s="20">
        <v>64</v>
      </c>
      <c r="F165" s="144">
        <v>96</v>
      </c>
      <c r="G165" s="270">
        <v>176.54</v>
      </c>
      <c r="H165" s="478">
        <v>234.57999999999998</v>
      </c>
      <c r="I165" s="477">
        <v>235.43</v>
      </c>
      <c r="J165" s="477">
        <v>240.48499999999999</v>
      </c>
      <c r="K165" s="479">
        <f t="shared" si="8"/>
        <v>5.0549999999999784</v>
      </c>
      <c r="L165" s="468">
        <f t="shared" si="9"/>
        <v>2.1471350295204427E-2</v>
      </c>
      <c r="M165" s="476">
        <v>6.65</v>
      </c>
      <c r="N165" s="476">
        <v>6.65</v>
      </c>
    </row>
    <row r="166" spans="1:14" s="25" customFormat="1" ht="15.75" customHeight="1" x14ac:dyDescent="0.2">
      <c r="A166" s="40" t="s">
        <v>7556</v>
      </c>
      <c r="B166" s="43" t="s">
        <v>7557</v>
      </c>
      <c r="C166" s="990">
        <v>275</v>
      </c>
      <c r="D166" s="20"/>
      <c r="E166" s="20"/>
      <c r="F166" s="144"/>
      <c r="G166" s="270"/>
      <c r="H166" s="478"/>
      <c r="I166" s="477"/>
      <c r="J166" s="477"/>
      <c r="K166" s="479"/>
      <c r="L166" s="468"/>
      <c r="M166" s="476"/>
      <c r="N166" s="476"/>
    </row>
    <row r="167" spans="1:14" s="25" customFormat="1" ht="15.75" customHeight="1" x14ac:dyDescent="0.2">
      <c r="A167" s="25" t="s">
        <v>7558</v>
      </c>
      <c r="B167" s="1095" t="s">
        <v>7559</v>
      </c>
      <c r="C167" s="664">
        <v>275.20999999999998</v>
      </c>
      <c r="D167" s="144"/>
      <c r="E167" s="144"/>
      <c r="F167" s="144"/>
      <c r="G167" s="270"/>
      <c r="H167" s="478"/>
      <c r="I167" s="1101"/>
      <c r="J167" s="1101"/>
      <c r="K167" s="479"/>
      <c r="L167" s="468"/>
      <c r="M167" s="1102"/>
      <c r="N167" s="1102"/>
    </row>
    <row r="168" spans="1:14" s="40" customFormat="1" ht="15.75" customHeight="1" x14ac:dyDescent="0.2">
      <c r="A168" s="11" t="s">
        <v>7560</v>
      </c>
      <c r="B168" s="11" t="s">
        <v>7561</v>
      </c>
      <c r="C168" s="501">
        <v>258.52749999999997</v>
      </c>
      <c r="D168" s="20" t="s">
        <v>7562</v>
      </c>
      <c r="E168" s="20">
        <v>69</v>
      </c>
      <c r="F168" s="144">
        <v>89</v>
      </c>
      <c r="G168" s="270">
        <v>186.16</v>
      </c>
      <c r="H168" s="478">
        <v>234.57999999999998</v>
      </c>
      <c r="I168" s="477">
        <v>235.14750000000001</v>
      </c>
      <c r="J168" s="477">
        <v>240.48499999999999</v>
      </c>
      <c r="K168" s="479">
        <f t="shared" si="8"/>
        <v>5.3374999999999773</v>
      </c>
      <c r="L168" s="468">
        <f t="shared" si="9"/>
        <v>2.2698519014660912E-2</v>
      </c>
      <c r="M168" s="476">
        <v>6.65</v>
      </c>
      <c r="N168" s="476">
        <v>6.65</v>
      </c>
    </row>
    <row r="169" spans="1:14" s="25" customFormat="1" ht="15.75" customHeight="1" x14ac:dyDescent="0.2">
      <c r="A169" s="11" t="s">
        <v>7563</v>
      </c>
      <c r="B169" s="11" t="s">
        <v>7564</v>
      </c>
      <c r="C169" s="501">
        <v>255.55250000000001</v>
      </c>
      <c r="D169" s="20" t="s">
        <v>7550</v>
      </c>
      <c r="E169" s="20">
        <v>69</v>
      </c>
      <c r="F169" s="144">
        <v>89</v>
      </c>
      <c r="G169" s="270">
        <v>220.87</v>
      </c>
      <c r="H169" s="478">
        <v>225.67</v>
      </c>
      <c r="I169" s="477">
        <v>231.19250000000002</v>
      </c>
      <c r="J169" s="477">
        <v>237.51</v>
      </c>
      <c r="K169" s="479">
        <f t="shared" si="8"/>
        <v>6.317499999999967</v>
      </c>
      <c r="L169" s="468">
        <f t="shared" si="9"/>
        <v>2.7325713420634175E-2</v>
      </c>
      <c r="M169" s="476">
        <v>6.65</v>
      </c>
      <c r="N169" s="476">
        <v>6.65</v>
      </c>
    </row>
    <row r="170" spans="1:14" s="40" customFormat="1" ht="15.75" customHeight="1" x14ac:dyDescent="0.2">
      <c r="A170" s="11" t="s">
        <v>7565</v>
      </c>
      <c r="B170" s="11" t="s">
        <v>7566</v>
      </c>
      <c r="C170" s="501">
        <v>259.57750000000004</v>
      </c>
      <c r="D170" s="20" t="str">
        <f>RIGHT(A169,5)</f>
        <v>72x72</v>
      </c>
      <c r="E170" s="20" t="str">
        <f>LEFT(D170,2)</f>
        <v>72</v>
      </c>
      <c r="F170" s="144" t="str">
        <f>RIGHT(D170,2)</f>
        <v>72</v>
      </c>
      <c r="G170" s="483">
        <v>205</v>
      </c>
      <c r="H170" s="478">
        <v>207.73999999999998</v>
      </c>
      <c r="I170" s="477">
        <v>236.10999999999999</v>
      </c>
      <c r="J170" s="477">
        <v>241.55250000000001</v>
      </c>
      <c r="K170" s="479">
        <f t="shared" si="8"/>
        <v>5.4425000000000239</v>
      </c>
      <c r="L170" s="468">
        <f t="shared" si="9"/>
        <v>2.3050696709161086E-2</v>
      </c>
      <c r="M170" s="476">
        <v>6.65</v>
      </c>
      <c r="N170" s="476">
        <v>6.65</v>
      </c>
    </row>
    <row r="171" spans="1:14" s="40" customFormat="1" ht="15.75" customHeight="1" x14ac:dyDescent="0.2">
      <c r="A171" s="40" t="s">
        <v>7567</v>
      </c>
      <c r="B171" s="40" t="s">
        <v>7568</v>
      </c>
      <c r="C171" s="990">
        <v>243.72</v>
      </c>
      <c r="D171" s="159"/>
      <c r="E171" s="159"/>
      <c r="F171" s="159"/>
      <c r="G171" s="1104"/>
      <c r="H171" s="1105"/>
      <c r="I171" s="481"/>
      <c r="J171" s="481"/>
      <c r="K171" s="637"/>
      <c r="L171" s="493"/>
      <c r="M171" s="638"/>
      <c r="N171" s="638"/>
    </row>
    <row r="172" spans="1:14" s="40" customFormat="1" ht="15.75" customHeight="1" x14ac:dyDescent="0.2">
      <c r="A172" s="40" t="s">
        <v>7569</v>
      </c>
      <c r="B172" s="40" t="s">
        <v>7570</v>
      </c>
      <c r="C172" s="990">
        <v>268.20999999999998</v>
      </c>
      <c r="D172" s="159" t="s">
        <v>7571</v>
      </c>
      <c r="E172" s="159" t="str">
        <f>LEFT(D172,2)</f>
        <v>72</v>
      </c>
      <c r="F172" s="159">
        <v>110</v>
      </c>
      <c r="G172" s="1104"/>
      <c r="H172" s="1105"/>
      <c r="I172" s="481"/>
      <c r="J172" s="481"/>
      <c r="K172" s="637"/>
      <c r="L172" s="493"/>
      <c r="M172" s="638"/>
      <c r="N172" s="638"/>
    </row>
    <row r="173" spans="1:14" s="40" customFormat="1" ht="15.75" customHeight="1" x14ac:dyDescent="0.2">
      <c r="A173" s="11"/>
      <c r="B173" s="11"/>
      <c r="C173" s="943"/>
      <c r="D173" s="20"/>
      <c r="E173" s="20"/>
      <c r="F173" s="144"/>
      <c r="G173" s="483"/>
      <c r="H173" s="484"/>
      <c r="I173" s="477"/>
      <c r="J173" s="477"/>
      <c r="K173" s="479"/>
      <c r="L173" s="468"/>
      <c r="M173" s="482"/>
      <c r="N173" s="22"/>
    </row>
    <row r="174" spans="1:14" s="237" customFormat="1" ht="15.75" customHeight="1" x14ac:dyDescent="0.2">
      <c r="A174" s="11" t="s">
        <v>7572</v>
      </c>
      <c r="B174" s="11"/>
      <c r="C174" s="943"/>
      <c r="D174" s="235"/>
      <c r="E174" s="235"/>
      <c r="F174" s="545"/>
      <c r="G174" s="465"/>
    </row>
    <row r="175" spans="1:14" s="237" customFormat="1" ht="15.75" customHeight="1" x14ac:dyDescent="0.2">
      <c r="A175" s="171" t="s">
        <v>7573</v>
      </c>
      <c r="B175" s="171" t="s">
        <v>7574</v>
      </c>
      <c r="C175" s="943">
        <v>75.97</v>
      </c>
      <c r="D175" s="235"/>
      <c r="E175" s="235"/>
      <c r="F175" s="545"/>
      <c r="G175" s="465"/>
    </row>
    <row r="176" spans="1:14" s="237" customFormat="1" ht="15.75" customHeight="1" x14ac:dyDescent="0.2">
      <c r="A176" s="171" t="s">
        <v>7575</v>
      </c>
      <c r="B176" s="171" t="s">
        <v>7576</v>
      </c>
      <c r="C176" s="1240">
        <v>75.09</v>
      </c>
      <c r="D176" s="235"/>
      <c r="E176" s="235"/>
      <c r="F176" s="545"/>
      <c r="G176" s="465"/>
    </row>
    <row r="177" spans="1:13" s="237" customFormat="1" ht="15.75" customHeight="1" x14ac:dyDescent="0.2">
      <c r="A177" s="171" t="s">
        <v>7577</v>
      </c>
      <c r="B177" s="171" t="s">
        <v>7578</v>
      </c>
      <c r="C177" s="1240">
        <v>75.83</v>
      </c>
      <c r="D177" s="235"/>
      <c r="E177" s="235"/>
      <c r="F177" s="545"/>
      <c r="G177" s="465"/>
    </row>
    <row r="178" spans="1:13" s="220" customFormat="1" ht="15.75" customHeight="1" x14ac:dyDescent="0.2">
      <c r="A178" s="286" t="s">
        <v>7579</v>
      </c>
      <c r="B178" s="286" t="s">
        <v>7580</v>
      </c>
      <c r="C178" s="1286">
        <v>76.41</v>
      </c>
      <c r="D178" s="218"/>
      <c r="E178" s="218"/>
      <c r="F178" s="1287"/>
      <c r="G178" s="1288"/>
    </row>
    <row r="179" spans="1:13" s="237" customFormat="1" ht="15.75" customHeight="1" x14ac:dyDescent="0.2">
      <c r="A179" s="171" t="s">
        <v>7581</v>
      </c>
      <c r="B179" s="171" t="s">
        <v>7582</v>
      </c>
      <c r="C179" s="1240">
        <v>77.180000000000007</v>
      </c>
      <c r="D179" s="235"/>
      <c r="E179" s="235"/>
      <c r="F179" s="545"/>
      <c r="G179" s="465"/>
    </row>
    <row r="180" spans="1:13" s="220" customFormat="1" ht="15.75" customHeight="1" x14ac:dyDescent="0.2">
      <c r="A180" s="286" t="s">
        <v>7583</v>
      </c>
      <c r="B180" s="286" t="s">
        <v>7584</v>
      </c>
      <c r="C180" s="1286">
        <v>76.83</v>
      </c>
      <c r="D180" s="218"/>
      <c r="E180" s="218"/>
      <c r="F180" s="1287"/>
      <c r="G180" s="1288"/>
    </row>
    <row r="181" spans="1:13" s="237" customFormat="1" ht="15.75" customHeight="1" x14ac:dyDescent="0.2">
      <c r="A181" s="171" t="s">
        <v>7585</v>
      </c>
      <c r="B181" s="171" t="s">
        <v>7586</v>
      </c>
      <c r="C181" s="1240">
        <v>77.67</v>
      </c>
      <c r="D181" s="235"/>
      <c r="E181" s="235"/>
      <c r="F181" s="545"/>
      <c r="G181" s="465"/>
    </row>
    <row r="182" spans="1:13" s="237" customFormat="1" ht="15.75" customHeight="1" x14ac:dyDescent="0.2">
      <c r="A182" s="171" t="s">
        <v>7587</v>
      </c>
      <c r="B182" s="171" t="s">
        <v>7588</v>
      </c>
      <c r="C182" s="1240">
        <v>78.05</v>
      </c>
      <c r="D182" s="235"/>
      <c r="E182" s="235"/>
      <c r="F182" s="545"/>
      <c r="G182" s="465"/>
    </row>
    <row r="183" spans="1:13" s="237" customFormat="1" ht="15.75" customHeight="1" x14ac:dyDescent="0.2">
      <c r="A183" s="171" t="s">
        <v>7589</v>
      </c>
      <c r="B183" s="171" t="s">
        <v>7590</v>
      </c>
      <c r="C183" s="1240">
        <v>78.14</v>
      </c>
      <c r="D183" s="235"/>
      <c r="E183" s="235"/>
      <c r="F183" s="545"/>
      <c r="G183" s="465"/>
    </row>
    <row r="184" spans="1:13" s="237" customFormat="1" ht="15.75" customHeight="1" x14ac:dyDescent="0.2">
      <c r="A184" s="171" t="s">
        <v>7591</v>
      </c>
      <c r="B184" s="171" t="s">
        <v>7592</v>
      </c>
      <c r="C184" s="1240">
        <v>78.89</v>
      </c>
      <c r="D184" s="235"/>
      <c r="E184" s="235"/>
      <c r="F184" s="545"/>
      <c r="G184" s="465"/>
    </row>
    <row r="185" spans="1:13" s="1164" customFormat="1" ht="15.75" customHeight="1" x14ac:dyDescent="0.2">
      <c r="A185" s="877" t="s">
        <v>7593</v>
      </c>
      <c r="B185" s="877" t="s">
        <v>7594</v>
      </c>
      <c r="C185" s="1628">
        <v>78.16</v>
      </c>
      <c r="D185" s="897"/>
      <c r="E185" s="897"/>
      <c r="F185" s="1629"/>
      <c r="G185" s="1630"/>
    </row>
    <row r="186" spans="1:13" s="220" customFormat="1" ht="15.75" customHeight="1" x14ac:dyDescent="0.2">
      <c r="A186" s="286" t="s">
        <v>7595</v>
      </c>
      <c r="B186" s="286" t="s">
        <v>7596</v>
      </c>
      <c r="C186" s="1286">
        <v>78.89</v>
      </c>
      <c r="D186" s="218"/>
      <c r="E186" s="218"/>
      <c r="F186" s="1287"/>
      <c r="G186" s="1288"/>
    </row>
    <row r="187" spans="1:13" s="237" customFormat="1" ht="15.75" customHeight="1" x14ac:dyDescent="0.2">
      <c r="A187" s="171" t="s">
        <v>7597</v>
      </c>
      <c r="B187" s="171" t="s">
        <v>7598</v>
      </c>
      <c r="C187" s="1240">
        <v>79.75</v>
      </c>
      <c r="D187" s="235"/>
      <c r="E187" s="235"/>
      <c r="F187" s="545"/>
      <c r="G187" s="465"/>
    </row>
    <row r="188" spans="1:13" s="1164" customFormat="1" ht="15.75" customHeight="1" x14ac:dyDescent="0.2">
      <c r="A188" s="877" t="s">
        <v>7599</v>
      </c>
      <c r="B188" s="877" t="s">
        <v>7600</v>
      </c>
      <c r="C188" s="1628">
        <v>79.75</v>
      </c>
      <c r="D188" s="897"/>
      <c r="E188" s="897"/>
      <c r="F188" s="1629"/>
      <c r="G188" s="1630"/>
    </row>
    <row r="189" spans="1:13" s="171" customFormat="1" ht="15.75" customHeight="1" x14ac:dyDescent="0.2">
      <c r="A189" s="171" t="s">
        <v>7601</v>
      </c>
      <c r="B189" s="171" t="s">
        <v>7602</v>
      </c>
      <c r="C189" s="1090">
        <v>95</v>
      </c>
      <c r="D189" s="170"/>
      <c r="E189" s="170"/>
      <c r="F189" s="1091"/>
      <c r="G189" s="1092"/>
    </row>
    <row r="190" spans="1:13" s="41" customFormat="1" ht="15.75" customHeight="1" x14ac:dyDescent="0.2">
      <c r="A190" s="25" t="s">
        <v>7603</v>
      </c>
      <c r="B190" s="25" t="s">
        <v>7604</v>
      </c>
      <c r="C190" s="664">
        <v>98.98</v>
      </c>
      <c r="D190" s="144" t="s">
        <v>731</v>
      </c>
      <c r="E190" s="144">
        <v>20</v>
      </c>
      <c r="F190" s="144">
        <v>30</v>
      </c>
      <c r="G190" s="665"/>
      <c r="H190" s="666"/>
      <c r="I190" s="666"/>
      <c r="J190" s="666"/>
      <c r="K190" s="577"/>
    </row>
    <row r="191" spans="1:13" s="41" customFormat="1" ht="15.75" customHeight="1" x14ac:dyDescent="0.2">
      <c r="A191" s="25" t="s">
        <v>7595</v>
      </c>
      <c r="B191" s="25" t="s">
        <v>7596</v>
      </c>
      <c r="C191" s="664">
        <v>78.89</v>
      </c>
      <c r="D191" s="144" t="s">
        <v>519</v>
      </c>
      <c r="E191" s="144">
        <v>16</v>
      </c>
      <c r="F191" s="144">
        <v>20</v>
      </c>
    </row>
    <row r="192" spans="1:13" s="40" customFormat="1" ht="15" customHeight="1" x14ac:dyDescent="0.2">
      <c r="A192" s="40" t="s">
        <v>7605</v>
      </c>
      <c r="B192" s="171" t="s">
        <v>7606</v>
      </c>
      <c r="C192" s="1289">
        <v>120</v>
      </c>
      <c r="D192" s="159"/>
      <c r="E192" s="159"/>
      <c r="F192" s="159"/>
      <c r="M192" s="638"/>
    </row>
  </sheetData>
  <phoneticPr fontId="18" type="noConversion"/>
  <printOptions headings="1" gridLines="1"/>
  <pageMargins left="0.75" right="0.75" top="1" bottom="1" header="0" footer="0"/>
  <pageSetup scale="74" fitToHeight="4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37801-9A8F-CC48-9941-FF3D37C7B112}">
  <dimension ref="A1:M40"/>
  <sheetViews>
    <sheetView workbookViewId="0"/>
  </sheetViews>
  <sheetFormatPr baseColWidth="10" defaultColWidth="10.7109375" defaultRowHeight="16" x14ac:dyDescent="0.2"/>
  <cols>
    <col min="1" max="1" width="11.140625" style="507" customWidth="1"/>
    <col min="2" max="2" width="33.42578125" style="507" customWidth="1"/>
    <col min="3" max="3" width="0" style="509" hidden="1" customWidth="1"/>
    <col min="4" max="4" width="9.42578125" style="507" bestFit="1" customWidth="1"/>
    <col min="5" max="5" width="0" style="507" hidden="1" customWidth="1"/>
    <col min="6" max="7" width="9.42578125" style="510" customWidth="1"/>
    <col min="8" max="11" width="9.42578125" style="507" customWidth="1"/>
    <col min="12" max="12" width="17.85546875" style="507" customWidth="1"/>
    <col min="13" max="13" width="10.7109375" style="507"/>
    <col min="14" max="16" width="9.42578125" style="507" customWidth="1"/>
    <col min="17" max="16384" width="10.7109375" style="507"/>
  </cols>
  <sheetData>
    <row r="1" spans="1:13" ht="17" thickBot="1" x14ac:dyDescent="0.25">
      <c r="A1" s="511" t="s">
        <v>6047</v>
      </c>
      <c r="B1" s="511" t="s">
        <v>4</v>
      </c>
      <c r="C1" s="512" t="s">
        <v>7607</v>
      </c>
      <c r="D1" s="513">
        <v>44579</v>
      </c>
      <c r="E1" s="513" t="s">
        <v>7608</v>
      </c>
      <c r="F1" s="514" t="s">
        <v>6048</v>
      </c>
      <c r="G1" s="515" t="s">
        <v>6049</v>
      </c>
      <c r="H1" s="516" t="s">
        <v>7609</v>
      </c>
      <c r="I1" s="516" t="s">
        <v>7610</v>
      </c>
      <c r="J1" s="736" t="s">
        <v>7611</v>
      </c>
      <c r="K1" s="737"/>
      <c r="L1" s="737" t="s">
        <v>7612</v>
      </c>
      <c r="M1" s="737" t="s">
        <v>7613</v>
      </c>
    </row>
    <row r="2" spans="1:13" x14ac:dyDescent="0.2">
      <c r="A2" s="517" t="s">
        <v>7614</v>
      </c>
      <c r="B2" s="517"/>
      <c r="C2" s="518"/>
      <c r="D2" s="519"/>
      <c r="E2" s="519"/>
      <c r="F2" s="519"/>
      <c r="G2" s="520"/>
      <c r="H2" s="519"/>
      <c r="I2" s="739" t="s">
        <v>7615</v>
      </c>
      <c r="J2" s="740"/>
      <c r="K2" s="740"/>
      <c r="L2" s="738"/>
      <c r="M2" s="738"/>
    </row>
    <row r="3" spans="1:13" x14ac:dyDescent="0.2">
      <c r="A3" s="741" t="s">
        <v>7616</v>
      </c>
      <c r="B3" s="741" t="s">
        <v>7617</v>
      </c>
      <c r="C3" s="742">
        <v>43.739999999999995</v>
      </c>
      <c r="D3" s="743">
        <v>50.347499999999997</v>
      </c>
      <c r="E3" s="744">
        <v>25.71</v>
      </c>
      <c r="F3" s="745">
        <v>15</v>
      </c>
      <c r="G3" s="745">
        <v>20</v>
      </c>
      <c r="H3" s="746">
        <v>4.1500000000000004</v>
      </c>
      <c r="I3" s="746">
        <v>4.1500000000000004</v>
      </c>
      <c r="J3" s="746">
        <v>1.2</v>
      </c>
      <c r="K3" s="747" t="s">
        <v>7618</v>
      </c>
      <c r="L3" s="748"/>
      <c r="M3" s="748"/>
    </row>
    <row r="4" spans="1:13" x14ac:dyDescent="0.2">
      <c r="A4" s="741" t="s">
        <v>7619</v>
      </c>
      <c r="B4" s="741" t="s">
        <v>7620</v>
      </c>
      <c r="C4" s="742">
        <v>45.809999999999995</v>
      </c>
      <c r="D4" s="743">
        <v>49.629999999999995</v>
      </c>
      <c r="E4" s="744">
        <v>25.31</v>
      </c>
      <c r="F4" s="745">
        <v>16</v>
      </c>
      <c r="G4" s="745">
        <v>16</v>
      </c>
      <c r="H4" s="746">
        <v>4.1500000000000004</v>
      </c>
      <c r="I4" s="746">
        <v>4.1500000000000004</v>
      </c>
      <c r="J4" s="746">
        <v>1.2</v>
      </c>
      <c r="K4" s="747" t="s">
        <v>7618</v>
      </c>
      <c r="L4" s="748"/>
      <c r="M4" s="748"/>
    </row>
    <row r="5" spans="1:13" x14ac:dyDescent="0.2">
      <c r="A5" s="741" t="s">
        <v>7621</v>
      </c>
      <c r="B5" s="741" t="s">
        <v>7622</v>
      </c>
      <c r="C5" s="742">
        <v>45.809999999999995</v>
      </c>
      <c r="D5" s="743">
        <v>50.330000000000005</v>
      </c>
      <c r="E5" s="744">
        <v>25.71</v>
      </c>
      <c r="F5" s="745">
        <v>16</v>
      </c>
      <c r="G5" s="745">
        <v>20</v>
      </c>
      <c r="H5" s="746">
        <v>4.1500000000000004</v>
      </c>
      <c r="I5" s="746">
        <v>4.5999999999999996</v>
      </c>
      <c r="J5" s="746">
        <v>1.2</v>
      </c>
      <c r="K5" s="747" t="s">
        <v>7618</v>
      </c>
      <c r="L5" s="748"/>
      <c r="M5" s="748"/>
    </row>
    <row r="6" spans="1:13" x14ac:dyDescent="0.2">
      <c r="A6" s="741" t="s">
        <v>7623</v>
      </c>
      <c r="B6" s="741" t="s">
        <v>7624</v>
      </c>
      <c r="C6" s="742"/>
      <c r="D6" s="743">
        <v>67.2</v>
      </c>
      <c r="E6" s="744">
        <v>34.549999999999997</v>
      </c>
      <c r="F6" s="745">
        <v>16</v>
      </c>
      <c r="G6" s="745">
        <v>48</v>
      </c>
      <c r="H6" s="746">
        <v>4.1500000000000004</v>
      </c>
      <c r="I6" s="746">
        <v>6.65</v>
      </c>
      <c r="J6" s="746">
        <v>1.2</v>
      </c>
      <c r="K6" s="747" t="s">
        <v>7618</v>
      </c>
      <c r="L6" s="748"/>
      <c r="M6" s="748"/>
    </row>
    <row r="7" spans="1:13" x14ac:dyDescent="0.2">
      <c r="A7" s="741" t="s">
        <v>7625</v>
      </c>
      <c r="B7" s="741" t="s">
        <v>7626</v>
      </c>
      <c r="C7" s="742">
        <v>51.919999999999995</v>
      </c>
      <c r="D7" s="743">
        <v>65.38</v>
      </c>
      <c r="E7" s="744">
        <v>33.549999999999997</v>
      </c>
      <c r="F7" s="745">
        <v>22</v>
      </c>
      <c r="G7" s="745">
        <v>30</v>
      </c>
      <c r="H7" s="746">
        <v>4.5999999999999996</v>
      </c>
      <c r="I7" s="746">
        <v>4.5999999999999996</v>
      </c>
      <c r="J7" s="746">
        <v>1.2</v>
      </c>
      <c r="K7" s="747" t="s">
        <v>7618</v>
      </c>
      <c r="L7" s="748"/>
      <c r="M7" s="748"/>
    </row>
    <row r="8" spans="1:13" x14ac:dyDescent="0.2">
      <c r="A8" s="741" t="s">
        <v>7627</v>
      </c>
      <c r="B8" s="741" t="s">
        <v>7628</v>
      </c>
      <c r="C8" s="742">
        <v>48.73</v>
      </c>
      <c r="D8" s="743">
        <v>53.322499999999998</v>
      </c>
      <c r="E8" s="744">
        <v>27.33</v>
      </c>
      <c r="F8" s="745">
        <v>24</v>
      </c>
      <c r="G8" s="745">
        <v>24</v>
      </c>
      <c r="H8" s="746">
        <v>4.5999999999999996</v>
      </c>
      <c r="I8" s="746">
        <v>4.5999999999999996</v>
      </c>
      <c r="J8" s="746">
        <v>1.2</v>
      </c>
      <c r="K8" s="747" t="s">
        <v>7618</v>
      </c>
      <c r="L8" s="748"/>
      <c r="M8" s="748"/>
    </row>
    <row r="9" spans="1:13" x14ac:dyDescent="0.2">
      <c r="A9" s="741" t="s">
        <v>7629</v>
      </c>
      <c r="B9" s="741" t="s">
        <v>7630</v>
      </c>
      <c r="C9" s="742"/>
      <c r="D9" s="743">
        <v>65.432500000000005</v>
      </c>
      <c r="E9" s="744">
        <v>33.58</v>
      </c>
      <c r="F9" s="745">
        <v>24</v>
      </c>
      <c r="G9" s="745">
        <v>28</v>
      </c>
      <c r="H9" s="746">
        <v>4.5999999999999996</v>
      </c>
      <c r="I9" s="746">
        <v>4.5999999999999996</v>
      </c>
      <c r="J9" s="746">
        <v>1.2</v>
      </c>
      <c r="K9" s="747" t="s">
        <v>7618</v>
      </c>
      <c r="L9" s="748"/>
      <c r="M9" s="748"/>
    </row>
    <row r="10" spans="1:13" x14ac:dyDescent="0.2">
      <c r="A10" s="741" t="s">
        <v>7631</v>
      </c>
      <c r="B10" s="741" t="s">
        <v>7632</v>
      </c>
      <c r="C10" s="742">
        <v>48.15</v>
      </c>
      <c r="D10" s="743">
        <v>66.167500000000004</v>
      </c>
      <c r="E10" s="744">
        <v>33.979999999999997</v>
      </c>
      <c r="F10" s="745">
        <v>24</v>
      </c>
      <c r="G10" s="745">
        <v>30</v>
      </c>
      <c r="H10" s="746">
        <v>4.5999999999999996</v>
      </c>
      <c r="I10" s="746">
        <v>4.5999999999999996</v>
      </c>
      <c r="J10" s="746">
        <v>1.2</v>
      </c>
      <c r="K10" s="747" t="s">
        <v>7618</v>
      </c>
      <c r="L10" s="748"/>
      <c r="M10" s="748"/>
    </row>
    <row r="11" spans="1:13" x14ac:dyDescent="0.2">
      <c r="A11" s="741" t="s">
        <v>7633</v>
      </c>
      <c r="B11" s="741" t="s">
        <v>7634</v>
      </c>
      <c r="C11" s="742"/>
      <c r="D11" s="743">
        <v>66.587499999999991</v>
      </c>
      <c r="E11" s="744">
        <v>34.53</v>
      </c>
      <c r="F11" s="745">
        <v>24</v>
      </c>
      <c r="G11" s="745">
        <v>36</v>
      </c>
      <c r="H11" s="746">
        <v>4.5999999999999996</v>
      </c>
      <c r="I11" s="746">
        <v>4.5999999999999996</v>
      </c>
      <c r="J11" s="746">
        <v>1.2</v>
      </c>
      <c r="K11" s="747" t="s">
        <v>7618</v>
      </c>
      <c r="L11" s="748"/>
      <c r="M11" s="748"/>
    </row>
    <row r="12" spans="1:13" x14ac:dyDescent="0.2">
      <c r="A12" s="741" t="s">
        <v>7635</v>
      </c>
      <c r="B12" s="741" t="s">
        <v>7636</v>
      </c>
      <c r="C12" s="742"/>
      <c r="D12" s="743">
        <v>91.332499999999996</v>
      </c>
      <c r="E12" s="744">
        <v>49.8</v>
      </c>
      <c r="F12" s="745">
        <v>24</v>
      </c>
      <c r="G12" s="745">
        <v>60</v>
      </c>
      <c r="H12" s="746">
        <v>4.5999999999999996</v>
      </c>
      <c r="I12" s="746">
        <v>6.65</v>
      </c>
      <c r="J12" s="746">
        <v>1.2</v>
      </c>
      <c r="K12" s="747" t="s">
        <v>7618</v>
      </c>
      <c r="L12" s="748"/>
      <c r="M12" s="748"/>
    </row>
    <row r="13" spans="1:13" x14ac:dyDescent="0.2">
      <c r="A13" s="741" t="s">
        <v>7637</v>
      </c>
      <c r="B13" s="741" t="s">
        <v>7638</v>
      </c>
      <c r="C13" s="742">
        <v>48.96</v>
      </c>
      <c r="D13" s="743">
        <v>92.155000000000001</v>
      </c>
      <c r="E13" s="744">
        <v>50.26</v>
      </c>
      <c r="F13" s="745">
        <v>28.5</v>
      </c>
      <c r="G13" s="745">
        <v>60</v>
      </c>
      <c r="H13" s="746">
        <v>4.5999999999999996</v>
      </c>
      <c r="I13" s="746">
        <v>6.65</v>
      </c>
      <c r="J13" s="746">
        <v>1.2</v>
      </c>
      <c r="K13" s="747" t="s">
        <v>7618</v>
      </c>
      <c r="L13" s="748"/>
      <c r="M13" s="748"/>
    </row>
    <row r="14" spans="1:13" x14ac:dyDescent="0.2">
      <c r="A14" s="741" t="s">
        <v>7639</v>
      </c>
      <c r="B14" s="741" t="s">
        <v>7640</v>
      </c>
      <c r="C14" s="742">
        <v>61.51</v>
      </c>
      <c r="D14" s="743">
        <v>68.127499999999998</v>
      </c>
      <c r="E14" s="744">
        <v>35.090000000000003</v>
      </c>
      <c r="F14" s="745">
        <v>30</v>
      </c>
      <c r="G14" s="745">
        <v>36</v>
      </c>
      <c r="H14" s="746">
        <v>4.5999999999999996</v>
      </c>
      <c r="I14" s="746">
        <v>4.5999999999999996</v>
      </c>
      <c r="J14" s="746">
        <v>1.2</v>
      </c>
      <c r="K14" s="747" t="s">
        <v>7618</v>
      </c>
      <c r="L14" s="748"/>
      <c r="M14" s="748"/>
    </row>
    <row r="15" spans="1:13" x14ac:dyDescent="0.2">
      <c r="A15" s="741" t="s">
        <v>7641</v>
      </c>
      <c r="B15" s="741" t="s">
        <v>7642</v>
      </c>
      <c r="C15" s="742">
        <v>45.809999999999995</v>
      </c>
      <c r="D15" s="743">
        <v>68.127499999999998</v>
      </c>
      <c r="E15" s="744">
        <v>35.090000000000003</v>
      </c>
      <c r="F15" s="745">
        <v>30</v>
      </c>
      <c r="G15" s="745">
        <v>40</v>
      </c>
      <c r="H15" s="746">
        <v>4.5999999999999996</v>
      </c>
      <c r="I15" s="746">
        <v>6.65</v>
      </c>
      <c r="J15" s="746">
        <v>1.2</v>
      </c>
      <c r="K15" s="747" t="s">
        <v>7618</v>
      </c>
      <c r="L15" s="748"/>
      <c r="M15" s="748"/>
    </row>
    <row r="16" spans="1:13" x14ac:dyDescent="0.2">
      <c r="A16" s="741" t="s">
        <v>7643</v>
      </c>
      <c r="B16" s="741" t="s">
        <v>7644</v>
      </c>
      <c r="C16" s="742">
        <v>58.97</v>
      </c>
      <c r="D16" s="743">
        <v>90.405000000000001</v>
      </c>
      <c r="E16" s="744">
        <v>49.27</v>
      </c>
      <c r="F16" s="745">
        <v>30</v>
      </c>
      <c r="G16" s="745">
        <v>48</v>
      </c>
      <c r="H16" s="746">
        <v>4.5999999999999996</v>
      </c>
      <c r="I16" s="746">
        <v>6.65</v>
      </c>
      <c r="J16" s="746">
        <v>1.2</v>
      </c>
      <c r="K16" s="747" t="s">
        <v>7618</v>
      </c>
      <c r="L16" s="748"/>
      <c r="M16" s="748"/>
    </row>
    <row r="17" spans="1:13" x14ac:dyDescent="0.2">
      <c r="A17" s="741" t="s">
        <v>7645</v>
      </c>
      <c r="B17" s="741" t="s">
        <v>7646</v>
      </c>
      <c r="C17" s="742"/>
      <c r="D17" s="743">
        <v>91.21</v>
      </c>
      <c r="E17" s="744">
        <v>49.73</v>
      </c>
      <c r="F17" s="745">
        <v>34</v>
      </c>
      <c r="G17" s="745">
        <v>45</v>
      </c>
      <c r="H17" s="746">
        <v>4.5999999999999996</v>
      </c>
      <c r="I17" s="746">
        <v>6.65</v>
      </c>
      <c r="J17" s="746">
        <v>1.2</v>
      </c>
      <c r="K17" s="747" t="s">
        <v>7618</v>
      </c>
      <c r="L17" s="748"/>
      <c r="M17" s="748"/>
    </row>
    <row r="18" spans="1:13" x14ac:dyDescent="0.2">
      <c r="A18" s="741" t="s">
        <v>7647</v>
      </c>
      <c r="B18" s="741" t="s">
        <v>7648</v>
      </c>
      <c r="C18" s="742"/>
      <c r="D18" s="743">
        <v>91.227500000000006</v>
      </c>
      <c r="E18" s="744">
        <v>49.74</v>
      </c>
      <c r="F18" s="745">
        <v>35</v>
      </c>
      <c r="G18" s="745">
        <v>48</v>
      </c>
      <c r="H18" s="746">
        <v>4.5999999999999996</v>
      </c>
      <c r="I18" s="746">
        <v>6.65</v>
      </c>
      <c r="J18" s="746">
        <v>1.2</v>
      </c>
      <c r="K18" s="747" t="s">
        <v>7618</v>
      </c>
      <c r="L18" s="748"/>
      <c r="M18" s="748"/>
    </row>
    <row r="19" spans="1:13" x14ac:dyDescent="0.2">
      <c r="A19" s="741" t="s">
        <v>7649</v>
      </c>
      <c r="B19" s="741" t="s">
        <v>7650</v>
      </c>
      <c r="C19" s="742"/>
      <c r="D19" s="743">
        <v>92.172499999999999</v>
      </c>
      <c r="E19" s="744">
        <v>50.26</v>
      </c>
      <c r="F19" s="745">
        <v>35</v>
      </c>
      <c r="G19" s="745">
        <v>53</v>
      </c>
      <c r="H19" s="746">
        <v>4.5999999999999996</v>
      </c>
      <c r="I19" s="746">
        <v>6.65</v>
      </c>
      <c r="J19" s="746">
        <v>1.2</v>
      </c>
      <c r="K19" s="747" t="s">
        <v>7618</v>
      </c>
      <c r="L19" s="748"/>
      <c r="M19" s="748"/>
    </row>
    <row r="20" spans="1:13" x14ac:dyDescent="0.2">
      <c r="A20" s="741" t="s">
        <v>7651</v>
      </c>
      <c r="B20" s="741" t="s">
        <v>7652</v>
      </c>
      <c r="C20" s="742">
        <v>51.669999999999995</v>
      </c>
      <c r="D20" s="743">
        <v>70.209999999999994</v>
      </c>
      <c r="E20" s="744">
        <v>36.229999999999997</v>
      </c>
      <c r="F20" s="745">
        <v>36</v>
      </c>
      <c r="G20" s="745">
        <v>36</v>
      </c>
      <c r="H20" s="746">
        <v>4.5999999999999996</v>
      </c>
      <c r="I20" s="746">
        <v>4.5999999999999996</v>
      </c>
      <c r="J20" s="746">
        <v>1.2</v>
      </c>
      <c r="K20" s="747" t="s">
        <v>7618</v>
      </c>
      <c r="L20" s="748"/>
      <c r="M20" s="748"/>
    </row>
    <row r="21" spans="1:13" x14ac:dyDescent="0.2">
      <c r="A21" s="741" t="s">
        <v>7653</v>
      </c>
      <c r="B21" s="741" t="s">
        <v>7654</v>
      </c>
      <c r="C21" s="742">
        <v>52.489999999999995</v>
      </c>
      <c r="D21" s="743">
        <v>91.192499999999995</v>
      </c>
      <c r="E21" s="744">
        <v>49.71</v>
      </c>
      <c r="F21" s="745">
        <v>36</v>
      </c>
      <c r="G21" s="745">
        <v>45</v>
      </c>
      <c r="H21" s="746">
        <v>4.5999999999999996</v>
      </c>
      <c r="I21" s="746">
        <v>6.65</v>
      </c>
      <c r="J21" s="746">
        <v>1.2</v>
      </c>
      <c r="K21" s="747" t="s">
        <v>7618</v>
      </c>
      <c r="L21" s="748"/>
      <c r="M21" s="748"/>
    </row>
    <row r="22" spans="1:13" x14ac:dyDescent="0.2">
      <c r="A22" s="741" t="s">
        <v>7655</v>
      </c>
      <c r="B22" s="741" t="s">
        <v>7656</v>
      </c>
      <c r="C22" s="742">
        <v>52.949999999999996</v>
      </c>
      <c r="D22" s="743">
        <v>91.910000000000011</v>
      </c>
      <c r="E22" s="744">
        <v>50.11</v>
      </c>
      <c r="F22" s="745">
        <v>36</v>
      </c>
      <c r="G22" s="745">
        <v>48</v>
      </c>
      <c r="H22" s="746">
        <v>4.5999999999999996</v>
      </c>
      <c r="I22" s="746">
        <v>6.65</v>
      </c>
      <c r="J22" s="746">
        <v>1.2</v>
      </c>
      <c r="K22" s="747" t="s">
        <v>7618</v>
      </c>
      <c r="L22" s="748"/>
      <c r="M22" s="748"/>
    </row>
    <row r="23" spans="1:13" x14ac:dyDescent="0.2">
      <c r="A23" s="741" t="s">
        <v>7657</v>
      </c>
      <c r="B23" s="741" t="s">
        <v>7658</v>
      </c>
      <c r="C23" s="742"/>
      <c r="D23" s="743">
        <v>92.032499999999999</v>
      </c>
      <c r="E23" s="744">
        <v>50.17</v>
      </c>
      <c r="F23" s="745">
        <v>38</v>
      </c>
      <c r="G23" s="745">
        <v>48</v>
      </c>
      <c r="H23" s="746">
        <v>4.5999999999999996</v>
      </c>
      <c r="I23" s="746">
        <v>6.65</v>
      </c>
      <c r="J23" s="746">
        <v>1.2</v>
      </c>
      <c r="K23" s="747" t="s">
        <v>7618</v>
      </c>
      <c r="L23" s="748"/>
      <c r="M23" s="748"/>
    </row>
    <row r="24" spans="1:13" x14ac:dyDescent="0.2">
      <c r="A24" s="741" t="s">
        <v>7659</v>
      </c>
      <c r="B24" s="741" t="s">
        <v>7660</v>
      </c>
      <c r="C24" s="742">
        <v>58.37</v>
      </c>
      <c r="D24" s="743">
        <v>93.572499999999991</v>
      </c>
      <c r="E24" s="744">
        <v>51.03</v>
      </c>
      <c r="F24" s="745">
        <v>40</v>
      </c>
      <c r="G24" s="745">
        <v>53</v>
      </c>
      <c r="H24" s="746">
        <v>6.65</v>
      </c>
      <c r="I24" s="746">
        <v>6.65</v>
      </c>
      <c r="J24" s="746">
        <v>1.2</v>
      </c>
      <c r="K24" s="747" t="s">
        <v>7618</v>
      </c>
      <c r="L24" s="748"/>
      <c r="M24" s="748"/>
    </row>
    <row r="25" spans="1:13" x14ac:dyDescent="0.2">
      <c r="A25" s="741" t="s">
        <v>7661</v>
      </c>
      <c r="B25" s="741" t="s">
        <v>7662</v>
      </c>
      <c r="C25" s="742">
        <v>61.75</v>
      </c>
      <c r="D25" s="743">
        <v>96.634999999999991</v>
      </c>
      <c r="E25" s="744">
        <v>52.72</v>
      </c>
      <c r="F25" s="745">
        <v>40</v>
      </c>
      <c r="G25" s="745">
        <v>60</v>
      </c>
      <c r="H25" s="746">
        <v>6.65</v>
      </c>
      <c r="I25" s="746">
        <v>6.65</v>
      </c>
      <c r="J25" s="746">
        <v>1.2</v>
      </c>
      <c r="K25" s="747" t="s">
        <v>7618</v>
      </c>
      <c r="L25" s="748"/>
      <c r="M25" s="748"/>
    </row>
    <row r="26" spans="1:13" x14ac:dyDescent="0.2">
      <c r="A26" s="741" t="s">
        <v>7663</v>
      </c>
      <c r="B26" s="741" t="s">
        <v>7664</v>
      </c>
      <c r="C26" s="742">
        <v>54.07</v>
      </c>
      <c r="D26" s="743">
        <v>159.33750000000001</v>
      </c>
      <c r="E26" s="744">
        <v>86</v>
      </c>
      <c r="F26" s="745">
        <v>40</v>
      </c>
      <c r="G26" s="745">
        <v>65</v>
      </c>
      <c r="H26" s="746">
        <v>6.65</v>
      </c>
      <c r="I26" s="746">
        <v>6.65</v>
      </c>
      <c r="J26" s="746">
        <v>1.2</v>
      </c>
      <c r="K26" s="747" t="s">
        <v>7618</v>
      </c>
      <c r="L26" s="748"/>
      <c r="M26" s="748"/>
    </row>
    <row r="27" spans="1:13" x14ac:dyDescent="0.2">
      <c r="A27" s="741" t="s">
        <v>7665</v>
      </c>
      <c r="B27" s="741" t="s">
        <v>7666</v>
      </c>
      <c r="C27" s="742">
        <v>59.129999999999995</v>
      </c>
      <c r="D27" s="743">
        <v>93.625</v>
      </c>
      <c r="E27" s="744">
        <v>51.05</v>
      </c>
      <c r="F27" s="745">
        <v>42</v>
      </c>
      <c r="G27" s="745">
        <v>53</v>
      </c>
      <c r="H27" s="746">
        <v>6.65</v>
      </c>
      <c r="I27" s="746">
        <v>6.65</v>
      </c>
      <c r="J27" s="746">
        <v>1.2</v>
      </c>
      <c r="K27" s="747" t="s">
        <v>7618</v>
      </c>
      <c r="L27" s="748"/>
      <c r="M27" s="748"/>
    </row>
    <row r="28" spans="1:13" x14ac:dyDescent="0.2">
      <c r="A28" s="741" t="s">
        <v>7667</v>
      </c>
      <c r="B28" s="741" t="s">
        <v>7668</v>
      </c>
      <c r="C28" s="742">
        <v>59.129999999999995</v>
      </c>
      <c r="D28" s="743">
        <v>159.23249999999999</v>
      </c>
      <c r="E28" s="744">
        <v>85.93</v>
      </c>
      <c r="F28" s="745">
        <v>44</v>
      </c>
      <c r="G28" s="745">
        <v>60</v>
      </c>
      <c r="H28" s="746">
        <v>6.65</v>
      </c>
      <c r="I28" s="746">
        <v>6.65</v>
      </c>
      <c r="J28" s="746">
        <v>1.2</v>
      </c>
      <c r="K28" s="747" t="s">
        <v>7618</v>
      </c>
      <c r="L28" s="748"/>
      <c r="M28" s="748"/>
    </row>
    <row r="29" spans="1:13" x14ac:dyDescent="0.2">
      <c r="A29" s="741" t="s">
        <v>7669</v>
      </c>
      <c r="B29" s="741" t="s">
        <v>7670</v>
      </c>
      <c r="C29" s="742">
        <v>59.489999999999995</v>
      </c>
      <c r="D29" s="743">
        <v>159.9325</v>
      </c>
      <c r="E29" s="744">
        <v>86.32</v>
      </c>
      <c r="F29" s="745">
        <v>45</v>
      </c>
      <c r="G29" s="745">
        <v>60</v>
      </c>
      <c r="H29" s="746">
        <v>4.6500000000000004</v>
      </c>
      <c r="I29" s="746">
        <v>6.65</v>
      </c>
      <c r="J29" s="746">
        <v>1.2</v>
      </c>
      <c r="K29" s="747" t="s">
        <v>7618</v>
      </c>
      <c r="L29" s="748"/>
      <c r="M29" s="748"/>
    </row>
    <row r="30" spans="1:13" x14ac:dyDescent="0.2">
      <c r="A30" s="741" t="s">
        <v>7671</v>
      </c>
      <c r="B30" s="741" t="s">
        <v>7672</v>
      </c>
      <c r="C30" s="742"/>
      <c r="D30" s="743">
        <v>160.125</v>
      </c>
      <c r="E30" s="744">
        <v>86.43</v>
      </c>
      <c r="F30" s="745">
        <v>46</v>
      </c>
      <c r="G30" s="745">
        <v>64</v>
      </c>
      <c r="H30" s="746">
        <v>6.65</v>
      </c>
      <c r="I30" s="746">
        <v>6.65</v>
      </c>
      <c r="J30" s="746">
        <v>1.2</v>
      </c>
      <c r="K30" s="747" t="s">
        <v>7618</v>
      </c>
      <c r="L30" s="748"/>
      <c r="M30" s="748"/>
    </row>
    <row r="31" spans="1:13" s="508" customFormat="1" x14ac:dyDescent="0.2">
      <c r="A31" s="748" t="s">
        <v>7673</v>
      </c>
      <c r="B31" s="741" t="s">
        <v>7674</v>
      </c>
      <c r="C31" s="749">
        <v>59.489999999999995</v>
      </c>
      <c r="D31" s="743">
        <v>96.932500000000005</v>
      </c>
      <c r="E31" s="750">
        <v>52.8</v>
      </c>
      <c r="F31" s="751">
        <v>48</v>
      </c>
      <c r="G31" s="751">
        <v>48</v>
      </c>
      <c r="H31" s="752">
        <v>6.65</v>
      </c>
      <c r="I31" s="752">
        <v>6.65</v>
      </c>
      <c r="J31" s="746">
        <v>1.2</v>
      </c>
      <c r="K31" s="747" t="s">
        <v>7618</v>
      </c>
      <c r="L31" s="753"/>
      <c r="M31" s="753"/>
    </row>
    <row r="32" spans="1:13" s="508" customFormat="1" x14ac:dyDescent="0.2">
      <c r="A32" s="748" t="s">
        <v>7675</v>
      </c>
      <c r="B32" s="741" t="s">
        <v>7676</v>
      </c>
      <c r="C32" s="749"/>
      <c r="D32" s="743">
        <v>160.66750000000002</v>
      </c>
      <c r="E32" s="750">
        <v>86.74</v>
      </c>
      <c r="F32" s="751">
        <v>48</v>
      </c>
      <c r="G32" s="751">
        <v>60</v>
      </c>
      <c r="H32" s="752">
        <v>6.65</v>
      </c>
      <c r="I32" s="752">
        <v>6.65</v>
      </c>
      <c r="J32" s="746">
        <v>1.2</v>
      </c>
      <c r="K32" s="747" t="s">
        <v>7618</v>
      </c>
      <c r="L32" s="753"/>
      <c r="M32" s="753"/>
    </row>
    <row r="33" spans="1:13" s="508" customFormat="1" x14ac:dyDescent="0.2">
      <c r="A33" s="748" t="s">
        <v>7677</v>
      </c>
      <c r="B33" s="741" t="s">
        <v>7678</v>
      </c>
      <c r="C33" s="749"/>
      <c r="D33" s="743">
        <v>162.24249999999998</v>
      </c>
      <c r="E33" s="750">
        <v>87.63</v>
      </c>
      <c r="F33" s="751">
        <v>51</v>
      </c>
      <c r="G33" s="751">
        <v>64</v>
      </c>
      <c r="H33" s="752">
        <v>6.65</v>
      </c>
      <c r="I33" s="752">
        <v>6.65</v>
      </c>
      <c r="J33" s="746">
        <v>1.2</v>
      </c>
      <c r="K33" s="747" t="s">
        <v>7618</v>
      </c>
      <c r="L33" s="753"/>
      <c r="M33" s="753"/>
    </row>
    <row r="34" spans="1:13" s="508" customFormat="1" x14ac:dyDescent="0.2">
      <c r="A34" s="748" t="s">
        <v>7679</v>
      </c>
      <c r="B34" s="741" t="s">
        <v>7680</v>
      </c>
      <c r="C34" s="749"/>
      <c r="D34" s="743">
        <v>162.96</v>
      </c>
      <c r="E34" s="750">
        <v>88.03</v>
      </c>
      <c r="F34" s="751">
        <v>52</v>
      </c>
      <c r="G34" s="751">
        <v>66</v>
      </c>
      <c r="H34" s="752">
        <v>6.65</v>
      </c>
      <c r="I34" s="752">
        <v>6.65</v>
      </c>
      <c r="J34" s="746">
        <v>1.2</v>
      </c>
      <c r="K34" s="747" t="s">
        <v>7618</v>
      </c>
      <c r="L34" s="753"/>
      <c r="M34" s="753"/>
    </row>
    <row r="35" spans="1:13" s="508" customFormat="1" x14ac:dyDescent="0.2">
      <c r="A35" s="741" t="s">
        <v>7681</v>
      </c>
      <c r="B35" s="741" t="s">
        <v>7682</v>
      </c>
      <c r="C35" s="749"/>
      <c r="D35" s="743">
        <v>163.08249999999998</v>
      </c>
      <c r="E35" s="744">
        <v>88.1</v>
      </c>
      <c r="F35" s="745">
        <v>45</v>
      </c>
      <c r="G35" s="745">
        <v>63</v>
      </c>
      <c r="H35" s="752">
        <v>6.65</v>
      </c>
      <c r="I35" s="752">
        <v>6.65</v>
      </c>
      <c r="J35" s="746">
        <v>1.2</v>
      </c>
      <c r="K35" s="747" t="s">
        <v>7618</v>
      </c>
      <c r="L35" s="753"/>
      <c r="M35" s="753"/>
    </row>
    <row r="36" spans="1:13" x14ac:dyDescent="0.2">
      <c r="A36" s="741" t="s">
        <v>7683</v>
      </c>
      <c r="B36" s="741" t="s">
        <v>7684</v>
      </c>
      <c r="C36" s="742">
        <v>66.28</v>
      </c>
      <c r="D36" s="743">
        <v>163.67750000000001</v>
      </c>
      <c r="E36" s="744">
        <v>88.43</v>
      </c>
      <c r="F36" s="745">
        <v>57</v>
      </c>
      <c r="G36" s="745">
        <v>60</v>
      </c>
      <c r="H36" s="746">
        <v>6.65</v>
      </c>
      <c r="I36" s="746">
        <v>6.65</v>
      </c>
      <c r="J36" s="746">
        <v>1.2</v>
      </c>
      <c r="K36" s="747" t="s">
        <v>7618</v>
      </c>
      <c r="L36" s="748"/>
      <c r="M36" s="748"/>
    </row>
    <row r="37" spans="1:13" x14ac:dyDescent="0.2">
      <c r="A37" s="741" t="s">
        <v>7685</v>
      </c>
      <c r="B37" s="741" t="s">
        <v>7686</v>
      </c>
      <c r="C37" s="754"/>
      <c r="D37" s="743">
        <v>183.9425</v>
      </c>
      <c r="E37" s="744">
        <v>98.81</v>
      </c>
      <c r="F37" s="745">
        <v>60</v>
      </c>
      <c r="G37" s="745">
        <v>60</v>
      </c>
      <c r="H37" s="752">
        <v>6.65</v>
      </c>
      <c r="I37" s="752">
        <v>6.65</v>
      </c>
      <c r="J37" s="746">
        <v>1.2</v>
      </c>
      <c r="K37" s="747" t="s">
        <v>7618</v>
      </c>
      <c r="L37" s="748"/>
      <c r="M37" s="748"/>
    </row>
    <row r="38" spans="1:13" x14ac:dyDescent="0.2">
      <c r="A38" s="741" t="s">
        <v>7687</v>
      </c>
      <c r="B38" s="741" t="s">
        <v>7688</v>
      </c>
      <c r="C38" s="754"/>
      <c r="D38" s="743">
        <v>236.47749999999999</v>
      </c>
      <c r="E38" s="744">
        <v>127.55</v>
      </c>
      <c r="F38" s="745">
        <v>60</v>
      </c>
      <c r="G38" s="745">
        <v>80</v>
      </c>
      <c r="H38" s="752">
        <v>6.65</v>
      </c>
      <c r="I38" s="752">
        <v>9.9499999999999993</v>
      </c>
      <c r="J38" s="746">
        <v>1.2</v>
      </c>
      <c r="K38" s="747" t="s">
        <v>7618</v>
      </c>
      <c r="L38" s="748"/>
      <c r="M38" s="748"/>
    </row>
    <row r="39" spans="1:13" x14ac:dyDescent="0.2">
      <c r="A39" s="741" t="s">
        <v>7689</v>
      </c>
      <c r="B39" s="741" t="s">
        <v>7690</v>
      </c>
      <c r="C39" s="742">
        <v>63.69</v>
      </c>
      <c r="D39" s="743">
        <v>242.35750000000002</v>
      </c>
      <c r="E39" s="744">
        <v>130.71</v>
      </c>
      <c r="F39" s="745">
        <v>72</v>
      </c>
      <c r="G39" s="745">
        <v>86</v>
      </c>
      <c r="H39" s="746">
        <v>6.65</v>
      </c>
      <c r="I39" s="746">
        <v>9.9499999999999993</v>
      </c>
      <c r="J39" s="746">
        <v>1.2</v>
      </c>
      <c r="K39" s="747" t="s">
        <v>7618</v>
      </c>
      <c r="L39" s="748"/>
      <c r="M39" s="748"/>
    </row>
    <row r="40" spans="1:13" x14ac:dyDescent="0.2">
      <c r="A40" s="741" t="s">
        <v>7691</v>
      </c>
      <c r="B40" s="741" t="s">
        <v>7692</v>
      </c>
      <c r="C40" s="742">
        <v>82.990000000000009</v>
      </c>
      <c r="D40" s="743">
        <v>243.72250000000003</v>
      </c>
      <c r="E40" s="744">
        <v>131.46</v>
      </c>
      <c r="F40" s="745">
        <v>72</v>
      </c>
      <c r="G40" s="745">
        <v>96</v>
      </c>
      <c r="H40" s="746">
        <v>6.65</v>
      </c>
      <c r="I40" s="746">
        <v>9.9499999999999993</v>
      </c>
      <c r="J40" s="746">
        <v>1.2</v>
      </c>
      <c r="K40" s="747" t="s">
        <v>7618</v>
      </c>
      <c r="L40" s="748"/>
      <c r="M40" s="748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5"/>
  <sheetViews>
    <sheetView workbookViewId="0">
      <selection activeCell="B21" sqref="B21"/>
    </sheetView>
  </sheetViews>
  <sheetFormatPr baseColWidth="10" defaultColWidth="11.28515625" defaultRowHeight="15" customHeight="1" x14ac:dyDescent="0.2"/>
  <cols>
    <col min="1" max="1" width="19.42578125" customWidth="1"/>
    <col min="2" max="2" width="24.7109375" customWidth="1"/>
    <col min="3" max="3" width="16.140625" customWidth="1"/>
    <col min="4" max="7" width="10.7109375" customWidth="1"/>
    <col min="8" max="8" width="15.42578125" customWidth="1"/>
    <col min="9" max="10" width="10.7109375" customWidth="1"/>
    <col min="11" max="26" width="10.5703125" customWidth="1"/>
  </cols>
  <sheetData>
    <row r="1" spans="1:11" ht="13.5" customHeight="1" x14ac:dyDescent="0.2">
      <c r="A1" s="3" t="s">
        <v>6047</v>
      </c>
      <c r="B1" s="755" t="s">
        <v>4</v>
      </c>
      <c r="C1" s="755" t="s">
        <v>7693</v>
      </c>
      <c r="D1" s="755" t="s">
        <v>7694</v>
      </c>
      <c r="E1" s="755" t="s">
        <v>7695</v>
      </c>
      <c r="F1" s="755" t="s">
        <v>7696</v>
      </c>
      <c r="G1" s="755" t="s">
        <v>7697</v>
      </c>
      <c r="H1" s="755" t="s">
        <v>7698</v>
      </c>
      <c r="I1" s="755" t="s">
        <v>7699</v>
      </c>
      <c r="J1" s="19" t="s">
        <v>6</v>
      </c>
      <c r="K1" s="20"/>
    </row>
    <row r="2" spans="1:11" ht="13.5" customHeight="1" x14ac:dyDescent="0.2">
      <c r="A2" s="127" t="s">
        <v>7700</v>
      </c>
      <c r="B2" s="127" t="s">
        <v>7701</v>
      </c>
      <c r="C2" s="128" t="s">
        <v>7702</v>
      </c>
      <c r="D2" s="129" t="s">
        <v>795</v>
      </c>
      <c r="E2" s="129" t="s">
        <v>2186</v>
      </c>
      <c r="F2" s="129" t="s">
        <v>7703</v>
      </c>
      <c r="G2" s="129" t="s">
        <v>345</v>
      </c>
      <c r="H2" s="130">
        <v>140.41</v>
      </c>
      <c r="I2" s="131" t="s">
        <v>7704</v>
      </c>
      <c r="J2" s="129" t="s">
        <v>7705</v>
      </c>
      <c r="K2" s="11" t="s">
        <v>7706</v>
      </c>
    </row>
    <row r="3" spans="1:11" ht="13.5" customHeight="1" x14ac:dyDescent="0.2">
      <c r="A3" s="11" t="s">
        <v>7707</v>
      </c>
      <c r="B3" s="11" t="s">
        <v>7708</v>
      </c>
      <c r="C3" s="7" t="s">
        <v>7702</v>
      </c>
      <c r="D3" s="20" t="s">
        <v>795</v>
      </c>
      <c r="E3" s="20" t="s">
        <v>2186</v>
      </c>
      <c r="F3" s="20" t="s">
        <v>7703</v>
      </c>
      <c r="G3" s="20" t="s">
        <v>345</v>
      </c>
      <c r="H3" s="21">
        <v>133.31</v>
      </c>
      <c r="I3" s="6" t="s">
        <v>7704</v>
      </c>
      <c r="J3" s="20" t="s">
        <v>925</v>
      </c>
      <c r="K3" s="11"/>
    </row>
    <row r="4" spans="1:11" ht="13.5" customHeight="1" x14ac:dyDescent="0.2">
      <c r="A4" s="11" t="s">
        <v>7709</v>
      </c>
      <c r="B4" s="11" t="s">
        <v>7710</v>
      </c>
      <c r="C4" s="7" t="s">
        <v>7702</v>
      </c>
      <c r="D4" s="20" t="s">
        <v>795</v>
      </c>
      <c r="E4" s="20" t="s">
        <v>2186</v>
      </c>
      <c r="F4" s="20" t="s">
        <v>7703</v>
      </c>
      <c r="G4" s="20" t="s">
        <v>345</v>
      </c>
      <c r="H4" s="21">
        <v>21.26</v>
      </c>
      <c r="I4" s="6" t="s">
        <v>7704</v>
      </c>
      <c r="J4" s="20" t="s">
        <v>7711</v>
      </c>
      <c r="K4" s="11"/>
    </row>
    <row r="5" spans="1:11" ht="13.5" customHeight="1" x14ac:dyDescent="0.2">
      <c r="A5" s="127" t="s">
        <v>7712</v>
      </c>
      <c r="B5" s="127" t="s">
        <v>7713</v>
      </c>
      <c r="C5" s="128" t="s">
        <v>7702</v>
      </c>
      <c r="D5" s="129" t="s">
        <v>795</v>
      </c>
      <c r="E5" s="129" t="s">
        <v>2186</v>
      </c>
      <c r="F5" s="129" t="s">
        <v>7703</v>
      </c>
      <c r="G5" s="129" t="s">
        <v>345</v>
      </c>
      <c r="H5" s="130">
        <v>52.49</v>
      </c>
      <c r="I5" s="131" t="s">
        <v>7704</v>
      </c>
      <c r="J5" s="129" t="s">
        <v>3716</v>
      </c>
      <c r="K5" s="11" t="s">
        <v>7706</v>
      </c>
    </row>
    <row r="6" spans="1:11" ht="13.5" customHeight="1" x14ac:dyDescent="0.2">
      <c r="A6" s="127" t="s">
        <v>7714</v>
      </c>
      <c r="B6" s="127" t="s">
        <v>7715</v>
      </c>
      <c r="C6" s="128" t="s">
        <v>7702</v>
      </c>
      <c r="D6" s="129" t="s">
        <v>795</v>
      </c>
      <c r="E6" s="129" t="s">
        <v>2186</v>
      </c>
      <c r="F6" s="129" t="s">
        <v>7703</v>
      </c>
      <c r="G6" s="129" t="s">
        <v>345</v>
      </c>
      <c r="H6" s="130">
        <v>52.49</v>
      </c>
      <c r="I6" s="131" t="s">
        <v>7704</v>
      </c>
      <c r="J6" s="129" t="s">
        <v>3716</v>
      </c>
      <c r="K6" s="11" t="s">
        <v>7706</v>
      </c>
    </row>
    <row r="7" spans="1:11" ht="13.5" customHeight="1" x14ac:dyDescent="0.2">
      <c r="A7" s="127" t="s">
        <v>7716</v>
      </c>
      <c r="B7" s="127" t="s">
        <v>7717</v>
      </c>
      <c r="C7" s="128" t="s">
        <v>7702</v>
      </c>
      <c r="D7" s="129" t="s">
        <v>795</v>
      </c>
      <c r="E7" s="129" t="s">
        <v>2186</v>
      </c>
      <c r="F7" s="129" t="s">
        <v>7703</v>
      </c>
      <c r="G7" s="129" t="s">
        <v>345</v>
      </c>
      <c r="H7" s="130">
        <v>52.49</v>
      </c>
      <c r="I7" s="131" t="s">
        <v>7704</v>
      </c>
      <c r="J7" s="129" t="s">
        <v>3716</v>
      </c>
      <c r="K7" s="11" t="s">
        <v>7706</v>
      </c>
    </row>
    <row r="8" spans="1:11" ht="13.5" customHeight="1" x14ac:dyDescent="0.2">
      <c r="A8" s="127" t="s">
        <v>7718</v>
      </c>
      <c r="B8" s="127" t="s">
        <v>7719</v>
      </c>
      <c r="C8" s="128" t="s">
        <v>7702</v>
      </c>
      <c r="D8" s="129" t="s">
        <v>795</v>
      </c>
      <c r="E8" s="129" t="s">
        <v>2186</v>
      </c>
      <c r="F8" s="129" t="s">
        <v>7703</v>
      </c>
      <c r="G8" s="129" t="s">
        <v>345</v>
      </c>
      <c r="H8" s="130">
        <v>52.49</v>
      </c>
      <c r="I8" s="131" t="s">
        <v>7704</v>
      </c>
      <c r="J8" s="129" t="s">
        <v>3716</v>
      </c>
      <c r="K8" s="11" t="s">
        <v>7706</v>
      </c>
    </row>
    <row r="9" spans="1:11" ht="13.5" customHeight="1" x14ac:dyDescent="0.2">
      <c r="A9" s="132" t="s">
        <v>7720</v>
      </c>
      <c r="B9" s="132" t="s">
        <v>7721</v>
      </c>
      <c r="C9" s="133" t="s">
        <v>7702</v>
      </c>
      <c r="D9" s="134" t="s">
        <v>795</v>
      </c>
      <c r="E9" s="134" t="s">
        <v>2186</v>
      </c>
      <c r="F9" s="134" t="s">
        <v>7703</v>
      </c>
      <c r="G9" s="134" t="s">
        <v>345</v>
      </c>
      <c r="H9" s="135">
        <v>156.99</v>
      </c>
      <c r="I9" s="136" t="s">
        <v>7704</v>
      </c>
      <c r="J9" s="134" t="s">
        <v>2148</v>
      </c>
      <c r="K9" s="11" t="s">
        <v>7722</v>
      </c>
    </row>
    <row r="10" spans="1:11" ht="13.5" customHeight="1" x14ac:dyDescent="0.2">
      <c r="A10" s="132" t="s">
        <v>7723</v>
      </c>
      <c r="B10" s="132" t="s">
        <v>7724</v>
      </c>
      <c r="C10" s="133" t="s">
        <v>7702</v>
      </c>
      <c r="D10" s="134" t="s">
        <v>795</v>
      </c>
      <c r="E10" s="134" t="s">
        <v>2186</v>
      </c>
      <c r="F10" s="134" t="s">
        <v>7703</v>
      </c>
      <c r="G10" s="134" t="s">
        <v>345</v>
      </c>
      <c r="H10" s="135">
        <v>156.99</v>
      </c>
      <c r="I10" s="136" t="s">
        <v>7704</v>
      </c>
      <c r="J10" s="134" t="s">
        <v>2148</v>
      </c>
      <c r="K10" s="11" t="s">
        <v>7722</v>
      </c>
    </row>
    <row r="11" spans="1:11" ht="13.5" customHeight="1" x14ac:dyDescent="0.2">
      <c r="A11" s="11" t="s">
        <v>7725</v>
      </c>
      <c r="B11" s="11" t="s">
        <v>7726</v>
      </c>
      <c r="C11" s="7" t="s">
        <v>7702</v>
      </c>
      <c r="D11" s="20" t="s">
        <v>795</v>
      </c>
      <c r="E11" s="20" t="s">
        <v>2186</v>
      </c>
      <c r="F11" s="20" t="s">
        <v>7703</v>
      </c>
      <c r="G11" s="20" t="s">
        <v>345</v>
      </c>
      <c r="H11" s="21">
        <v>169.98</v>
      </c>
      <c r="I11" s="6" t="s">
        <v>7704</v>
      </c>
      <c r="J11" s="20" t="s">
        <v>2148</v>
      </c>
      <c r="K11" s="11"/>
    </row>
    <row r="12" spans="1:11" ht="13.5" customHeight="1" x14ac:dyDescent="0.2">
      <c r="A12" s="132" t="s">
        <v>7727</v>
      </c>
      <c r="B12" s="132" t="s">
        <v>7728</v>
      </c>
      <c r="C12" s="133" t="s">
        <v>7702</v>
      </c>
      <c r="D12" s="134" t="s">
        <v>795</v>
      </c>
      <c r="E12" s="134" t="s">
        <v>2186</v>
      </c>
      <c r="F12" s="134" t="s">
        <v>7703</v>
      </c>
      <c r="G12" s="134" t="s">
        <v>345</v>
      </c>
      <c r="H12" s="135">
        <v>177.86</v>
      </c>
      <c r="I12" s="136" t="s">
        <v>7704</v>
      </c>
      <c r="J12" s="134" t="s">
        <v>7729</v>
      </c>
      <c r="K12" s="11" t="s">
        <v>7722</v>
      </c>
    </row>
    <row r="13" spans="1:11" ht="13.5" customHeight="1" x14ac:dyDescent="0.2">
      <c r="A13" s="132" t="s">
        <v>7730</v>
      </c>
      <c r="B13" s="132" t="s">
        <v>7731</v>
      </c>
      <c r="C13" s="133" t="s">
        <v>7702</v>
      </c>
      <c r="D13" s="134" t="s">
        <v>795</v>
      </c>
      <c r="E13" s="134" t="s">
        <v>2186</v>
      </c>
      <c r="F13" s="134" t="s">
        <v>7703</v>
      </c>
      <c r="G13" s="134" t="s">
        <v>345</v>
      </c>
      <c r="H13" s="135">
        <v>177.86</v>
      </c>
      <c r="I13" s="136" t="s">
        <v>7704</v>
      </c>
      <c r="J13" s="134" t="s">
        <v>7729</v>
      </c>
      <c r="K13" s="11" t="s">
        <v>7722</v>
      </c>
    </row>
    <row r="14" spans="1:11" ht="13.5" customHeight="1" x14ac:dyDescent="0.2">
      <c r="A14" s="127" t="s">
        <v>7732</v>
      </c>
      <c r="B14" s="127" t="s">
        <v>7733</v>
      </c>
      <c r="C14" s="128" t="s">
        <v>7702</v>
      </c>
      <c r="D14" s="129" t="s">
        <v>795</v>
      </c>
      <c r="E14" s="129" t="s">
        <v>2186</v>
      </c>
      <c r="F14" s="129" t="s">
        <v>7703</v>
      </c>
      <c r="G14" s="129" t="s">
        <v>345</v>
      </c>
      <c r="H14" s="130">
        <v>140.41</v>
      </c>
      <c r="I14" s="131" t="s">
        <v>7704</v>
      </c>
      <c r="J14" s="129" t="s">
        <v>7705</v>
      </c>
      <c r="K14" s="11" t="s">
        <v>7706</v>
      </c>
    </row>
    <row r="15" spans="1:11" ht="13.5" customHeight="1" x14ac:dyDescent="0.2">
      <c r="A15" s="132" t="s">
        <v>7734</v>
      </c>
      <c r="B15" s="132" t="s">
        <v>7735</v>
      </c>
      <c r="C15" s="133" t="s">
        <v>7702</v>
      </c>
      <c r="D15" s="134" t="s">
        <v>795</v>
      </c>
      <c r="E15" s="134" t="s">
        <v>2186</v>
      </c>
      <c r="F15" s="134" t="s">
        <v>7703</v>
      </c>
      <c r="G15" s="134" t="s">
        <v>345</v>
      </c>
      <c r="H15" s="135">
        <v>177.86</v>
      </c>
      <c r="I15" s="136" t="s">
        <v>7704</v>
      </c>
      <c r="J15" s="134" t="s">
        <v>7729</v>
      </c>
      <c r="K15" s="11" t="s">
        <v>7722</v>
      </c>
    </row>
    <row r="16" spans="1:11" ht="13.5" customHeight="1" x14ac:dyDescent="0.2">
      <c r="A16" s="132" t="s">
        <v>7707</v>
      </c>
      <c r="B16" s="132" t="s">
        <v>7736</v>
      </c>
      <c r="C16" s="133" t="s">
        <v>7702</v>
      </c>
      <c r="D16" s="134" t="s">
        <v>795</v>
      </c>
      <c r="E16" s="134" t="s">
        <v>2186</v>
      </c>
      <c r="F16" s="134" t="s">
        <v>7703</v>
      </c>
      <c r="G16" s="134" t="s">
        <v>345</v>
      </c>
      <c r="H16" s="135">
        <v>177.86</v>
      </c>
      <c r="I16" s="136" t="s">
        <v>7704</v>
      </c>
      <c r="J16" s="134" t="s">
        <v>7729</v>
      </c>
      <c r="K16" s="11" t="s">
        <v>7722</v>
      </c>
    </row>
    <row r="17" spans="1:11" ht="13.5" customHeight="1" x14ac:dyDescent="0.2">
      <c r="A17" s="127" t="s">
        <v>7737</v>
      </c>
      <c r="B17" s="127" t="s">
        <v>7738</v>
      </c>
      <c r="C17" s="128" t="s">
        <v>7702</v>
      </c>
      <c r="D17" s="129" t="s">
        <v>795</v>
      </c>
      <c r="E17" s="129" t="s">
        <v>2186</v>
      </c>
      <c r="F17" s="129" t="s">
        <v>7703</v>
      </c>
      <c r="G17" s="129" t="s">
        <v>345</v>
      </c>
      <c r="H17" s="130">
        <v>40.08</v>
      </c>
      <c r="I17" s="131" t="s">
        <v>7704</v>
      </c>
      <c r="J17" s="129" t="s">
        <v>500</v>
      </c>
      <c r="K17" s="11" t="s">
        <v>7739</v>
      </c>
    </row>
    <row r="18" spans="1:11" ht="13.5" customHeight="1" x14ac:dyDescent="0.2">
      <c r="A18" s="31" t="s">
        <v>7740</v>
      </c>
      <c r="B18" s="31" t="s">
        <v>7741</v>
      </c>
      <c r="C18" s="32" t="s">
        <v>7702</v>
      </c>
      <c r="D18" s="33" t="s">
        <v>795</v>
      </c>
      <c r="E18" s="33" t="s">
        <v>2186</v>
      </c>
      <c r="F18" s="33" t="s">
        <v>7703</v>
      </c>
      <c r="G18" s="33" t="s">
        <v>345</v>
      </c>
      <c r="H18" s="34">
        <v>175.01</v>
      </c>
      <c r="I18" s="35" t="s">
        <v>7704</v>
      </c>
      <c r="J18" s="33" t="s">
        <v>7742</v>
      </c>
      <c r="K18" s="11" t="s">
        <v>7743</v>
      </c>
    </row>
    <row r="19" spans="1:11" ht="13.5" customHeight="1" x14ac:dyDescent="0.2">
      <c r="A19" s="31" t="s">
        <v>7744</v>
      </c>
      <c r="B19" s="31" t="s">
        <v>7745</v>
      </c>
      <c r="C19" s="32" t="s">
        <v>7702</v>
      </c>
      <c r="D19" s="33" t="s">
        <v>795</v>
      </c>
      <c r="E19" s="33" t="s">
        <v>2186</v>
      </c>
      <c r="F19" s="33" t="s">
        <v>7703</v>
      </c>
      <c r="G19" s="33" t="s">
        <v>345</v>
      </c>
      <c r="H19" s="34">
        <v>175.01</v>
      </c>
      <c r="I19" s="35" t="s">
        <v>7704</v>
      </c>
      <c r="J19" s="33" t="s">
        <v>7742</v>
      </c>
      <c r="K19" s="11" t="s">
        <v>7743</v>
      </c>
    </row>
    <row r="20" spans="1:11" ht="13.5" customHeight="1" x14ac:dyDescent="0.2">
      <c r="A20" s="11" t="s">
        <v>7746</v>
      </c>
      <c r="B20" s="11" t="s">
        <v>7747</v>
      </c>
      <c r="C20" s="7" t="s">
        <v>7702</v>
      </c>
      <c r="D20" s="20" t="s">
        <v>795</v>
      </c>
      <c r="E20" s="20" t="s">
        <v>2186</v>
      </c>
      <c r="F20" s="20" t="s">
        <v>7703</v>
      </c>
      <c r="G20" s="20" t="s">
        <v>345</v>
      </c>
      <c r="H20" s="21">
        <v>40.08</v>
      </c>
      <c r="I20" s="6" t="s">
        <v>7704</v>
      </c>
      <c r="J20" s="20" t="s">
        <v>500</v>
      </c>
      <c r="K20" s="11"/>
    </row>
    <row r="21" spans="1:11" ht="13.5" customHeight="1" x14ac:dyDescent="0.2">
      <c r="A21" s="11" t="s">
        <v>7748</v>
      </c>
      <c r="B21" s="11" t="s">
        <v>7749</v>
      </c>
      <c r="C21" s="7" t="s">
        <v>7702</v>
      </c>
      <c r="D21" s="20" t="s">
        <v>795</v>
      </c>
      <c r="E21" s="20" t="s">
        <v>2186</v>
      </c>
      <c r="F21" s="20" t="s">
        <v>7703</v>
      </c>
      <c r="G21" s="20" t="s">
        <v>345</v>
      </c>
      <c r="H21" s="21">
        <v>34.82</v>
      </c>
      <c r="I21" s="6" t="s">
        <v>7704</v>
      </c>
      <c r="J21" s="20" t="s">
        <v>7750</v>
      </c>
      <c r="K21" s="11"/>
    </row>
    <row r="22" spans="1:11" ht="13.5" customHeight="1" x14ac:dyDescent="0.2">
      <c r="A22" s="132" t="s">
        <v>7751</v>
      </c>
      <c r="B22" s="132" t="s">
        <v>7752</v>
      </c>
      <c r="C22" s="132" t="s">
        <v>7702</v>
      </c>
      <c r="D22" s="133" t="s">
        <v>795</v>
      </c>
      <c r="E22" s="134" t="s">
        <v>2186</v>
      </c>
      <c r="F22" s="134" t="s">
        <v>7703</v>
      </c>
      <c r="G22" s="134" t="s">
        <v>345</v>
      </c>
      <c r="H22" s="134">
        <v>124.02</v>
      </c>
      <c r="I22" s="135" t="s">
        <v>7704</v>
      </c>
      <c r="J22" s="136" t="s">
        <v>925</v>
      </c>
      <c r="K22" s="11" t="s">
        <v>7722</v>
      </c>
    </row>
    <row r="23" spans="1:11" ht="13.5" customHeight="1" x14ac:dyDescent="0.2">
      <c r="A23" s="132" t="s">
        <v>7753</v>
      </c>
      <c r="B23" s="132" t="s">
        <v>7754</v>
      </c>
      <c r="C23" s="132" t="s">
        <v>7702</v>
      </c>
      <c r="D23" s="133" t="s">
        <v>795</v>
      </c>
      <c r="E23" s="134" t="s">
        <v>2186</v>
      </c>
      <c r="F23" s="134" t="s">
        <v>7703</v>
      </c>
      <c r="G23" s="134" t="s">
        <v>345</v>
      </c>
      <c r="H23" s="134">
        <v>124.02</v>
      </c>
      <c r="I23" s="135" t="s">
        <v>7704</v>
      </c>
      <c r="J23" s="136" t="s">
        <v>925</v>
      </c>
      <c r="K23" s="11" t="s">
        <v>7722</v>
      </c>
    </row>
    <row r="24" spans="1:11" ht="13.5" customHeight="1" x14ac:dyDescent="0.2">
      <c r="A24" s="11" t="s">
        <v>7755</v>
      </c>
      <c r="B24" s="11" t="s">
        <v>7756</v>
      </c>
      <c r="C24" s="7" t="s">
        <v>7702</v>
      </c>
      <c r="D24" s="20" t="s">
        <v>795</v>
      </c>
      <c r="E24" s="20" t="s">
        <v>2186</v>
      </c>
      <c r="F24" s="20" t="s">
        <v>7703</v>
      </c>
      <c r="G24" s="20" t="s">
        <v>345</v>
      </c>
      <c r="H24" s="21">
        <v>173.3</v>
      </c>
      <c r="I24" s="6" t="s">
        <v>7704</v>
      </c>
      <c r="J24" s="20" t="s">
        <v>2148</v>
      </c>
      <c r="K24" s="11"/>
    </row>
    <row r="25" spans="1:11" ht="13.5" customHeight="1" x14ac:dyDescent="0.2">
      <c r="A25" s="132" t="s">
        <v>7757</v>
      </c>
      <c r="B25" s="132" t="s">
        <v>7758</v>
      </c>
      <c r="C25" s="133" t="s">
        <v>7702</v>
      </c>
      <c r="D25" s="134" t="s">
        <v>795</v>
      </c>
      <c r="E25" s="134" t="s">
        <v>2186</v>
      </c>
      <c r="F25" s="134" t="s">
        <v>7703</v>
      </c>
      <c r="G25" s="134" t="s">
        <v>345</v>
      </c>
      <c r="H25" s="135">
        <v>140.41</v>
      </c>
      <c r="I25" s="136" t="s">
        <v>7704</v>
      </c>
      <c r="J25" s="134" t="s">
        <v>7705</v>
      </c>
      <c r="K25" s="11" t="s">
        <v>7722</v>
      </c>
    </row>
    <row r="26" spans="1:11" ht="13.5" customHeight="1" x14ac:dyDescent="0.2">
      <c r="A26" s="132" t="s">
        <v>7759</v>
      </c>
      <c r="B26" s="132" t="s">
        <v>7760</v>
      </c>
      <c r="C26" s="133" t="s">
        <v>7702</v>
      </c>
      <c r="D26" s="134" t="s">
        <v>795</v>
      </c>
      <c r="E26" s="134" t="s">
        <v>2186</v>
      </c>
      <c r="F26" s="134" t="s">
        <v>7703</v>
      </c>
      <c r="G26" s="134" t="s">
        <v>345</v>
      </c>
      <c r="H26" s="135">
        <v>140.41</v>
      </c>
      <c r="I26" s="136" t="s">
        <v>7704</v>
      </c>
      <c r="J26" s="134" t="s">
        <v>7705</v>
      </c>
      <c r="K26" s="11" t="s">
        <v>7722</v>
      </c>
    </row>
    <row r="27" spans="1:11" ht="13.5" customHeight="1" x14ac:dyDescent="0.2">
      <c r="A27" s="127" t="s">
        <v>7761</v>
      </c>
      <c r="B27" s="127" t="s">
        <v>7762</v>
      </c>
      <c r="C27" s="128" t="s">
        <v>7702</v>
      </c>
      <c r="D27" s="129" t="s">
        <v>795</v>
      </c>
      <c r="E27" s="129" t="s">
        <v>2186</v>
      </c>
      <c r="F27" s="129" t="s">
        <v>7703</v>
      </c>
      <c r="G27" s="129" t="s">
        <v>345</v>
      </c>
      <c r="H27" s="130">
        <v>120.35</v>
      </c>
      <c r="I27" s="131" t="s">
        <v>7704</v>
      </c>
      <c r="J27" s="129"/>
      <c r="K27" s="11" t="s">
        <v>7706</v>
      </c>
    </row>
    <row r="28" spans="1:11" ht="13.5" customHeight="1" x14ac:dyDescent="0.2">
      <c r="A28" s="127" t="s">
        <v>7763</v>
      </c>
      <c r="B28" s="127" t="s">
        <v>7764</v>
      </c>
      <c r="C28" s="128" t="s">
        <v>7702</v>
      </c>
      <c r="D28" s="129" t="s">
        <v>795</v>
      </c>
      <c r="E28" s="129" t="s">
        <v>2186</v>
      </c>
      <c r="F28" s="129" t="s">
        <v>7703</v>
      </c>
      <c r="G28" s="129" t="s">
        <v>345</v>
      </c>
      <c r="H28" s="130">
        <v>120.35</v>
      </c>
      <c r="I28" s="131" t="s">
        <v>7704</v>
      </c>
      <c r="J28" s="129" t="s">
        <v>925</v>
      </c>
      <c r="K28" s="11" t="s">
        <v>7706</v>
      </c>
    </row>
    <row r="29" spans="1:11" ht="13.5" customHeight="1" x14ac:dyDescent="0.2">
      <c r="A29" s="132" t="s">
        <v>7765</v>
      </c>
      <c r="B29" s="132" t="s">
        <v>7766</v>
      </c>
      <c r="C29" s="133" t="s">
        <v>7702</v>
      </c>
      <c r="D29" s="134" t="s">
        <v>795</v>
      </c>
      <c r="E29" s="134" t="s">
        <v>2186</v>
      </c>
      <c r="F29" s="134" t="s">
        <v>7703</v>
      </c>
      <c r="G29" s="134" t="s">
        <v>345</v>
      </c>
      <c r="H29" s="135">
        <v>99.99</v>
      </c>
      <c r="I29" s="136" t="s">
        <v>7704</v>
      </c>
      <c r="J29" s="134" t="s">
        <v>1026</v>
      </c>
      <c r="K29" s="11" t="s">
        <v>7722</v>
      </c>
    </row>
    <row r="30" spans="1:11" ht="13.5" customHeight="1" x14ac:dyDescent="0.2">
      <c r="A30" s="132" t="s">
        <v>7767</v>
      </c>
      <c r="B30" s="132" t="s">
        <v>7768</v>
      </c>
      <c r="C30" s="133" t="s">
        <v>7702</v>
      </c>
      <c r="D30" s="134" t="s">
        <v>795</v>
      </c>
      <c r="E30" s="134" t="s">
        <v>2186</v>
      </c>
      <c r="F30" s="134" t="s">
        <v>7703</v>
      </c>
      <c r="G30" s="134" t="s">
        <v>345</v>
      </c>
      <c r="H30" s="135">
        <v>99.99</v>
      </c>
      <c r="I30" s="136" t="s">
        <v>7704</v>
      </c>
      <c r="J30" s="134" t="s">
        <v>1026</v>
      </c>
      <c r="K30" s="11" t="s">
        <v>7722</v>
      </c>
    </row>
    <row r="31" spans="1:11" ht="13.5" customHeight="1" x14ac:dyDescent="0.2">
      <c r="A31" s="127" t="s">
        <v>7769</v>
      </c>
      <c r="B31" s="127" t="s">
        <v>7770</v>
      </c>
      <c r="C31" s="128" t="s">
        <v>7702</v>
      </c>
      <c r="D31" s="129" t="s">
        <v>795</v>
      </c>
      <c r="E31" s="129" t="s">
        <v>2186</v>
      </c>
      <c r="F31" s="129" t="s">
        <v>7703</v>
      </c>
      <c r="G31" s="129" t="s">
        <v>345</v>
      </c>
      <c r="H31" s="130">
        <v>52</v>
      </c>
      <c r="I31" s="131" t="s">
        <v>7704</v>
      </c>
      <c r="J31" s="129" t="s">
        <v>7771</v>
      </c>
      <c r="K31" s="11" t="s">
        <v>7739</v>
      </c>
    </row>
    <row r="32" spans="1:11" ht="13.5" customHeight="1" x14ac:dyDescent="0.2">
      <c r="A32" s="127" t="s">
        <v>7772</v>
      </c>
      <c r="B32" s="127" t="s">
        <v>7773</v>
      </c>
      <c r="C32" s="128" t="s">
        <v>7702</v>
      </c>
      <c r="D32" s="129" t="s">
        <v>795</v>
      </c>
      <c r="E32" s="129" t="s">
        <v>2186</v>
      </c>
      <c r="F32" s="129" t="s">
        <v>7703</v>
      </c>
      <c r="G32" s="129" t="s">
        <v>345</v>
      </c>
      <c r="H32" s="130">
        <v>52</v>
      </c>
      <c r="I32" s="131" t="s">
        <v>7704</v>
      </c>
      <c r="J32" s="129" t="s">
        <v>7771</v>
      </c>
      <c r="K32" s="11" t="s">
        <v>7739</v>
      </c>
    </row>
    <row r="33" spans="1:11" ht="13.5" customHeight="1" x14ac:dyDescent="0.2">
      <c r="A33" s="127" t="s">
        <v>7774</v>
      </c>
      <c r="B33" s="127" t="s">
        <v>7775</v>
      </c>
      <c r="C33" s="128" t="s">
        <v>7702</v>
      </c>
      <c r="D33" s="129" t="s">
        <v>795</v>
      </c>
      <c r="E33" s="129" t="s">
        <v>2186</v>
      </c>
      <c r="F33" s="129" t="s">
        <v>7703</v>
      </c>
      <c r="G33" s="129" t="s">
        <v>345</v>
      </c>
      <c r="H33" s="130">
        <v>100.31</v>
      </c>
      <c r="I33" s="131" t="s">
        <v>7704</v>
      </c>
      <c r="J33" s="129" t="s">
        <v>5724</v>
      </c>
      <c r="K33" s="11" t="s">
        <v>7706</v>
      </c>
    </row>
    <row r="34" spans="1:11" ht="13.5" customHeight="1" x14ac:dyDescent="0.2">
      <c r="A34" s="127" t="s">
        <v>7776</v>
      </c>
      <c r="B34" s="127" t="s">
        <v>7777</v>
      </c>
      <c r="C34" s="128" t="s">
        <v>7702</v>
      </c>
      <c r="D34" s="129" t="s">
        <v>795</v>
      </c>
      <c r="E34" s="129" t="s">
        <v>2186</v>
      </c>
      <c r="F34" s="129" t="s">
        <v>7703</v>
      </c>
      <c r="G34" s="129" t="s">
        <v>345</v>
      </c>
      <c r="H34" s="130">
        <v>23.75</v>
      </c>
      <c r="I34" s="131" t="s">
        <v>7704</v>
      </c>
      <c r="J34" s="129" t="s">
        <v>7778</v>
      </c>
      <c r="K34" s="11" t="s">
        <v>7739</v>
      </c>
    </row>
    <row r="35" spans="1:11" ht="13.5" customHeight="1" x14ac:dyDescent="0.2">
      <c r="A35" s="132" t="s">
        <v>7779</v>
      </c>
      <c r="B35" s="132" t="s">
        <v>7780</v>
      </c>
      <c r="C35" s="133" t="s">
        <v>7702</v>
      </c>
      <c r="D35" s="134" t="s">
        <v>795</v>
      </c>
      <c r="E35" s="134" t="s">
        <v>2186</v>
      </c>
      <c r="F35" s="134" t="s">
        <v>7703</v>
      </c>
      <c r="G35" s="134" t="s">
        <v>345</v>
      </c>
      <c r="H35" s="135">
        <v>163.18</v>
      </c>
      <c r="I35" s="136" t="s">
        <v>7704</v>
      </c>
      <c r="J35" s="134" t="s">
        <v>7705</v>
      </c>
      <c r="K35" s="11" t="s">
        <v>7722</v>
      </c>
    </row>
  </sheetData>
  <pageMargins left="0.75" right="0.75" top="1" bottom="1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41"/>
  <sheetViews>
    <sheetView zoomScaleNormal="100" workbookViewId="0">
      <selection activeCell="A17" sqref="A17"/>
    </sheetView>
  </sheetViews>
  <sheetFormatPr baseColWidth="10" defaultColWidth="11.5703125" defaultRowHeight="16" x14ac:dyDescent="0.2"/>
  <cols>
    <col min="1" max="1" width="14.5703125" customWidth="1"/>
    <col min="2" max="2" width="32.85546875" customWidth="1"/>
    <col min="9" max="9" width="29.140625" customWidth="1"/>
  </cols>
  <sheetData>
    <row r="1" spans="1:16" x14ac:dyDescent="0.2">
      <c r="A1" s="3" t="s">
        <v>6047</v>
      </c>
      <c r="B1" s="3" t="s">
        <v>4</v>
      </c>
      <c r="C1" s="3" t="s">
        <v>7693</v>
      </c>
      <c r="D1" s="3" t="s">
        <v>7694</v>
      </c>
      <c r="E1" s="3" t="s">
        <v>7695</v>
      </c>
      <c r="F1" s="3" t="s">
        <v>7696</v>
      </c>
      <c r="G1" s="3" t="s">
        <v>7697</v>
      </c>
      <c r="H1" s="18" t="s">
        <v>7698</v>
      </c>
    </row>
    <row r="2" spans="1:16" x14ac:dyDescent="0.2">
      <c r="A2" s="50" t="s">
        <v>7781</v>
      </c>
      <c r="B2" t="s">
        <v>7192</v>
      </c>
      <c r="C2" s="7" t="s">
        <v>7702</v>
      </c>
      <c r="D2" s="7" t="s">
        <v>7782</v>
      </c>
      <c r="E2" s="7" t="s">
        <v>2186</v>
      </c>
      <c r="F2" s="7" t="s">
        <v>7703</v>
      </c>
      <c r="G2" s="190" t="s">
        <v>345</v>
      </c>
      <c r="H2" s="196">
        <v>44.24</v>
      </c>
      <c r="I2" s="191" t="s">
        <v>7192</v>
      </c>
      <c r="J2" s="192" t="s">
        <v>54</v>
      </c>
      <c r="K2" s="193">
        <v>15</v>
      </c>
      <c r="L2" s="193">
        <v>20</v>
      </c>
      <c r="M2" s="194">
        <v>25.28</v>
      </c>
      <c r="N2" s="195">
        <v>12.64</v>
      </c>
      <c r="O2" s="195">
        <v>6.32</v>
      </c>
      <c r="P2" s="196">
        <v>44.24</v>
      </c>
    </row>
    <row r="3" spans="1:16" x14ac:dyDescent="0.2">
      <c r="A3" t="s">
        <v>7783</v>
      </c>
      <c r="B3" t="s">
        <v>7196</v>
      </c>
      <c r="C3" s="7" t="s">
        <v>7702</v>
      </c>
      <c r="D3" s="7" t="s">
        <v>7782</v>
      </c>
      <c r="E3" s="7" t="s">
        <v>2186</v>
      </c>
      <c r="F3" s="7" t="s">
        <v>7703</v>
      </c>
      <c r="G3" s="190" t="s">
        <v>345</v>
      </c>
      <c r="H3" s="200">
        <v>43.8</v>
      </c>
      <c r="I3" s="197" t="s">
        <v>7196</v>
      </c>
      <c r="J3" s="197" t="s">
        <v>54</v>
      </c>
      <c r="K3" s="193">
        <v>16</v>
      </c>
      <c r="L3" s="193">
        <v>16</v>
      </c>
      <c r="M3" s="198">
        <v>25.03</v>
      </c>
      <c r="N3" s="199">
        <v>12.51</v>
      </c>
      <c r="O3" s="199">
        <v>6.26</v>
      </c>
      <c r="P3" s="200">
        <v>43.8</v>
      </c>
    </row>
    <row r="4" spans="1:16" x14ac:dyDescent="0.2">
      <c r="A4" t="s">
        <v>7784</v>
      </c>
      <c r="B4" t="s">
        <v>7200</v>
      </c>
      <c r="C4" s="7" t="s">
        <v>7702</v>
      </c>
      <c r="D4" s="7" t="s">
        <v>7782</v>
      </c>
      <c r="E4" s="7" t="s">
        <v>2186</v>
      </c>
      <c r="F4" s="7" t="s">
        <v>7703</v>
      </c>
      <c r="G4" s="190" t="s">
        <v>345</v>
      </c>
      <c r="H4" s="200">
        <v>45.01</v>
      </c>
      <c r="I4" s="197" t="s">
        <v>7200</v>
      </c>
      <c r="J4" s="197" t="s">
        <v>54</v>
      </c>
      <c r="K4" s="193">
        <v>16</v>
      </c>
      <c r="L4" s="193">
        <v>20</v>
      </c>
      <c r="M4" s="198">
        <v>25.72</v>
      </c>
      <c r="N4" s="199">
        <v>12.86</v>
      </c>
      <c r="O4" s="199">
        <v>6.43</v>
      </c>
      <c r="P4" s="200">
        <v>45.01</v>
      </c>
    </row>
    <row r="5" spans="1:16" x14ac:dyDescent="0.2">
      <c r="A5" t="s">
        <v>7785</v>
      </c>
      <c r="B5" t="s">
        <v>7204</v>
      </c>
      <c r="C5" s="7" t="s">
        <v>7702</v>
      </c>
      <c r="D5" s="7" t="s">
        <v>7782</v>
      </c>
      <c r="E5" s="7" t="s">
        <v>2186</v>
      </c>
      <c r="F5" s="7" t="s">
        <v>7703</v>
      </c>
      <c r="G5" s="190" t="s">
        <v>345</v>
      </c>
      <c r="H5" s="200">
        <v>57.13</v>
      </c>
      <c r="I5" s="197" t="s">
        <v>7204</v>
      </c>
      <c r="J5" s="197" t="s">
        <v>54</v>
      </c>
      <c r="K5" s="193">
        <v>16</v>
      </c>
      <c r="L5" s="193">
        <v>48</v>
      </c>
      <c r="M5" s="198">
        <v>32.65</v>
      </c>
      <c r="N5" s="199">
        <v>16.32</v>
      </c>
      <c r="O5" s="199">
        <v>8.16</v>
      </c>
      <c r="P5" s="200">
        <v>57.13</v>
      </c>
    </row>
    <row r="6" spans="1:16" x14ac:dyDescent="0.2">
      <c r="A6" t="s">
        <v>7786</v>
      </c>
      <c r="B6" t="s">
        <v>7224</v>
      </c>
      <c r="C6" s="7" t="s">
        <v>7702</v>
      </c>
      <c r="D6" s="7" t="s">
        <v>7782</v>
      </c>
      <c r="E6" s="7" t="s">
        <v>2186</v>
      </c>
      <c r="F6" s="7" t="s">
        <v>7703</v>
      </c>
      <c r="G6" s="190" t="s">
        <v>345</v>
      </c>
      <c r="H6" s="200">
        <v>55.2</v>
      </c>
      <c r="I6" s="197" t="s">
        <v>7224</v>
      </c>
      <c r="J6" s="197" t="s">
        <v>54</v>
      </c>
      <c r="K6" s="193">
        <v>22</v>
      </c>
      <c r="L6" s="193">
        <v>30</v>
      </c>
      <c r="M6" s="198">
        <v>31.54</v>
      </c>
      <c r="N6" s="199">
        <v>15.77</v>
      </c>
      <c r="O6" s="199">
        <v>7.89</v>
      </c>
      <c r="P6" s="200">
        <v>55.2</v>
      </c>
    </row>
    <row r="7" spans="1:16" x14ac:dyDescent="0.2">
      <c r="A7" t="s">
        <v>7787</v>
      </c>
      <c r="B7" t="s">
        <v>7239</v>
      </c>
      <c r="C7" s="7" t="s">
        <v>7702</v>
      </c>
      <c r="D7" s="7" t="s">
        <v>7782</v>
      </c>
      <c r="E7" s="7" t="s">
        <v>2186</v>
      </c>
      <c r="F7" s="7" t="s">
        <v>7703</v>
      </c>
      <c r="G7" s="190" t="s">
        <v>345</v>
      </c>
      <c r="H7" s="200">
        <v>56.23</v>
      </c>
      <c r="I7" s="197" t="s">
        <v>7239</v>
      </c>
      <c r="J7" s="197" t="s">
        <v>54</v>
      </c>
      <c r="K7" s="193">
        <v>24</v>
      </c>
      <c r="L7" s="193">
        <v>30</v>
      </c>
      <c r="M7" s="198">
        <v>32.130000000000003</v>
      </c>
      <c r="N7" s="199">
        <v>16.07</v>
      </c>
      <c r="O7" s="199">
        <v>8.0299999999999994</v>
      </c>
      <c r="P7" s="200">
        <v>56.23</v>
      </c>
    </row>
    <row r="8" spans="1:16" x14ac:dyDescent="0.2">
      <c r="A8" t="s">
        <v>7788</v>
      </c>
      <c r="B8" t="s">
        <v>7243</v>
      </c>
      <c r="C8" s="7" t="s">
        <v>7702</v>
      </c>
      <c r="D8" s="7" t="s">
        <v>7782</v>
      </c>
      <c r="E8" s="7" t="s">
        <v>2186</v>
      </c>
      <c r="F8" s="7" t="s">
        <v>7703</v>
      </c>
      <c r="G8" s="190" t="s">
        <v>345</v>
      </c>
      <c r="H8" s="200">
        <v>57.99</v>
      </c>
      <c r="I8" s="197" t="s">
        <v>7243</v>
      </c>
      <c r="J8" s="197" t="s">
        <v>54</v>
      </c>
      <c r="K8" s="193">
        <v>24</v>
      </c>
      <c r="L8" s="193">
        <v>36</v>
      </c>
      <c r="M8" s="198">
        <v>33.14</v>
      </c>
      <c r="N8" s="199">
        <v>16.57</v>
      </c>
      <c r="O8" s="199">
        <v>8.2799999999999994</v>
      </c>
      <c r="P8" s="200">
        <v>57.99</v>
      </c>
    </row>
    <row r="9" spans="1:16" x14ac:dyDescent="0.2">
      <c r="A9" t="s">
        <v>7789</v>
      </c>
      <c r="B9" t="s">
        <v>7248</v>
      </c>
      <c r="C9" s="7" t="s">
        <v>7702</v>
      </c>
      <c r="D9" s="7" t="s">
        <v>7782</v>
      </c>
      <c r="E9" s="7" t="s">
        <v>2186</v>
      </c>
      <c r="F9" s="7" t="s">
        <v>7703</v>
      </c>
      <c r="G9" s="190" t="s">
        <v>345</v>
      </c>
      <c r="H9" s="200">
        <v>79.27</v>
      </c>
      <c r="I9" s="197" t="s">
        <v>7248</v>
      </c>
      <c r="J9" s="197" t="s">
        <v>54</v>
      </c>
      <c r="K9" s="193">
        <v>24</v>
      </c>
      <c r="L9" s="193">
        <v>60</v>
      </c>
      <c r="M9" s="198">
        <v>45.3</v>
      </c>
      <c r="N9" s="199">
        <v>22.65</v>
      </c>
      <c r="O9" s="199">
        <v>11.32</v>
      </c>
      <c r="P9" s="200">
        <v>79.27</v>
      </c>
    </row>
    <row r="10" spans="1:16" s="44" customFormat="1" x14ac:dyDescent="0.2">
      <c r="A10" s="44" t="s">
        <v>7790</v>
      </c>
      <c r="B10" s="44" t="s">
        <v>7791</v>
      </c>
      <c r="C10" s="615" t="s">
        <v>7702</v>
      </c>
      <c r="D10" s="615" t="s">
        <v>7782</v>
      </c>
      <c r="E10" s="615" t="s">
        <v>2186</v>
      </c>
      <c r="F10" s="615" t="s">
        <v>7703</v>
      </c>
      <c r="G10" s="616" t="s">
        <v>345</v>
      </c>
      <c r="H10" s="617">
        <v>57.99</v>
      </c>
      <c r="I10" s="618" t="s">
        <v>7791</v>
      </c>
      <c r="J10" s="618" t="s">
        <v>54</v>
      </c>
      <c r="K10" s="619">
        <v>26</v>
      </c>
      <c r="L10" s="619">
        <v>32</v>
      </c>
      <c r="M10" s="620"/>
      <c r="N10" s="621"/>
      <c r="O10" s="621"/>
      <c r="P10" s="617"/>
    </row>
    <row r="11" spans="1:16" x14ac:dyDescent="0.2">
      <c r="A11" t="s">
        <v>7792</v>
      </c>
      <c r="B11" t="s">
        <v>7262</v>
      </c>
      <c r="C11" s="7" t="s">
        <v>7702</v>
      </c>
      <c r="D11" s="7" t="s">
        <v>7782</v>
      </c>
      <c r="E11" s="7" t="s">
        <v>2186</v>
      </c>
      <c r="F11" s="7" t="s">
        <v>7703</v>
      </c>
      <c r="G11" s="190" t="s">
        <v>345</v>
      </c>
      <c r="H11" s="200">
        <v>82.2</v>
      </c>
      <c r="I11" s="197" t="s">
        <v>7262</v>
      </c>
      <c r="J11" s="197" t="s">
        <v>54</v>
      </c>
      <c r="K11" s="193">
        <v>28.5</v>
      </c>
      <c r="L11" s="193">
        <v>60</v>
      </c>
      <c r="M11" s="198">
        <v>46.97</v>
      </c>
      <c r="N11" s="199">
        <v>23.49</v>
      </c>
      <c r="O11" s="199">
        <v>11.74</v>
      </c>
      <c r="P11" s="200">
        <v>82.2</v>
      </c>
    </row>
    <row r="12" spans="1:16" x14ac:dyDescent="0.2">
      <c r="A12" t="s">
        <v>7793</v>
      </c>
      <c r="B12" t="s">
        <v>7269</v>
      </c>
      <c r="C12" s="7" t="s">
        <v>7702</v>
      </c>
      <c r="D12" s="7" t="s">
        <v>7782</v>
      </c>
      <c r="E12" s="7" t="s">
        <v>2186</v>
      </c>
      <c r="F12" s="7" t="s">
        <v>7703</v>
      </c>
      <c r="G12" s="190" t="s">
        <v>345</v>
      </c>
      <c r="H12" s="200">
        <v>65.319999999999993</v>
      </c>
      <c r="I12" s="197" t="s">
        <v>7269</v>
      </c>
      <c r="J12" s="197" t="s">
        <v>54</v>
      </c>
      <c r="K12" s="193">
        <v>30</v>
      </c>
      <c r="L12" s="193">
        <v>40</v>
      </c>
      <c r="M12" s="198">
        <v>37.33</v>
      </c>
      <c r="N12" s="199">
        <v>18.66</v>
      </c>
      <c r="O12" s="199">
        <v>9.33</v>
      </c>
      <c r="P12" s="200">
        <v>65.319999999999993</v>
      </c>
    </row>
    <row r="13" spans="1:16" x14ac:dyDescent="0.2">
      <c r="A13" t="s">
        <v>7794</v>
      </c>
      <c r="B13" t="s">
        <v>7274</v>
      </c>
      <c r="C13" s="7" t="s">
        <v>7702</v>
      </c>
      <c r="D13" s="7" t="s">
        <v>7782</v>
      </c>
      <c r="E13" s="7" t="s">
        <v>2186</v>
      </c>
      <c r="F13" s="7" t="s">
        <v>7703</v>
      </c>
      <c r="G13" s="190" t="s">
        <v>345</v>
      </c>
      <c r="H13" s="200">
        <v>82.18</v>
      </c>
      <c r="I13" s="197" t="s">
        <v>7274</v>
      </c>
      <c r="J13" s="197" t="s">
        <v>54</v>
      </c>
      <c r="K13" s="193">
        <v>30</v>
      </c>
      <c r="L13" s="193">
        <v>48</v>
      </c>
      <c r="M13" s="198">
        <v>46.96</v>
      </c>
      <c r="N13" s="199">
        <v>23.48</v>
      </c>
      <c r="O13" s="199">
        <v>11.74</v>
      </c>
      <c r="P13" s="200">
        <v>82.18</v>
      </c>
    </row>
    <row r="14" spans="1:16" x14ac:dyDescent="0.2">
      <c r="A14" t="s">
        <v>7795</v>
      </c>
      <c r="B14" t="s">
        <v>7796</v>
      </c>
      <c r="C14" s="7" t="s">
        <v>7702</v>
      </c>
      <c r="D14" s="7" t="s">
        <v>7782</v>
      </c>
      <c r="E14" s="7" t="s">
        <v>2186</v>
      </c>
      <c r="F14" s="7" t="s">
        <v>7703</v>
      </c>
      <c r="G14" s="190" t="s">
        <v>345</v>
      </c>
      <c r="H14" s="200">
        <v>83.32</v>
      </c>
      <c r="I14" s="197" t="s">
        <v>7796</v>
      </c>
      <c r="J14" s="197" t="s">
        <v>54</v>
      </c>
      <c r="K14" s="193">
        <v>34</v>
      </c>
      <c r="L14" s="193">
        <v>45</v>
      </c>
      <c r="M14" s="198">
        <v>47.61</v>
      </c>
      <c r="N14" s="199">
        <v>23.81</v>
      </c>
      <c r="O14" s="199">
        <v>11.9</v>
      </c>
      <c r="P14" s="200">
        <v>83.32</v>
      </c>
    </row>
    <row r="15" spans="1:16" x14ac:dyDescent="0.2">
      <c r="A15" t="s">
        <v>7797</v>
      </c>
      <c r="B15" t="s">
        <v>7312</v>
      </c>
      <c r="C15" s="7" t="s">
        <v>7702</v>
      </c>
      <c r="D15" s="7" t="s">
        <v>7782</v>
      </c>
      <c r="E15" s="7" t="s">
        <v>2186</v>
      </c>
      <c r="F15" s="7" t="s">
        <v>7703</v>
      </c>
      <c r="G15" s="190" t="s">
        <v>345</v>
      </c>
      <c r="H15" s="200">
        <v>84.98</v>
      </c>
      <c r="I15" s="197" t="s">
        <v>7312</v>
      </c>
      <c r="J15" s="197" t="s">
        <v>54</v>
      </c>
      <c r="K15" s="193">
        <v>35</v>
      </c>
      <c r="L15" s="193">
        <v>48</v>
      </c>
      <c r="M15" s="198">
        <v>48.56</v>
      </c>
      <c r="N15" s="199">
        <v>24.28</v>
      </c>
      <c r="O15" s="199">
        <v>12.14</v>
      </c>
      <c r="P15" s="200">
        <v>84.98</v>
      </c>
    </row>
    <row r="16" spans="1:16" x14ac:dyDescent="0.2">
      <c r="A16" t="s">
        <v>7798</v>
      </c>
      <c r="B16" t="s">
        <v>7799</v>
      </c>
      <c r="C16" s="7" t="s">
        <v>7702</v>
      </c>
      <c r="D16" s="7" t="s">
        <v>7782</v>
      </c>
      <c r="E16" s="7" t="s">
        <v>2186</v>
      </c>
      <c r="F16" s="7" t="s">
        <v>7703</v>
      </c>
      <c r="G16" s="190" t="s">
        <v>345</v>
      </c>
      <c r="H16" s="200">
        <v>86.83</v>
      </c>
      <c r="I16" s="197" t="s">
        <v>7799</v>
      </c>
      <c r="J16" s="197" t="s">
        <v>54</v>
      </c>
      <c r="K16" s="193">
        <v>35</v>
      </c>
      <c r="L16" s="193">
        <v>53</v>
      </c>
      <c r="M16" s="198">
        <v>49.62</v>
      </c>
      <c r="N16" s="199">
        <v>24.81</v>
      </c>
      <c r="O16" s="199">
        <v>12.4</v>
      </c>
      <c r="P16" s="200">
        <v>86.83</v>
      </c>
    </row>
    <row r="17" spans="1:16" x14ac:dyDescent="0.2">
      <c r="A17" t="s">
        <v>7800</v>
      </c>
      <c r="B17" t="s">
        <v>7318</v>
      </c>
      <c r="C17" s="7" t="s">
        <v>7702</v>
      </c>
      <c r="D17" s="7" t="s">
        <v>7782</v>
      </c>
      <c r="E17" s="7" t="s">
        <v>2186</v>
      </c>
      <c r="F17" s="7" t="s">
        <v>7703</v>
      </c>
      <c r="G17" s="190" t="s">
        <v>345</v>
      </c>
      <c r="H17" s="200">
        <v>67.14</v>
      </c>
      <c r="I17" s="197" t="s">
        <v>7318</v>
      </c>
      <c r="J17" s="197" t="s">
        <v>54</v>
      </c>
      <c r="K17" s="193">
        <v>36</v>
      </c>
      <c r="L17" s="193">
        <v>36</v>
      </c>
      <c r="M17" s="198">
        <v>38.369999999999997</v>
      </c>
      <c r="N17" s="199">
        <v>19.18</v>
      </c>
      <c r="O17" s="199">
        <v>9.59</v>
      </c>
      <c r="P17" s="200">
        <v>67.14</v>
      </c>
    </row>
    <row r="18" spans="1:16" x14ac:dyDescent="0.2">
      <c r="A18" t="s">
        <v>7801</v>
      </c>
      <c r="B18" t="s">
        <v>7322</v>
      </c>
      <c r="C18" s="7" t="s">
        <v>7702</v>
      </c>
      <c r="D18" s="7" t="s">
        <v>7782</v>
      </c>
      <c r="E18" s="7" t="s">
        <v>2186</v>
      </c>
      <c r="F18" s="7" t="s">
        <v>7703</v>
      </c>
      <c r="G18" s="190" t="s">
        <v>345</v>
      </c>
      <c r="H18" s="200">
        <v>84.53</v>
      </c>
      <c r="I18" s="197" t="s">
        <v>7322</v>
      </c>
      <c r="J18" s="197" t="s">
        <v>54</v>
      </c>
      <c r="K18" s="193">
        <v>36</v>
      </c>
      <c r="L18" s="193">
        <v>45</v>
      </c>
      <c r="M18" s="198">
        <v>48.3</v>
      </c>
      <c r="N18" s="199">
        <v>24.15</v>
      </c>
      <c r="O18" s="199">
        <v>12.08</v>
      </c>
      <c r="P18" s="200">
        <v>84.53</v>
      </c>
    </row>
    <row r="19" spans="1:16" x14ac:dyDescent="0.2">
      <c r="A19" t="s">
        <v>7802</v>
      </c>
      <c r="B19" t="s">
        <v>7326</v>
      </c>
      <c r="C19" s="7" t="s">
        <v>7702</v>
      </c>
      <c r="D19" s="7" t="s">
        <v>7782</v>
      </c>
      <c r="E19" s="7" t="s">
        <v>2186</v>
      </c>
      <c r="F19" s="7" t="s">
        <v>7703</v>
      </c>
      <c r="G19" s="190" t="s">
        <v>345</v>
      </c>
      <c r="H19" s="200">
        <v>85.89</v>
      </c>
      <c r="I19" s="197" t="s">
        <v>7326</v>
      </c>
      <c r="J19" s="197" t="s">
        <v>54</v>
      </c>
      <c r="K19" s="193">
        <v>36</v>
      </c>
      <c r="L19" s="193">
        <v>48</v>
      </c>
      <c r="M19" s="198">
        <v>49.08</v>
      </c>
      <c r="N19" s="199">
        <v>24.54</v>
      </c>
      <c r="O19" s="199">
        <v>12.27</v>
      </c>
      <c r="P19" s="200">
        <v>85.89</v>
      </c>
    </row>
    <row r="20" spans="1:16" x14ac:dyDescent="0.2">
      <c r="A20" t="s">
        <v>7803</v>
      </c>
      <c r="B20" t="s">
        <v>7344</v>
      </c>
      <c r="C20" s="7" t="s">
        <v>7702</v>
      </c>
      <c r="D20" s="7" t="s">
        <v>7782</v>
      </c>
      <c r="E20" s="7" t="s">
        <v>2186</v>
      </c>
      <c r="F20" s="7" t="s">
        <v>7703</v>
      </c>
      <c r="G20" s="190" t="s">
        <v>345</v>
      </c>
      <c r="H20" s="200">
        <v>87.13</v>
      </c>
      <c r="I20" s="197" t="s">
        <v>7344</v>
      </c>
      <c r="J20" s="197" t="s">
        <v>54</v>
      </c>
      <c r="K20" s="193">
        <v>38</v>
      </c>
      <c r="L20" s="193">
        <v>48</v>
      </c>
      <c r="M20" s="198">
        <v>49.79</v>
      </c>
      <c r="N20" s="199">
        <v>24.89</v>
      </c>
      <c r="O20" s="199">
        <v>12.45</v>
      </c>
      <c r="P20" s="200">
        <v>87.13</v>
      </c>
    </row>
    <row r="21" spans="1:16" x14ac:dyDescent="0.2">
      <c r="A21" t="s">
        <v>7804</v>
      </c>
      <c r="B21" t="s">
        <v>7805</v>
      </c>
      <c r="C21" s="7" t="s">
        <v>7702</v>
      </c>
      <c r="D21" s="7" t="s">
        <v>7782</v>
      </c>
      <c r="E21" s="7" t="s">
        <v>2186</v>
      </c>
      <c r="F21" s="7" t="s">
        <v>7703</v>
      </c>
      <c r="G21" s="190" t="s">
        <v>345</v>
      </c>
      <c r="H21" s="200">
        <v>90.35</v>
      </c>
      <c r="I21" s="197" t="s">
        <v>7805</v>
      </c>
      <c r="J21" s="197" t="s">
        <v>54</v>
      </c>
      <c r="K21" s="193">
        <v>40</v>
      </c>
      <c r="L21" s="193">
        <v>53</v>
      </c>
      <c r="M21" s="198">
        <v>51.63</v>
      </c>
      <c r="N21" s="199">
        <v>25.82</v>
      </c>
      <c r="O21" s="199">
        <v>12.91</v>
      </c>
      <c r="P21" s="200">
        <v>90.35</v>
      </c>
    </row>
    <row r="22" spans="1:16" x14ac:dyDescent="0.2">
      <c r="A22" t="s">
        <v>7806</v>
      </c>
      <c r="B22" t="s">
        <v>7369</v>
      </c>
      <c r="C22" s="7" t="s">
        <v>7702</v>
      </c>
      <c r="D22" s="7" t="s">
        <v>7782</v>
      </c>
      <c r="E22" s="7" t="s">
        <v>2186</v>
      </c>
      <c r="F22" s="7" t="s">
        <v>7703</v>
      </c>
      <c r="G22" s="190" t="s">
        <v>345</v>
      </c>
      <c r="H22" s="200">
        <v>92.92</v>
      </c>
      <c r="I22" s="197" t="s">
        <v>7369</v>
      </c>
      <c r="J22" s="197" t="s">
        <v>54</v>
      </c>
      <c r="K22" s="193">
        <v>40</v>
      </c>
      <c r="L22" s="193">
        <v>60</v>
      </c>
      <c r="M22" s="198">
        <v>53.1</v>
      </c>
      <c r="N22" s="199">
        <v>26.55</v>
      </c>
      <c r="O22" s="199">
        <v>13.27</v>
      </c>
      <c r="P22" s="200">
        <v>92.92</v>
      </c>
    </row>
    <row r="23" spans="1:16" x14ac:dyDescent="0.2">
      <c r="A23" t="s">
        <v>7807</v>
      </c>
      <c r="B23" t="s">
        <v>7371</v>
      </c>
      <c r="C23" s="7" t="s">
        <v>7702</v>
      </c>
      <c r="D23" s="7" t="s">
        <v>7782</v>
      </c>
      <c r="E23" s="7" t="s">
        <v>2186</v>
      </c>
      <c r="F23" s="7" t="s">
        <v>7703</v>
      </c>
      <c r="G23" s="190" t="s">
        <v>345</v>
      </c>
      <c r="H23" s="200">
        <v>139.37</v>
      </c>
      <c r="I23" s="197" t="s">
        <v>7371</v>
      </c>
      <c r="J23" s="197" t="s">
        <v>54</v>
      </c>
      <c r="K23" s="193">
        <v>40</v>
      </c>
      <c r="L23" s="193">
        <v>65</v>
      </c>
      <c r="M23" s="198">
        <v>79.64</v>
      </c>
      <c r="N23" s="199">
        <v>39.82</v>
      </c>
      <c r="O23" s="199">
        <v>19.91</v>
      </c>
      <c r="P23" s="200">
        <v>139.37</v>
      </c>
    </row>
    <row r="24" spans="1:16" x14ac:dyDescent="0.2">
      <c r="A24" t="s">
        <v>7808</v>
      </c>
      <c r="B24" t="s">
        <v>7376</v>
      </c>
      <c r="C24" s="7" t="s">
        <v>7702</v>
      </c>
      <c r="D24" s="7" t="s">
        <v>7782</v>
      </c>
      <c r="E24" s="7" t="s">
        <v>2186</v>
      </c>
      <c r="F24" s="7" t="s">
        <v>7703</v>
      </c>
      <c r="G24" s="190" t="s">
        <v>345</v>
      </c>
      <c r="H24" s="200">
        <v>138.36000000000001</v>
      </c>
      <c r="I24" s="197" t="s">
        <v>7376</v>
      </c>
      <c r="J24" s="197" t="s">
        <v>54</v>
      </c>
      <c r="K24" s="193">
        <v>41</v>
      </c>
      <c r="L24" s="193">
        <v>60</v>
      </c>
      <c r="M24" s="198">
        <v>79.06</v>
      </c>
      <c r="N24" s="199">
        <v>39.53</v>
      </c>
      <c r="O24" s="199">
        <v>19.77</v>
      </c>
      <c r="P24" s="200">
        <v>138.36000000000001</v>
      </c>
    </row>
    <row r="25" spans="1:16" x14ac:dyDescent="0.2">
      <c r="A25" t="s">
        <v>7809</v>
      </c>
      <c r="B25" t="s">
        <v>7810</v>
      </c>
      <c r="C25" s="7" t="s">
        <v>7702</v>
      </c>
      <c r="D25" s="7" t="s">
        <v>7782</v>
      </c>
      <c r="E25" s="7" t="s">
        <v>2186</v>
      </c>
      <c r="F25" s="7" t="s">
        <v>7703</v>
      </c>
      <c r="G25" s="190" t="s">
        <v>345</v>
      </c>
      <c r="H25" s="200">
        <v>91.65</v>
      </c>
      <c r="I25" s="197" t="s">
        <v>7810</v>
      </c>
      <c r="J25" s="197" t="s">
        <v>54</v>
      </c>
      <c r="K25" s="193">
        <v>42</v>
      </c>
      <c r="L25" s="193">
        <v>53</v>
      </c>
      <c r="M25" s="198">
        <v>52.37</v>
      </c>
      <c r="N25" s="199">
        <v>26.19</v>
      </c>
      <c r="O25" s="199">
        <v>13.09</v>
      </c>
      <c r="P25" s="200">
        <v>91.65</v>
      </c>
    </row>
    <row r="26" spans="1:16" x14ac:dyDescent="0.2">
      <c r="A26" t="s">
        <v>7811</v>
      </c>
      <c r="B26" t="s">
        <v>7400</v>
      </c>
      <c r="C26" s="7" t="s">
        <v>7702</v>
      </c>
      <c r="D26" s="7" t="s">
        <v>7782</v>
      </c>
      <c r="E26" s="7" t="s">
        <v>2186</v>
      </c>
      <c r="F26" s="7" t="s">
        <v>7703</v>
      </c>
      <c r="G26" s="190" t="s">
        <v>345</v>
      </c>
      <c r="H26" s="200">
        <v>140.12</v>
      </c>
      <c r="I26" s="197" t="s">
        <v>7400</v>
      </c>
      <c r="J26" s="197" t="s">
        <v>54</v>
      </c>
      <c r="K26" s="193">
        <v>44</v>
      </c>
      <c r="L26" s="193">
        <v>60</v>
      </c>
      <c r="M26" s="198">
        <v>80.069999999999993</v>
      </c>
      <c r="N26" s="199">
        <v>40.03</v>
      </c>
      <c r="O26" s="199">
        <v>20.02</v>
      </c>
      <c r="P26" s="200">
        <v>140.12</v>
      </c>
    </row>
    <row r="27" spans="1:16" x14ac:dyDescent="0.2">
      <c r="A27" t="s">
        <v>7812</v>
      </c>
      <c r="B27" t="s">
        <v>7413</v>
      </c>
      <c r="C27" s="7" t="s">
        <v>7702</v>
      </c>
      <c r="D27" s="7" t="s">
        <v>7782</v>
      </c>
      <c r="E27" s="7" t="s">
        <v>2186</v>
      </c>
      <c r="F27" s="7" t="s">
        <v>7703</v>
      </c>
      <c r="G27" s="190" t="s">
        <v>345</v>
      </c>
      <c r="H27" s="200">
        <v>141.07</v>
      </c>
      <c r="I27" s="197" t="s">
        <v>7413</v>
      </c>
      <c r="J27" s="197" t="s">
        <v>54</v>
      </c>
      <c r="K27" s="193">
        <v>45</v>
      </c>
      <c r="L27" s="193">
        <v>60</v>
      </c>
      <c r="M27" s="198">
        <v>80.61</v>
      </c>
      <c r="N27" s="199">
        <v>40.31</v>
      </c>
      <c r="O27" s="199">
        <v>20.149999999999999</v>
      </c>
      <c r="P27" s="200">
        <v>141.07</v>
      </c>
    </row>
    <row r="28" spans="1:16" x14ac:dyDescent="0.2">
      <c r="A28" t="s">
        <v>7813</v>
      </c>
      <c r="B28" t="s">
        <v>7419</v>
      </c>
      <c r="C28" s="7" t="s">
        <v>7702</v>
      </c>
      <c r="D28" s="7" t="s">
        <v>7782</v>
      </c>
      <c r="E28" s="7" t="s">
        <v>2186</v>
      </c>
      <c r="F28" s="7" t="s">
        <v>7703</v>
      </c>
      <c r="G28" s="190" t="s">
        <v>345</v>
      </c>
      <c r="H28" s="200">
        <v>143.32</v>
      </c>
      <c r="I28" s="197" t="s">
        <v>7419</v>
      </c>
      <c r="J28" s="197" t="s">
        <v>54</v>
      </c>
      <c r="K28" s="193">
        <v>46</v>
      </c>
      <c r="L28" s="193">
        <v>64</v>
      </c>
      <c r="M28" s="198">
        <v>81.900000000000006</v>
      </c>
      <c r="N28" s="199">
        <v>40.950000000000003</v>
      </c>
      <c r="O28" s="199">
        <v>20.47</v>
      </c>
      <c r="P28" s="200">
        <v>143.32</v>
      </c>
    </row>
    <row r="29" spans="1:16" x14ac:dyDescent="0.2">
      <c r="A29" t="s">
        <v>7814</v>
      </c>
      <c r="B29" t="s">
        <v>7430</v>
      </c>
      <c r="C29" s="7" t="s">
        <v>7702</v>
      </c>
      <c r="D29" s="7" t="s">
        <v>7782</v>
      </c>
      <c r="E29" s="7" t="s">
        <v>2186</v>
      </c>
      <c r="F29" s="7" t="s">
        <v>7703</v>
      </c>
      <c r="G29" s="190" t="s">
        <v>345</v>
      </c>
      <c r="H29" s="200">
        <v>142.44999999999999</v>
      </c>
      <c r="I29" s="197" t="s">
        <v>7430</v>
      </c>
      <c r="J29" s="197" t="s">
        <v>54</v>
      </c>
      <c r="K29" s="193">
        <v>47</v>
      </c>
      <c r="L29" s="193">
        <v>60</v>
      </c>
      <c r="M29" s="198">
        <v>81.400000000000006</v>
      </c>
      <c r="N29" s="199">
        <v>40.700000000000003</v>
      </c>
      <c r="O29" s="199">
        <v>20.350000000000001</v>
      </c>
      <c r="P29" s="200">
        <v>142.44999999999999</v>
      </c>
    </row>
    <row r="30" spans="1:16" x14ac:dyDescent="0.2">
      <c r="A30" t="s">
        <v>7815</v>
      </c>
      <c r="B30" t="s">
        <v>7442</v>
      </c>
      <c r="C30" s="7" t="s">
        <v>7702</v>
      </c>
      <c r="D30" s="7" t="s">
        <v>7782</v>
      </c>
      <c r="E30" s="7" t="s">
        <v>2186</v>
      </c>
      <c r="F30" s="7" t="s">
        <v>7703</v>
      </c>
      <c r="G30" s="190" t="s">
        <v>345</v>
      </c>
      <c r="H30" s="200">
        <v>93.31</v>
      </c>
      <c r="I30" s="197" t="s">
        <v>7442</v>
      </c>
      <c r="J30" s="197" t="s">
        <v>54</v>
      </c>
      <c r="K30" s="193">
        <v>48</v>
      </c>
      <c r="L30" s="193">
        <v>48</v>
      </c>
      <c r="M30" s="198">
        <v>53.32</v>
      </c>
      <c r="N30" s="199">
        <v>26.66</v>
      </c>
      <c r="O30" s="199">
        <v>13.33</v>
      </c>
      <c r="P30" s="200">
        <v>93.31</v>
      </c>
    </row>
    <row r="31" spans="1:16" x14ac:dyDescent="0.2">
      <c r="A31" t="s">
        <v>7816</v>
      </c>
      <c r="B31" t="s">
        <v>7451</v>
      </c>
      <c r="C31" s="7" t="s">
        <v>7702</v>
      </c>
      <c r="D31" s="7" t="s">
        <v>7782</v>
      </c>
      <c r="E31" s="7" t="s">
        <v>2186</v>
      </c>
      <c r="F31" s="7" t="s">
        <v>7703</v>
      </c>
      <c r="G31" s="190" t="s">
        <v>345</v>
      </c>
      <c r="H31" s="200">
        <v>143.43</v>
      </c>
      <c r="I31" s="197" t="s">
        <v>7451</v>
      </c>
      <c r="J31" s="197" t="s">
        <v>54</v>
      </c>
      <c r="K31" s="193">
        <v>48</v>
      </c>
      <c r="L31" s="193">
        <v>60</v>
      </c>
      <c r="M31" s="198">
        <v>81.96</v>
      </c>
      <c r="N31" s="199">
        <v>40.98</v>
      </c>
      <c r="O31" s="199">
        <v>20.49</v>
      </c>
      <c r="P31" s="200">
        <v>143.43</v>
      </c>
    </row>
    <row r="32" spans="1:16" x14ac:dyDescent="0.2">
      <c r="A32" t="s">
        <v>7817</v>
      </c>
      <c r="B32" t="s">
        <v>7490</v>
      </c>
      <c r="C32" s="7" t="s">
        <v>7702</v>
      </c>
      <c r="D32" s="7" t="s">
        <v>7782</v>
      </c>
      <c r="E32" s="7" t="s">
        <v>2186</v>
      </c>
      <c r="F32" s="7" t="s">
        <v>7703</v>
      </c>
      <c r="G32" s="190" t="s">
        <v>345</v>
      </c>
      <c r="H32" s="200">
        <v>148.82</v>
      </c>
      <c r="I32" s="197" t="s">
        <v>7490</v>
      </c>
      <c r="J32" s="197" t="s">
        <v>54</v>
      </c>
      <c r="K32" s="193">
        <v>52</v>
      </c>
      <c r="L32" s="193">
        <v>66</v>
      </c>
      <c r="M32" s="198">
        <v>85.04</v>
      </c>
      <c r="N32" s="199">
        <v>42.52</v>
      </c>
      <c r="O32" s="199">
        <v>21.26</v>
      </c>
      <c r="P32" s="200">
        <v>148.82</v>
      </c>
    </row>
    <row r="33" spans="1:16" x14ac:dyDescent="0.2">
      <c r="A33" s="50" t="s">
        <v>7818</v>
      </c>
      <c r="B33" s="50" t="s">
        <v>7819</v>
      </c>
      <c r="C33" s="7" t="s">
        <v>7702</v>
      </c>
      <c r="D33" s="7" t="s">
        <v>7782</v>
      </c>
      <c r="E33" s="7" t="s">
        <v>2186</v>
      </c>
      <c r="F33" s="7" t="s">
        <v>7703</v>
      </c>
      <c r="G33" s="190" t="s">
        <v>345</v>
      </c>
      <c r="H33" s="205">
        <v>196.68</v>
      </c>
      <c r="I33" s="201" t="s">
        <v>7819</v>
      </c>
      <c r="J33" s="201" t="s">
        <v>54</v>
      </c>
      <c r="K33" s="202">
        <v>54</v>
      </c>
      <c r="L33" s="202">
        <v>68</v>
      </c>
      <c r="M33" s="203">
        <v>112.39</v>
      </c>
      <c r="N33" s="204">
        <v>56.19</v>
      </c>
      <c r="O33" s="204">
        <v>28.1</v>
      </c>
      <c r="P33" s="205">
        <v>196.68</v>
      </c>
    </row>
    <row r="34" spans="1:16" x14ac:dyDescent="0.2">
      <c r="A34" t="s">
        <v>7820</v>
      </c>
      <c r="B34" t="s">
        <v>7528</v>
      </c>
      <c r="C34" s="7" t="s">
        <v>7702</v>
      </c>
      <c r="D34" s="7" t="s">
        <v>7782</v>
      </c>
      <c r="E34" s="7" t="s">
        <v>2186</v>
      </c>
      <c r="F34" s="7" t="s">
        <v>7703</v>
      </c>
      <c r="G34" s="190" t="s">
        <v>345</v>
      </c>
      <c r="H34" s="200">
        <v>149.86000000000001</v>
      </c>
      <c r="I34" s="197" t="s">
        <v>7528</v>
      </c>
      <c r="J34" s="197" t="s">
        <v>54</v>
      </c>
      <c r="K34" s="193">
        <v>57</v>
      </c>
      <c r="L34" s="193">
        <v>60</v>
      </c>
      <c r="M34" s="198">
        <v>85.63</v>
      </c>
      <c r="N34" s="199">
        <v>42.82</v>
      </c>
      <c r="O34" s="199">
        <v>21.41</v>
      </c>
      <c r="P34" s="200">
        <v>149.86000000000001</v>
      </c>
    </row>
    <row r="35" spans="1:16" x14ac:dyDescent="0.2">
      <c r="A35" t="s">
        <v>7821</v>
      </c>
      <c r="B35" t="s">
        <v>7537</v>
      </c>
      <c r="C35" s="7" t="s">
        <v>7702</v>
      </c>
      <c r="D35" s="7" t="s">
        <v>7782</v>
      </c>
      <c r="E35" s="7" t="s">
        <v>2186</v>
      </c>
      <c r="F35" s="7" t="s">
        <v>7703</v>
      </c>
      <c r="G35" s="190" t="s">
        <v>345</v>
      </c>
      <c r="H35" s="200">
        <v>173.19</v>
      </c>
      <c r="I35" s="197" t="s">
        <v>7537</v>
      </c>
      <c r="J35" s="197" t="s">
        <v>54</v>
      </c>
      <c r="K35" s="193">
        <v>60</v>
      </c>
      <c r="L35" s="193">
        <v>60</v>
      </c>
      <c r="M35" s="198">
        <v>98.97</v>
      </c>
      <c r="N35" s="199">
        <v>49.48</v>
      </c>
      <c r="O35" s="199">
        <v>24.74</v>
      </c>
      <c r="P35" s="200">
        <v>173.19</v>
      </c>
    </row>
    <row r="36" spans="1:16" x14ac:dyDescent="0.2">
      <c r="A36" t="s">
        <v>7822</v>
      </c>
      <c r="B36" t="s">
        <v>7542</v>
      </c>
      <c r="C36" s="7" t="s">
        <v>7702</v>
      </c>
      <c r="D36" s="7" t="s">
        <v>7782</v>
      </c>
      <c r="E36" s="7" t="s">
        <v>2186</v>
      </c>
      <c r="F36" s="7" t="s">
        <v>7703</v>
      </c>
      <c r="G36" s="190" t="s">
        <v>345</v>
      </c>
      <c r="H36" s="200">
        <v>233.41</v>
      </c>
      <c r="I36" s="197" t="s">
        <v>7542</v>
      </c>
      <c r="J36" s="197" t="s">
        <v>54</v>
      </c>
      <c r="K36" s="193">
        <v>60</v>
      </c>
      <c r="L36" s="193">
        <v>80</v>
      </c>
      <c r="M36" s="198">
        <v>133.38</v>
      </c>
      <c r="N36" s="199">
        <v>66.69</v>
      </c>
      <c r="O36" s="199">
        <v>33.340000000000003</v>
      </c>
      <c r="P36" s="200">
        <v>233.41</v>
      </c>
    </row>
    <row r="37" spans="1:16" x14ac:dyDescent="0.2">
      <c r="A37" s="50" t="s">
        <v>7823</v>
      </c>
      <c r="B37" s="50" t="s">
        <v>7568</v>
      </c>
      <c r="C37" s="7" t="s">
        <v>7702</v>
      </c>
      <c r="D37" s="7" t="s">
        <v>7782</v>
      </c>
      <c r="E37" s="7" t="s">
        <v>2186</v>
      </c>
      <c r="F37" s="7" t="s">
        <v>7703</v>
      </c>
      <c r="G37" s="190" t="s">
        <v>345</v>
      </c>
      <c r="H37" s="196">
        <v>257.86</v>
      </c>
      <c r="I37" s="197" t="s">
        <v>7568</v>
      </c>
      <c r="J37" s="197" t="s">
        <v>54</v>
      </c>
      <c r="K37" s="193">
        <v>72</v>
      </c>
      <c r="L37" s="193">
        <v>96</v>
      </c>
      <c r="M37" s="194">
        <v>147.35</v>
      </c>
      <c r="N37" s="195">
        <v>73.67</v>
      </c>
      <c r="O37" s="195">
        <v>36.840000000000003</v>
      </c>
      <c r="P37" s="196">
        <v>257.86</v>
      </c>
    </row>
    <row r="39" spans="1:16" x14ac:dyDescent="0.2">
      <c r="A39" t="s">
        <v>7824</v>
      </c>
      <c r="B39" s="152" t="s">
        <v>1410</v>
      </c>
      <c r="C39" s="145">
        <v>60</v>
      </c>
      <c r="D39" s="145">
        <v>60</v>
      </c>
      <c r="H39" s="196">
        <v>228.87</v>
      </c>
      <c r="I39" s="191" t="s">
        <v>7825</v>
      </c>
      <c r="J39" s="192" t="s">
        <v>7826</v>
      </c>
      <c r="K39" s="193">
        <v>60</v>
      </c>
      <c r="L39" s="193">
        <v>60</v>
      </c>
      <c r="M39" s="194">
        <v>130.78</v>
      </c>
      <c r="N39" s="195">
        <v>65.39</v>
      </c>
      <c r="O39" s="195">
        <v>32.700000000000003</v>
      </c>
      <c r="P39" s="196">
        <v>228.87</v>
      </c>
    </row>
    <row r="40" spans="1:16" x14ac:dyDescent="0.2">
      <c r="A40" t="s">
        <v>7827</v>
      </c>
      <c r="B40" s="152" t="s">
        <v>7828</v>
      </c>
      <c r="C40" s="145">
        <v>52</v>
      </c>
      <c r="D40" s="145">
        <v>60</v>
      </c>
      <c r="H40" s="196">
        <v>201.81</v>
      </c>
      <c r="I40" s="197" t="s">
        <v>7829</v>
      </c>
      <c r="J40" s="197" t="s">
        <v>7830</v>
      </c>
      <c r="K40" s="193">
        <v>52</v>
      </c>
      <c r="L40" s="193">
        <v>60</v>
      </c>
      <c r="M40" s="194">
        <v>115.32</v>
      </c>
      <c r="N40" s="195">
        <v>57.66</v>
      </c>
      <c r="O40" s="195">
        <v>28.83</v>
      </c>
      <c r="P40" s="196">
        <v>201.81</v>
      </c>
    </row>
    <row r="41" spans="1:16" x14ac:dyDescent="0.2">
      <c r="A41" t="s">
        <v>7831</v>
      </c>
      <c r="B41" s="153" t="s">
        <v>1412</v>
      </c>
      <c r="C41" s="177">
        <v>52</v>
      </c>
      <c r="D41" s="177">
        <v>60</v>
      </c>
      <c r="H41" s="196">
        <v>198.35</v>
      </c>
      <c r="I41" s="197" t="s">
        <v>7832</v>
      </c>
      <c r="J41" s="197" t="s">
        <v>7833</v>
      </c>
      <c r="K41" s="193">
        <v>52</v>
      </c>
      <c r="L41" s="193">
        <v>60</v>
      </c>
      <c r="M41" s="194">
        <v>113.34</v>
      </c>
      <c r="N41" s="195">
        <v>56.67</v>
      </c>
      <c r="O41" s="195">
        <v>28.34</v>
      </c>
      <c r="P41" s="196">
        <v>198.35</v>
      </c>
    </row>
  </sheetData>
  <pageMargins left="0.75" right="0.75" top="1" bottom="1" header="0.5" footer="0.5"/>
  <pageSetup orientation="portrait" horizontalDpi="4294967292" verticalDpi="4294967292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6C849-B333-7F46-837F-542297320566}">
  <dimension ref="A1:I34"/>
  <sheetViews>
    <sheetView zoomScale="135" zoomScaleNormal="135" workbookViewId="0">
      <selection activeCell="C18" sqref="C18"/>
    </sheetView>
  </sheetViews>
  <sheetFormatPr baseColWidth="10" defaultColWidth="11.5703125" defaultRowHeight="16" x14ac:dyDescent="0.2"/>
  <cols>
    <col min="1" max="1" width="14.7109375" customWidth="1"/>
    <col min="2" max="2" width="38.42578125" customWidth="1"/>
  </cols>
  <sheetData>
    <row r="1" spans="1:8" x14ac:dyDescent="0.2">
      <c r="A1" s="27" t="s">
        <v>6047</v>
      </c>
      <c r="B1" s="27" t="s">
        <v>4</v>
      </c>
      <c r="C1" s="27" t="s">
        <v>7693</v>
      </c>
      <c r="D1" s="27" t="s">
        <v>7694</v>
      </c>
      <c r="E1" s="27" t="s">
        <v>7695</v>
      </c>
      <c r="F1" s="27" t="s">
        <v>7696</v>
      </c>
      <c r="G1" s="27" t="s">
        <v>7697</v>
      </c>
      <c r="H1" s="301">
        <v>44501</v>
      </c>
    </row>
    <row r="2" spans="1:8" ht="15.75" customHeight="1" x14ac:dyDescent="0.2">
      <c r="A2" s="11" t="s">
        <v>7834</v>
      </c>
      <c r="B2" s="11" t="s">
        <v>7835</v>
      </c>
      <c r="C2" s="26" t="s">
        <v>7702</v>
      </c>
      <c r="D2" s="26" t="s">
        <v>7836</v>
      </c>
      <c r="E2" s="26" t="s">
        <v>2186</v>
      </c>
      <c r="F2" s="26" t="s">
        <v>7703</v>
      </c>
      <c r="G2" s="26" t="s">
        <v>345</v>
      </c>
      <c r="H2" s="269">
        <v>42.6</v>
      </c>
    </row>
    <row r="3" spans="1:8" ht="15.75" customHeight="1" x14ac:dyDescent="0.2">
      <c r="A3" s="11" t="s">
        <v>7837</v>
      </c>
      <c r="B3" s="11" t="s">
        <v>7838</v>
      </c>
      <c r="C3" s="26" t="s">
        <v>7702</v>
      </c>
      <c r="D3" s="26" t="s">
        <v>7836</v>
      </c>
      <c r="E3" s="26" t="s">
        <v>2186</v>
      </c>
      <c r="F3" s="26" t="s">
        <v>7703</v>
      </c>
      <c r="G3" s="26" t="s">
        <v>345</v>
      </c>
      <c r="H3" s="269">
        <v>46.39</v>
      </c>
    </row>
    <row r="4" spans="1:8" ht="15.75" customHeight="1" x14ac:dyDescent="0.2">
      <c r="A4" s="11" t="s">
        <v>7839</v>
      </c>
      <c r="B4" s="11" t="s">
        <v>7840</v>
      </c>
      <c r="C4" s="26" t="s">
        <v>7702</v>
      </c>
      <c r="D4" s="26" t="s">
        <v>7836</v>
      </c>
      <c r="E4" s="26" t="s">
        <v>2186</v>
      </c>
      <c r="F4" s="26" t="s">
        <v>7703</v>
      </c>
      <c r="G4" s="26" t="s">
        <v>345</v>
      </c>
      <c r="H4" s="269">
        <v>58.42</v>
      </c>
    </row>
    <row r="5" spans="1:8" ht="15.75" customHeight="1" x14ac:dyDescent="0.2">
      <c r="A5" s="11" t="s">
        <v>7841</v>
      </c>
      <c r="B5" s="11" t="s">
        <v>7842</v>
      </c>
      <c r="C5" s="26" t="s">
        <v>7702</v>
      </c>
      <c r="D5" s="26" t="s">
        <v>7836</v>
      </c>
      <c r="E5" s="26" t="s">
        <v>2186</v>
      </c>
      <c r="F5" s="26" t="s">
        <v>7703</v>
      </c>
      <c r="G5" s="26" t="s">
        <v>345</v>
      </c>
      <c r="H5" s="269">
        <v>58.03</v>
      </c>
    </row>
    <row r="6" spans="1:8" ht="15.75" customHeight="1" x14ac:dyDescent="0.2">
      <c r="A6" s="11" t="s">
        <v>7843</v>
      </c>
      <c r="B6" s="11" t="s">
        <v>7844</v>
      </c>
      <c r="C6" s="26" t="s">
        <v>7702</v>
      </c>
      <c r="D6" s="26" t="s">
        <v>7836</v>
      </c>
      <c r="E6" s="26" t="s">
        <v>2186</v>
      </c>
      <c r="F6" s="26" t="s">
        <v>7703</v>
      </c>
      <c r="G6" s="26" t="s">
        <v>345</v>
      </c>
      <c r="H6" s="269">
        <v>83.58</v>
      </c>
    </row>
    <row r="7" spans="1:8" s="44" customFormat="1" ht="15.75" customHeight="1" x14ac:dyDescent="0.2">
      <c r="A7" s="40" t="s">
        <v>7845</v>
      </c>
      <c r="B7" s="40" t="s">
        <v>7846</v>
      </c>
      <c r="C7" s="43" t="s">
        <v>7702</v>
      </c>
      <c r="D7" s="43" t="s">
        <v>7836</v>
      </c>
      <c r="E7" s="43" t="s">
        <v>2186</v>
      </c>
      <c r="F7" s="43" t="s">
        <v>7703</v>
      </c>
      <c r="G7" s="43" t="s">
        <v>345</v>
      </c>
      <c r="H7" s="312">
        <v>89.64</v>
      </c>
    </row>
    <row r="8" spans="1:8" ht="15.75" customHeight="1" x14ac:dyDescent="0.2">
      <c r="A8" s="11" t="s">
        <v>7847</v>
      </c>
      <c r="B8" s="11" t="s">
        <v>7848</v>
      </c>
      <c r="C8" s="26" t="s">
        <v>7702</v>
      </c>
      <c r="D8" s="26" t="s">
        <v>7836</v>
      </c>
      <c r="E8" s="26" t="s">
        <v>2186</v>
      </c>
      <c r="F8" s="26" t="s">
        <v>7703</v>
      </c>
      <c r="G8" s="26" t="s">
        <v>345</v>
      </c>
      <c r="H8" s="269">
        <v>89.64</v>
      </c>
    </row>
    <row r="9" spans="1:8" ht="15.75" customHeight="1" x14ac:dyDescent="0.2">
      <c r="A9" s="11" t="s">
        <v>7849</v>
      </c>
      <c r="B9" s="11" t="s">
        <v>7850</v>
      </c>
      <c r="C9" s="26" t="s">
        <v>7702</v>
      </c>
      <c r="D9" s="26" t="s">
        <v>7836</v>
      </c>
      <c r="E9" s="26" t="s">
        <v>2186</v>
      </c>
      <c r="F9" s="26" t="s">
        <v>7703</v>
      </c>
      <c r="G9" s="26" t="s">
        <v>345</v>
      </c>
      <c r="H9" s="269">
        <v>129.4</v>
      </c>
    </row>
    <row r="10" spans="1:8" ht="15.75" customHeight="1" x14ac:dyDescent="0.2">
      <c r="A10" s="11"/>
      <c r="B10" s="11"/>
      <c r="C10" s="26"/>
      <c r="D10" s="26"/>
      <c r="E10" s="26"/>
      <c r="F10" s="26"/>
      <c r="G10" s="26"/>
      <c r="H10" s="269"/>
    </row>
    <row r="11" spans="1:8" ht="15.75" customHeight="1" x14ac:dyDescent="0.2">
      <c r="A11" s="11" t="s">
        <v>7851</v>
      </c>
      <c r="B11" s="11" t="s">
        <v>7852</v>
      </c>
      <c r="C11" s="26" t="s">
        <v>7702</v>
      </c>
      <c r="D11" s="26" t="s">
        <v>7836</v>
      </c>
      <c r="E11" s="26" t="s">
        <v>2186</v>
      </c>
      <c r="F11" s="26" t="s">
        <v>7703</v>
      </c>
      <c r="G11" s="26" t="s">
        <v>345</v>
      </c>
      <c r="H11" s="269"/>
    </row>
    <row r="12" spans="1:8" x14ac:dyDescent="0.2">
      <c r="A12" s="11" t="s">
        <v>7853</v>
      </c>
      <c r="B12" s="11" t="s">
        <v>7854</v>
      </c>
      <c r="C12" s="26" t="s">
        <v>7702</v>
      </c>
      <c r="D12" s="26" t="s">
        <v>7836</v>
      </c>
      <c r="E12" s="26" t="s">
        <v>2186</v>
      </c>
      <c r="F12" s="26" t="s">
        <v>7703</v>
      </c>
      <c r="G12" s="26" t="s">
        <v>345</v>
      </c>
      <c r="H12" s="269"/>
    </row>
    <row r="13" spans="1:8" x14ac:dyDescent="0.2">
      <c r="A13" s="11" t="s">
        <v>7855</v>
      </c>
      <c r="B13" s="11" t="s">
        <v>7856</v>
      </c>
      <c r="C13" s="26" t="s">
        <v>7702</v>
      </c>
      <c r="D13" s="26" t="s">
        <v>7836</v>
      </c>
      <c r="E13" s="26" t="s">
        <v>2186</v>
      </c>
      <c r="F13" s="26" t="s">
        <v>7703</v>
      </c>
      <c r="G13" s="26" t="s">
        <v>345</v>
      </c>
      <c r="H13" s="269">
        <v>62.49</v>
      </c>
    </row>
    <row r="14" spans="1:8" x14ac:dyDescent="0.2">
      <c r="A14" s="11" t="s">
        <v>7857</v>
      </c>
      <c r="B14" s="11" t="s">
        <v>7858</v>
      </c>
      <c r="C14" s="26" t="s">
        <v>7702</v>
      </c>
      <c r="D14" s="26" t="s">
        <v>7836</v>
      </c>
      <c r="E14" s="26" t="s">
        <v>2186</v>
      </c>
      <c r="F14" s="26" t="s">
        <v>7703</v>
      </c>
      <c r="G14" s="26" t="s">
        <v>345</v>
      </c>
      <c r="H14" s="269"/>
    </row>
    <row r="15" spans="1:8" x14ac:dyDescent="0.2">
      <c r="A15" s="11" t="s">
        <v>7859</v>
      </c>
      <c r="B15" s="11" t="s">
        <v>7860</v>
      </c>
      <c r="C15" s="26" t="s">
        <v>7702</v>
      </c>
      <c r="D15" s="26" t="s">
        <v>7836</v>
      </c>
      <c r="E15" s="26" t="s">
        <v>2186</v>
      </c>
      <c r="F15" s="26" t="s">
        <v>7703</v>
      </c>
      <c r="G15" s="26" t="s">
        <v>345</v>
      </c>
      <c r="H15" s="269">
        <v>67.31</v>
      </c>
    </row>
    <row r="16" spans="1:8" x14ac:dyDescent="0.2">
      <c r="A16" s="11" t="s">
        <v>7861</v>
      </c>
      <c r="B16" s="11" t="s">
        <v>7862</v>
      </c>
      <c r="C16" s="26" t="s">
        <v>7702</v>
      </c>
      <c r="D16" s="26" t="s">
        <v>7836</v>
      </c>
      <c r="E16" s="26" t="s">
        <v>2186</v>
      </c>
      <c r="F16" s="26" t="s">
        <v>7703</v>
      </c>
      <c r="G16" s="26" t="s">
        <v>345</v>
      </c>
      <c r="H16" s="269"/>
    </row>
    <row r="17" spans="1:9" x14ac:dyDescent="0.2">
      <c r="A17" s="11" t="s">
        <v>7863</v>
      </c>
      <c r="B17" s="11" t="s">
        <v>7864</v>
      </c>
      <c r="C17" s="26" t="s">
        <v>7702</v>
      </c>
      <c r="D17" s="26" t="s">
        <v>7836</v>
      </c>
      <c r="E17" s="26" t="s">
        <v>2186</v>
      </c>
      <c r="F17" s="26" t="s">
        <v>7703</v>
      </c>
      <c r="G17" s="26" t="s">
        <v>345</v>
      </c>
      <c r="H17" s="269"/>
    </row>
    <row r="18" spans="1:9" x14ac:dyDescent="0.2">
      <c r="A18" s="11" t="s">
        <v>7865</v>
      </c>
      <c r="B18" s="11" t="s">
        <v>7866</v>
      </c>
      <c r="C18" s="26" t="s">
        <v>7702</v>
      </c>
      <c r="D18" s="26" t="s">
        <v>7836</v>
      </c>
      <c r="E18" s="26" t="s">
        <v>2186</v>
      </c>
      <c r="F18" s="26" t="s">
        <v>7703</v>
      </c>
      <c r="G18" s="26" t="s">
        <v>345</v>
      </c>
      <c r="H18" s="269"/>
    </row>
    <row r="19" spans="1:9" x14ac:dyDescent="0.2">
      <c r="H19" s="269"/>
    </row>
    <row r="20" spans="1:9" x14ac:dyDescent="0.2">
      <c r="A20" s="11" t="s">
        <v>7867</v>
      </c>
      <c r="B20" s="11" t="s">
        <v>7868</v>
      </c>
      <c r="C20" s="26" t="s">
        <v>7702</v>
      </c>
      <c r="D20" s="26" t="s">
        <v>7836</v>
      </c>
      <c r="E20" s="26" t="s">
        <v>2186</v>
      </c>
      <c r="F20" s="26" t="s">
        <v>7703</v>
      </c>
      <c r="G20" s="26" t="s">
        <v>345</v>
      </c>
      <c r="H20" s="269"/>
    </row>
    <row r="21" spans="1:9" x14ac:dyDescent="0.2">
      <c r="A21" s="11" t="s">
        <v>7869</v>
      </c>
      <c r="B21" s="11" t="s">
        <v>7870</v>
      </c>
      <c r="C21" s="26" t="s">
        <v>7702</v>
      </c>
      <c r="D21" s="26" t="s">
        <v>7836</v>
      </c>
      <c r="E21" s="26" t="s">
        <v>2186</v>
      </c>
      <c r="F21" s="26" t="s">
        <v>7703</v>
      </c>
      <c r="G21" s="26" t="s">
        <v>345</v>
      </c>
      <c r="H21" s="269"/>
    </row>
    <row r="22" spans="1:9" x14ac:dyDescent="0.2">
      <c r="A22" s="11" t="s">
        <v>7871</v>
      </c>
      <c r="B22" s="11" t="s">
        <v>128</v>
      </c>
      <c r="C22" s="26" t="s">
        <v>7702</v>
      </c>
      <c r="D22" s="26" t="s">
        <v>7836</v>
      </c>
      <c r="E22" s="26" t="s">
        <v>2186</v>
      </c>
      <c r="F22" s="26" t="s">
        <v>7703</v>
      </c>
      <c r="G22" s="26" t="s">
        <v>345</v>
      </c>
      <c r="H22" s="269"/>
    </row>
    <row r="23" spans="1:9" x14ac:dyDescent="0.2">
      <c r="A23" s="11" t="s">
        <v>7872</v>
      </c>
      <c r="B23" s="11" t="s">
        <v>7873</v>
      </c>
      <c r="C23" s="26" t="s">
        <v>7702</v>
      </c>
      <c r="D23" s="26" t="s">
        <v>7836</v>
      </c>
      <c r="E23" s="26" t="s">
        <v>2186</v>
      </c>
      <c r="F23" s="26" t="s">
        <v>7703</v>
      </c>
      <c r="G23" s="26" t="s">
        <v>345</v>
      </c>
      <c r="H23" s="269">
        <v>82.02</v>
      </c>
    </row>
    <row r="24" spans="1:9" x14ac:dyDescent="0.2">
      <c r="A24" s="11" t="s">
        <v>7874</v>
      </c>
      <c r="B24" s="11" t="s">
        <v>7875</v>
      </c>
      <c r="C24" s="26" t="s">
        <v>7702</v>
      </c>
      <c r="D24" s="26" t="s">
        <v>7836</v>
      </c>
      <c r="E24" s="26" t="s">
        <v>2186</v>
      </c>
      <c r="F24" s="26" t="s">
        <v>7703</v>
      </c>
      <c r="G24" s="26" t="s">
        <v>345</v>
      </c>
      <c r="H24" s="269"/>
      <c r="I24" s="371" t="s">
        <v>7876</v>
      </c>
    </row>
    <row r="25" spans="1:9" x14ac:dyDescent="0.2">
      <c r="A25" s="11" t="s">
        <v>7877</v>
      </c>
      <c r="B25" s="11" t="s">
        <v>7878</v>
      </c>
      <c r="C25" s="26" t="s">
        <v>7702</v>
      </c>
      <c r="D25" s="26" t="s">
        <v>7836</v>
      </c>
      <c r="E25" s="26" t="s">
        <v>2186</v>
      </c>
      <c r="F25" s="26" t="s">
        <v>7703</v>
      </c>
      <c r="G25" s="26" t="s">
        <v>345</v>
      </c>
      <c r="H25" s="269"/>
      <c r="I25" s="371" t="s">
        <v>7876</v>
      </c>
    </row>
    <row r="26" spans="1:9" x14ac:dyDescent="0.2">
      <c r="A26" s="11" t="s">
        <v>7879</v>
      </c>
      <c r="B26" s="11" t="s">
        <v>7880</v>
      </c>
      <c r="C26" s="26" t="s">
        <v>7702</v>
      </c>
      <c r="D26" s="26" t="s">
        <v>7836</v>
      </c>
      <c r="E26" s="26" t="s">
        <v>2186</v>
      </c>
      <c r="F26" s="26" t="s">
        <v>7703</v>
      </c>
      <c r="G26" s="26" t="s">
        <v>345</v>
      </c>
      <c r="H26" s="269"/>
    </row>
    <row r="27" spans="1:9" x14ac:dyDescent="0.2">
      <c r="H27" s="269"/>
    </row>
    <row r="28" spans="1:9" x14ac:dyDescent="0.2">
      <c r="A28" s="11" t="s">
        <v>7881</v>
      </c>
      <c r="B28" s="11" t="s">
        <v>7882</v>
      </c>
      <c r="C28" s="26" t="s">
        <v>7702</v>
      </c>
      <c r="D28" s="26" t="s">
        <v>7836</v>
      </c>
      <c r="E28" s="26" t="s">
        <v>2186</v>
      </c>
      <c r="F28" s="26" t="s">
        <v>7703</v>
      </c>
      <c r="G28" s="26" t="s">
        <v>345</v>
      </c>
      <c r="H28" s="269">
        <v>41.07</v>
      </c>
    </row>
    <row r="29" spans="1:9" x14ac:dyDescent="0.2">
      <c r="A29" s="11" t="s">
        <v>7883</v>
      </c>
      <c r="B29" s="11" t="s">
        <v>7884</v>
      </c>
      <c r="C29" s="26" t="s">
        <v>7702</v>
      </c>
      <c r="D29" s="26" t="s">
        <v>7836</v>
      </c>
      <c r="E29" s="26" t="s">
        <v>2186</v>
      </c>
      <c r="F29" s="26" t="s">
        <v>7703</v>
      </c>
      <c r="G29" s="26" t="s">
        <v>345</v>
      </c>
      <c r="H29" s="269">
        <v>51.34</v>
      </c>
    </row>
    <row r="30" spans="1:9" x14ac:dyDescent="0.2">
      <c r="A30" s="11" t="s">
        <v>7885</v>
      </c>
      <c r="B30" s="11" t="s">
        <v>7886</v>
      </c>
      <c r="C30" s="26" t="s">
        <v>7702</v>
      </c>
      <c r="D30" s="26" t="s">
        <v>7836</v>
      </c>
      <c r="E30" s="26" t="s">
        <v>2186</v>
      </c>
      <c r="F30" s="26" t="s">
        <v>7703</v>
      </c>
      <c r="G30" s="26" t="s">
        <v>345</v>
      </c>
      <c r="H30" s="269">
        <v>72.400000000000006</v>
      </c>
    </row>
    <row r="31" spans="1:9" x14ac:dyDescent="0.2">
      <c r="A31" s="11" t="s">
        <v>7887</v>
      </c>
      <c r="B31" s="11" t="s">
        <v>7888</v>
      </c>
      <c r="C31" s="26" t="s">
        <v>7702</v>
      </c>
      <c r="D31" s="26" t="s">
        <v>7836</v>
      </c>
      <c r="E31" s="26" t="s">
        <v>2186</v>
      </c>
      <c r="F31" s="26" t="s">
        <v>7703</v>
      </c>
      <c r="G31" s="26" t="s">
        <v>345</v>
      </c>
      <c r="H31" s="269">
        <v>81.459999999999994</v>
      </c>
    </row>
    <row r="32" spans="1:9" x14ac:dyDescent="0.2">
      <c r="A32" s="11" t="s">
        <v>7889</v>
      </c>
      <c r="B32" s="11" t="s">
        <v>7890</v>
      </c>
      <c r="C32" s="26" t="s">
        <v>7702</v>
      </c>
      <c r="D32" s="26" t="s">
        <v>7836</v>
      </c>
      <c r="E32" s="26" t="s">
        <v>2186</v>
      </c>
      <c r="F32" s="26" t="s">
        <v>7703</v>
      </c>
      <c r="G32" s="26" t="s">
        <v>345</v>
      </c>
      <c r="H32" s="269">
        <v>126.22</v>
      </c>
    </row>
    <row r="33" spans="1:8" x14ac:dyDescent="0.2">
      <c r="A33" s="11" t="s">
        <v>7891</v>
      </c>
      <c r="B33" s="11" t="s">
        <v>7892</v>
      </c>
      <c r="C33" s="26" t="s">
        <v>7702</v>
      </c>
      <c r="D33" s="26" t="s">
        <v>7836</v>
      </c>
      <c r="E33" s="26" t="s">
        <v>2186</v>
      </c>
      <c r="F33" s="26" t="s">
        <v>7703</v>
      </c>
      <c r="G33" s="26" t="s">
        <v>345</v>
      </c>
      <c r="H33" s="269">
        <v>123.2</v>
      </c>
    </row>
    <row r="34" spans="1:8" x14ac:dyDescent="0.2">
      <c r="A34" s="11" t="s">
        <v>7893</v>
      </c>
      <c r="B34" s="11" t="s">
        <v>7894</v>
      </c>
      <c r="C34" s="26" t="s">
        <v>7702</v>
      </c>
      <c r="D34" s="26" t="s">
        <v>7836</v>
      </c>
      <c r="E34" s="26" t="s">
        <v>2186</v>
      </c>
      <c r="F34" s="26" t="s">
        <v>7703</v>
      </c>
      <c r="G34" s="26" t="s">
        <v>345</v>
      </c>
      <c r="H34" s="269">
        <v>174.84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FE19F-C867-2D4E-87AA-4D3AB78C69BF}">
  <dimension ref="A1:O174"/>
  <sheetViews>
    <sheetView zoomScale="160" zoomScaleNormal="160" workbookViewId="0">
      <selection activeCell="C15" sqref="C15"/>
    </sheetView>
  </sheetViews>
  <sheetFormatPr baseColWidth="10" defaultColWidth="27.42578125" defaultRowHeight="16" x14ac:dyDescent="0.2"/>
  <cols>
    <col min="1" max="1" width="27.42578125" style="562"/>
    <col min="2" max="2" width="9.42578125" style="584" customWidth="1"/>
    <col min="3" max="3" width="28.85546875" style="562" customWidth="1"/>
    <col min="4" max="4" width="8.7109375" style="562" customWidth="1"/>
    <col min="5" max="5" width="8.28515625" style="584" customWidth="1"/>
    <col min="6" max="6" width="8.140625" style="584" customWidth="1"/>
    <col min="7" max="7" width="8.42578125" style="584" customWidth="1"/>
    <col min="8" max="8" width="8.5703125" style="562" customWidth="1"/>
    <col min="9" max="9" width="10.42578125" style="562" customWidth="1"/>
    <col min="10" max="10" width="9.140625" style="562" customWidth="1"/>
    <col min="11" max="11" width="8.42578125" style="601" customWidth="1"/>
    <col min="12" max="12" width="8.7109375" style="562" customWidth="1"/>
    <col min="13" max="14" width="8.42578125" style="562" customWidth="1"/>
    <col min="15" max="15" width="7.85546875" style="562" customWidth="1"/>
    <col min="16" max="16384" width="27.42578125" style="562"/>
  </cols>
  <sheetData>
    <row r="1" spans="1:15" x14ac:dyDescent="0.2">
      <c r="A1" s="561" t="s">
        <v>6047</v>
      </c>
      <c r="B1" s="583"/>
      <c r="C1" s="561" t="s">
        <v>4</v>
      </c>
      <c r="D1" s="561"/>
      <c r="E1" s="583" t="s">
        <v>6</v>
      </c>
      <c r="G1" s="583" t="s">
        <v>7895</v>
      </c>
      <c r="H1" s="561"/>
      <c r="I1" s="561" t="s">
        <v>7896</v>
      </c>
      <c r="K1" s="1231"/>
    </row>
    <row r="2" spans="1:15" x14ac:dyDescent="0.2">
      <c r="A2" s="561"/>
      <c r="B2" s="583"/>
      <c r="C2" s="561"/>
      <c r="D2" s="561"/>
      <c r="E2" s="583"/>
      <c r="F2" s="583"/>
      <c r="G2" s="583"/>
      <c r="H2" s="561"/>
      <c r="I2" s="561"/>
      <c r="K2" s="1231"/>
    </row>
    <row r="3" spans="1:15" x14ac:dyDescent="0.2">
      <c r="A3" s="561"/>
      <c r="B3" s="583"/>
      <c r="C3" s="561"/>
      <c r="D3" s="561"/>
      <c r="E3" s="583"/>
      <c r="F3" s="583"/>
      <c r="G3" s="583"/>
      <c r="H3" s="561"/>
      <c r="I3" s="561"/>
      <c r="K3" s="1231"/>
    </row>
    <row r="4" spans="1:15" x14ac:dyDescent="0.2">
      <c r="A4" s="561"/>
      <c r="B4" s="583"/>
      <c r="C4" s="561"/>
      <c r="D4" s="561"/>
      <c r="E4" s="583"/>
      <c r="F4" s="583"/>
      <c r="G4" s="583"/>
      <c r="H4" s="561"/>
      <c r="I4" s="561"/>
      <c r="K4" s="1231"/>
    </row>
    <row r="5" spans="1:15" x14ac:dyDescent="0.2">
      <c r="A5" s="563" t="s">
        <v>7897</v>
      </c>
      <c r="B5" s="591">
        <v>1.75</v>
      </c>
      <c r="C5" s="561"/>
      <c r="D5" s="561"/>
      <c r="E5" s="583"/>
      <c r="F5" s="583"/>
      <c r="G5" s="583"/>
      <c r="H5" s="561"/>
      <c r="I5" s="561"/>
      <c r="K5" s="1231"/>
    </row>
    <row r="6" spans="1:15" x14ac:dyDescent="0.2">
      <c r="A6" s="564" t="s">
        <v>7898</v>
      </c>
      <c r="B6" s="592"/>
      <c r="C6" s="565"/>
      <c r="D6" s="565"/>
      <c r="E6" s="585"/>
      <c r="F6" s="585"/>
      <c r="G6" s="585"/>
      <c r="H6" s="565"/>
      <c r="I6" s="565"/>
      <c r="J6" s="565"/>
      <c r="K6" s="1231"/>
    </row>
    <row r="7" spans="1:15" x14ac:dyDescent="0.2">
      <c r="A7" s="566" t="s">
        <v>7899</v>
      </c>
      <c r="B7" s="593" t="s">
        <v>7900</v>
      </c>
      <c r="C7" s="567"/>
      <c r="D7" s="567" t="s">
        <v>7901</v>
      </c>
      <c r="E7" s="586"/>
      <c r="F7" s="586"/>
      <c r="G7" s="586"/>
      <c r="H7" s="567" t="s">
        <v>7608</v>
      </c>
      <c r="I7" s="567" t="s">
        <v>7902</v>
      </c>
      <c r="J7" s="562" t="s">
        <v>7903</v>
      </c>
      <c r="K7" s="1231" t="s">
        <v>7904</v>
      </c>
      <c r="L7" s="562" t="s">
        <v>7905</v>
      </c>
      <c r="M7" s="562" t="s">
        <v>7906</v>
      </c>
      <c r="N7" s="562" t="s">
        <v>7907</v>
      </c>
    </row>
    <row r="8" spans="1:15" x14ac:dyDescent="0.2">
      <c r="A8" s="1232" t="s">
        <v>7908</v>
      </c>
      <c r="B8" s="587">
        <v>1</v>
      </c>
      <c r="C8" s="568" t="s">
        <v>7909</v>
      </c>
      <c r="D8" s="597">
        <f>K8*$N$8</f>
        <v>53.905187563548161</v>
      </c>
      <c r="E8" s="587" t="s">
        <v>500</v>
      </c>
      <c r="F8" s="587">
        <v>16</v>
      </c>
      <c r="G8" s="587">
        <v>20</v>
      </c>
      <c r="H8" s="569"/>
      <c r="I8" s="569"/>
      <c r="J8" s="570"/>
      <c r="K8" s="602">
        <v>77.47</v>
      </c>
      <c r="N8" s="600">
        <f>AVERAGE(N10:N12)</f>
        <v>0.6958201570097865</v>
      </c>
      <c r="O8" s="562" t="s">
        <v>7910</v>
      </c>
    </row>
    <row r="9" spans="1:15" x14ac:dyDescent="0.2">
      <c r="A9" s="562" t="s">
        <v>7911</v>
      </c>
      <c r="B9" s="587">
        <v>1</v>
      </c>
      <c r="C9" s="568" t="s">
        <v>7912</v>
      </c>
      <c r="D9" s="597">
        <f>K9*$N$8</f>
        <v>61.517460081235221</v>
      </c>
      <c r="E9" s="587" t="s">
        <v>4620</v>
      </c>
      <c r="F9" s="587">
        <v>20</v>
      </c>
      <c r="G9" s="587">
        <v>30</v>
      </c>
      <c r="H9" s="569"/>
      <c r="I9" s="569"/>
      <c r="J9" s="570"/>
      <c r="K9" s="602">
        <v>88.41</v>
      </c>
    </row>
    <row r="10" spans="1:15" x14ac:dyDescent="0.2">
      <c r="A10" s="1232" t="s">
        <v>7913</v>
      </c>
      <c r="B10" s="587">
        <v>1</v>
      </c>
      <c r="C10" s="568" t="s">
        <v>7914</v>
      </c>
      <c r="D10" s="569">
        <f t="shared" ref="D10:D12" si="0">H10*$B$5</f>
        <v>75.915000000000006</v>
      </c>
      <c r="E10" s="587" t="s">
        <v>1073</v>
      </c>
      <c r="F10" s="587">
        <v>24</v>
      </c>
      <c r="G10" s="587">
        <v>36</v>
      </c>
      <c r="H10" s="569">
        <v>43.38</v>
      </c>
      <c r="I10" s="569">
        <v>6.8</v>
      </c>
      <c r="J10" s="570">
        <v>7</v>
      </c>
      <c r="K10" s="1231">
        <v>105.42</v>
      </c>
      <c r="L10" s="599" t="s">
        <v>7915</v>
      </c>
      <c r="M10" s="570">
        <f>K10-D10</f>
        <v>29.504999999999995</v>
      </c>
      <c r="N10" s="582">
        <f>D10/K10</f>
        <v>0.72011952191235062</v>
      </c>
    </row>
    <row r="11" spans="1:15" x14ac:dyDescent="0.2">
      <c r="A11" s="1232" t="s">
        <v>7916</v>
      </c>
      <c r="B11" s="587">
        <v>3</v>
      </c>
      <c r="C11" s="568" t="s">
        <v>7917</v>
      </c>
      <c r="D11" s="569">
        <f t="shared" si="0"/>
        <v>98.384999999999991</v>
      </c>
      <c r="E11" s="587" t="s">
        <v>2148</v>
      </c>
      <c r="F11" s="587">
        <v>36</v>
      </c>
      <c r="G11" s="587">
        <v>48</v>
      </c>
      <c r="H11" s="569">
        <v>56.22</v>
      </c>
      <c r="I11" s="569">
        <v>9.33</v>
      </c>
      <c r="J11" s="570">
        <v>7</v>
      </c>
      <c r="K11" s="1231">
        <v>144.32</v>
      </c>
      <c r="L11" s="599" t="s">
        <v>7918</v>
      </c>
      <c r="M11" s="570">
        <f t="shared" ref="M11:M12" si="1">K11-D11</f>
        <v>45.935000000000002</v>
      </c>
      <c r="N11" s="582">
        <f t="shared" ref="N11:N12" si="2">D11/K11</f>
        <v>0.68171424611973386</v>
      </c>
    </row>
    <row r="12" spans="1:15" x14ac:dyDescent="0.2">
      <c r="A12" s="1232" t="s">
        <v>7919</v>
      </c>
      <c r="B12" s="587">
        <v>7</v>
      </c>
      <c r="C12" s="568" t="s">
        <v>7920</v>
      </c>
      <c r="D12" s="569">
        <f t="shared" si="0"/>
        <v>105.6825</v>
      </c>
      <c r="E12" s="587" t="s">
        <v>483</v>
      </c>
      <c r="F12" s="587">
        <v>40</v>
      </c>
      <c r="G12" s="587">
        <v>60</v>
      </c>
      <c r="H12" s="569">
        <v>60.39</v>
      </c>
      <c r="I12" s="569">
        <v>11.02</v>
      </c>
      <c r="J12" s="570">
        <v>7</v>
      </c>
      <c r="K12" s="1231">
        <v>154.13999999999999</v>
      </c>
      <c r="L12" s="599" t="s">
        <v>7921</v>
      </c>
      <c r="M12" s="570">
        <f t="shared" si="1"/>
        <v>48.457499999999982</v>
      </c>
      <c r="N12" s="582">
        <f t="shared" si="2"/>
        <v>0.68562670299727524</v>
      </c>
      <c r="O12" s="570">
        <f>M12*2</f>
        <v>96.914999999999964</v>
      </c>
    </row>
    <row r="13" spans="1:15" x14ac:dyDescent="0.2">
      <c r="A13" s="562" t="s">
        <v>7922</v>
      </c>
      <c r="B13" s="587">
        <v>1</v>
      </c>
      <c r="C13" s="568" t="s">
        <v>7923</v>
      </c>
      <c r="D13" s="597">
        <f t="shared" ref="D13:D26" si="3">K13*$N$8</f>
        <v>104.80443204881405</v>
      </c>
      <c r="E13" s="587" t="s">
        <v>405</v>
      </c>
      <c r="F13" s="587">
        <v>48</v>
      </c>
      <c r="G13" s="587">
        <v>48</v>
      </c>
      <c r="H13" s="569"/>
      <c r="I13" s="569"/>
      <c r="J13" s="570"/>
      <c r="K13" s="602">
        <v>150.62</v>
      </c>
    </row>
    <row r="14" spans="1:15" x14ac:dyDescent="0.2">
      <c r="A14" s="562" t="s">
        <v>7924</v>
      </c>
      <c r="B14" s="587">
        <v>2</v>
      </c>
      <c r="C14" s="568" t="s">
        <v>7925</v>
      </c>
      <c r="D14" s="597">
        <f t="shared" si="3"/>
        <v>156.16987603927649</v>
      </c>
      <c r="E14" s="587" t="s">
        <v>1048</v>
      </c>
      <c r="F14" s="587">
        <v>48</v>
      </c>
      <c r="G14" s="587">
        <v>60</v>
      </c>
      <c r="H14" s="569"/>
      <c r="I14" s="569"/>
      <c r="J14" s="570"/>
      <c r="K14" s="602">
        <v>224.44</v>
      </c>
    </row>
    <row r="15" spans="1:15" x14ac:dyDescent="0.2">
      <c r="A15" s="571" t="s">
        <v>7926</v>
      </c>
      <c r="B15" s="587"/>
      <c r="C15" s="568"/>
      <c r="D15" s="597"/>
      <c r="E15" s="587"/>
      <c r="F15" s="587"/>
      <c r="G15" s="587"/>
      <c r="H15" s="568"/>
      <c r="I15" s="568"/>
      <c r="K15" s="602"/>
    </row>
    <row r="16" spans="1:15" x14ac:dyDescent="0.2">
      <c r="A16" s="562" t="s">
        <v>7927</v>
      </c>
      <c r="B16" s="587">
        <v>3</v>
      </c>
      <c r="C16" s="568" t="s">
        <v>7928</v>
      </c>
      <c r="D16" s="597">
        <f t="shared" si="3"/>
        <v>51.435026006163419</v>
      </c>
      <c r="E16" s="587" t="s">
        <v>500</v>
      </c>
      <c r="F16" s="587">
        <v>16</v>
      </c>
      <c r="G16" s="587">
        <v>20</v>
      </c>
      <c r="H16" s="569"/>
      <c r="I16" s="570"/>
      <c r="J16" s="570"/>
      <c r="K16" s="602">
        <v>73.92</v>
      </c>
    </row>
    <row r="17" spans="1:15" x14ac:dyDescent="0.2">
      <c r="A17" s="562" t="s">
        <v>7929</v>
      </c>
      <c r="B17" s="587">
        <v>1</v>
      </c>
      <c r="C17" s="568" t="s">
        <v>7928</v>
      </c>
      <c r="D17" s="597">
        <f t="shared" si="3"/>
        <v>55.665612560782918</v>
      </c>
      <c r="E17" s="587" t="s">
        <v>4620</v>
      </c>
      <c r="F17" s="587">
        <v>20</v>
      </c>
      <c r="G17" s="587">
        <v>30</v>
      </c>
      <c r="H17" s="569"/>
      <c r="I17" s="570"/>
      <c r="J17" s="570"/>
      <c r="K17" s="602">
        <v>80</v>
      </c>
    </row>
    <row r="18" spans="1:15" x14ac:dyDescent="0.2">
      <c r="A18" s="562" t="s">
        <v>7930</v>
      </c>
      <c r="B18" s="587">
        <v>1</v>
      </c>
      <c r="C18" s="568" t="s">
        <v>7928</v>
      </c>
      <c r="D18" s="597">
        <f t="shared" si="3"/>
        <v>70.187379237577161</v>
      </c>
      <c r="E18" s="587" t="s">
        <v>1073</v>
      </c>
      <c r="F18" s="587">
        <v>24</v>
      </c>
      <c r="G18" s="587">
        <v>36</v>
      </c>
      <c r="H18" s="569"/>
      <c r="I18" s="570"/>
      <c r="J18" s="570"/>
      <c r="K18" s="602">
        <v>100.87</v>
      </c>
    </row>
    <row r="19" spans="1:15" x14ac:dyDescent="0.2">
      <c r="A19" s="562" t="s">
        <v>7931</v>
      </c>
      <c r="B19" s="587">
        <v>2</v>
      </c>
      <c r="C19" s="568" t="s">
        <v>7928</v>
      </c>
      <c r="D19" s="597">
        <f t="shared" si="3"/>
        <v>96.245844117593663</v>
      </c>
      <c r="E19" s="587" t="s">
        <v>2148</v>
      </c>
      <c r="F19" s="587">
        <v>36</v>
      </c>
      <c r="G19" s="587">
        <v>48</v>
      </c>
      <c r="H19" s="569"/>
      <c r="I19" s="570"/>
      <c r="J19" s="570"/>
      <c r="K19" s="602">
        <v>138.32</v>
      </c>
    </row>
    <row r="20" spans="1:15" x14ac:dyDescent="0.2">
      <c r="A20" s="562" t="s">
        <v>7932</v>
      </c>
      <c r="B20" s="587">
        <v>1</v>
      </c>
      <c r="C20" s="568" t="s">
        <v>7928</v>
      </c>
      <c r="D20" s="597">
        <f t="shared" si="3"/>
        <v>143.76340263979199</v>
      </c>
      <c r="E20" s="587" t="s">
        <v>483</v>
      </c>
      <c r="F20" s="587">
        <v>40</v>
      </c>
      <c r="G20" s="587">
        <v>60</v>
      </c>
      <c r="H20" s="569"/>
      <c r="I20" s="570"/>
      <c r="J20" s="570"/>
      <c r="K20" s="602">
        <v>206.61</v>
      </c>
    </row>
    <row r="21" spans="1:15" x14ac:dyDescent="0.2">
      <c r="A21" s="562" t="s">
        <v>7933</v>
      </c>
      <c r="B21" s="587">
        <v>1</v>
      </c>
      <c r="C21" s="568" t="s">
        <v>7928</v>
      </c>
      <c r="D21" s="597">
        <f t="shared" si="3"/>
        <v>99.961523756025926</v>
      </c>
      <c r="E21" s="587" t="s">
        <v>405</v>
      </c>
      <c r="F21" s="587">
        <v>48</v>
      </c>
      <c r="G21" s="587">
        <v>48</v>
      </c>
      <c r="H21" s="569"/>
      <c r="I21" s="570"/>
      <c r="J21" s="570"/>
      <c r="K21" s="602">
        <v>143.66</v>
      </c>
    </row>
    <row r="22" spans="1:15" x14ac:dyDescent="0.2">
      <c r="A22" s="562" t="s">
        <v>7934</v>
      </c>
      <c r="B22" s="587">
        <v>2</v>
      </c>
      <c r="C22" s="568" t="s">
        <v>7928</v>
      </c>
      <c r="D22" s="597">
        <f t="shared" si="3"/>
        <v>150.73552061303005</v>
      </c>
      <c r="E22" s="587" t="s">
        <v>1048</v>
      </c>
      <c r="F22" s="587">
        <v>48</v>
      </c>
      <c r="G22" s="587">
        <v>60</v>
      </c>
      <c r="H22" s="569"/>
      <c r="I22" s="570"/>
      <c r="J22" s="570"/>
      <c r="K22" s="602">
        <v>216.63</v>
      </c>
    </row>
    <row r="23" spans="1:15" x14ac:dyDescent="0.2">
      <c r="A23" s="572" t="s">
        <v>7935</v>
      </c>
      <c r="D23" s="598"/>
      <c r="K23" s="602"/>
    </row>
    <row r="24" spans="1:15" x14ac:dyDescent="0.2">
      <c r="A24" s="562" t="s">
        <v>7936</v>
      </c>
      <c r="B24" s="587">
        <v>1</v>
      </c>
      <c r="C24" s="568" t="s">
        <v>7937</v>
      </c>
      <c r="D24" s="597">
        <f t="shared" si="3"/>
        <v>53.905187563548161</v>
      </c>
      <c r="E24" s="587" t="s">
        <v>500</v>
      </c>
      <c r="F24" s="587">
        <v>16</v>
      </c>
      <c r="G24" s="587">
        <v>20</v>
      </c>
      <c r="H24" s="569"/>
      <c r="I24" s="570"/>
      <c r="J24" s="570"/>
      <c r="K24" s="602">
        <v>77.47</v>
      </c>
    </row>
    <row r="25" spans="1:15" x14ac:dyDescent="0.2">
      <c r="A25" s="562" t="s">
        <v>7938</v>
      </c>
      <c r="B25" s="587">
        <v>1</v>
      </c>
      <c r="C25" s="568" t="s">
        <v>7937</v>
      </c>
      <c r="D25" s="597">
        <f t="shared" si="3"/>
        <v>61.517460081235221</v>
      </c>
      <c r="E25" s="587" t="s">
        <v>4620</v>
      </c>
      <c r="F25" s="587">
        <v>20</v>
      </c>
      <c r="G25" s="587">
        <v>30</v>
      </c>
      <c r="H25" s="569"/>
      <c r="I25" s="570"/>
      <c r="J25" s="570"/>
      <c r="K25" s="602">
        <v>88.41</v>
      </c>
    </row>
    <row r="26" spans="1:15" x14ac:dyDescent="0.2">
      <c r="A26" s="562" t="s">
        <v>7939</v>
      </c>
      <c r="B26" s="587">
        <v>1</v>
      </c>
      <c r="C26" s="568" t="s">
        <v>7937</v>
      </c>
      <c r="D26" s="597">
        <f t="shared" si="3"/>
        <v>73.353360951971695</v>
      </c>
      <c r="E26" s="587" t="s">
        <v>1073</v>
      </c>
      <c r="F26" s="587">
        <v>24</v>
      </c>
      <c r="G26" s="587">
        <v>36</v>
      </c>
      <c r="H26" s="569"/>
      <c r="I26" s="570"/>
      <c r="J26" s="570"/>
      <c r="K26" s="602">
        <v>105.42</v>
      </c>
    </row>
    <row r="28" spans="1:15" x14ac:dyDescent="0.2">
      <c r="A28" s="95" t="s">
        <v>7940</v>
      </c>
      <c r="B28" s="46">
        <f>B$5</f>
        <v>1.75</v>
      </c>
      <c r="C28" s="573"/>
      <c r="D28" s="573"/>
      <c r="E28" s="588"/>
      <c r="F28" s="588"/>
      <c r="G28" s="588"/>
      <c r="H28" s="573"/>
      <c r="I28" s="573"/>
      <c r="J28"/>
      <c r="K28" s="603"/>
      <c r="L28"/>
      <c r="M28"/>
    </row>
    <row r="29" spans="1:15" x14ac:dyDescent="0.2">
      <c r="A29" s="574" t="s">
        <v>7941</v>
      </c>
      <c r="B29" s="594"/>
      <c r="C29" s="575"/>
      <c r="D29" s="575"/>
      <c r="E29" s="589"/>
      <c r="F29" s="589"/>
      <c r="G29" s="589"/>
      <c r="H29" s="575"/>
      <c r="I29" s="575"/>
      <c r="J29" s="575"/>
      <c r="K29" s="603" t="s">
        <v>7942</v>
      </c>
      <c r="L29" t="s">
        <v>7943</v>
      </c>
      <c r="M29"/>
    </row>
    <row r="30" spans="1:15" x14ac:dyDescent="0.2">
      <c r="A30" s="576"/>
      <c r="B30" s="595" t="s">
        <v>7900</v>
      </c>
      <c r="C30" s="577"/>
      <c r="D30" s="577" t="s">
        <v>7901</v>
      </c>
      <c r="E30" s="590"/>
      <c r="F30" s="590"/>
      <c r="G30" s="590"/>
      <c r="H30" s="577" t="s">
        <v>7608</v>
      </c>
      <c r="I30" s="577" t="s">
        <v>7944</v>
      </c>
      <c r="J30" t="s">
        <v>7903</v>
      </c>
      <c r="K30" s="603"/>
      <c r="L30"/>
      <c r="M30"/>
      <c r="N30" s="600">
        <f>AVERAGE(N34:N35)</f>
        <v>0.67099265090490634</v>
      </c>
      <c r="O30" s="562" t="s">
        <v>7910</v>
      </c>
    </row>
    <row r="31" spans="1:15" x14ac:dyDescent="0.2">
      <c r="A31" s="113" t="s">
        <v>7945</v>
      </c>
      <c r="B31" s="103">
        <v>1</v>
      </c>
      <c r="C31" s="113" t="s">
        <v>7946</v>
      </c>
      <c r="D31" s="118">
        <f>K31*$N$30</f>
        <v>39.669085521498062</v>
      </c>
      <c r="E31" s="103" t="s">
        <v>7947</v>
      </c>
      <c r="F31" s="103">
        <v>12</v>
      </c>
      <c r="G31" s="103">
        <v>12</v>
      </c>
      <c r="H31" s="120"/>
      <c r="I31" s="120"/>
      <c r="J31" s="262"/>
      <c r="K31" s="602">
        <v>59.12</v>
      </c>
      <c r="L31"/>
      <c r="M31"/>
    </row>
    <row r="32" spans="1:15" x14ac:dyDescent="0.2">
      <c r="A32" s="113" t="s">
        <v>7948</v>
      </c>
      <c r="B32" s="103">
        <v>8</v>
      </c>
      <c r="C32" s="113" t="s">
        <v>7949</v>
      </c>
      <c r="D32" s="118">
        <f t="shared" ref="D32:D33" si="4">K32*$N$30</f>
        <v>46.546760193273357</v>
      </c>
      <c r="E32" s="103" t="s">
        <v>500</v>
      </c>
      <c r="F32" s="103">
        <v>16</v>
      </c>
      <c r="G32" s="103">
        <v>20</v>
      </c>
      <c r="H32" s="120"/>
      <c r="I32" s="120"/>
      <c r="J32" s="262"/>
      <c r="K32" s="602">
        <v>69.37</v>
      </c>
      <c r="L32"/>
      <c r="M32"/>
    </row>
    <row r="33" spans="1:14" x14ac:dyDescent="0.2">
      <c r="A33" s="113" t="s">
        <v>7950</v>
      </c>
      <c r="B33" s="103">
        <v>1</v>
      </c>
      <c r="C33" s="113" t="s">
        <v>7949</v>
      </c>
      <c r="D33" s="118">
        <f t="shared" si="4"/>
        <v>58.785666145778848</v>
      </c>
      <c r="E33" s="103" t="s">
        <v>4620</v>
      </c>
      <c r="F33" s="103">
        <v>20</v>
      </c>
      <c r="G33" s="103">
        <v>30</v>
      </c>
      <c r="H33" s="120"/>
      <c r="I33" s="120"/>
      <c r="J33" s="262"/>
      <c r="K33" s="602">
        <v>87.61</v>
      </c>
      <c r="L33"/>
      <c r="M33"/>
    </row>
    <row r="34" spans="1:14" x14ac:dyDescent="0.2">
      <c r="A34" s="113" t="s">
        <v>7951</v>
      </c>
      <c r="B34" s="103">
        <v>7</v>
      </c>
      <c r="C34" s="113" t="s">
        <v>7949</v>
      </c>
      <c r="D34" s="120">
        <f>H34*$B$5</f>
        <v>66.902499999999989</v>
      </c>
      <c r="E34" s="103" t="s">
        <v>1073</v>
      </c>
      <c r="F34" s="103">
        <v>24</v>
      </c>
      <c r="G34" s="103">
        <v>36</v>
      </c>
      <c r="H34" s="120">
        <v>38.229999999999997</v>
      </c>
      <c r="I34" s="120">
        <v>15.36</v>
      </c>
      <c r="J34" s="120">
        <v>7</v>
      </c>
      <c r="K34" s="604">
        <v>101.64</v>
      </c>
      <c r="L34" s="578" t="s">
        <v>7952</v>
      </c>
      <c r="M34" s="262">
        <f>K34-D34</f>
        <v>34.737500000000011</v>
      </c>
      <c r="N34" s="1233">
        <f>D34/K34</f>
        <v>0.65823002754820925</v>
      </c>
    </row>
    <row r="35" spans="1:14" x14ac:dyDescent="0.2">
      <c r="A35" s="113" t="s">
        <v>7953</v>
      </c>
      <c r="B35" s="103">
        <v>3</v>
      </c>
      <c r="C35" s="113" t="s">
        <v>7949</v>
      </c>
      <c r="D35" s="120">
        <f>H35*$B$5</f>
        <v>121.53750000000001</v>
      </c>
      <c r="E35" s="103" t="s">
        <v>483</v>
      </c>
      <c r="F35" s="103">
        <v>40</v>
      </c>
      <c r="G35" s="103">
        <v>60</v>
      </c>
      <c r="H35" s="120">
        <v>69.45</v>
      </c>
      <c r="I35" s="120">
        <v>33.65</v>
      </c>
      <c r="J35" s="120">
        <v>7</v>
      </c>
      <c r="K35" s="604">
        <v>177.75</v>
      </c>
      <c r="L35" s="578" t="s">
        <v>7954</v>
      </c>
      <c r="M35" s="262">
        <f>K35-D35</f>
        <v>56.212499999999991</v>
      </c>
      <c r="N35" s="1233">
        <f>D35/K35</f>
        <v>0.68375527426160343</v>
      </c>
    </row>
    <row r="36" spans="1:14" x14ac:dyDescent="0.2">
      <c r="A36" s="113"/>
      <c r="B36" s="103"/>
      <c r="C36" s="113"/>
      <c r="D36" s="113"/>
      <c r="E36" s="103"/>
      <c r="F36" s="103"/>
      <c r="G36" s="103"/>
      <c r="H36" s="113"/>
      <c r="I36" s="113"/>
      <c r="J36"/>
      <c r="K36" s="603"/>
      <c r="L36"/>
      <c r="M36"/>
    </row>
    <row r="37" spans="1:14" x14ac:dyDescent="0.2">
      <c r="A37" s="95" t="s">
        <v>7955</v>
      </c>
      <c r="B37" s="46">
        <f>B$5</f>
        <v>1.75</v>
      </c>
      <c r="C37" s="573"/>
      <c r="D37" s="573"/>
      <c r="E37" s="588"/>
      <c r="F37" s="588"/>
      <c r="G37" s="588"/>
      <c r="H37" s="573"/>
      <c r="I37" s="573"/>
      <c r="J37" s="573"/>
      <c r="K37" s="603"/>
      <c r="L37"/>
      <c r="M37"/>
    </row>
    <row r="38" spans="1:14" x14ac:dyDescent="0.2">
      <c r="A38" s="574" t="s">
        <v>7956</v>
      </c>
      <c r="B38" s="594"/>
      <c r="C38" s="575"/>
      <c r="D38" s="575"/>
      <c r="E38" s="589"/>
      <c r="F38" s="589"/>
      <c r="G38" s="589"/>
      <c r="H38" s="575"/>
      <c r="I38" s="575"/>
      <c r="J38" s="575"/>
      <c r="K38" s="603"/>
      <c r="L38"/>
      <c r="M38"/>
    </row>
    <row r="39" spans="1:14" x14ac:dyDescent="0.2">
      <c r="A39" s="576"/>
      <c r="B39" s="595" t="s">
        <v>7900</v>
      </c>
      <c r="C39" s="577"/>
      <c r="D39" s="577" t="s">
        <v>7901</v>
      </c>
      <c r="E39" s="590"/>
      <c r="F39" s="590"/>
      <c r="G39" s="590"/>
      <c r="H39" s="577" t="s">
        <v>7608</v>
      </c>
      <c r="I39" s="577"/>
      <c r="J39" s="577"/>
      <c r="K39" s="603"/>
      <c r="L39"/>
      <c r="M39"/>
    </row>
    <row r="40" spans="1:14" s="611" customFormat="1" x14ac:dyDescent="0.2">
      <c r="A40" s="577" t="s">
        <v>7595</v>
      </c>
      <c r="B40" s="590"/>
      <c r="C40" s="113" t="s">
        <v>7956</v>
      </c>
      <c r="D40" s="612">
        <v>75</v>
      </c>
      <c r="E40" s="590" t="s">
        <v>519</v>
      </c>
      <c r="F40" s="590">
        <v>16</v>
      </c>
      <c r="G40" s="590">
        <v>20</v>
      </c>
      <c r="H40" s="577"/>
      <c r="I40" s="577"/>
      <c r="J40" s="577"/>
      <c r="K40" s="610"/>
      <c r="L40" s="50"/>
      <c r="M40" s="50"/>
      <c r="N40" s="1232"/>
    </row>
    <row r="41" spans="1:14" x14ac:dyDescent="0.2">
      <c r="A41" s="113" t="s">
        <v>7603</v>
      </c>
      <c r="B41" s="103">
        <v>1</v>
      </c>
      <c r="C41" s="113" t="s">
        <v>7956</v>
      </c>
      <c r="D41" s="120">
        <f>H41*$B$5</f>
        <v>83.457499999999996</v>
      </c>
      <c r="E41" s="103" t="s">
        <v>4620</v>
      </c>
      <c r="F41" s="103">
        <v>20</v>
      </c>
      <c r="G41" s="103">
        <v>30</v>
      </c>
      <c r="H41" s="120">
        <v>47.69</v>
      </c>
      <c r="I41" s="120"/>
      <c r="J41" s="120"/>
      <c r="K41" s="603"/>
      <c r="L41"/>
      <c r="M41"/>
    </row>
    <row r="42" spans="1:14" x14ac:dyDescent="0.2">
      <c r="A42" s="113" t="s">
        <v>7957</v>
      </c>
      <c r="B42" s="103">
        <v>8</v>
      </c>
      <c r="C42" s="113" t="s">
        <v>7956</v>
      </c>
      <c r="D42" s="120">
        <f t="shared" ref="D42:D43" si="5">H42*$B$5</f>
        <v>102.0425</v>
      </c>
      <c r="E42" s="103" t="s">
        <v>1026</v>
      </c>
      <c r="F42" s="103">
        <v>30</v>
      </c>
      <c r="G42" s="103">
        <v>40</v>
      </c>
      <c r="H42" s="120">
        <v>58.31</v>
      </c>
      <c r="I42" s="120"/>
      <c r="J42" s="120"/>
      <c r="K42" s="603"/>
      <c r="L42"/>
      <c r="M42"/>
    </row>
    <row r="43" spans="1:14" x14ac:dyDescent="0.2">
      <c r="A43" s="113" t="s">
        <v>7958</v>
      </c>
      <c r="B43" s="103">
        <v>1</v>
      </c>
      <c r="C43" s="113" t="s">
        <v>7956</v>
      </c>
      <c r="D43" s="120">
        <f t="shared" si="5"/>
        <v>282.7475</v>
      </c>
      <c r="E43" s="103" t="s">
        <v>942</v>
      </c>
      <c r="F43" s="103">
        <v>72</v>
      </c>
      <c r="G43" s="103">
        <v>72</v>
      </c>
      <c r="H43" s="120">
        <v>161.57</v>
      </c>
      <c r="I43" s="120"/>
      <c r="J43" s="120"/>
      <c r="K43" s="603"/>
      <c r="L43"/>
      <c r="M43"/>
    </row>
    <row r="44" spans="1:14" x14ac:dyDescent="0.2">
      <c r="A44"/>
      <c r="B44" s="537"/>
      <c r="C44"/>
      <c r="D44"/>
      <c r="E44" s="537"/>
      <c r="F44" s="537"/>
      <c r="G44" s="537"/>
      <c r="H44"/>
      <c r="I44"/>
      <c r="J44"/>
      <c r="K44" s="603"/>
      <c r="L44"/>
      <c r="M44"/>
    </row>
    <row r="45" spans="1:14" x14ac:dyDescent="0.2">
      <c r="A45" s="95" t="s">
        <v>7897</v>
      </c>
      <c r="B45" s="46">
        <f>B$5</f>
        <v>1.75</v>
      </c>
      <c r="C45" s="573"/>
      <c r="D45" s="573"/>
      <c r="E45" s="588"/>
      <c r="F45" s="588"/>
      <c r="G45" s="588"/>
      <c r="H45" s="573"/>
      <c r="I45" s="573"/>
      <c r="J45" s="573"/>
      <c r="K45" s="603"/>
      <c r="L45"/>
      <c r="M45"/>
    </row>
    <row r="46" spans="1:14" x14ac:dyDescent="0.2">
      <c r="A46" s="574" t="s">
        <v>3241</v>
      </c>
      <c r="B46" s="594"/>
      <c r="C46" s="575"/>
      <c r="D46" s="575"/>
      <c r="E46" s="589"/>
      <c r="F46" s="589"/>
      <c r="G46" s="589"/>
      <c r="H46" s="575"/>
      <c r="I46" s="575"/>
      <c r="J46" s="575"/>
      <c r="K46" s="603"/>
      <c r="L46"/>
      <c r="M46"/>
    </row>
    <row r="47" spans="1:14" x14ac:dyDescent="0.2">
      <c r="A47" s="576"/>
      <c r="B47" s="595" t="s">
        <v>7900</v>
      </c>
      <c r="C47" s="577"/>
      <c r="D47" s="577" t="s">
        <v>7901</v>
      </c>
      <c r="E47" s="590"/>
      <c r="F47" s="590"/>
      <c r="G47" s="590"/>
      <c r="H47" s="577" t="s">
        <v>7608</v>
      </c>
      <c r="I47" s="577"/>
      <c r="J47" s="577"/>
      <c r="K47" s="603"/>
      <c r="L47"/>
      <c r="M47"/>
    </row>
    <row r="48" spans="1:14" x14ac:dyDescent="0.2">
      <c r="A48" s="113" t="s">
        <v>7959</v>
      </c>
      <c r="B48" s="103">
        <v>1</v>
      </c>
      <c r="C48" s="113" t="s">
        <v>7960</v>
      </c>
      <c r="D48" s="120">
        <f>H48*$B$5</f>
        <v>72.52</v>
      </c>
      <c r="E48" s="103" t="s">
        <v>500</v>
      </c>
      <c r="F48" s="103">
        <v>16</v>
      </c>
      <c r="G48" s="103">
        <v>20</v>
      </c>
      <c r="H48" s="120">
        <v>41.44</v>
      </c>
      <c r="I48" s="120">
        <f>D48*2</f>
        <v>145.04</v>
      </c>
      <c r="J48" s="120">
        <f>I48/0.35</f>
        <v>414.4</v>
      </c>
      <c r="K48" s="603"/>
      <c r="L48"/>
      <c r="M48"/>
    </row>
    <row r="49" spans="1:10" x14ac:dyDescent="0.2">
      <c r="A49" s="113" t="s">
        <v>7961</v>
      </c>
      <c r="B49" s="103">
        <v>1</v>
      </c>
      <c r="C49" s="113" t="s">
        <v>3241</v>
      </c>
      <c r="D49" s="120">
        <f>H49*$B$5</f>
        <v>94.5</v>
      </c>
      <c r="E49" s="103" t="s">
        <v>1073</v>
      </c>
      <c r="F49" s="103">
        <v>24</v>
      </c>
      <c r="G49" s="103">
        <v>36</v>
      </c>
      <c r="H49" s="120">
        <v>54</v>
      </c>
      <c r="I49" s="120"/>
      <c r="J49" s="120"/>
    </row>
    <row r="50" spans="1:10" x14ac:dyDescent="0.2">
      <c r="A50" s="113"/>
      <c r="B50" s="103"/>
      <c r="C50" s="113"/>
      <c r="D50" s="120"/>
      <c r="E50" s="103"/>
      <c r="F50" s="103"/>
      <c r="G50" s="103"/>
      <c r="H50" s="120"/>
      <c r="I50" s="120"/>
      <c r="J50" s="120"/>
    </row>
    <row r="51" spans="1:10" x14ac:dyDescent="0.2">
      <c r="A51" s="113"/>
      <c r="B51" s="103"/>
      <c r="C51" s="113"/>
      <c r="D51" s="113"/>
      <c r="E51" s="103"/>
      <c r="F51" s="103"/>
      <c r="G51" s="103"/>
      <c r="H51" s="113"/>
      <c r="I51" s="113"/>
      <c r="J51" s="113"/>
    </row>
    <row r="52" spans="1:10" x14ac:dyDescent="0.2">
      <c r="A52" s="574" t="s">
        <v>7962</v>
      </c>
      <c r="B52" s="594"/>
      <c r="C52" s="575"/>
      <c r="D52" s="575"/>
      <c r="E52" s="589"/>
      <c r="F52" s="589"/>
      <c r="G52" s="589"/>
      <c r="H52" s="575"/>
      <c r="I52" s="575"/>
      <c r="J52" s="575"/>
    </row>
    <row r="53" spans="1:10" x14ac:dyDescent="0.2">
      <c r="A53" s="576"/>
      <c r="B53" s="595" t="s">
        <v>7900</v>
      </c>
      <c r="C53" s="577"/>
      <c r="D53" s="577" t="s">
        <v>7901</v>
      </c>
      <c r="E53" s="590"/>
      <c r="F53" s="590"/>
      <c r="G53" s="590"/>
      <c r="H53" s="577"/>
      <c r="I53" s="577"/>
      <c r="J53" s="577"/>
    </row>
    <row r="54" spans="1:10" x14ac:dyDescent="0.2">
      <c r="A54" s="577" t="s">
        <v>6412</v>
      </c>
      <c r="B54" s="103">
        <v>3</v>
      </c>
      <c r="C54" s="577" t="s">
        <v>6413</v>
      </c>
      <c r="D54" s="581">
        <v>93.4</v>
      </c>
      <c r="E54" s="103" t="s">
        <v>500</v>
      </c>
      <c r="F54" s="103">
        <v>16</v>
      </c>
      <c r="G54" s="103">
        <v>20</v>
      </c>
      <c r="H54" s="113"/>
      <c r="I54" s="113" t="s">
        <v>7963</v>
      </c>
      <c r="J54" s="113">
        <v>4.1500000000000004</v>
      </c>
    </row>
    <row r="130" spans="1:3" x14ac:dyDescent="0.2">
      <c r="A130" s="579" t="s">
        <v>7964</v>
      </c>
      <c r="B130" s="596"/>
      <c r="C130" s="580"/>
    </row>
    <row r="131" spans="1:3" x14ac:dyDescent="0.2">
      <c r="A131" s="562" t="s">
        <v>7965</v>
      </c>
    </row>
    <row r="132" spans="1:3" x14ac:dyDescent="0.2">
      <c r="A132" s="562" t="s">
        <v>7966</v>
      </c>
    </row>
    <row r="133" spans="1:3" x14ac:dyDescent="0.2">
      <c r="A133" s="562" t="s">
        <v>7967</v>
      </c>
    </row>
    <row r="134" spans="1:3" x14ac:dyDescent="0.2">
      <c r="A134" s="562" t="s">
        <v>7968</v>
      </c>
    </row>
    <row r="135" spans="1:3" x14ac:dyDescent="0.2">
      <c r="A135" s="562" t="s">
        <v>7969</v>
      </c>
    </row>
    <row r="136" spans="1:3" x14ac:dyDescent="0.2">
      <c r="A136" s="562" t="s">
        <v>7970</v>
      </c>
    </row>
    <row r="138" spans="1:3" x14ac:dyDescent="0.2">
      <c r="A138" s="562" t="s">
        <v>7971</v>
      </c>
    </row>
    <row r="139" spans="1:3" x14ac:dyDescent="0.2">
      <c r="A139" s="562" t="s">
        <v>7972</v>
      </c>
      <c r="C139" s="562">
        <v>0.5</v>
      </c>
    </row>
    <row r="141" spans="1:3" x14ac:dyDescent="0.2">
      <c r="A141" s="562" t="s">
        <v>7973</v>
      </c>
      <c r="C141" s="562">
        <v>1</v>
      </c>
    </row>
    <row r="143" spans="1:3" x14ac:dyDescent="0.2">
      <c r="A143" s="562" t="s">
        <v>7974</v>
      </c>
    </row>
    <row r="145" spans="1:3" x14ac:dyDescent="0.2">
      <c r="A145" s="579" t="s">
        <v>7975</v>
      </c>
      <c r="B145" s="596"/>
      <c r="C145" s="580"/>
    </row>
    <row r="146" spans="1:3" x14ac:dyDescent="0.2">
      <c r="A146" t="s">
        <v>7976</v>
      </c>
      <c r="B146" s="537"/>
      <c r="C146"/>
    </row>
    <row r="147" spans="1:3" x14ac:dyDescent="0.2">
      <c r="A147" t="s">
        <v>7977</v>
      </c>
      <c r="B147" s="537"/>
      <c r="C147"/>
    </row>
    <row r="148" spans="1:3" x14ac:dyDescent="0.2">
      <c r="A148" t="s">
        <v>7978</v>
      </c>
      <c r="B148" s="537"/>
      <c r="C148"/>
    </row>
    <row r="149" spans="1:3" x14ac:dyDescent="0.2">
      <c r="A149" t="s">
        <v>7979</v>
      </c>
      <c r="B149" s="537"/>
      <c r="C149"/>
    </row>
    <row r="150" spans="1:3" x14ac:dyDescent="0.2">
      <c r="A150" t="s">
        <v>7968</v>
      </c>
      <c r="B150" s="537"/>
      <c r="C150"/>
    </row>
    <row r="151" spans="1:3" x14ac:dyDescent="0.2">
      <c r="A151" t="s">
        <v>7969</v>
      </c>
      <c r="B151" s="537"/>
      <c r="C151"/>
    </row>
    <row r="152" spans="1:3" x14ac:dyDescent="0.2">
      <c r="A152"/>
      <c r="B152" s="537"/>
      <c r="C152"/>
    </row>
    <row r="153" spans="1:3" x14ac:dyDescent="0.2">
      <c r="A153"/>
      <c r="B153" s="537"/>
      <c r="C153"/>
    </row>
    <row r="154" spans="1:3" x14ac:dyDescent="0.2">
      <c r="A154" t="s">
        <v>7971</v>
      </c>
      <c r="B154" s="537"/>
      <c r="C154"/>
    </row>
    <row r="155" spans="1:3" x14ac:dyDescent="0.2">
      <c r="A155" t="s">
        <v>7972</v>
      </c>
      <c r="B155" s="537"/>
      <c r="C155">
        <v>0.5</v>
      </c>
    </row>
    <row r="156" spans="1:3" x14ac:dyDescent="0.2">
      <c r="A156" t="s">
        <v>7980</v>
      </c>
      <c r="B156" s="537"/>
      <c r="C156">
        <v>0.6</v>
      </c>
    </row>
    <row r="157" spans="1:3" x14ac:dyDescent="0.2">
      <c r="A157" t="s">
        <v>7981</v>
      </c>
      <c r="B157" s="537"/>
      <c r="C157">
        <v>0.2</v>
      </c>
    </row>
    <row r="158" spans="1:3" x14ac:dyDescent="0.2">
      <c r="A158"/>
      <c r="B158" s="537"/>
      <c r="C158"/>
    </row>
    <row r="159" spans="1:3" x14ac:dyDescent="0.2">
      <c r="A159" t="s">
        <v>7973</v>
      </c>
      <c r="B159" s="537"/>
      <c r="C159">
        <v>1.8</v>
      </c>
    </row>
    <row r="161" spans="1:1" x14ac:dyDescent="0.2">
      <c r="A161" s="579" t="s">
        <v>7982</v>
      </c>
    </row>
    <row r="162" spans="1:1" x14ac:dyDescent="0.2">
      <c r="A162" s="113" t="s">
        <v>7983</v>
      </c>
    </row>
    <row r="163" spans="1:1" x14ac:dyDescent="0.2">
      <c r="A163" s="113" t="s">
        <v>7984</v>
      </c>
    </row>
    <row r="164" spans="1:1" x14ac:dyDescent="0.2">
      <c r="A164" s="113" t="s">
        <v>7985</v>
      </c>
    </row>
    <row r="165" spans="1:1" x14ac:dyDescent="0.2">
      <c r="A165" s="113" t="s">
        <v>7986</v>
      </c>
    </row>
    <row r="166" spans="1:1" x14ac:dyDescent="0.2">
      <c r="A166" s="113" t="s">
        <v>7987</v>
      </c>
    </row>
    <row r="167" spans="1:1" x14ac:dyDescent="0.2">
      <c r="A167" s="113" t="s">
        <v>7988</v>
      </c>
    </row>
    <row r="169" spans="1:1" x14ac:dyDescent="0.2">
      <c r="A169" s="579" t="s">
        <v>7989</v>
      </c>
    </row>
    <row r="170" spans="1:1" x14ac:dyDescent="0.2">
      <c r="A170" s="113" t="s">
        <v>7990</v>
      </c>
    </row>
    <row r="171" spans="1:1" x14ac:dyDescent="0.2">
      <c r="A171" s="113" t="s">
        <v>7991</v>
      </c>
    </row>
    <row r="172" spans="1:1" x14ac:dyDescent="0.2">
      <c r="A172" s="113" t="s">
        <v>7992</v>
      </c>
    </row>
    <row r="173" spans="1:1" x14ac:dyDescent="0.2">
      <c r="A173" s="113" t="s">
        <v>7993</v>
      </c>
    </row>
    <row r="174" spans="1:1" x14ac:dyDescent="0.2">
      <c r="A174" s="113" t="s">
        <v>7994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79A65-A10E-A645-93CD-CEA83159346B}">
  <dimension ref="A1"/>
  <sheetViews>
    <sheetView workbookViewId="0"/>
  </sheetViews>
  <sheetFormatPr baseColWidth="10" defaultColWidth="11.5703125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55</vt:i4>
      </vt:variant>
    </vt:vector>
  </HeadingPairs>
  <TitlesOfParts>
    <vt:vector size="67" baseType="lpstr">
      <vt:lpstr>SKU List</vt:lpstr>
      <vt:lpstr>Sheet2</vt:lpstr>
      <vt:lpstr>SKU Wall Paper</vt:lpstr>
      <vt:lpstr>Materials</vt:lpstr>
      <vt:lpstr>Cali Frames</vt:lpstr>
      <vt:lpstr>Cali FPS</vt:lpstr>
      <vt:lpstr>FPS LO PROFILE</vt:lpstr>
      <vt:lpstr>TX</vt:lpstr>
      <vt:lpstr>CALI_SONDER </vt:lpstr>
      <vt:lpstr>CALI CB2</vt:lpstr>
      <vt:lpstr>PL CB2</vt:lpstr>
      <vt:lpstr>Sheet1</vt:lpstr>
      <vt:lpstr>Birch</vt:lpstr>
      <vt:lpstr>Border</vt:lpstr>
      <vt:lpstr>BorderGW</vt:lpstr>
      <vt:lpstr>BorderL</vt:lpstr>
      <vt:lpstr>Brace12</vt:lpstr>
      <vt:lpstr>Brace16</vt:lpstr>
      <vt:lpstr>CanonC</vt:lpstr>
      <vt:lpstr>canonML</vt:lpstr>
      <vt:lpstr>Canvas</vt:lpstr>
      <vt:lpstr>CanvasC</vt:lpstr>
      <vt:lpstr>CanvasR</vt:lpstr>
      <vt:lpstr>EPSONC</vt:lpstr>
      <vt:lpstr>EPSONM</vt:lpstr>
      <vt:lpstr>EPSONML</vt:lpstr>
      <vt:lpstr>FinishC</vt:lpstr>
      <vt:lpstr>GPLABOR</vt:lpstr>
      <vt:lpstr>IncaC</vt:lpstr>
      <vt:lpstr>IncaCR</vt:lpstr>
      <vt:lpstr>IncaG</vt:lpstr>
      <vt:lpstr>IncaGR</vt:lpstr>
      <vt:lpstr>MDF</vt:lpstr>
      <vt:lpstr>MDFSHEET</vt:lpstr>
      <vt:lpstr>'Cali Frames'!Non_Stock_Items</vt:lpstr>
      <vt:lpstr>Paper</vt:lpstr>
      <vt:lpstr>paper24</vt:lpstr>
      <vt:lpstr>paper44</vt:lpstr>
      <vt:lpstr>paper60</vt:lpstr>
      <vt:lpstr>PaperC</vt:lpstr>
      <vt:lpstr>PETG48</vt:lpstr>
      <vt:lpstr>PETG60</vt:lpstr>
      <vt:lpstr>PETGL</vt:lpstr>
      <vt:lpstr>PETGS</vt:lpstr>
      <vt:lpstr>POLY</vt:lpstr>
      <vt:lpstr>POster</vt:lpstr>
      <vt:lpstr>'Cali FPS'!Print_Area</vt:lpstr>
      <vt:lpstr>'Cali Frames'!Print_Area</vt:lpstr>
      <vt:lpstr>'SKU List'!Print_Area</vt:lpstr>
      <vt:lpstr>'Cali FPS'!Print_Titles</vt:lpstr>
      <vt:lpstr>'Cali Frames'!Print_Titles</vt:lpstr>
      <vt:lpstr>'SKU List'!Print_Titles</vt:lpstr>
      <vt:lpstr>Stretch2</vt:lpstr>
      <vt:lpstr>StretchC</vt:lpstr>
      <vt:lpstr>Swiss1</vt:lpstr>
      <vt:lpstr>Swiss1ML</vt:lpstr>
      <vt:lpstr>Swiss2</vt:lpstr>
      <vt:lpstr>swiss3</vt:lpstr>
      <vt:lpstr>SWISSC1</vt:lpstr>
      <vt:lpstr>SWISSC2</vt:lpstr>
      <vt:lpstr>SWISSCR</vt:lpstr>
      <vt:lpstr>swissL</vt:lpstr>
      <vt:lpstr>SwissLow</vt:lpstr>
      <vt:lpstr>SWISSML</vt:lpstr>
      <vt:lpstr>SWISSMLR</vt:lpstr>
      <vt:lpstr>SWISSRC</vt:lpstr>
      <vt:lpstr>SWISSRML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Tiffany Foster</dc:creator>
  <cp:keywords/>
  <dc:description/>
  <cp:lastModifiedBy>Abby Woolf</cp:lastModifiedBy>
  <cp:revision/>
  <dcterms:created xsi:type="dcterms:W3CDTF">2020-01-13T23:43:56Z</dcterms:created>
  <dcterms:modified xsi:type="dcterms:W3CDTF">2023-12-14T19:15:30Z</dcterms:modified>
  <cp:category/>
  <cp:contentStatus/>
</cp:coreProperties>
</file>